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5A843F8D-E172-459B-88F5-0302CCE689DC}" xr6:coauthVersionLast="47" xr6:coauthVersionMax="47" xr10:uidLastSave="{00000000-0000-0000-0000-000000000000}"/>
  <bookViews>
    <workbookView xWindow="28680" yWindow="-120" windowWidth="29040" windowHeight="15840" firstSheet="12" activeTab="21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8.01" sheetId="24" r:id="rId6"/>
    <sheet name="2021.08.02" sheetId="25" r:id="rId7"/>
    <sheet name="2021.08.03" sheetId="26" r:id="rId8"/>
    <sheet name="2021.08.04" sheetId="27" r:id="rId9"/>
    <sheet name="2021.08.05" sheetId="28" r:id="rId10"/>
    <sheet name="2021.08.06" sheetId="29" r:id="rId11"/>
    <sheet name="2021.08.07" sheetId="30" r:id="rId12"/>
    <sheet name="2021.08.08" sheetId="31" r:id="rId13"/>
    <sheet name="2021.08.09" sheetId="32" r:id="rId14"/>
    <sheet name="2021.08.10" sheetId="33" r:id="rId15"/>
    <sheet name="2021.08.11" sheetId="34" r:id="rId16"/>
    <sheet name="2021.08.12" sheetId="35" r:id="rId17"/>
    <sheet name="2021.08.13" sheetId="36" r:id="rId18"/>
    <sheet name="2021.08.14" sheetId="37" r:id="rId19"/>
    <sheet name="2021.08.15" sheetId="38" r:id="rId20"/>
    <sheet name="2021.08.16" sheetId="39" r:id="rId21"/>
    <sheet name="2021.08.17" sheetId="40" r:id="rId22"/>
  </sheets>
  <definedNames>
    <definedName name="_xlnm._FilterDatabase" localSheetId="5" hidden="1">'2021.08.01'!#REF!</definedName>
    <definedName name="_xlnm._FilterDatabase" localSheetId="6" hidden="1">'2021.08.02'!#REF!</definedName>
    <definedName name="_xlnm._FilterDatabase" localSheetId="7" hidden="1">'2021.08.03'!#REF!</definedName>
    <definedName name="_xlnm._FilterDatabase" localSheetId="8" hidden="1">'2021.08.04'!#REF!</definedName>
    <definedName name="_xlnm._FilterDatabase" localSheetId="9" hidden="1">'2021.08.05'!#REF!</definedName>
    <definedName name="_xlnm._FilterDatabase" localSheetId="10" hidden="1">'2021.08.06'!#REF!</definedName>
    <definedName name="_xlnm._FilterDatabase" localSheetId="11" hidden="1">'2021.08.07'!#REF!</definedName>
    <definedName name="_xlnm._FilterDatabase" localSheetId="12" hidden="1">'2021.08.08'!#REF!</definedName>
    <definedName name="_xlnm._FilterDatabase" localSheetId="13" hidden="1">'2021.08.09'!#REF!</definedName>
    <definedName name="_xlnm._FilterDatabase" localSheetId="14" hidden="1">'2021.08.10'!#REF!</definedName>
    <definedName name="_xlnm._FilterDatabase" localSheetId="15" hidden="1">'2021.08.11'!#REF!</definedName>
    <definedName name="_xlnm._FilterDatabase" localSheetId="16" hidden="1">'2021.08.12'!#REF!</definedName>
    <definedName name="_xlnm._FilterDatabase" localSheetId="17" hidden="1">'2021.08.13'!#REF!</definedName>
    <definedName name="_xlnm._FilterDatabase" localSheetId="18" hidden="1">'2021.08.14'!#REF!</definedName>
    <definedName name="_xlnm._FilterDatabase" localSheetId="19" hidden="1">'2021.08.15'!#REF!</definedName>
    <definedName name="_xlnm._FilterDatabase" localSheetId="20" hidden="1">'2021.08.16'!#REF!</definedName>
    <definedName name="_xlnm._FilterDatabase" localSheetId="21" hidden="1">'2021.08.17'!#REF!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0" l="1"/>
  <c r="O198" i="40"/>
  <c r="N198" i="40"/>
  <c r="L198" i="40"/>
  <c r="K198" i="40"/>
  <c r="H198" i="40"/>
  <c r="I198" i="40" s="1"/>
  <c r="F198" i="40"/>
  <c r="E198" i="40"/>
  <c r="O197" i="40"/>
  <c r="N197" i="40"/>
  <c r="K197" i="40"/>
  <c r="L197" i="40" s="1"/>
  <c r="H197" i="40"/>
  <c r="I197" i="40" s="1"/>
  <c r="F197" i="40"/>
  <c r="E197" i="40"/>
  <c r="O196" i="40"/>
  <c r="N196" i="40"/>
  <c r="K196" i="40"/>
  <c r="L196" i="40" s="1"/>
  <c r="H196" i="40"/>
  <c r="I196" i="40" s="1"/>
  <c r="F196" i="40"/>
  <c r="E196" i="40"/>
  <c r="O195" i="40"/>
  <c r="N195" i="40"/>
  <c r="K195" i="40"/>
  <c r="L195" i="40" s="1"/>
  <c r="H195" i="40"/>
  <c r="I195" i="40" s="1"/>
  <c r="F195" i="40"/>
  <c r="E195" i="40"/>
  <c r="O194" i="40"/>
  <c r="N194" i="40"/>
  <c r="L194" i="40"/>
  <c r="K194" i="40"/>
  <c r="H194" i="40"/>
  <c r="I194" i="40" s="1"/>
  <c r="F194" i="40"/>
  <c r="E194" i="40"/>
  <c r="O193" i="40"/>
  <c r="N193" i="40"/>
  <c r="K193" i="40"/>
  <c r="L193" i="40" s="1"/>
  <c r="H193" i="40"/>
  <c r="I193" i="40" s="1"/>
  <c r="F193" i="40"/>
  <c r="E193" i="40"/>
  <c r="O192" i="40"/>
  <c r="N192" i="40"/>
  <c r="K192" i="40"/>
  <c r="L192" i="40" s="1"/>
  <c r="H192" i="40"/>
  <c r="I192" i="40" s="1"/>
  <c r="F192" i="40"/>
  <c r="E192" i="40"/>
  <c r="O191" i="40"/>
  <c r="N191" i="40"/>
  <c r="K191" i="40"/>
  <c r="L191" i="40" s="1"/>
  <c r="H191" i="40"/>
  <c r="I191" i="40" s="1"/>
  <c r="F191" i="40"/>
  <c r="E191" i="40"/>
  <c r="O190" i="40"/>
  <c r="N190" i="40"/>
  <c r="L190" i="40"/>
  <c r="K190" i="40"/>
  <c r="H190" i="40"/>
  <c r="I190" i="40" s="1"/>
  <c r="F190" i="40"/>
  <c r="E190" i="40"/>
  <c r="O189" i="40"/>
  <c r="N189" i="40"/>
  <c r="K189" i="40"/>
  <c r="L189" i="40" s="1"/>
  <c r="H189" i="40"/>
  <c r="I189" i="40" s="1"/>
  <c r="F189" i="40"/>
  <c r="E189" i="40"/>
  <c r="O188" i="40"/>
  <c r="N188" i="40"/>
  <c r="K188" i="40"/>
  <c r="L188" i="40" s="1"/>
  <c r="H188" i="40"/>
  <c r="I188" i="40" s="1"/>
  <c r="F188" i="40"/>
  <c r="E188" i="40"/>
  <c r="O187" i="40"/>
  <c r="N187" i="40"/>
  <c r="K187" i="40"/>
  <c r="L187" i="40" s="1"/>
  <c r="H187" i="40"/>
  <c r="I187" i="40" s="1"/>
  <c r="F187" i="40"/>
  <c r="E187" i="40"/>
  <c r="O186" i="40"/>
  <c r="N186" i="40"/>
  <c r="L186" i="40"/>
  <c r="K186" i="40"/>
  <c r="H186" i="40"/>
  <c r="I186" i="40" s="1"/>
  <c r="F186" i="40"/>
  <c r="E186" i="40"/>
  <c r="O185" i="40"/>
  <c r="N185" i="40"/>
  <c r="K185" i="40"/>
  <c r="L185" i="40" s="1"/>
  <c r="H185" i="40"/>
  <c r="I185" i="40" s="1"/>
  <c r="F185" i="40"/>
  <c r="E185" i="40"/>
  <c r="O184" i="40"/>
  <c r="N184" i="40"/>
  <c r="K184" i="40"/>
  <c r="L184" i="40" s="1"/>
  <c r="H184" i="40"/>
  <c r="I184" i="40" s="1"/>
  <c r="F184" i="40"/>
  <c r="E184" i="40"/>
  <c r="O183" i="40"/>
  <c r="N183" i="40"/>
  <c r="K183" i="40"/>
  <c r="L183" i="40" s="1"/>
  <c r="H183" i="40"/>
  <c r="I183" i="40" s="1"/>
  <c r="F183" i="40"/>
  <c r="E183" i="40"/>
  <c r="O182" i="40"/>
  <c r="N182" i="40"/>
  <c r="L182" i="40"/>
  <c r="K182" i="40"/>
  <c r="H182" i="40"/>
  <c r="I182" i="40" s="1"/>
  <c r="F182" i="40"/>
  <c r="E182" i="40"/>
  <c r="O181" i="40"/>
  <c r="N181" i="40"/>
  <c r="K181" i="40"/>
  <c r="L181" i="40" s="1"/>
  <c r="H181" i="40"/>
  <c r="I181" i="40" s="1"/>
  <c r="F181" i="40"/>
  <c r="E181" i="40"/>
  <c r="O180" i="40"/>
  <c r="N180" i="40"/>
  <c r="K180" i="40"/>
  <c r="L180" i="40" s="1"/>
  <c r="H180" i="40"/>
  <c r="I180" i="40" s="1"/>
  <c r="F180" i="40"/>
  <c r="E180" i="40"/>
  <c r="O179" i="40"/>
  <c r="O199" i="40" s="1"/>
  <c r="N179" i="40"/>
  <c r="N199" i="40" s="1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O171" i="40"/>
  <c r="N171" i="40"/>
  <c r="L171" i="40"/>
  <c r="K171" i="40"/>
  <c r="H171" i="40"/>
  <c r="I171" i="40" s="1"/>
  <c r="E171" i="40"/>
  <c r="F171" i="40" s="1"/>
  <c r="O170" i="40"/>
  <c r="N170" i="40"/>
  <c r="K170" i="40"/>
  <c r="L170" i="40" s="1"/>
  <c r="H170" i="40"/>
  <c r="I170" i="40" s="1"/>
  <c r="E170" i="40"/>
  <c r="F170" i="40" s="1"/>
  <c r="O169" i="40"/>
  <c r="N169" i="40"/>
  <c r="L169" i="40"/>
  <c r="K169" i="40"/>
  <c r="I169" i="40"/>
  <c r="H169" i="40"/>
  <c r="E169" i="40"/>
  <c r="F169" i="40" s="1"/>
  <c r="O168" i="40"/>
  <c r="N168" i="40"/>
  <c r="K168" i="40"/>
  <c r="L168" i="40" s="1"/>
  <c r="H168" i="40"/>
  <c r="I168" i="40" s="1"/>
  <c r="E168" i="40"/>
  <c r="F168" i="40" s="1"/>
  <c r="O167" i="40"/>
  <c r="N167" i="40"/>
  <c r="K167" i="40"/>
  <c r="L167" i="40" s="1"/>
  <c r="H167" i="40"/>
  <c r="I167" i="40" s="1"/>
  <c r="E167" i="40"/>
  <c r="F167" i="40" s="1"/>
  <c r="O166" i="40"/>
  <c r="N166" i="40"/>
  <c r="K166" i="40"/>
  <c r="L166" i="40" s="1"/>
  <c r="H166" i="40"/>
  <c r="I166" i="40" s="1"/>
  <c r="E166" i="40"/>
  <c r="F166" i="40" s="1"/>
  <c r="O165" i="40"/>
  <c r="N165" i="40"/>
  <c r="K165" i="40"/>
  <c r="L165" i="40" s="1"/>
  <c r="I165" i="40"/>
  <c r="H165" i="40"/>
  <c r="E165" i="40"/>
  <c r="F165" i="40" s="1"/>
  <c r="O164" i="40"/>
  <c r="N164" i="40"/>
  <c r="L164" i="40"/>
  <c r="K164" i="40"/>
  <c r="H164" i="40"/>
  <c r="I164" i="40" s="1"/>
  <c r="E164" i="40"/>
  <c r="F164" i="40" s="1"/>
  <c r="O163" i="40"/>
  <c r="N163" i="40"/>
  <c r="K163" i="40"/>
  <c r="L163" i="40" s="1"/>
  <c r="H163" i="40"/>
  <c r="I163" i="40" s="1"/>
  <c r="E163" i="40"/>
  <c r="F163" i="40" s="1"/>
  <c r="O162" i="40"/>
  <c r="N162" i="40"/>
  <c r="L162" i="40"/>
  <c r="K162" i="40"/>
  <c r="H162" i="40"/>
  <c r="I162" i="40" s="1"/>
  <c r="E162" i="40"/>
  <c r="F162" i="40" s="1"/>
  <c r="O161" i="40"/>
  <c r="N161" i="40"/>
  <c r="K161" i="40"/>
  <c r="L161" i="40" s="1"/>
  <c r="I161" i="40"/>
  <c r="H161" i="40"/>
  <c r="E161" i="40"/>
  <c r="F161" i="40" s="1"/>
  <c r="O160" i="40"/>
  <c r="N160" i="40"/>
  <c r="K160" i="40"/>
  <c r="L160" i="40" s="1"/>
  <c r="H160" i="40"/>
  <c r="I160" i="40" s="1"/>
  <c r="E160" i="40"/>
  <c r="F160" i="40" s="1"/>
  <c r="O159" i="40"/>
  <c r="N159" i="40"/>
  <c r="K159" i="40"/>
  <c r="L159" i="40" s="1"/>
  <c r="H159" i="40"/>
  <c r="I159" i="40" s="1"/>
  <c r="E159" i="40"/>
  <c r="F159" i="40" s="1"/>
  <c r="O158" i="40"/>
  <c r="N158" i="40"/>
  <c r="K158" i="40"/>
  <c r="L158" i="40" s="1"/>
  <c r="H158" i="40"/>
  <c r="I158" i="40" s="1"/>
  <c r="E158" i="40"/>
  <c r="F158" i="40" s="1"/>
  <c r="O157" i="40"/>
  <c r="N157" i="40"/>
  <c r="K157" i="40"/>
  <c r="L157" i="40" s="1"/>
  <c r="I157" i="40"/>
  <c r="H157" i="40"/>
  <c r="E157" i="40"/>
  <c r="F157" i="40" s="1"/>
  <c r="O156" i="40"/>
  <c r="N156" i="40"/>
  <c r="K156" i="40"/>
  <c r="L156" i="40" s="1"/>
  <c r="H156" i="40"/>
  <c r="I156" i="40" s="1"/>
  <c r="E156" i="40"/>
  <c r="F156" i="40" s="1"/>
  <c r="O155" i="40"/>
  <c r="N155" i="40"/>
  <c r="L155" i="40"/>
  <c r="K155" i="40"/>
  <c r="H155" i="40"/>
  <c r="I155" i="40" s="1"/>
  <c r="E155" i="40"/>
  <c r="F155" i="40" s="1"/>
  <c r="O154" i="40"/>
  <c r="N154" i="40"/>
  <c r="L154" i="40"/>
  <c r="K154" i="40"/>
  <c r="H154" i="40"/>
  <c r="I154" i="40" s="1"/>
  <c r="E154" i="40"/>
  <c r="F154" i="40" s="1"/>
  <c r="O153" i="40"/>
  <c r="N153" i="40"/>
  <c r="L153" i="40"/>
  <c r="K153" i="40"/>
  <c r="I153" i="40"/>
  <c r="H153" i="40"/>
  <c r="E153" i="40"/>
  <c r="F153" i="40" s="1"/>
  <c r="O152" i="40"/>
  <c r="O172" i="40" s="1"/>
  <c r="N152" i="40"/>
  <c r="N172" i="40" s="1"/>
  <c r="K152" i="40"/>
  <c r="K172" i="40" s="1"/>
  <c r="H152" i="40"/>
  <c r="H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I144" i="40"/>
  <c r="H144" i="40"/>
  <c r="F144" i="40"/>
  <c r="E144" i="40"/>
  <c r="O143" i="40"/>
  <c r="N143" i="40"/>
  <c r="L143" i="40"/>
  <c r="K143" i="40"/>
  <c r="I143" i="40"/>
  <c r="H143" i="40"/>
  <c r="F143" i="40"/>
  <c r="E143" i="40"/>
  <c r="O142" i="40"/>
  <c r="N142" i="40"/>
  <c r="L142" i="40"/>
  <c r="K142" i="40"/>
  <c r="I142" i="40"/>
  <c r="H142" i="40"/>
  <c r="F142" i="40"/>
  <c r="E142" i="40"/>
  <c r="O141" i="40"/>
  <c r="N141" i="40"/>
  <c r="K141" i="40"/>
  <c r="L141" i="40" s="1"/>
  <c r="I141" i="40"/>
  <c r="H141" i="40"/>
  <c r="F141" i="40"/>
  <c r="E141" i="40"/>
  <c r="O140" i="40"/>
  <c r="N140" i="40"/>
  <c r="L140" i="40"/>
  <c r="K140" i="40"/>
  <c r="I140" i="40"/>
  <c r="H140" i="40"/>
  <c r="F140" i="40"/>
  <c r="E140" i="40"/>
  <c r="O139" i="40"/>
  <c r="N139" i="40"/>
  <c r="K139" i="40"/>
  <c r="L139" i="40" s="1"/>
  <c r="I139" i="40"/>
  <c r="H139" i="40"/>
  <c r="F139" i="40"/>
  <c r="E139" i="40"/>
  <c r="O138" i="40"/>
  <c r="N138" i="40"/>
  <c r="K138" i="40"/>
  <c r="L138" i="40" s="1"/>
  <c r="I138" i="40"/>
  <c r="H138" i="40"/>
  <c r="F138" i="40"/>
  <c r="E138" i="40"/>
  <c r="O137" i="40"/>
  <c r="N137" i="40"/>
  <c r="K137" i="40"/>
  <c r="L137" i="40" s="1"/>
  <c r="I137" i="40"/>
  <c r="H137" i="40"/>
  <c r="F137" i="40"/>
  <c r="E137" i="40"/>
  <c r="O136" i="40"/>
  <c r="N136" i="40"/>
  <c r="K136" i="40"/>
  <c r="L136" i="40" s="1"/>
  <c r="I136" i="40"/>
  <c r="H136" i="40"/>
  <c r="F136" i="40"/>
  <c r="E136" i="40"/>
  <c r="O135" i="40"/>
  <c r="N135" i="40"/>
  <c r="K135" i="40"/>
  <c r="L135" i="40" s="1"/>
  <c r="I135" i="40"/>
  <c r="H135" i="40"/>
  <c r="F135" i="40"/>
  <c r="E135" i="40"/>
  <c r="O134" i="40"/>
  <c r="N134" i="40"/>
  <c r="K134" i="40"/>
  <c r="L134" i="40" s="1"/>
  <c r="I134" i="40"/>
  <c r="H134" i="40"/>
  <c r="F134" i="40"/>
  <c r="E134" i="40"/>
  <c r="O133" i="40"/>
  <c r="N133" i="40"/>
  <c r="K133" i="40"/>
  <c r="L133" i="40" s="1"/>
  <c r="I133" i="40"/>
  <c r="H133" i="40"/>
  <c r="F133" i="40"/>
  <c r="E133" i="40"/>
  <c r="O132" i="40"/>
  <c r="N132" i="40"/>
  <c r="K132" i="40"/>
  <c r="L132" i="40" s="1"/>
  <c r="I132" i="40"/>
  <c r="H132" i="40"/>
  <c r="F132" i="40"/>
  <c r="E132" i="40"/>
  <c r="O131" i="40"/>
  <c r="N131" i="40"/>
  <c r="K131" i="40"/>
  <c r="L131" i="40" s="1"/>
  <c r="I131" i="40"/>
  <c r="H131" i="40"/>
  <c r="F131" i="40"/>
  <c r="E131" i="40"/>
  <c r="O130" i="40"/>
  <c r="N130" i="40"/>
  <c r="K130" i="40"/>
  <c r="L130" i="40" s="1"/>
  <c r="I130" i="40"/>
  <c r="H130" i="40"/>
  <c r="F130" i="40"/>
  <c r="E130" i="40"/>
  <c r="O129" i="40"/>
  <c r="N129" i="40"/>
  <c r="K129" i="40"/>
  <c r="L129" i="40" s="1"/>
  <c r="I129" i="40"/>
  <c r="H129" i="40"/>
  <c r="F129" i="40"/>
  <c r="E129" i="40"/>
  <c r="O128" i="40"/>
  <c r="N128" i="40"/>
  <c r="K128" i="40"/>
  <c r="L128" i="40" s="1"/>
  <c r="I128" i="40"/>
  <c r="H128" i="40"/>
  <c r="F128" i="40"/>
  <c r="E128" i="40"/>
  <c r="O127" i="40"/>
  <c r="N127" i="40"/>
  <c r="K127" i="40"/>
  <c r="L127" i="40" s="1"/>
  <c r="I127" i="40"/>
  <c r="H127" i="40"/>
  <c r="F127" i="40"/>
  <c r="E127" i="40"/>
  <c r="O126" i="40"/>
  <c r="N126" i="40"/>
  <c r="K126" i="40"/>
  <c r="L126" i="40" s="1"/>
  <c r="I126" i="40"/>
  <c r="H126" i="40"/>
  <c r="F126" i="40"/>
  <c r="E126" i="40"/>
  <c r="O125" i="40"/>
  <c r="O145" i="40" s="1"/>
  <c r="N125" i="40"/>
  <c r="N145" i="40" s="1"/>
  <c r="K125" i="40"/>
  <c r="K145" i="40" s="1"/>
  <c r="I125" i="40"/>
  <c r="I145" i="40" s="1"/>
  <c r="H125" i="40"/>
  <c r="H145" i="40" s="1"/>
  <c r="F125" i="40"/>
  <c r="F145" i="40" s="1"/>
  <c r="E125" i="40"/>
  <c r="E145" i="40" s="1"/>
  <c r="M123" i="40"/>
  <c r="J123" i="40"/>
  <c r="G123" i="40"/>
  <c r="D123" i="40"/>
  <c r="B123" i="40"/>
  <c r="M122" i="40"/>
  <c r="G122" i="40"/>
  <c r="B118" i="40"/>
  <c r="O117" i="40"/>
  <c r="N117" i="40"/>
  <c r="K117" i="40"/>
  <c r="L117" i="40" s="1"/>
  <c r="H117" i="40"/>
  <c r="I117" i="40" s="1"/>
  <c r="E117" i="40"/>
  <c r="F117" i="40" s="1"/>
  <c r="O116" i="40"/>
  <c r="N116" i="40"/>
  <c r="K116" i="40"/>
  <c r="L116" i="40" s="1"/>
  <c r="H116" i="40"/>
  <c r="I116" i="40" s="1"/>
  <c r="E116" i="40"/>
  <c r="F116" i="40" s="1"/>
  <c r="O115" i="40"/>
  <c r="N115" i="40"/>
  <c r="K115" i="40"/>
  <c r="L115" i="40" s="1"/>
  <c r="I115" i="40"/>
  <c r="H115" i="40"/>
  <c r="E115" i="40"/>
  <c r="F115" i="40" s="1"/>
  <c r="O114" i="40"/>
  <c r="N114" i="40"/>
  <c r="L114" i="40"/>
  <c r="K114" i="40"/>
  <c r="H114" i="40"/>
  <c r="I114" i="40" s="1"/>
  <c r="E114" i="40"/>
  <c r="F114" i="40" s="1"/>
  <c r="O113" i="40"/>
  <c r="N113" i="40"/>
  <c r="K113" i="40"/>
  <c r="L113" i="40" s="1"/>
  <c r="H113" i="40"/>
  <c r="I113" i="40" s="1"/>
  <c r="E113" i="40"/>
  <c r="F113" i="40" s="1"/>
  <c r="O112" i="40"/>
  <c r="N112" i="40"/>
  <c r="L112" i="40"/>
  <c r="K112" i="40"/>
  <c r="H112" i="40"/>
  <c r="I112" i="40" s="1"/>
  <c r="E112" i="40"/>
  <c r="F112" i="40" s="1"/>
  <c r="O111" i="40"/>
  <c r="N111" i="40"/>
  <c r="K111" i="40"/>
  <c r="L111" i="40" s="1"/>
  <c r="I111" i="40"/>
  <c r="H111" i="40"/>
  <c r="E111" i="40"/>
  <c r="F111" i="40" s="1"/>
  <c r="O110" i="40"/>
  <c r="N110" i="40"/>
  <c r="K110" i="40"/>
  <c r="L110" i="40" s="1"/>
  <c r="H110" i="40"/>
  <c r="I110" i="40" s="1"/>
  <c r="E110" i="40"/>
  <c r="F110" i="40" s="1"/>
  <c r="O109" i="40"/>
  <c r="N109" i="40"/>
  <c r="K109" i="40"/>
  <c r="L109" i="40" s="1"/>
  <c r="H109" i="40"/>
  <c r="I109" i="40" s="1"/>
  <c r="E109" i="40"/>
  <c r="F109" i="40" s="1"/>
  <c r="O108" i="40"/>
  <c r="N108" i="40"/>
  <c r="K108" i="40"/>
  <c r="L108" i="40" s="1"/>
  <c r="H108" i="40"/>
  <c r="I108" i="40" s="1"/>
  <c r="E108" i="40"/>
  <c r="F108" i="40" s="1"/>
  <c r="O107" i="40"/>
  <c r="N107" i="40"/>
  <c r="K107" i="40"/>
  <c r="L107" i="40" s="1"/>
  <c r="I107" i="40"/>
  <c r="H107" i="40"/>
  <c r="E107" i="40"/>
  <c r="F107" i="40" s="1"/>
  <c r="O106" i="40"/>
  <c r="N106" i="40"/>
  <c r="K106" i="40"/>
  <c r="L106" i="40" s="1"/>
  <c r="H106" i="40"/>
  <c r="I106" i="40" s="1"/>
  <c r="E106" i="40"/>
  <c r="F106" i="40" s="1"/>
  <c r="O105" i="40"/>
  <c r="N105" i="40"/>
  <c r="L105" i="40"/>
  <c r="K105" i="40"/>
  <c r="H105" i="40"/>
  <c r="I105" i="40" s="1"/>
  <c r="E105" i="40"/>
  <c r="F105" i="40" s="1"/>
  <c r="O104" i="40"/>
  <c r="N104" i="40"/>
  <c r="K104" i="40"/>
  <c r="L104" i="40" s="1"/>
  <c r="H104" i="40"/>
  <c r="I104" i="40" s="1"/>
  <c r="E104" i="40"/>
  <c r="F104" i="40" s="1"/>
  <c r="O103" i="40"/>
  <c r="N103" i="40"/>
  <c r="L103" i="40"/>
  <c r="K103" i="40"/>
  <c r="I103" i="40"/>
  <c r="H103" i="40"/>
  <c r="E103" i="40"/>
  <c r="F103" i="40" s="1"/>
  <c r="O102" i="40"/>
  <c r="N102" i="40"/>
  <c r="K102" i="40"/>
  <c r="L102" i="40" s="1"/>
  <c r="H102" i="40"/>
  <c r="I102" i="40" s="1"/>
  <c r="E102" i="40"/>
  <c r="F102" i="40" s="1"/>
  <c r="O101" i="40"/>
  <c r="N101" i="40"/>
  <c r="K101" i="40"/>
  <c r="L101" i="40" s="1"/>
  <c r="H101" i="40"/>
  <c r="I101" i="40" s="1"/>
  <c r="E101" i="40"/>
  <c r="F101" i="40" s="1"/>
  <c r="O100" i="40"/>
  <c r="N100" i="40"/>
  <c r="K100" i="40"/>
  <c r="L100" i="40" s="1"/>
  <c r="H100" i="40"/>
  <c r="I100" i="40" s="1"/>
  <c r="E100" i="40"/>
  <c r="F100" i="40" s="1"/>
  <c r="O99" i="40"/>
  <c r="N99" i="40"/>
  <c r="K99" i="40"/>
  <c r="L99" i="40" s="1"/>
  <c r="I99" i="40"/>
  <c r="H99" i="40"/>
  <c r="E99" i="40"/>
  <c r="F99" i="40" s="1"/>
  <c r="O98" i="40"/>
  <c r="O118" i="40" s="1"/>
  <c r="N98" i="40"/>
  <c r="N118" i="40" s="1"/>
  <c r="L98" i="40"/>
  <c r="K98" i="40"/>
  <c r="H98" i="40"/>
  <c r="H118" i="40" s="1"/>
  <c r="E98" i="40"/>
  <c r="E118" i="40" s="1"/>
  <c r="M96" i="40"/>
  <c r="J96" i="40"/>
  <c r="G96" i="40"/>
  <c r="D96" i="40"/>
  <c r="B96" i="40"/>
  <c r="M95" i="40"/>
  <c r="G95" i="40"/>
  <c r="B91" i="40"/>
  <c r="O90" i="40"/>
  <c r="N90" i="40"/>
  <c r="K90" i="40"/>
  <c r="L90" i="40" s="1"/>
  <c r="H90" i="40"/>
  <c r="I90" i="40" s="1"/>
  <c r="E90" i="40"/>
  <c r="F90" i="40" s="1"/>
  <c r="O89" i="40"/>
  <c r="N89" i="40"/>
  <c r="K89" i="40"/>
  <c r="L89" i="40" s="1"/>
  <c r="I89" i="40"/>
  <c r="H89" i="40"/>
  <c r="E89" i="40"/>
  <c r="F89" i="40" s="1"/>
  <c r="O88" i="40"/>
  <c r="N88" i="40"/>
  <c r="L88" i="40"/>
  <c r="K88" i="40"/>
  <c r="H88" i="40"/>
  <c r="I88" i="40" s="1"/>
  <c r="E88" i="40"/>
  <c r="F88" i="40" s="1"/>
  <c r="O87" i="40"/>
  <c r="N87" i="40"/>
  <c r="K87" i="40"/>
  <c r="L87" i="40" s="1"/>
  <c r="I87" i="40"/>
  <c r="H87" i="40"/>
  <c r="E87" i="40"/>
  <c r="F87" i="40" s="1"/>
  <c r="O86" i="40"/>
  <c r="N86" i="40"/>
  <c r="K86" i="40"/>
  <c r="L86" i="40" s="1"/>
  <c r="H86" i="40"/>
  <c r="I86" i="40" s="1"/>
  <c r="E86" i="40"/>
  <c r="F86" i="40" s="1"/>
  <c r="O85" i="40"/>
  <c r="N85" i="40"/>
  <c r="K85" i="40"/>
  <c r="L85" i="40" s="1"/>
  <c r="I85" i="40"/>
  <c r="H85" i="40"/>
  <c r="E85" i="40"/>
  <c r="F85" i="40" s="1"/>
  <c r="O84" i="40"/>
  <c r="N84" i="40"/>
  <c r="K84" i="40"/>
  <c r="L84" i="40" s="1"/>
  <c r="H84" i="40"/>
  <c r="I84" i="40" s="1"/>
  <c r="E84" i="40"/>
  <c r="F84" i="40" s="1"/>
  <c r="O83" i="40"/>
  <c r="N83" i="40"/>
  <c r="L83" i="40"/>
  <c r="K83" i="40"/>
  <c r="I83" i="40"/>
  <c r="H83" i="40"/>
  <c r="E83" i="40"/>
  <c r="F83" i="40" s="1"/>
  <c r="O82" i="40"/>
  <c r="N82" i="40"/>
  <c r="K82" i="40"/>
  <c r="L82" i="40" s="1"/>
  <c r="H82" i="40"/>
  <c r="I82" i="40" s="1"/>
  <c r="E82" i="40"/>
  <c r="F82" i="40" s="1"/>
  <c r="O81" i="40"/>
  <c r="N81" i="40"/>
  <c r="K81" i="40"/>
  <c r="L81" i="40" s="1"/>
  <c r="I81" i="40"/>
  <c r="H81" i="40"/>
  <c r="E81" i="40"/>
  <c r="F81" i="40" s="1"/>
  <c r="O80" i="40"/>
  <c r="N80" i="40"/>
  <c r="L80" i="40"/>
  <c r="K80" i="40"/>
  <c r="H80" i="40"/>
  <c r="I80" i="40" s="1"/>
  <c r="E80" i="40"/>
  <c r="F80" i="40" s="1"/>
  <c r="O79" i="40"/>
  <c r="N79" i="40"/>
  <c r="K79" i="40"/>
  <c r="L79" i="40" s="1"/>
  <c r="I79" i="40"/>
  <c r="H79" i="40"/>
  <c r="E79" i="40"/>
  <c r="F79" i="40" s="1"/>
  <c r="O78" i="40"/>
  <c r="N78" i="40"/>
  <c r="K78" i="40"/>
  <c r="L78" i="40" s="1"/>
  <c r="H78" i="40"/>
  <c r="I78" i="40" s="1"/>
  <c r="E78" i="40"/>
  <c r="F78" i="40" s="1"/>
  <c r="O77" i="40"/>
  <c r="N77" i="40"/>
  <c r="K77" i="40"/>
  <c r="L77" i="40" s="1"/>
  <c r="I77" i="40"/>
  <c r="H77" i="40"/>
  <c r="E77" i="40"/>
  <c r="F77" i="40" s="1"/>
  <c r="O76" i="40"/>
  <c r="N76" i="40"/>
  <c r="K76" i="40"/>
  <c r="L76" i="40" s="1"/>
  <c r="H76" i="40"/>
  <c r="I76" i="40" s="1"/>
  <c r="E76" i="40"/>
  <c r="F76" i="40" s="1"/>
  <c r="O75" i="40"/>
  <c r="N75" i="40"/>
  <c r="L75" i="40"/>
  <c r="K75" i="40"/>
  <c r="I75" i="40"/>
  <c r="H75" i="40"/>
  <c r="E75" i="40"/>
  <c r="F75" i="40" s="1"/>
  <c r="O74" i="40"/>
  <c r="N74" i="40"/>
  <c r="K74" i="40"/>
  <c r="L74" i="40" s="1"/>
  <c r="H74" i="40"/>
  <c r="I74" i="40" s="1"/>
  <c r="E74" i="40"/>
  <c r="F74" i="40" s="1"/>
  <c r="O73" i="40"/>
  <c r="N73" i="40"/>
  <c r="K73" i="40"/>
  <c r="L73" i="40" s="1"/>
  <c r="I73" i="40"/>
  <c r="H73" i="40"/>
  <c r="E73" i="40"/>
  <c r="F73" i="40" s="1"/>
  <c r="O72" i="40"/>
  <c r="N72" i="40"/>
  <c r="L72" i="40"/>
  <c r="K72" i="40"/>
  <c r="H72" i="40"/>
  <c r="I72" i="40" s="1"/>
  <c r="E72" i="40"/>
  <c r="F72" i="40" s="1"/>
  <c r="O71" i="40"/>
  <c r="N71" i="40"/>
  <c r="N91" i="40" s="1"/>
  <c r="K71" i="40"/>
  <c r="L71" i="40" s="1"/>
  <c r="I71" i="40"/>
  <c r="H71" i="40"/>
  <c r="E71" i="40"/>
  <c r="E91" i="40" s="1"/>
  <c r="M69" i="40"/>
  <c r="J69" i="40"/>
  <c r="G69" i="40"/>
  <c r="D69" i="40"/>
  <c r="B69" i="40"/>
  <c r="M68" i="40"/>
  <c r="G68" i="40"/>
  <c r="B64" i="40"/>
  <c r="O63" i="40"/>
  <c r="N63" i="40"/>
  <c r="L63" i="40"/>
  <c r="K63" i="40"/>
  <c r="I63" i="40"/>
  <c r="H63" i="40"/>
  <c r="F63" i="40"/>
  <c r="E63" i="40"/>
  <c r="O62" i="40"/>
  <c r="N62" i="40"/>
  <c r="L62" i="40"/>
  <c r="K62" i="40"/>
  <c r="I62" i="40"/>
  <c r="H62" i="40"/>
  <c r="F62" i="40"/>
  <c r="E62" i="40"/>
  <c r="O61" i="40"/>
  <c r="N61" i="40"/>
  <c r="L61" i="40"/>
  <c r="K61" i="40"/>
  <c r="I61" i="40"/>
  <c r="H61" i="40"/>
  <c r="F61" i="40"/>
  <c r="E61" i="40"/>
  <c r="O60" i="40"/>
  <c r="N60" i="40"/>
  <c r="K60" i="40"/>
  <c r="L60" i="40" s="1"/>
  <c r="L33" i="40" s="1"/>
  <c r="H60" i="40"/>
  <c r="H33" i="40" s="1"/>
  <c r="E60" i="40"/>
  <c r="F60" i="40" s="1"/>
  <c r="F33" i="40" s="1"/>
  <c r="O59" i="40"/>
  <c r="N59" i="40"/>
  <c r="K59" i="40"/>
  <c r="L59" i="40" s="1"/>
  <c r="L32" i="40" s="1"/>
  <c r="H59" i="40"/>
  <c r="I59" i="40" s="1"/>
  <c r="I32" i="40" s="1"/>
  <c r="E59" i="40"/>
  <c r="E32" i="40" s="1"/>
  <c r="O58" i="40"/>
  <c r="N58" i="40"/>
  <c r="K58" i="40"/>
  <c r="L58" i="40" s="1"/>
  <c r="L31" i="40" s="1"/>
  <c r="I58" i="40"/>
  <c r="H58" i="40"/>
  <c r="E58" i="40"/>
  <c r="F58" i="40" s="1"/>
  <c r="F31" i="40" s="1"/>
  <c r="O57" i="40"/>
  <c r="N57" i="40"/>
  <c r="L57" i="40"/>
  <c r="L30" i="40" s="1"/>
  <c r="K57" i="40"/>
  <c r="I57" i="40"/>
  <c r="I30" i="40" s="1"/>
  <c r="H57" i="40"/>
  <c r="E57" i="40"/>
  <c r="E30" i="40" s="1"/>
  <c r="O56" i="40"/>
  <c r="N56" i="40"/>
  <c r="K56" i="40"/>
  <c r="K29" i="40" s="1"/>
  <c r="H56" i="40"/>
  <c r="I56" i="40" s="1"/>
  <c r="I29" i="40" s="1"/>
  <c r="E56" i="40"/>
  <c r="F56" i="40" s="1"/>
  <c r="F29" i="40" s="1"/>
  <c r="O55" i="40"/>
  <c r="N55" i="40"/>
  <c r="L55" i="40"/>
  <c r="K55" i="40"/>
  <c r="H55" i="40"/>
  <c r="I55" i="40" s="1"/>
  <c r="I28" i="40" s="1"/>
  <c r="E55" i="40"/>
  <c r="E28" i="40" s="1"/>
  <c r="O54" i="40"/>
  <c r="N54" i="40"/>
  <c r="K54" i="40"/>
  <c r="K27" i="40" s="1"/>
  <c r="I54" i="40"/>
  <c r="H54" i="40"/>
  <c r="E54" i="40"/>
  <c r="F54" i="40" s="1"/>
  <c r="F27" i="40" s="1"/>
  <c r="O53" i="40"/>
  <c r="N53" i="40"/>
  <c r="K53" i="40"/>
  <c r="L53" i="40" s="1"/>
  <c r="L26" i="40" s="1"/>
  <c r="I53" i="40"/>
  <c r="I26" i="40" s="1"/>
  <c r="H53" i="40"/>
  <c r="E53" i="40"/>
  <c r="E26" i="40" s="1"/>
  <c r="O52" i="40"/>
  <c r="N52" i="40"/>
  <c r="K52" i="40"/>
  <c r="L52" i="40" s="1"/>
  <c r="L25" i="40" s="1"/>
  <c r="H52" i="40"/>
  <c r="H25" i="40" s="1"/>
  <c r="E52" i="40"/>
  <c r="F52" i="40" s="1"/>
  <c r="F25" i="40" s="1"/>
  <c r="O51" i="40"/>
  <c r="N51" i="40"/>
  <c r="K51" i="40"/>
  <c r="L51" i="40" s="1"/>
  <c r="L24" i="40" s="1"/>
  <c r="I51" i="40"/>
  <c r="H51" i="40"/>
  <c r="E51" i="40"/>
  <c r="E24" i="40" s="1"/>
  <c r="O50" i="40"/>
  <c r="N50" i="40"/>
  <c r="K50" i="40"/>
  <c r="L50" i="40" s="1"/>
  <c r="L23" i="40" s="1"/>
  <c r="I50" i="40"/>
  <c r="H50" i="40"/>
  <c r="E50" i="40"/>
  <c r="F50" i="40" s="1"/>
  <c r="F23" i="40" s="1"/>
  <c r="O49" i="40"/>
  <c r="N49" i="40"/>
  <c r="K49" i="40"/>
  <c r="L49" i="40" s="1"/>
  <c r="L22" i="40" s="1"/>
  <c r="I49" i="40"/>
  <c r="I22" i="40" s="1"/>
  <c r="H49" i="40"/>
  <c r="E49" i="40"/>
  <c r="E22" i="40" s="1"/>
  <c r="O48" i="40"/>
  <c r="N48" i="40"/>
  <c r="L48" i="40"/>
  <c r="L21" i="40" s="1"/>
  <c r="K48" i="40"/>
  <c r="H48" i="40"/>
  <c r="I48" i="40" s="1"/>
  <c r="I21" i="40" s="1"/>
  <c r="E48" i="40"/>
  <c r="F48" i="40" s="1"/>
  <c r="F21" i="40" s="1"/>
  <c r="O47" i="40"/>
  <c r="N47" i="40"/>
  <c r="K47" i="40"/>
  <c r="L47" i="40" s="1"/>
  <c r="L20" i="40" s="1"/>
  <c r="I47" i="40"/>
  <c r="H47" i="40"/>
  <c r="E47" i="40"/>
  <c r="F47" i="40" s="1"/>
  <c r="F20" i="40" s="1"/>
  <c r="O46" i="40"/>
  <c r="N46" i="40"/>
  <c r="K46" i="40"/>
  <c r="L46" i="40" s="1"/>
  <c r="L19" i="40" s="1"/>
  <c r="I46" i="40"/>
  <c r="H46" i="40"/>
  <c r="E46" i="40"/>
  <c r="F46" i="40" s="1"/>
  <c r="F19" i="40" s="1"/>
  <c r="O45" i="40"/>
  <c r="N45" i="40"/>
  <c r="L45" i="40"/>
  <c r="L18" i="40" s="1"/>
  <c r="K45" i="40"/>
  <c r="I45" i="40"/>
  <c r="H45" i="40"/>
  <c r="E45" i="40"/>
  <c r="F45" i="40" s="1"/>
  <c r="F18" i="40" s="1"/>
  <c r="O44" i="40"/>
  <c r="O64" i="40" s="1"/>
  <c r="N44" i="40"/>
  <c r="N64" i="40" s="1"/>
  <c r="K44" i="40"/>
  <c r="K64" i="40" s="1"/>
  <c r="H44" i="40"/>
  <c r="H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K33" i="40"/>
  <c r="J33" i="40"/>
  <c r="G33" i="40"/>
  <c r="E33" i="40"/>
  <c r="D33" i="40"/>
  <c r="C33" i="40"/>
  <c r="B33" i="40"/>
  <c r="O32" i="40"/>
  <c r="N32" i="40"/>
  <c r="M32" i="40"/>
  <c r="J32" i="40"/>
  <c r="H32" i="40"/>
  <c r="G32" i="40"/>
  <c r="D32" i="40"/>
  <c r="C32" i="40"/>
  <c r="B32" i="40"/>
  <c r="O31" i="40"/>
  <c r="N31" i="40"/>
  <c r="M31" i="40"/>
  <c r="K31" i="40"/>
  <c r="J31" i="40"/>
  <c r="I31" i="40"/>
  <c r="H31" i="40"/>
  <c r="G31" i="40"/>
  <c r="E31" i="40"/>
  <c r="D31" i="40"/>
  <c r="C31" i="40"/>
  <c r="B31" i="40"/>
  <c r="O30" i="40"/>
  <c r="N30" i="40"/>
  <c r="M30" i="40"/>
  <c r="K30" i="40"/>
  <c r="J30" i="40"/>
  <c r="H30" i="40"/>
  <c r="G30" i="40"/>
  <c r="D30" i="40"/>
  <c r="C30" i="40"/>
  <c r="B30" i="40"/>
  <c r="O29" i="40"/>
  <c r="N29" i="40"/>
  <c r="M29" i="40"/>
  <c r="J29" i="40"/>
  <c r="H29" i="40"/>
  <c r="G29" i="40"/>
  <c r="E29" i="40"/>
  <c r="D29" i="40"/>
  <c r="C29" i="40"/>
  <c r="B29" i="40"/>
  <c r="O28" i="40"/>
  <c r="N28" i="40"/>
  <c r="M28" i="40"/>
  <c r="L28" i="40"/>
  <c r="K28" i="40"/>
  <c r="J28" i="40"/>
  <c r="H28" i="40"/>
  <c r="G28" i="40"/>
  <c r="D28" i="40"/>
  <c r="C28" i="40"/>
  <c r="B28" i="40"/>
  <c r="O27" i="40"/>
  <c r="N27" i="40"/>
  <c r="M27" i="40"/>
  <c r="J27" i="40"/>
  <c r="I27" i="40"/>
  <c r="H27" i="40"/>
  <c r="G27" i="40"/>
  <c r="E27" i="40"/>
  <c r="D27" i="40"/>
  <c r="C27" i="40"/>
  <c r="B27" i="40"/>
  <c r="O26" i="40"/>
  <c r="N26" i="40"/>
  <c r="M26" i="40"/>
  <c r="K26" i="40"/>
  <c r="J26" i="40"/>
  <c r="H26" i="40"/>
  <c r="G26" i="40"/>
  <c r="D26" i="40"/>
  <c r="C26" i="40"/>
  <c r="B26" i="40"/>
  <c r="O25" i="40"/>
  <c r="N25" i="40"/>
  <c r="M25" i="40"/>
  <c r="K25" i="40"/>
  <c r="J25" i="40"/>
  <c r="G25" i="40"/>
  <c r="E25" i="40"/>
  <c r="D25" i="40"/>
  <c r="C25" i="40"/>
  <c r="B25" i="40"/>
  <c r="O24" i="40"/>
  <c r="N24" i="40"/>
  <c r="M24" i="40"/>
  <c r="K24" i="40"/>
  <c r="J24" i="40"/>
  <c r="I24" i="40"/>
  <c r="H24" i="40"/>
  <c r="G24" i="40"/>
  <c r="D24" i="40"/>
  <c r="C24" i="40"/>
  <c r="B24" i="40"/>
  <c r="O23" i="40"/>
  <c r="N23" i="40"/>
  <c r="M23" i="40"/>
  <c r="K23" i="40"/>
  <c r="J23" i="40"/>
  <c r="I23" i="40"/>
  <c r="H23" i="40"/>
  <c r="G23" i="40"/>
  <c r="E23" i="40"/>
  <c r="D23" i="40"/>
  <c r="C23" i="40"/>
  <c r="B23" i="40"/>
  <c r="O22" i="40"/>
  <c r="N22" i="40"/>
  <c r="M22" i="40"/>
  <c r="K22" i="40"/>
  <c r="J22" i="40"/>
  <c r="H22" i="40"/>
  <c r="G22" i="40"/>
  <c r="D22" i="40"/>
  <c r="C22" i="40"/>
  <c r="B22" i="40"/>
  <c r="O21" i="40"/>
  <c r="N21" i="40"/>
  <c r="M21" i="40"/>
  <c r="K21" i="40"/>
  <c r="J21" i="40"/>
  <c r="H21" i="40"/>
  <c r="G21" i="40"/>
  <c r="E21" i="40"/>
  <c r="D21" i="40"/>
  <c r="C21" i="40"/>
  <c r="B21" i="40"/>
  <c r="O20" i="40"/>
  <c r="N20" i="40"/>
  <c r="M20" i="40"/>
  <c r="K20" i="40"/>
  <c r="J20" i="40"/>
  <c r="I20" i="40"/>
  <c r="H20" i="40"/>
  <c r="G20" i="40"/>
  <c r="E20" i="40"/>
  <c r="D20" i="40"/>
  <c r="C20" i="40"/>
  <c r="B20" i="40"/>
  <c r="O19" i="40"/>
  <c r="N19" i="40"/>
  <c r="M19" i="40"/>
  <c r="K19" i="40"/>
  <c r="J19" i="40"/>
  <c r="I19" i="40"/>
  <c r="H19" i="40"/>
  <c r="G19" i="40"/>
  <c r="E19" i="40"/>
  <c r="D19" i="40"/>
  <c r="C19" i="40"/>
  <c r="B19" i="40"/>
  <c r="O18" i="40"/>
  <c r="N18" i="40"/>
  <c r="M18" i="40"/>
  <c r="K18" i="40"/>
  <c r="J18" i="40"/>
  <c r="I18" i="40"/>
  <c r="H18" i="40"/>
  <c r="G18" i="40"/>
  <c r="E18" i="40"/>
  <c r="D18" i="40"/>
  <c r="C18" i="40"/>
  <c r="B18" i="40"/>
  <c r="O17" i="40"/>
  <c r="N17" i="40"/>
  <c r="M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E199" i="39"/>
  <c r="B199" i="39"/>
  <c r="N198" i="39"/>
  <c r="O198" i="39" s="1"/>
  <c r="K198" i="39"/>
  <c r="L198" i="39" s="1"/>
  <c r="H198" i="39"/>
  <c r="I198" i="39" s="1"/>
  <c r="F198" i="39"/>
  <c r="E198" i="39"/>
  <c r="N197" i="39"/>
  <c r="O197" i="39" s="1"/>
  <c r="L197" i="39"/>
  <c r="K197" i="39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O195" i="39"/>
  <c r="N195" i="39"/>
  <c r="K195" i="39"/>
  <c r="L195" i="39" s="1"/>
  <c r="H195" i="39"/>
  <c r="I195" i="39" s="1"/>
  <c r="F195" i="39"/>
  <c r="E195" i="39"/>
  <c r="N194" i="39"/>
  <c r="O194" i="39" s="1"/>
  <c r="K194" i="39"/>
  <c r="L194" i="39" s="1"/>
  <c r="H194" i="39"/>
  <c r="I194" i="39" s="1"/>
  <c r="F194" i="39"/>
  <c r="E194" i="39"/>
  <c r="O193" i="39"/>
  <c r="N193" i="39"/>
  <c r="L193" i="39"/>
  <c r="K193" i="39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N190" i="39"/>
  <c r="O190" i="39" s="1"/>
  <c r="K190" i="39"/>
  <c r="L190" i="39" s="1"/>
  <c r="H190" i="39"/>
  <c r="I190" i="39" s="1"/>
  <c r="F190" i="39"/>
  <c r="E190" i="39"/>
  <c r="N189" i="39"/>
  <c r="O189" i="39" s="1"/>
  <c r="L189" i="39"/>
  <c r="K189" i="39"/>
  <c r="H189" i="39"/>
  <c r="I189" i="39" s="1"/>
  <c r="F189" i="39"/>
  <c r="E189" i="39"/>
  <c r="O188" i="39"/>
  <c r="N188" i="39"/>
  <c r="K188" i="39"/>
  <c r="L188" i="39" s="1"/>
  <c r="H188" i="39"/>
  <c r="I188" i="39" s="1"/>
  <c r="F188" i="39"/>
  <c r="E188" i="39"/>
  <c r="N187" i="39"/>
  <c r="O187" i="39" s="1"/>
  <c r="K187" i="39"/>
  <c r="L187" i="39" s="1"/>
  <c r="H187" i="39"/>
  <c r="I187" i="39" s="1"/>
  <c r="F187" i="39"/>
  <c r="E187" i="39"/>
  <c r="O186" i="39"/>
  <c r="N186" i="39"/>
  <c r="K186" i="39"/>
  <c r="L186" i="39" s="1"/>
  <c r="H186" i="39"/>
  <c r="I186" i="39" s="1"/>
  <c r="F186" i="39"/>
  <c r="E186" i="39"/>
  <c r="N185" i="39"/>
  <c r="O185" i="39" s="1"/>
  <c r="L185" i="39"/>
  <c r="K185" i="39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N183" i="39"/>
  <c r="O183" i="39" s="1"/>
  <c r="K183" i="39"/>
  <c r="L183" i="39" s="1"/>
  <c r="H183" i="39"/>
  <c r="I183" i="39" s="1"/>
  <c r="F183" i="39"/>
  <c r="E183" i="39"/>
  <c r="N182" i="39"/>
  <c r="O182" i="39" s="1"/>
  <c r="K182" i="39"/>
  <c r="L182" i="39" s="1"/>
  <c r="H182" i="39"/>
  <c r="I182" i="39" s="1"/>
  <c r="F182" i="39"/>
  <c r="E182" i="39"/>
  <c r="N181" i="39"/>
  <c r="O181" i="39" s="1"/>
  <c r="L181" i="39"/>
  <c r="K181" i="39"/>
  <c r="H181" i="39"/>
  <c r="I181" i="39" s="1"/>
  <c r="F181" i="39"/>
  <c r="E181" i="39"/>
  <c r="N180" i="39"/>
  <c r="O180" i="39" s="1"/>
  <c r="K180" i="39"/>
  <c r="L180" i="39" s="1"/>
  <c r="H180" i="39"/>
  <c r="I180" i="39" s="1"/>
  <c r="F180" i="39"/>
  <c r="E180" i="39"/>
  <c r="O179" i="39"/>
  <c r="N179" i="39"/>
  <c r="K179" i="39"/>
  <c r="H179" i="39"/>
  <c r="F179" i="39"/>
  <c r="F199" i="39" s="1"/>
  <c r="E179" i="39"/>
  <c r="M177" i="39"/>
  <c r="J177" i="39"/>
  <c r="G177" i="39"/>
  <c r="D177" i="39"/>
  <c r="B177" i="39"/>
  <c r="M176" i="39"/>
  <c r="G176" i="39"/>
  <c r="B172" i="39"/>
  <c r="O171" i="39"/>
  <c r="N171" i="39"/>
  <c r="K171" i="39"/>
  <c r="L171" i="39" s="1"/>
  <c r="H171" i="39"/>
  <c r="I171" i="39" s="1"/>
  <c r="E171" i="39"/>
  <c r="F171" i="39" s="1"/>
  <c r="N170" i="39"/>
  <c r="O170" i="39" s="1"/>
  <c r="K170" i="39"/>
  <c r="L170" i="39" s="1"/>
  <c r="H170" i="39"/>
  <c r="I170" i="39" s="1"/>
  <c r="E170" i="39"/>
  <c r="F170" i="39" s="1"/>
  <c r="O169" i="39"/>
  <c r="N169" i="39"/>
  <c r="K169" i="39"/>
  <c r="L169" i="39" s="1"/>
  <c r="H169" i="39"/>
  <c r="I169" i="39" s="1"/>
  <c r="E169" i="39"/>
  <c r="F169" i="39" s="1"/>
  <c r="N168" i="39"/>
  <c r="O168" i="39" s="1"/>
  <c r="K168" i="39"/>
  <c r="L168" i="39" s="1"/>
  <c r="I168" i="39"/>
  <c r="H168" i="39"/>
  <c r="E168" i="39"/>
  <c r="F168" i="39" s="1"/>
  <c r="N167" i="39"/>
  <c r="O167" i="39" s="1"/>
  <c r="K167" i="39"/>
  <c r="L167" i="39" s="1"/>
  <c r="H167" i="39"/>
  <c r="I167" i="39" s="1"/>
  <c r="E167" i="39"/>
  <c r="F167" i="39" s="1"/>
  <c r="O166" i="39"/>
  <c r="N166" i="39"/>
  <c r="L166" i="39"/>
  <c r="K166" i="39"/>
  <c r="H166" i="39"/>
  <c r="I166" i="39" s="1"/>
  <c r="E166" i="39"/>
  <c r="F166" i="39" s="1"/>
  <c r="O165" i="39"/>
  <c r="N165" i="39"/>
  <c r="K165" i="39"/>
  <c r="L165" i="39" s="1"/>
  <c r="H165" i="39"/>
  <c r="I165" i="39" s="1"/>
  <c r="E165" i="39"/>
  <c r="F165" i="39" s="1"/>
  <c r="N164" i="39"/>
  <c r="O164" i="39" s="1"/>
  <c r="L164" i="39"/>
  <c r="K164" i="39"/>
  <c r="I164" i="39"/>
  <c r="H164" i="39"/>
  <c r="E164" i="39"/>
  <c r="F164" i="39" s="1"/>
  <c r="O163" i="39"/>
  <c r="N163" i="39"/>
  <c r="K163" i="39"/>
  <c r="L163" i="39" s="1"/>
  <c r="H163" i="39"/>
  <c r="I163" i="39" s="1"/>
  <c r="E163" i="39"/>
  <c r="F163" i="39" s="1"/>
  <c r="N162" i="39"/>
  <c r="O162" i="39" s="1"/>
  <c r="K162" i="39"/>
  <c r="L162" i="39" s="1"/>
  <c r="H162" i="39"/>
  <c r="I162" i="39" s="1"/>
  <c r="E162" i="39"/>
  <c r="F162" i="39" s="1"/>
  <c r="O161" i="39"/>
  <c r="N161" i="39"/>
  <c r="K161" i="39"/>
  <c r="L161" i="39" s="1"/>
  <c r="H161" i="39"/>
  <c r="I161" i="39" s="1"/>
  <c r="E161" i="39"/>
  <c r="F161" i="39" s="1"/>
  <c r="N160" i="39"/>
  <c r="O160" i="39" s="1"/>
  <c r="K160" i="39"/>
  <c r="L160" i="39" s="1"/>
  <c r="I160" i="39"/>
  <c r="H160" i="39"/>
  <c r="E160" i="39"/>
  <c r="F160" i="39" s="1"/>
  <c r="N159" i="39"/>
  <c r="O159" i="39" s="1"/>
  <c r="L159" i="39"/>
  <c r="K159" i="39"/>
  <c r="H159" i="39"/>
  <c r="I159" i="39" s="1"/>
  <c r="E159" i="39"/>
  <c r="F159" i="39" s="1"/>
  <c r="N158" i="39"/>
  <c r="O158" i="39" s="1"/>
  <c r="L158" i="39"/>
  <c r="K158" i="39"/>
  <c r="H158" i="39"/>
  <c r="I158" i="39" s="1"/>
  <c r="E158" i="39"/>
  <c r="F158" i="39" s="1"/>
  <c r="N157" i="39"/>
  <c r="O157" i="39" s="1"/>
  <c r="L157" i="39"/>
  <c r="K157" i="39"/>
  <c r="H157" i="39"/>
  <c r="I157" i="39" s="1"/>
  <c r="E157" i="39"/>
  <c r="F157" i="39" s="1"/>
  <c r="N156" i="39"/>
  <c r="O156" i="39" s="1"/>
  <c r="K156" i="39"/>
  <c r="L156" i="39" s="1"/>
  <c r="I156" i="39"/>
  <c r="H156" i="39"/>
  <c r="E156" i="39"/>
  <c r="F156" i="39" s="1"/>
  <c r="N155" i="39"/>
  <c r="O155" i="39" s="1"/>
  <c r="K155" i="39"/>
  <c r="L155" i="39" s="1"/>
  <c r="H155" i="39"/>
  <c r="I155" i="39" s="1"/>
  <c r="E155" i="39"/>
  <c r="F155" i="39" s="1"/>
  <c r="O154" i="39"/>
  <c r="N154" i="39"/>
  <c r="K154" i="39"/>
  <c r="L154" i="39" s="1"/>
  <c r="H154" i="39"/>
  <c r="I154" i="39" s="1"/>
  <c r="E154" i="39"/>
  <c r="F154" i="39" s="1"/>
  <c r="N153" i="39"/>
  <c r="O153" i="39" s="1"/>
  <c r="K153" i="39"/>
  <c r="L153" i="39" s="1"/>
  <c r="H153" i="39"/>
  <c r="I153" i="39" s="1"/>
  <c r="E153" i="39"/>
  <c r="F153" i="39" s="1"/>
  <c r="O152" i="39"/>
  <c r="N152" i="39"/>
  <c r="K152" i="39"/>
  <c r="K172" i="39" s="1"/>
  <c r="I152" i="39"/>
  <c r="H152" i="39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K141" i="39"/>
  <c r="L141" i="39" s="1"/>
  <c r="H141" i="39"/>
  <c r="I141" i="39" s="1"/>
  <c r="E141" i="39"/>
  <c r="F141" i="39" s="1"/>
  <c r="O140" i="39"/>
  <c r="N140" i="39"/>
  <c r="L140" i="39"/>
  <c r="K140" i="39"/>
  <c r="I140" i="39"/>
  <c r="H140" i="39"/>
  <c r="E140" i="39"/>
  <c r="F140" i="39" s="1"/>
  <c r="O139" i="39"/>
  <c r="N139" i="39"/>
  <c r="K139" i="39"/>
  <c r="L139" i="39" s="1"/>
  <c r="H139" i="39"/>
  <c r="I139" i="39" s="1"/>
  <c r="E139" i="39"/>
  <c r="F139" i="39" s="1"/>
  <c r="O138" i="39"/>
  <c r="N138" i="39"/>
  <c r="L138" i="39"/>
  <c r="K138" i="39"/>
  <c r="I138" i="39"/>
  <c r="H138" i="39"/>
  <c r="E138" i="39"/>
  <c r="F138" i="39" s="1"/>
  <c r="O137" i="39"/>
  <c r="N137" i="39"/>
  <c r="L137" i="39"/>
  <c r="K137" i="39"/>
  <c r="H137" i="39"/>
  <c r="I137" i="39" s="1"/>
  <c r="E137" i="39"/>
  <c r="F137" i="39" s="1"/>
  <c r="O136" i="39"/>
  <c r="N136" i="39"/>
  <c r="L136" i="39"/>
  <c r="K136" i="39"/>
  <c r="I136" i="39"/>
  <c r="H136" i="39"/>
  <c r="E136" i="39"/>
  <c r="F136" i="39" s="1"/>
  <c r="O135" i="39"/>
  <c r="N135" i="39"/>
  <c r="L135" i="39"/>
  <c r="K135" i="39"/>
  <c r="H135" i="39"/>
  <c r="I135" i="39" s="1"/>
  <c r="E135" i="39"/>
  <c r="F135" i="39" s="1"/>
  <c r="N134" i="39"/>
  <c r="O134" i="39" s="1"/>
  <c r="K134" i="39"/>
  <c r="L134" i="39" s="1"/>
  <c r="I134" i="39"/>
  <c r="H134" i="39"/>
  <c r="E134" i="39"/>
  <c r="F134" i="39" s="1"/>
  <c r="O133" i="39"/>
  <c r="N133" i="39"/>
  <c r="K133" i="39"/>
  <c r="L133" i="39" s="1"/>
  <c r="H133" i="39"/>
  <c r="I133" i="39" s="1"/>
  <c r="E133" i="39"/>
  <c r="F133" i="39" s="1"/>
  <c r="O132" i="39"/>
  <c r="N132" i="39"/>
  <c r="L132" i="39"/>
  <c r="K132" i="39"/>
  <c r="I132" i="39"/>
  <c r="H132" i="39"/>
  <c r="E132" i="39"/>
  <c r="F132" i="39" s="1"/>
  <c r="O131" i="39"/>
  <c r="N131" i="39"/>
  <c r="K131" i="39"/>
  <c r="L131" i="39" s="1"/>
  <c r="H131" i="39"/>
  <c r="I131" i="39" s="1"/>
  <c r="E131" i="39"/>
  <c r="F131" i="39" s="1"/>
  <c r="O130" i="39"/>
  <c r="N130" i="39"/>
  <c r="L130" i="39"/>
  <c r="K130" i="39"/>
  <c r="I130" i="39"/>
  <c r="H130" i="39"/>
  <c r="E130" i="39"/>
  <c r="F130" i="39" s="1"/>
  <c r="O129" i="39"/>
  <c r="N129" i="39"/>
  <c r="L129" i="39"/>
  <c r="K129" i="39"/>
  <c r="H129" i="39"/>
  <c r="I129" i="39" s="1"/>
  <c r="E129" i="39"/>
  <c r="F129" i="39" s="1"/>
  <c r="N128" i="39"/>
  <c r="O128" i="39" s="1"/>
  <c r="K128" i="39"/>
  <c r="L128" i="39" s="1"/>
  <c r="I128" i="39"/>
  <c r="H128" i="39"/>
  <c r="E128" i="39"/>
  <c r="F128" i="39" s="1"/>
  <c r="O127" i="39"/>
  <c r="N127" i="39"/>
  <c r="L127" i="39"/>
  <c r="K127" i="39"/>
  <c r="H127" i="39"/>
  <c r="I127" i="39" s="1"/>
  <c r="E127" i="39"/>
  <c r="F127" i="39" s="1"/>
  <c r="N126" i="39"/>
  <c r="O126" i="39" s="1"/>
  <c r="K126" i="39"/>
  <c r="L126" i="39" s="1"/>
  <c r="I126" i="39"/>
  <c r="H126" i="39"/>
  <c r="E126" i="39"/>
  <c r="F126" i="39" s="1"/>
  <c r="O125" i="39"/>
  <c r="N125" i="39"/>
  <c r="K125" i="39"/>
  <c r="H125" i="39"/>
  <c r="H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H117" i="39"/>
  <c r="I117" i="39" s="1"/>
  <c r="F117" i="39"/>
  <c r="E117" i="39"/>
  <c r="O116" i="39"/>
  <c r="N116" i="39"/>
  <c r="K116" i="39"/>
  <c r="L116" i="39" s="1"/>
  <c r="H116" i="39"/>
  <c r="I116" i="39" s="1"/>
  <c r="F116" i="39"/>
  <c r="E116" i="39"/>
  <c r="N115" i="39"/>
  <c r="O115" i="39" s="1"/>
  <c r="K115" i="39"/>
  <c r="L115" i="39" s="1"/>
  <c r="H115" i="39"/>
  <c r="I115" i="39" s="1"/>
  <c r="F115" i="39"/>
  <c r="E115" i="39"/>
  <c r="O114" i="39"/>
  <c r="N114" i="39"/>
  <c r="K114" i="39"/>
  <c r="L114" i="39" s="1"/>
  <c r="H114" i="39"/>
  <c r="I114" i="39" s="1"/>
  <c r="F114" i="39"/>
  <c r="E114" i="39"/>
  <c r="N113" i="39"/>
  <c r="O113" i="39" s="1"/>
  <c r="L113" i="39"/>
  <c r="K113" i="39"/>
  <c r="H113" i="39"/>
  <c r="I113" i="39" s="1"/>
  <c r="F113" i="39"/>
  <c r="E113" i="39"/>
  <c r="N112" i="39"/>
  <c r="O112" i="39" s="1"/>
  <c r="K112" i="39"/>
  <c r="L112" i="39" s="1"/>
  <c r="H112" i="39"/>
  <c r="I112" i="39" s="1"/>
  <c r="F112" i="39"/>
  <c r="E112" i="39"/>
  <c r="O111" i="39"/>
  <c r="N111" i="39"/>
  <c r="K111" i="39"/>
  <c r="L111" i="39" s="1"/>
  <c r="H111" i="39"/>
  <c r="I111" i="39" s="1"/>
  <c r="F111" i="39"/>
  <c r="E111" i="39"/>
  <c r="N110" i="39"/>
  <c r="O110" i="39" s="1"/>
  <c r="K110" i="39"/>
  <c r="L110" i="39" s="1"/>
  <c r="H110" i="39"/>
  <c r="I110" i="39" s="1"/>
  <c r="F110" i="39"/>
  <c r="E110" i="39"/>
  <c r="O109" i="39"/>
  <c r="N109" i="39"/>
  <c r="L109" i="39"/>
  <c r="K109" i="39"/>
  <c r="H109" i="39"/>
  <c r="I109" i="39" s="1"/>
  <c r="F109" i="39"/>
  <c r="E109" i="39"/>
  <c r="N108" i="39"/>
  <c r="O108" i="39" s="1"/>
  <c r="K108" i="39"/>
  <c r="L108" i="39" s="1"/>
  <c r="H108" i="39"/>
  <c r="I108" i="39" s="1"/>
  <c r="F108" i="39"/>
  <c r="E108" i="39"/>
  <c r="O107" i="39"/>
  <c r="N107" i="39"/>
  <c r="K107" i="39"/>
  <c r="L107" i="39" s="1"/>
  <c r="H107" i="39"/>
  <c r="I107" i="39" s="1"/>
  <c r="F107" i="39"/>
  <c r="E107" i="39"/>
  <c r="N106" i="39"/>
  <c r="O106" i="39" s="1"/>
  <c r="K106" i="39"/>
  <c r="L106" i="39" s="1"/>
  <c r="H106" i="39"/>
  <c r="I106" i="39" s="1"/>
  <c r="F106" i="39"/>
  <c r="E106" i="39"/>
  <c r="O105" i="39"/>
  <c r="N105" i="39"/>
  <c r="L105" i="39"/>
  <c r="K105" i="39"/>
  <c r="H105" i="39"/>
  <c r="I105" i="39" s="1"/>
  <c r="F105" i="39"/>
  <c r="E105" i="39"/>
  <c r="O104" i="39"/>
  <c r="N104" i="39"/>
  <c r="K104" i="39"/>
  <c r="L104" i="39" s="1"/>
  <c r="H104" i="39"/>
  <c r="I104" i="39" s="1"/>
  <c r="F104" i="39"/>
  <c r="E104" i="39"/>
  <c r="N103" i="39"/>
  <c r="O103" i="39" s="1"/>
  <c r="K103" i="39"/>
  <c r="L103" i="39" s="1"/>
  <c r="H103" i="39"/>
  <c r="I103" i="39" s="1"/>
  <c r="F103" i="39"/>
  <c r="E103" i="39"/>
  <c r="O102" i="39"/>
  <c r="N102" i="39"/>
  <c r="K102" i="39"/>
  <c r="L102" i="39" s="1"/>
  <c r="H102" i="39"/>
  <c r="I102" i="39" s="1"/>
  <c r="F102" i="39"/>
  <c r="E102" i="39"/>
  <c r="N101" i="39"/>
  <c r="O101" i="39" s="1"/>
  <c r="L101" i="39"/>
  <c r="K101" i="39"/>
  <c r="H101" i="39"/>
  <c r="I101" i="39" s="1"/>
  <c r="F101" i="39"/>
  <c r="E101" i="39"/>
  <c r="O100" i="39"/>
  <c r="N100" i="39"/>
  <c r="K100" i="39"/>
  <c r="L100" i="39" s="1"/>
  <c r="H100" i="39"/>
  <c r="I100" i="39" s="1"/>
  <c r="F100" i="39"/>
  <c r="E100" i="39"/>
  <c r="N99" i="39"/>
  <c r="O99" i="39" s="1"/>
  <c r="K99" i="39"/>
  <c r="L99" i="39" s="1"/>
  <c r="H99" i="39"/>
  <c r="I99" i="39" s="1"/>
  <c r="F99" i="39"/>
  <c r="E99" i="39"/>
  <c r="O98" i="39"/>
  <c r="N98" i="39"/>
  <c r="K98" i="39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O89" i="39"/>
  <c r="N89" i="39"/>
  <c r="K89" i="39"/>
  <c r="L89" i="39" s="1"/>
  <c r="I89" i="39"/>
  <c r="H89" i="39"/>
  <c r="E89" i="39"/>
  <c r="F89" i="39" s="1"/>
  <c r="N88" i="39"/>
  <c r="O88" i="39" s="1"/>
  <c r="L88" i="39"/>
  <c r="K88" i="39"/>
  <c r="H88" i="39"/>
  <c r="I88" i="39" s="1"/>
  <c r="E88" i="39"/>
  <c r="F88" i="39" s="1"/>
  <c r="O87" i="39"/>
  <c r="N87" i="39"/>
  <c r="K87" i="39"/>
  <c r="L87" i="39" s="1"/>
  <c r="I87" i="39"/>
  <c r="H87" i="39"/>
  <c r="E87" i="39"/>
  <c r="F87" i="39" s="1"/>
  <c r="N86" i="39"/>
  <c r="O86" i="39" s="1"/>
  <c r="K86" i="39"/>
  <c r="L86" i="39" s="1"/>
  <c r="H86" i="39"/>
  <c r="I86" i="39" s="1"/>
  <c r="E86" i="39"/>
  <c r="F86" i="39" s="1"/>
  <c r="O85" i="39"/>
  <c r="N85" i="39"/>
  <c r="L85" i="39"/>
  <c r="K85" i="39"/>
  <c r="I85" i="39"/>
  <c r="H85" i="39"/>
  <c r="E85" i="39"/>
  <c r="F85" i="39" s="1"/>
  <c r="N84" i="39"/>
  <c r="O84" i="39" s="1"/>
  <c r="K84" i="39"/>
  <c r="L84" i="39" s="1"/>
  <c r="H84" i="39"/>
  <c r="I84" i="39" s="1"/>
  <c r="E84" i="39"/>
  <c r="F84" i="39" s="1"/>
  <c r="O83" i="39"/>
  <c r="N83" i="39"/>
  <c r="L83" i="39"/>
  <c r="K83" i="39"/>
  <c r="I83" i="39"/>
  <c r="H83" i="39"/>
  <c r="E83" i="39"/>
  <c r="F83" i="39" s="1"/>
  <c r="N82" i="39"/>
  <c r="O82" i="39" s="1"/>
  <c r="L82" i="39"/>
  <c r="K82" i="39"/>
  <c r="H82" i="39"/>
  <c r="I82" i="39" s="1"/>
  <c r="E82" i="39"/>
  <c r="F82" i="39" s="1"/>
  <c r="O81" i="39"/>
  <c r="N81" i="39"/>
  <c r="K81" i="39"/>
  <c r="L81" i="39" s="1"/>
  <c r="I81" i="39"/>
  <c r="H81" i="39"/>
  <c r="E81" i="39"/>
  <c r="F81" i="39" s="1"/>
  <c r="N80" i="39"/>
  <c r="O80" i="39" s="1"/>
  <c r="L80" i="39"/>
  <c r="K80" i="39"/>
  <c r="H80" i="39"/>
  <c r="I80" i="39" s="1"/>
  <c r="E80" i="39"/>
  <c r="F80" i="39" s="1"/>
  <c r="O79" i="39"/>
  <c r="N79" i="39"/>
  <c r="K79" i="39"/>
  <c r="L79" i="39" s="1"/>
  <c r="I79" i="39"/>
  <c r="H79" i="39"/>
  <c r="E79" i="39"/>
  <c r="F79" i="39" s="1"/>
  <c r="N78" i="39"/>
  <c r="O78" i="39" s="1"/>
  <c r="K78" i="39"/>
  <c r="L78" i="39" s="1"/>
  <c r="H78" i="39"/>
  <c r="I78" i="39" s="1"/>
  <c r="E78" i="39"/>
  <c r="F78" i="39" s="1"/>
  <c r="O77" i="39"/>
  <c r="N77" i="39"/>
  <c r="L77" i="39"/>
  <c r="K77" i="39"/>
  <c r="I77" i="39"/>
  <c r="H77" i="39"/>
  <c r="E77" i="39"/>
  <c r="F77" i="39" s="1"/>
  <c r="N76" i="39"/>
  <c r="O76" i="39" s="1"/>
  <c r="K76" i="39"/>
  <c r="L76" i="39" s="1"/>
  <c r="H76" i="39"/>
  <c r="I76" i="39" s="1"/>
  <c r="E76" i="39"/>
  <c r="F76" i="39" s="1"/>
  <c r="O75" i="39"/>
  <c r="N75" i="39"/>
  <c r="L75" i="39"/>
  <c r="K75" i="39"/>
  <c r="I75" i="39"/>
  <c r="H75" i="39"/>
  <c r="E75" i="39"/>
  <c r="F75" i="39" s="1"/>
  <c r="N74" i="39"/>
  <c r="O74" i="39" s="1"/>
  <c r="L74" i="39"/>
  <c r="K74" i="39"/>
  <c r="H74" i="39"/>
  <c r="I74" i="39" s="1"/>
  <c r="E74" i="39"/>
  <c r="F74" i="39" s="1"/>
  <c r="O73" i="39"/>
  <c r="N73" i="39"/>
  <c r="K73" i="39"/>
  <c r="L73" i="39" s="1"/>
  <c r="I73" i="39"/>
  <c r="H73" i="39"/>
  <c r="E73" i="39"/>
  <c r="F73" i="39" s="1"/>
  <c r="N72" i="39"/>
  <c r="O72" i="39" s="1"/>
  <c r="L72" i="39"/>
  <c r="K72" i="39"/>
  <c r="H72" i="39"/>
  <c r="I72" i="39" s="1"/>
  <c r="E72" i="39"/>
  <c r="F72" i="39" s="1"/>
  <c r="O71" i="39"/>
  <c r="N71" i="39"/>
  <c r="K71" i="39"/>
  <c r="K91" i="39" s="1"/>
  <c r="I71" i="39"/>
  <c r="H71" i="39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L63" i="39"/>
  <c r="K63" i="39"/>
  <c r="I63" i="39"/>
  <c r="H63" i="39"/>
  <c r="F63" i="39"/>
  <c r="E63" i="39"/>
  <c r="O62" i="39"/>
  <c r="N62" i="39"/>
  <c r="L62" i="39"/>
  <c r="K62" i="39"/>
  <c r="I62" i="39"/>
  <c r="H62" i="39"/>
  <c r="F62" i="39"/>
  <c r="E62" i="39"/>
  <c r="O61" i="39"/>
  <c r="N61" i="39"/>
  <c r="L61" i="39"/>
  <c r="K61" i="39"/>
  <c r="I61" i="39"/>
  <c r="H61" i="39"/>
  <c r="F61" i="39"/>
  <c r="E61" i="39"/>
  <c r="N60" i="39"/>
  <c r="O60" i="39" s="1"/>
  <c r="K60" i="39"/>
  <c r="L60" i="39" s="1"/>
  <c r="H60" i="39"/>
  <c r="I60" i="39" s="1"/>
  <c r="E60" i="39"/>
  <c r="F60" i="39" s="1"/>
  <c r="O59" i="39"/>
  <c r="N59" i="39"/>
  <c r="L59" i="39"/>
  <c r="K59" i="39"/>
  <c r="I59" i="39"/>
  <c r="H59" i="39"/>
  <c r="E59" i="39"/>
  <c r="F59" i="39" s="1"/>
  <c r="N58" i="39"/>
  <c r="O58" i="39" s="1"/>
  <c r="K58" i="39"/>
  <c r="L58" i="39" s="1"/>
  <c r="H58" i="39"/>
  <c r="I58" i="39" s="1"/>
  <c r="E58" i="39"/>
  <c r="F58" i="39" s="1"/>
  <c r="O57" i="39"/>
  <c r="N57" i="39"/>
  <c r="K57" i="39"/>
  <c r="L57" i="39" s="1"/>
  <c r="I57" i="39"/>
  <c r="H57" i="39"/>
  <c r="E57" i="39"/>
  <c r="F57" i="39" s="1"/>
  <c r="N56" i="39"/>
  <c r="O56" i="39" s="1"/>
  <c r="L56" i="39"/>
  <c r="K56" i="39"/>
  <c r="H56" i="39"/>
  <c r="I56" i="39" s="1"/>
  <c r="E56" i="39"/>
  <c r="F56" i="39" s="1"/>
  <c r="O55" i="39"/>
  <c r="N55" i="39"/>
  <c r="K55" i="39"/>
  <c r="L55" i="39" s="1"/>
  <c r="I55" i="39"/>
  <c r="H55" i="39"/>
  <c r="E55" i="39"/>
  <c r="F55" i="39" s="1"/>
  <c r="N54" i="39"/>
  <c r="O54" i="39" s="1"/>
  <c r="K54" i="39"/>
  <c r="L54" i="39" s="1"/>
  <c r="H54" i="39"/>
  <c r="I54" i="39" s="1"/>
  <c r="E54" i="39"/>
  <c r="F54" i="39" s="1"/>
  <c r="N53" i="39"/>
  <c r="O53" i="39" s="1"/>
  <c r="K53" i="39"/>
  <c r="L53" i="39" s="1"/>
  <c r="I53" i="39"/>
  <c r="H53" i="39"/>
  <c r="E53" i="39"/>
  <c r="F53" i="39" s="1"/>
  <c r="N52" i="39"/>
  <c r="O52" i="39" s="1"/>
  <c r="K52" i="39"/>
  <c r="L52" i="39" s="1"/>
  <c r="H52" i="39"/>
  <c r="I52" i="39" s="1"/>
  <c r="E52" i="39"/>
  <c r="F52" i="39" s="1"/>
  <c r="N51" i="39"/>
  <c r="O51" i="39" s="1"/>
  <c r="L51" i="39"/>
  <c r="K51" i="39"/>
  <c r="I51" i="39"/>
  <c r="H51" i="39"/>
  <c r="E51" i="39"/>
  <c r="F51" i="39" s="1"/>
  <c r="N50" i="39"/>
  <c r="O50" i="39" s="1"/>
  <c r="K50" i="39"/>
  <c r="L50" i="39" s="1"/>
  <c r="H50" i="39"/>
  <c r="I50" i="39" s="1"/>
  <c r="E50" i="39"/>
  <c r="F50" i="39" s="1"/>
  <c r="N49" i="39"/>
  <c r="O49" i="39" s="1"/>
  <c r="K49" i="39"/>
  <c r="L49" i="39" s="1"/>
  <c r="I49" i="39"/>
  <c r="H49" i="39"/>
  <c r="E49" i="39"/>
  <c r="F49" i="39" s="1"/>
  <c r="O48" i="39"/>
  <c r="N48" i="39"/>
  <c r="L48" i="39"/>
  <c r="K48" i="39"/>
  <c r="H48" i="39"/>
  <c r="I48" i="39" s="1"/>
  <c r="E48" i="39"/>
  <c r="F48" i="39" s="1"/>
  <c r="N47" i="39"/>
  <c r="O47" i="39" s="1"/>
  <c r="K47" i="39"/>
  <c r="L47" i="39" s="1"/>
  <c r="I47" i="39"/>
  <c r="H47" i="39"/>
  <c r="E47" i="39"/>
  <c r="F47" i="39" s="1"/>
  <c r="O46" i="39"/>
  <c r="N46" i="39"/>
  <c r="K46" i="39"/>
  <c r="L46" i="39" s="1"/>
  <c r="H46" i="39"/>
  <c r="I46" i="39" s="1"/>
  <c r="E46" i="39"/>
  <c r="F46" i="39" s="1"/>
  <c r="N45" i="39"/>
  <c r="O45" i="39" s="1"/>
  <c r="K45" i="39"/>
  <c r="L45" i="39" s="1"/>
  <c r="I45" i="39"/>
  <c r="H45" i="39"/>
  <c r="E45" i="39"/>
  <c r="F45" i="39" s="1"/>
  <c r="N44" i="39"/>
  <c r="N64" i="39" s="1"/>
  <c r="K44" i="39"/>
  <c r="H44" i="39"/>
  <c r="H64" i="39" s="1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H198" i="38"/>
  <c r="I198" i="38" s="1"/>
  <c r="F198" i="38"/>
  <c r="E198" i="38"/>
  <c r="N197" i="38"/>
  <c r="O197" i="38" s="1"/>
  <c r="K197" i="38"/>
  <c r="L197" i="38" s="1"/>
  <c r="H197" i="38"/>
  <c r="I197" i="38" s="1"/>
  <c r="F197" i="38"/>
  <c r="E197" i="38"/>
  <c r="O196" i="38"/>
  <c r="N196" i="38"/>
  <c r="K196" i="38"/>
  <c r="L196" i="38" s="1"/>
  <c r="H196" i="38"/>
  <c r="I196" i="38" s="1"/>
  <c r="F196" i="38"/>
  <c r="E196" i="38"/>
  <c r="N195" i="38"/>
  <c r="O195" i="38" s="1"/>
  <c r="L195" i="38"/>
  <c r="K195" i="38"/>
  <c r="H195" i="38"/>
  <c r="I195" i="38" s="1"/>
  <c r="F195" i="38"/>
  <c r="E195" i="38"/>
  <c r="O194" i="38"/>
  <c r="N194" i="38"/>
  <c r="L194" i="38"/>
  <c r="K194" i="38"/>
  <c r="H194" i="38"/>
  <c r="I194" i="38" s="1"/>
  <c r="F194" i="38"/>
  <c r="E194" i="38"/>
  <c r="O193" i="38"/>
  <c r="N193" i="38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O191" i="38"/>
  <c r="N191" i="38"/>
  <c r="L191" i="38"/>
  <c r="K191" i="38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O188" i="38"/>
  <c r="N188" i="38"/>
  <c r="K188" i="38"/>
  <c r="L188" i="38" s="1"/>
  <c r="H188" i="38"/>
  <c r="I188" i="38" s="1"/>
  <c r="F188" i="38"/>
  <c r="E188" i="38"/>
  <c r="N187" i="38"/>
  <c r="O187" i="38" s="1"/>
  <c r="K187" i="38"/>
  <c r="L187" i="38" s="1"/>
  <c r="H187" i="38"/>
  <c r="I187" i="38" s="1"/>
  <c r="F187" i="38"/>
  <c r="E187" i="38"/>
  <c r="O186" i="38"/>
  <c r="N186" i="38"/>
  <c r="L186" i="38"/>
  <c r="K186" i="38"/>
  <c r="H186" i="38"/>
  <c r="I186" i="38" s="1"/>
  <c r="F186" i="38"/>
  <c r="E186" i="38"/>
  <c r="N185" i="38"/>
  <c r="O185" i="38" s="1"/>
  <c r="K185" i="38"/>
  <c r="L185" i="38" s="1"/>
  <c r="H185" i="38"/>
  <c r="I185" i="38" s="1"/>
  <c r="F185" i="38"/>
  <c r="E185" i="38"/>
  <c r="O184" i="38"/>
  <c r="N184" i="38"/>
  <c r="K184" i="38"/>
  <c r="L184" i="38" s="1"/>
  <c r="H184" i="38"/>
  <c r="I184" i="38" s="1"/>
  <c r="F184" i="38"/>
  <c r="E184" i="38"/>
  <c r="N183" i="38"/>
  <c r="O183" i="38" s="1"/>
  <c r="L183" i="38"/>
  <c r="K183" i="38"/>
  <c r="H183" i="38"/>
  <c r="I183" i="38" s="1"/>
  <c r="F183" i="38"/>
  <c r="E183" i="38"/>
  <c r="N182" i="38"/>
  <c r="O182" i="38" s="1"/>
  <c r="L182" i="38"/>
  <c r="K182" i="38"/>
  <c r="H182" i="38"/>
  <c r="I182" i="38" s="1"/>
  <c r="F182" i="38"/>
  <c r="E182" i="38"/>
  <c r="O181" i="38"/>
  <c r="N181" i="38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O179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O170" i="38"/>
  <c r="N170" i="38"/>
  <c r="K170" i="38"/>
  <c r="L170" i="38" s="1"/>
  <c r="H170" i="38"/>
  <c r="I170" i="38" s="1"/>
  <c r="F170" i="38"/>
  <c r="E170" i="38"/>
  <c r="O169" i="38"/>
  <c r="N169" i="38"/>
  <c r="K169" i="38"/>
  <c r="L169" i="38" s="1"/>
  <c r="H169" i="38"/>
  <c r="I169" i="38" s="1"/>
  <c r="F169" i="38"/>
  <c r="E169" i="38"/>
  <c r="O168" i="38"/>
  <c r="N168" i="38"/>
  <c r="K168" i="38"/>
  <c r="L168" i="38" s="1"/>
  <c r="H168" i="38"/>
  <c r="I168" i="38" s="1"/>
  <c r="F168" i="38"/>
  <c r="E168" i="38"/>
  <c r="O167" i="38"/>
  <c r="N167" i="38"/>
  <c r="L167" i="38"/>
  <c r="K167" i="38"/>
  <c r="H167" i="38"/>
  <c r="I167" i="38" s="1"/>
  <c r="F167" i="38"/>
  <c r="E167" i="38"/>
  <c r="N166" i="38"/>
  <c r="O166" i="38" s="1"/>
  <c r="K166" i="38"/>
  <c r="L166" i="38" s="1"/>
  <c r="H166" i="38"/>
  <c r="I166" i="38" s="1"/>
  <c r="F166" i="38"/>
  <c r="E166" i="38"/>
  <c r="N165" i="38"/>
  <c r="O165" i="38" s="1"/>
  <c r="K165" i="38"/>
  <c r="L165" i="38" s="1"/>
  <c r="H165" i="38"/>
  <c r="I165" i="38" s="1"/>
  <c r="F165" i="38"/>
  <c r="E165" i="38"/>
  <c r="N164" i="38"/>
  <c r="O164" i="38" s="1"/>
  <c r="K164" i="38"/>
  <c r="L164" i="38" s="1"/>
  <c r="H164" i="38"/>
  <c r="I164" i="38" s="1"/>
  <c r="F164" i="38"/>
  <c r="E164" i="38"/>
  <c r="N163" i="38"/>
  <c r="O163" i="38" s="1"/>
  <c r="L163" i="38"/>
  <c r="K163" i="38"/>
  <c r="H163" i="38"/>
  <c r="I163" i="38" s="1"/>
  <c r="F163" i="38"/>
  <c r="E163" i="38"/>
  <c r="O162" i="38"/>
  <c r="N162" i="38"/>
  <c r="K162" i="38"/>
  <c r="L162" i="38" s="1"/>
  <c r="H162" i="38"/>
  <c r="I162" i="38" s="1"/>
  <c r="F162" i="38"/>
  <c r="E162" i="38"/>
  <c r="O161" i="38"/>
  <c r="N161" i="38"/>
  <c r="K161" i="38"/>
  <c r="L161" i="38" s="1"/>
  <c r="H161" i="38"/>
  <c r="I161" i="38" s="1"/>
  <c r="F161" i="38"/>
  <c r="E161" i="38"/>
  <c r="O160" i="38"/>
  <c r="N160" i="38"/>
  <c r="K160" i="38"/>
  <c r="L160" i="38" s="1"/>
  <c r="H160" i="38"/>
  <c r="I160" i="38" s="1"/>
  <c r="F160" i="38"/>
  <c r="E160" i="38"/>
  <c r="O159" i="38"/>
  <c r="N159" i="38"/>
  <c r="L159" i="38"/>
  <c r="K159" i="38"/>
  <c r="H159" i="38"/>
  <c r="I159" i="38" s="1"/>
  <c r="F159" i="38"/>
  <c r="E159" i="38"/>
  <c r="N158" i="38"/>
  <c r="O158" i="38" s="1"/>
  <c r="K158" i="38"/>
  <c r="L158" i="38" s="1"/>
  <c r="H158" i="38"/>
  <c r="I158" i="38" s="1"/>
  <c r="F158" i="38"/>
  <c r="E158" i="38"/>
  <c r="N157" i="38"/>
  <c r="O157" i="38" s="1"/>
  <c r="K157" i="38"/>
  <c r="L157" i="38" s="1"/>
  <c r="H157" i="38"/>
  <c r="I157" i="38" s="1"/>
  <c r="F157" i="38"/>
  <c r="E157" i="38"/>
  <c r="N156" i="38"/>
  <c r="O156" i="38" s="1"/>
  <c r="K156" i="38"/>
  <c r="L156" i="38" s="1"/>
  <c r="H156" i="38"/>
  <c r="I156" i="38" s="1"/>
  <c r="F156" i="38"/>
  <c r="E156" i="38"/>
  <c r="N155" i="38"/>
  <c r="O155" i="38" s="1"/>
  <c r="L155" i="38"/>
  <c r="K155" i="38"/>
  <c r="H155" i="38"/>
  <c r="I155" i="38" s="1"/>
  <c r="F155" i="38"/>
  <c r="E155" i="38"/>
  <c r="O154" i="38"/>
  <c r="N154" i="38"/>
  <c r="K154" i="38"/>
  <c r="L154" i="38" s="1"/>
  <c r="H154" i="38"/>
  <c r="I154" i="38" s="1"/>
  <c r="F154" i="38"/>
  <c r="E154" i="38"/>
  <c r="O153" i="38"/>
  <c r="N153" i="38"/>
  <c r="K153" i="38"/>
  <c r="L153" i="38" s="1"/>
  <c r="H153" i="38"/>
  <c r="I153" i="38" s="1"/>
  <c r="F153" i="38"/>
  <c r="E153" i="38"/>
  <c r="O152" i="38"/>
  <c r="N152" i="38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I144" i="38"/>
  <c r="H144" i="38"/>
  <c r="F144" i="38"/>
  <c r="E144" i="38"/>
  <c r="O143" i="38"/>
  <c r="N143" i="38"/>
  <c r="L143" i="38"/>
  <c r="K143" i="38"/>
  <c r="I143" i="38"/>
  <c r="H143" i="38"/>
  <c r="F143" i="38"/>
  <c r="E143" i="38"/>
  <c r="O142" i="38"/>
  <c r="N142" i="38"/>
  <c r="L142" i="38"/>
  <c r="K142" i="38"/>
  <c r="I142" i="38"/>
  <c r="H142" i="38"/>
  <c r="F142" i="38"/>
  <c r="E142" i="38"/>
  <c r="O141" i="38"/>
  <c r="N141" i="38"/>
  <c r="L141" i="38"/>
  <c r="K141" i="38"/>
  <c r="I141" i="38"/>
  <c r="H141" i="38"/>
  <c r="F141" i="38"/>
  <c r="E141" i="38"/>
  <c r="O140" i="38"/>
  <c r="N140" i="38"/>
  <c r="L140" i="38"/>
  <c r="K140" i="38"/>
  <c r="I140" i="38"/>
  <c r="H140" i="38"/>
  <c r="F140" i="38"/>
  <c r="E140" i="38"/>
  <c r="O139" i="38"/>
  <c r="N139" i="38"/>
  <c r="L139" i="38"/>
  <c r="K139" i="38"/>
  <c r="I139" i="38"/>
  <c r="H139" i="38"/>
  <c r="F139" i="38"/>
  <c r="E139" i="38"/>
  <c r="O138" i="38"/>
  <c r="N138" i="38"/>
  <c r="L138" i="38"/>
  <c r="K138" i="38"/>
  <c r="I138" i="38"/>
  <c r="H138" i="38"/>
  <c r="F138" i="38"/>
  <c r="E138" i="38"/>
  <c r="O137" i="38"/>
  <c r="N137" i="38"/>
  <c r="L137" i="38"/>
  <c r="K137" i="38"/>
  <c r="I137" i="38"/>
  <c r="H137" i="38"/>
  <c r="F137" i="38"/>
  <c r="E137" i="38"/>
  <c r="O136" i="38"/>
  <c r="N136" i="38"/>
  <c r="L136" i="38"/>
  <c r="K136" i="38"/>
  <c r="I136" i="38"/>
  <c r="H136" i="38"/>
  <c r="F136" i="38"/>
  <c r="E136" i="38"/>
  <c r="O135" i="38"/>
  <c r="N135" i="38"/>
  <c r="L135" i="38"/>
  <c r="K135" i="38"/>
  <c r="I135" i="38"/>
  <c r="H135" i="38"/>
  <c r="F135" i="38"/>
  <c r="E135" i="38"/>
  <c r="O134" i="38"/>
  <c r="N134" i="38"/>
  <c r="L134" i="38"/>
  <c r="K134" i="38"/>
  <c r="I134" i="38"/>
  <c r="H134" i="38"/>
  <c r="F134" i="38"/>
  <c r="E134" i="38"/>
  <c r="O133" i="38"/>
  <c r="N133" i="38"/>
  <c r="L133" i="38"/>
  <c r="K133" i="38"/>
  <c r="I133" i="38"/>
  <c r="H133" i="38"/>
  <c r="F133" i="38"/>
  <c r="E133" i="38"/>
  <c r="O132" i="38"/>
  <c r="N132" i="38"/>
  <c r="L132" i="38"/>
  <c r="K132" i="38"/>
  <c r="I132" i="38"/>
  <c r="H132" i="38"/>
  <c r="F132" i="38"/>
  <c r="E132" i="38"/>
  <c r="O131" i="38"/>
  <c r="N131" i="38"/>
  <c r="L131" i="38"/>
  <c r="K131" i="38"/>
  <c r="I131" i="38"/>
  <c r="H131" i="38"/>
  <c r="F131" i="38"/>
  <c r="E131" i="38"/>
  <c r="O130" i="38"/>
  <c r="N130" i="38"/>
  <c r="L130" i="38"/>
  <c r="K130" i="38"/>
  <c r="I130" i="38"/>
  <c r="H130" i="38"/>
  <c r="F130" i="38"/>
  <c r="E130" i="38"/>
  <c r="O129" i="38"/>
  <c r="N129" i="38"/>
  <c r="L129" i="38"/>
  <c r="K129" i="38"/>
  <c r="I129" i="38"/>
  <c r="H129" i="38"/>
  <c r="F129" i="38"/>
  <c r="E129" i="38"/>
  <c r="O128" i="38"/>
  <c r="N128" i="38"/>
  <c r="L128" i="38"/>
  <c r="K128" i="38"/>
  <c r="I128" i="38"/>
  <c r="H128" i="38"/>
  <c r="F128" i="38"/>
  <c r="E128" i="38"/>
  <c r="O127" i="38"/>
  <c r="N127" i="38"/>
  <c r="L127" i="38"/>
  <c r="K127" i="38"/>
  <c r="I127" i="38"/>
  <c r="H127" i="38"/>
  <c r="F127" i="38"/>
  <c r="E127" i="38"/>
  <c r="O126" i="38"/>
  <c r="N126" i="38"/>
  <c r="L126" i="38"/>
  <c r="K126" i="38"/>
  <c r="I126" i="38"/>
  <c r="H126" i="38"/>
  <c r="F126" i="38"/>
  <c r="E126" i="38"/>
  <c r="O125" i="38"/>
  <c r="O145" i="38" s="1"/>
  <c r="N125" i="38"/>
  <c r="N145" i="38" s="1"/>
  <c r="L125" i="38"/>
  <c r="L145" i="38" s="1"/>
  <c r="K125" i="38"/>
  <c r="K145" i="38" s="1"/>
  <c r="I125" i="38"/>
  <c r="I145" i="38" s="1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O117" i="38"/>
  <c r="N117" i="38"/>
  <c r="L117" i="38"/>
  <c r="K117" i="38"/>
  <c r="H117" i="38"/>
  <c r="I117" i="38" s="1"/>
  <c r="E117" i="38"/>
  <c r="F117" i="38" s="1"/>
  <c r="N116" i="38"/>
  <c r="O116" i="38" s="1"/>
  <c r="K116" i="38"/>
  <c r="L116" i="38" s="1"/>
  <c r="H116" i="38"/>
  <c r="I116" i="38" s="1"/>
  <c r="E116" i="38"/>
  <c r="F116" i="38" s="1"/>
  <c r="N115" i="38"/>
  <c r="O115" i="38" s="1"/>
  <c r="L115" i="38"/>
  <c r="K115" i="38"/>
  <c r="H115" i="38"/>
  <c r="I115" i="38" s="1"/>
  <c r="E115" i="38"/>
  <c r="F115" i="38" s="1"/>
  <c r="N114" i="38"/>
  <c r="O114" i="38" s="1"/>
  <c r="K114" i="38"/>
  <c r="L114" i="38" s="1"/>
  <c r="I114" i="38"/>
  <c r="H114" i="38"/>
  <c r="E114" i="38"/>
  <c r="F114" i="38" s="1"/>
  <c r="N113" i="38"/>
  <c r="O113" i="38" s="1"/>
  <c r="K113" i="38"/>
  <c r="L113" i="38" s="1"/>
  <c r="H113" i="38"/>
  <c r="I113" i="38" s="1"/>
  <c r="E113" i="38"/>
  <c r="F113" i="38" s="1"/>
  <c r="O112" i="38"/>
  <c r="N112" i="38"/>
  <c r="L112" i="38"/>
  <c r="K112" i="38"/>
  <c r="H112" i="38"/>
  <c r="I112" i="38" s="1"/>
  <c r="E112" i="38"/>
  <c r="F112" i="38" s="1"/>
  <c r="N111" i="38"/>
  <c r="O111" i="38" s="1"/>
  <c r="K111" i="38"/>
  <c r="L111" i="38" s="1"/>
  <c r="H111" i="38"/>
  <c r="I111" i="38" s="1"/>
  <c r="E111" i="38"/>
  <c r="F111" i="38" s="1"/>
  <c r="N110" i="38"/>
  <c r="O110" i="38" s="1"/>
  <c r="L110" i="38"/>
  <c r="K110" i="38"/>
  <c r="I110" i="38"/>
  <c r="H110" i="38"/>
  <c r="E110" i="38"/>
  <c r="F110" i="38" s="1"/>
  <c r="N109" i="38"/>
  <c r="O109" i="38" s="1"/>
  <c r="K109" i="38"/>
  <c r="L109" i="38" s="1"/>
  <c r="H109" i="38"/>
  <c r="I109" i="38" s="1"/>
  <c r="E109" i="38"/>
  <c r="F109" i="38" s="1"/>
  <c r="N108" i="38"/>
  <c r="O108" i="38" s="1"/>
  <c r="L108" i="38"/>
  <c r="K108" i="38"/>
  <c r="H108" i="38"/>
  <c r="I108" i="38" s="1"/>
  <c r="E108" i="38"/>
  <c r="F108" i="38" s="1"/>
  <c r="N107" i="38"/>
  <c r="O107" i="38" s="1"/>
  <c r="K107" i="38"/>
  <c r="L107" i="38" s="1"/>
  <c r="H107" i="38"/>
  <c r="I107" i="38" s="1"/>
  <c r="E107" i="38"/>
  <c r="F107" i="38" s="1"/>
  <c r="N106" i="38"/>
  <c r="O106" i="38" s="1"/>
  <c r="L106" i="38"/>
  <c r="K106" i="38"/>
  <c r="I106" i="38"/>
  <c r="H106" i="38"/>
  <c r="E106" i="38"/>
  <c r="F106" i="38" s="1"/>
  <c r="N105" i="38"/>
  <c r="O105" i="38" s="1"/>
  <c r="L105" i="38"/>
  <c r="K105" i="38"/>
  <c r="H105" i="38"/>
  <c r="I105" i="38" s="1"/>
  <c r="E105" i="38"/>
  <c r="F105" i="38" s="1"/>
  <c r="N104" i="38"/>
  <c r="O104" i="38" s="1"/>
  <c r="K104" i="38"/>
  <c r="L104" i="38" s="1"/>
  <c r="H104" i="38"/>
  <c r="I104" i="38" s="1"/>
  <c r="E104" i="38"/>
  <c r="F104" i="38" s="1"/>
  <c r="O103" i="38"/>
  <c r="N103" i="38"/>
  <c r="L103" i="38"/>
  <c r="K103" i="38"/>
  <c r="H103" i="38"/>
  <c r="I103" i="38" s="1"/>
  <c r="E103" i="38"/>
  <c r="F103" i="38" s="1"/>
  <c r="N102" i="38"/>
  <c r="O102" i="38" s="1"/>
  <c r="K102" i="38"/>
  <c r="L102" i="38" s="1"/>
  <c r="I102" i="38"/>
  <c r="H102" i="38"/>
  <c r="E102" i="38"/>
  <c r="F102" i="38" s="1"/>
  <c r="O101" i="38"/>
  <c r="N101" i="38"/>
  <c r="L101" i="38"/>
  <c r="K101" i="38"/>
  <c r="H101" i="38"/>
  <c r="I101" i="38" s="1"/>
  <c r="E101" i="38"/>
  <c r="F101" i="38" s="1"/>
  <c r="N100" i="38"/>
  <c r="O100" i="38" s="1"/>
  <c r="K100" i="38"/>
  <c r="L100" i="38" s="1"/>
  <c r="H100" i="38"/>
  <c r="I100" i="38" s="1"/>
  <c r="E100" i="38"/>
  <c r="F100" i="38" s="1"/>
  <c r="N99" i="38"/>
  <c r="O99" i="38" s="1"/>
  <c r="L99" i="38"/>
  <c r="K99" i="38"/>
  <c r="H99" i="38"/>
  <c r="I99" i="38" s="1"/>
  <c r="E99" i="38"/>
  <c r="F99" i="38" s="1"/>
  <c r="N98" i="38"/>
  <c r="K98" i="38"/>
  <c r="K118" i="38" s="1"/>
  <c r="I98" i="38"/>
  <c r="H98" i="38"/>
  <c r="E98" i="38"/>
  <c r="E118" i="38" s="1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E90" i="38"/>
  <c r="F90" i="38" s="1"/>
  <c r="O89" i="38"/>
  <c r="N89" i="38"/>
  <c r="L89" i="38"/>
  <c r="K89" i="38"/>
  <c r="H89" i="38"/>
  <c r="I89" i="38" s="1"/>
  <c r="E89" i="38"/>
  <c r="F89" i="38" s="1"/>
  <c r="N88" i="38"/>
  <c r="O88" i="38" s="1"/>
  <c r="K88" i="38"/>
  <c r="L88" i="38" s="1"/>
  <c r="H88" i="38"/>
  <c r="I88" i="38" s="1"/>
  <c r="E88" i="38"/>
  <c r="F88" i="38" s="1"/>
  <c r="N87" i="38"/>
  <c r="O87" i="38" s="1"/>
  <c r="L87" i="38"/>
  <c r="K87" i="38"/>
  <c r="I87" i="38"/>
  <c r="H87" i="38"/>
  <c r="E87" i="38"/>
  <c r="F87" i="38" s="1"/>
  <c r="N86" i="38"/>
  <c r="O86" i="38" s="1"/>
  <c r="K86" i="38"/>
  <c r="L86" i="38" s="1"/>
  <c r="H86" i="38"/>
  <c r="I86" i="38" s="1"/>
  <c r="E86" i="38"/>
  <c r="F86" i="38" s="1"/>
  <c r="N85" i="38"/>
  <c r="O85" i="38" s="1"/>
  <c r="L85" i="38"/>
  <c r="K85" i="38"/>
  <c r="H85" i="38"/>
  <c r="I85" i="38" s="1"/>
  <c r="E85" i="38"/>
  <c r="F85" i="38" s="1"/>
  <c r="N84" i="38"/>
  <c r="O84" i="38" s="1"/>
  <c r="K84" i="38"/>
  <c r="L84" i="38" s="1"/>
  <c r="H84" i="38"/>
  <c r="I84" i="38" s="1"/>
  <c r="E84" i="38"/>
  <c r="F84" i="38" s="1"/>
  <c r="N83" i="38"/>
  <c r="O83" i="38" s="1"/>
  <c r="L83" i="38"/>
  <c r="K83" i="38"/>
  <c r="I83" i="38"/>
  <c r="H83" i="38"/>
  <c r="E83" i="38"/>
  <c r="F83" i="38" s="1"/>
  <c r="N82" i="38"/>
  <c r="O82" i="38" s="1"/>
  <c r="L82" i="38"/>
  <c r="K82" i="38"/>
  <c r="H82" i="38"/>
  <c r="I82" i="38" s="1"/>
  <c r="E82" i="38"/>
  <c r="F82" i="38" s="1"/>
  <c r="N81" i="38"/>
  <c r="O81" i="38" s="1"/>
  <c r="K81" i="38"/>
  <c r="L81" i="38" s="1"/>
  <c r="H81" i="38"/>
  <c r="I81" i="38" s="1"/>
  <c r="E81" i="38"/>
  <c r="F81" i="38" s="1"/>
  <c r="O80" i="38"/>
  <c r="N80" i="38"/>
  <c r="L80" i="38"/>
  <c r="K80" i="38"/>
  <c r="H80" i="38"/>
  <c r="I80" i="38" s="1"/>
  <c r="E80" i="38"/>
  <c r="F80" i="38" s="1"/>
  <c r="N79" i="38"/>
  <c r="O79" i="38" s="1"/>
  <c r="K79" i="38"/>
  <c r="L79" i="38" s="1"/>
  <c r="I79" i="38"/>
  <c r="H79" i="38"/>
  <c r="E79" i="38"/>
  <c r="F79" i="38" s="1"/>
  <c r="O78" i="38"/>
  <c r="N78" i="38"/>
  <c r="L78" i="38"/>
  <c r="K78" i="38"/>
  <c r="H78" i="38"/>
  <c r="I78" i="38" s="1"/>
  <c r="E78" i="38"/>
  <c r="F78" i="38" s="1"/>
  <c r="N77" i="38"/>
  <c r="O77" i="38" s="1"/>
  <c r="K77" i="38"/>
  <c r="L77" i="38" s="1"/>
  <c r="H77" i="38"/>
  <c r="I77" i="38" s="1"/>
  <c r="E77" i="38"/>
  <c r="F77" i="38" s="1"/>
  <c r="N76" i="38"/>
  <c r="O76" i="38" s="1"/>
  <c r="L76" i="38"/>
  <c r="K76" i="38"/>
  <c r="H76" i="38"/>
  <c r="I76" i="38" s="1"/>
  <c r="E76" i="38"/>
  <c r="F76" i="38" s="1"/>
  <c r="N75" i="38"/>
  <c r="O75" i="38" s="1"/>
  <c r="K75" i="38"/>
  <c r="L75" i="38" s="1"/>
  <c r="I75" i="38"/>
  <c r="H75" i="38"/>
  <c r="E75" i="38"/>
  <c r="F75" i="38" s="1"/>
  <c r="N74" i="38"/>
  <c r="O74" i="38" s="1"/>
  <c r="K74" i="38"/>
  <c r="L74" i="38" s="1"/>
  <c r="H74" i="38"/>
  <c r="I74" i="38" s="1"/>
  <c r="E74" i="38"/>
  <c r="F74" i="38" s="1"/>
  <c r="O73" i="38"/>
  <c r="N73" i="38"/>
  <c r="L73" i="38"/>
  <c r="K73" i="38"/>
  <c r="H73" i="38"/>
  <c r="I73" i="38" s="1"/>
  <c r="E73" i="38"/>
  <c r="F73" i="38" s="1"/>
  <c r="N72" i="38"/>
  <c r="O72" i="38" s="1"/>
  <c r="K72" i="38"/>
  <c r="L72" i="38" s="1"/>
  <c r="H72" i="38"/>
  <c r="I72" i="38" s="1"/>
  <c r="E72" i="38"/>
  <c r="F72" i="38" s="1"/>
  <c r="N71" i="38"/>
  <c r="N91" i="38" s="1"/>
  <c r="L71" i="38"/>
  <c r="K71" i="38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I63" i="38"/>
  <c r="H63" i="38"/>
  <c r="F63" i="38"/>
  <c r="E63" i="38"/>
  <c r="O62" i="38"/>
  <c r="N62" i="38"/>
  <c r="L62" i="38"/>
  <c r="K62" i="38"/>
  <c r="I62" i="38"/>
  <c r="H62" i="38"/>
  <c r="F62" i="38"/>
  <c r="E62" i="38"/>
  <c r="O61" i="38"/>
  <c r="N61" i="38"/>
  <c r="L61" i="38"/>
  <c r="K61" i="38"/>
  <c r="I61" i="38"/>
  <c r="H61" i="38"/>
  <c r="F61" i="38"/>
  <c r="E61" i="38"/>
  <c r="N60" i="38"/>
  <c r="O60" i="38" s="1"/>
  <c r="K60" i="38"/>
  <c r="L60" i="38" s="1"/>
  <c r="H60" i="38"/>
  <c r="I60" i="38" s="1"/>
  <c r="E60" i="38"/>
  <c r="F60" i="38" s="1"/>
  <c r="N59" i="38"/>
  <c r="O59" i="38" s="1"/>
  <c r="K59" i="38"/>
  <c r="L59" i="38" s="1"/>
  <c r="H59" i="38"/>
  <c r="I59" i="38" s="1"/>
  <c r="E59" i="38"/>
  <c r="F59" i="38" s="1"/>
  <c r="O58" i="38"/>
  <c r="N58" i="38"/>
  <c r="K58" i="38"/>
  <c r="L58" i="38" s="1"/>
  <c r="H58" i="38"/>
  <c r="I58" i="38" s="1"/>
  <c r="E58" i="38"/>
  <c r="F58" i="38" s="1"/>
  <c r="O57" i="38"/>
  <c r="N57" i="38"/>
  <c r="K57" i="38"/>
  <c r="L57" i="38" s="1"/>
  <c r="I57" i="38"/>
  <c r="H57" i="38"/>
  <c r="E57" i="38"/>
  <c r="F57" i="38" s="1"/>
  <c r="N56" i="38"/>
  <c r="O56" i="38" s="1"/>
  <c r="L56" i="38"/>
  <c r="K56" i="38"/>
  <c r="H56" i="38"/>
  <c r="I56" i="38" s="1"/>
  <c r="E56" i="38"/>
  <c r="F56" i="38" s="1"/>
  <c r="O55" i="38"/>
  <c r="N55" i="38"/>
  <c r="K55" i="38"/>
  <c r="L55" i="38" s="1"/>
  <c r="H55" i="38"/>
  <c r="I55" i="38" s="1"/>
  <c r="E55" i="38"/>
  <c r="F55" i="38" s="1"/>
  <c r="O54" i="38"/>
  <c r="N54" i="38"/>
  <c r="L54" i="38"/>
  <c r="K54" i="38"/>
  <c r="H54" i="38"/>
  <c r="I54" i="38" s="1"/>
  <c r="E54" i="38"/>
  <c r="F54" i="38" s="1"/>
  <c r="O53" i="38"/>
  <c r="N53" i="38"/>
  <c r="K53" i="38"/>
  <c r="L53" i="38" s="1"/>
  <c r="I53" i="38"/>
  <c r="H53" i="38"/>
  <c r="E53" i="38"/>
  <c r="F53" i="38" s="1"/>
  <c r="N52" i="38"/>
  <c r="O52" i="38" s="1"/>
  <c r="K52" i="38"/>
  <c r="L52" i="38" s="1"/>
  <c r="H52" i="38"/>
  <c r="I52" i="38" s="1"/>
  <c r="E52" i="38"/>
  <c r="F52" i="38" s="1"/>
  <c r="N51" i="38"/>
  <c r="O51" i="38" s="1"/>
  <c r="K51" i="38"/>
  <c r="L51" i="38" s="1"/>
  <c r="H51" i="38"/>
  <c r="I51" i="38" s="1"/>
  <c r="E51" i="38"/>
  <c r="F51" i="38" s="1"/>
  <c r="O50" i="38"/>
  <c r="N50" i="38"/>
  <c r="K50" i="38"/>
  <c r="L50" i="38" s="1"/>
  <c r="H50" i="38"/>
  <c r="I50" i="38" s="1"/>
  <c r="E50" i="38"/>
  <c r="F50" i="38" s="1"/>
  <c r="O49" i="38"/>
  <c r="N49" i="38"/>
  <c r="K49" i="38"/>
  <c r="L49" i="38" s="1"/>
  <c r="I49" i="38"/>
  <c r="H49" i="38"/>
  <c r="E49" i="38"/>
  <c r="F49" i="38" s="1"/>
  <c r="N48" i="38"/>
  <c r="O48" i="38" s="1"/>
  <c r="K48" i="38"/>
  <c r="L48" i="38" s="1"/>
  <c r="H48" i="38"/>
  <c r="I48" i="38" s="1"/>
  <c r="E48" i="38"/>
  <c r="F48" i="38" s="1"/>
  <c r="O47" i="38"/>
  <c r="N47" i="38"/>
  <c r="L47" i="38"/>
  <c r="K47" i="38"/>
  <c r="H47" i="38"/>
  <c r="I47" i="38" s="1"/>
  <c r="E47" i="38"/>
  <c r="F47" i="38" s="1"/>
  <c r="N46" i="38"/>
  <c r="O46" i="38" s="1"/>
  <c r="K46" i="38"/>
  <c r="L46" i="38" s="1"/>
  <c r="H46" i="38"/>
  <c r="I46" i="38" s="1"/>
  <c r="E46" i="38"/>
  <c r="F46" i="38" s="1"/>
  <c r="N45" i="38"/>
  <c r="O45" i="38" s="1"/>
  <c r="L45" i="38"/>
  <c r="K45" i="38"/>
  <c r="I45" i="38"/>
  <c r="H45" i="38"/>
  <c r="E45" i="38"/>
  <c r="F45" i="38" s="1"/>
  <c r="N44" i="38"/>
  <c r="K44" i="38"/>
  <c r="K64" i="38" s="1"/>
  <c r="H44" i="38"/>
  <c r="H64" i="38" s="1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O198" i="37"/>
  <c r="N198" i="37"/>
  <c r="L198" i="37"/>
  <c r="K198" i="37"/>
  <c r="H198" i="37"/>
  <c r="I198" i="37" s="1"/>
  <c r="F198" i="37"/>
  <c r="E198" i="37"/>
  <c r="N197" i="37"/>
  <c r="O197" i="37" s="1"/>
  <c r="K197" i="37"/>
  <c r="L197" i="37" s="1"/>
  <c r="H197" i="37"/>
  <c r="I197" i="37" s="1"/>
  <c r="F197" i="37"/>
  <c r="E197" i="37"/>
  <c r="O196" i="37"/>
  <c r="N196" i="37"/>
  <c r="K196" i="37"/>
  <c r="L196" i="37" s="1"/>
  <c r="H196" i="37"/>
  <c r="I196" i="37" s="1"/>
  <c r="F196" i="37"/>
  <c r="E196" i="37"/>
  <c r="N195" i="37"/>
  <c r="O195" i="37" s="1"/>
  <c r="L195" i="37"/>
  <c r="K195" i="37"/>
  <c r="H195" i="37"/>
  <c r="I195" i="37" s="1"/>
  <c r="F195" i="37"/>
  <c r="E195" i="37"/>
  <c r="N194" i="37"/>
  <c r="O194" i="37" s="1"/>
  <c r="L194" i="37"/>
  <c r="K194" i="37"/>
  <c r="H194" i="37"/>
  <c r="I194" i="37" s="1"/>
  <c r="F194" i="37"/>
  <c r="E194" i="37"/>
  <c r="N193" i="37"/>
  <c r="O193" i="37" s="1"/>
  <c r="K193" i="37"/>
  <c r="L193" i="37" s="1"/>
  <c r="H193" i="37"/>
  <c r="I193" i="37" s="1"/>
  <c r="F193" i="37"/>
  <c r="E193" i="37"/>
  <c r="N192" i="37"/>
  <c r="O192" i="37" s="1"/>
  <c r="K192" i="37"/>
  <c r="L192" i="37" s="1"/>
  <c r="H192" i="37"/>
  <c r="I192" i="37" s="1"/>
  <c r="F192" i="37"/>
  <c r="E192" i="37"/>
  <c r="N191" i="37"/>
  <c r="O191" i="37" s="1"/>
  <c r="K191" i="37"/>
  <c r="L191" i="37" s="1"/>
  <c r="H191" i="37"/>
  <c r="I191" i="37" s="1"/>
  <c r="F191" i="37"/>
  <c r="E191" i="37"/>
  <c r="N190" i="37"/>
  <c r="O190" i="37" s="1"/>
  <c r="L190" i="37"/>
  <c r="K190" i="37"/>
  <c r="H190" i="37"/>
  <c r="I190" i="37" s="1"/>
  <c r="F190" i="37"/>
  <c r="E190" i="37"/>
  <c r="N189" i="37"/>
  <c r="O189" i="37" s="1"/>
  <c r="K189" i="37"/>
  <c r="L189" i="37" s="1"/>
  <c r="H189" i="37"/>
  <c r="I189" i="37" s="1"/>
  <c r="F189" i="37"/>
  <c r="E189" i="37"/>
  <c r="O188" i="37"/>
  <c r="N188" i="37"/>
  <c r="K188" i="37"/>
  <c r="L188" i="37" s="1"/>
  <c r="H188" i="37"/>
  <c r="I188" i="37" s="1"/>
  <c r="F188" i="37"/>
  <c r="E188" i="37"/>
  <c r="N187" i="37"/>
  <c r="O187" i="37" s="1"/>
  <c r="L187" i="37"/>
  <c r="K187" i="37"/>
  <c r="H187" i="37"/>
  <c r="I187" i="37" s="1"/>
  <c r="F187" i="37"/>
  <c r="E187" i="37"/>
  <c r="N186" i="37"/>
  <c r="O186" i="37" s="1"/>
  <c r="L186" i="37"/>
  <c r="K186" i="37"/>
  <c r="H186" i="37"/>
  <c r="I186" i="37" s="1"/>
  <c r="F186" i="37"/>
  <c r="E186" i="37"/>
  <c r="O185" i="37"/>
  <c r="N185" i="37"/>
  <c r="K185" i="37"/>
  <c r="L185" i="37" s="1"/>
  <c r="H185" i="37"/>
  <c r="I185" i="37" s="1"/>
  <c r="F185" i="37"/>
  <c r="E185" i="37"/>
  <c r="O184" i="37"/>
  <c r="N184" i="37"/>
  <c r="K184" i="37"/>
  <c r="L184" i="37" s="1"/>
  <c r="H184" i="37"/>
  <c r="I184" i="37" s="1"/>
  <c r="F184" i="37"/>
  <c r="E184" i="37"/>
  <c r="O183" i="37"/>
  <c r="N183" i="37"/>
  <c r="K183" i="37"/>
  <c r="L183" i="37" s="1"/>
  <c r="H183" i="37"/>
  <c r="I183" i="37" s="1"/>
  <c r="F183" i="37"/>
  <c r="E183" i="37"/>
  <c r="N182" i="37"/>
  <c r="O182" i="37" s="1"/>
  <c r="L182" i="37"/>
  <c r="K182" i="37"/>
  <c r="H182" i="37"/>
  <c r="I182" i="37" s="1"/>
  <c r="F182" i="37"/>
  <c r="E182" i="37"/>
  <c r="N181" i="37"/>
  <c r="O181" i="37" s="1"/>
  <c r="K181" i="37"/>
  <c r="L181" i="37" s="1"/>
  <c r="H181" i="37"/>
  <c r="I181" i="37" s="1"/>
  <c r="F181" i="37"/>
  <c r="E181" i="37"/>
  <c r="N180" i="37"/>
  <c r="O180" i="37" s="1"/>
  <c r="K180" i="37"/>
  <c r="L180" i="37" s="1"/>
  <c r="H180" i="37"/>
  <c r="I180" i="37" s="1"/>
  <c r="F180" i="37"/>
  <c r="E180" i="37"/>
  <c r="N179" i="37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N170" i="37"/>
  <c r="O170" i="37" s="1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N168" i="37"/>
  <c r="O168" i="37" s="1"/>
  <c r="K168" i="37"/>
  <c r="L168" i="37" s="1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H165" i="37"/>
  <c r="I165" i="37" s="1"/>
  <c r="F165" i="37"/>
  <c r="E165" i="37"/>
  <c r="N164" i="37"/>
  <c r="O164" i="37" s="1"/>
  <c r="K164" i="37"/>
  <c r="L164" i="37" s="1"/>
  <c r="H164" i="37"/>
  <c r="I164" i="37" s="1"/>
  <c r="F164" i="37"/>
  <c r="E164" i="37"/>
  <c r="N163" i="37"/>
  <c r="O163" i="37" s="1"/>
  <c r="L163" i="37"/>
  <c r="K163" i="37"/>
  <c r="H163" i="37"/>
  <c r="I163" i="37" s="1"/>
  <c r="F163" i="37"/>
  <c r="E163" i="37"/>
  <c r="O162" i="37"/>
  <c r="N162" i="37"/>
  <c r="K162" i="37"/>
  <c r="L162" i="37" s="1"/>
  <c r="H162" i="37"/>
  <c r="I16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K160" i="37"/>
  <c r="L160" i="37" s="1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N157" i="37"/>
  <c r="O157" i="37" s="1"/>
  <c r="K157" i="37"/>
  <c r="L157" i="37" s="1"/>
  <c r="H157" i="37"/>
  <c r="I157" i="37" s="1"/>
  <c r="F157" i="37"/>
  <c r="E157" i="37"/>
  <c r="N156" i="37"/>
  <c r="O156" i="37" s="1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N154" i="37"/>
  <c r="O154" i="37" s="1"/>
  <c r="K154" i="37"/>
  <c r="L154" i="37" s="1"/>
  <c r="H154" i="37"/>
  <c r="I154" i="37" s="1"/>
  <c r="F154" i="37"/>
  <c r="E154" i="37"/>
  <c r="O153" i="37"/>
  <c r="N153" i="37"/>
  <c r="K153" i="37"/>
  <c r="L153" i="37" s="1"/>
  <c r="H153" i="37"/>
  <c r="I153" i="37" s="1"/>
  <c r="F153" i="37"/>
  <c r="E153" i="37"/>
  <c r="N152" i="37"/>
  <c r="N172" i="37" s="1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O141" i="37"/>
  <c r="N141" i="37"/>
  <c r="L141" i="37"/>
  <c r="K141" i="37"/>
  <c r="H141" i="37"/>
  <c r="I141" i="37" s="1"/>
  <c r="E141" i="37"/>
  <c r="F141" i="37" s="1"/>
  <c r="O140" i="37"/>
  <c r="N140" i="37"/>
  <c r="K140" i="37"/>
  <c r="L140" i="37" s="1"/>
  <c r="H140" i="37"/>
  <c r="I140" i="37" s="1"/>
  <c r="E140" i="37"/>
  <c r="F140" i="37" s="1"/>
  <c r="N139" i="37"/>
  <c r="O139" i="37" s="1"/>
  <c r="L139" i="37"/>
  <c r="K139" i="37"/>
  <c r="I139" i="37"/>
  <c r="H139" i="37"/>
  <c r="E139" i="37"/>
  <c r="F139" i="37" s="1"/>
  <c r="O138" i="37"/>
  <c r="N138" i="37"/>
  <c r="L138" i="37"/>
  <c r="K138" i="37"/>
  <c r="I138" i="37"/>
  <c r="H138" i="37"/>
  <c r="E138" i="37"/>
  <c r="F138" i="37" s="1"/>
  <c r="N137" i="37"/>
  <c r="O137" i="37" s="1"/>
  <c r="K137" i="37"/>
  <c r="L137" i="37" s="1"/>
  <c r="H137" i="37"/>
  <c r="I137" i="37" s="1"/>
  <c r="E137" i="37"/>
  <c r="F137" i="37" s="1"/>
  <c r="O136" i="37"/>
  <c r="N136" i="37"/>
  <c r="L136" i="37"/>
  <c r="K136" i="37"/>
  <c r="H136" i="37"/>
  <c r="I136" i="37" s="1"/>
  <c r="E136" i="37"/>
  <c r="F136" i="37" s="1"/>
  <c r="O135" i="37"/>
  <c r="N135" i="37"/>
  <c r="K135" i="37"/>
  <c r="L135" i="37" s="1"/>
  <c r="I135" i="37"/>
  <c r="H135" i="37"/>
  <c r="E135" i="37"/>
  <c r="F135" i="37" s="1"/>
  <c r="O134" i="37"/>
  <c r="N134" i="37"/>
  <c r="L134" i="37"/>
  <c r="K134" i="37"/>
  <c r="I134" i="37"/>
  <c r="H134" i="37"/>
  <c r="E134" i="37"/>
  <c r="F134" i="37" s="1"/>
  <c r="N133" i="37"/>
  <c r="O133" i="37" s="1"/>
  <c r="L133" i="37"/>
  <c r="K133" i="37"/>
  <c r="H133" i="37"/>
  <c r="I133" i="37" s="1"/>
  <c r="E133" i="37"/>
  <c r="F133" i="37" s="1"/>
  <c r="N132" i="37"/>
  <c r="O132" i="37" s="1"/>
  <c r="K132" i="37"/>
  <c r="L132" i="37" s="1"/>
  <c r="H132" i="37"/>
  <c r="I132" i="37" s="1"/>
  <c r="E132" i="37"/>
  <c r="F132" i="37" s="1"/>
  <c r="O131" i="37"/>
  <c r="N131" i="37"/>
  <c r="L131" i="37"/>
  <c r="K131" i="37"/>
  <c r="I131" i="37"/>
  <c r="H131" i="37"/>
  <c r="E131" i="37"/>
  <c r="F131" i="37" s="1"/>
  <c r="N130" i="37"/>
  <c r="O130" i="37" s="1"/>
  <c r="L130" i="37"/>
  <c r="K130" i="37"/>
  <c r="I130" i="37"/>
  <c r="H130" i="37"/>
  <c r="E130" i="37"/>
  <c r="F130" i="37" s="1"/>
  <c r="O129" i="37"/>
  <c r="N129" i="37"/>
  <c r="K129" i="37"/>
  <c r="L129" i="37" s="1"/>
  <c r="H129" i="37"/>
  <c r="I129" i="37" s="1"/>
  <c r="E129" i="37"/>
  <c r="F129" i="37" s="1"/>
  <c r="N128" i="37"/>
  <c r="O128" i="37" s="1"/>
  <c r="L128" i="37"/>
  <c r="K128" i="37"/>
  <c r="H128" i="37"/>
  <c r="I128" i="37" s="1"/>
  <c r="E128" i="37"/>
  <c r="F128" i="37" s="1"/>
  <c r="N127" i="37"/>
  <c r="O127" i="37" s="1"/>
  <c r="K127" i="37"/>
  <c r="L127" i="37" s="1"/>
  <c r="I127" i="37"/>
  <c r="H127" i="37"/>
  <c r="E127" i="37"/>
  <c r="F127" i="37" s="1"/>
  <c r="N126" i="37"/>
  <c r="O126" i="37" s="1"/>
  <c r="L126" i="37"/>
  <c r="K126" i="37"/>
  <c r="I126" i="37"/>
  <c r="H126" i="37"/>
  <c r="E126" i="37"/>
  <c r="F126" i="37" s="1"/>
  <c r="O125" i="37"/>
  <c r="N125" i="37"/>
  <c r="L125" i="37"/>
  <c r="K125" i="37"/>
  <c r="K145" i="37" s="1"/>
  <c r="H125" i="37"/>
  <c r="H145" i="37" s="1"/>
  <c r="E125" i="37"/>
  <c r="M123" i="37"/>
  <c r="J123" i="37"/>
  <c r="G123" i="37"/>
  <c r="D123" i="37"/>
  <c r="B123" i="37"/>
  <c r="M122" i="37"/>
  <c r="G122" i="37"/>
  <c r="B118" i="37"/>
  <c r="N117" i="37"/>
  <c r="O117" i="37" s="1"/>
  <c r="K117" i="37"/>
  <c r="L117" i="37" s="1"/>
  <c r="H117" i="37"/>
  <c r="I117" i="37" s="1"/>
  <c r="E117" i="37"/>
  <c r="F117" i="37" s="1"/>
  <c r="N116" i="37"/>
  <c r="O116" i="37" s="1"/>
  <c r="L116" i="37"/>
  <c r="K116" i="37"/>
  <c r="H116" i="37"/>
  <c r="I116" i="37" s="1"/>
  <c r="E116" i="37"/>
  <c r="F116" i="37" s="1"/>
  <c r="N115" i="37"/>
  <c r="O115" i="37" s="1"/>
  <c r="K115" i="37"/>
  <c r="L115" i="37" s="1"/>
  <c r="I115" i="37"/>
  <c r="H115" i="37"/>
  <c r="E115" i="37"/>
  <c r="F115" i="37" s="1"/>
  <c r="N114" i="37"/>
  <c r="O114" i="37" s="1"/>
  <c r="K114" i="37"/>
  <c r="L114" i="37" s="1"/>
  <c r="H114" i="37"/>
  <c r="I114" i="37" s="1"/>
  <c r="E114" i="37"/>
  <c r="F114" i="37" s="1"/>
  <c r="O113" i="37"/>
  <c r="N113" i="37"/>
  <c r="L113" i="37"/>
  <c r="K113" i="37"/>
  <c r="H113" i="37"/>
  <c r="I113" i="37" s="1"/>
  <c r="E113" i="37"/>
  <c r="F113" i="37" s="1"/>
  <c r="N112" i="37"/>
  <c r="O112" i="37" s="1"/>
  <c r="K112" i="37"/>
  <c r="L112" i="37" s="1"/>
  <c r="H112" i="37"/>
  <c r="I112" i="37" s="1"/>
  <c r="E112" i="37"/>
  <c r="F112" i="37" s="1"/>
  <c r="N111" i="37"/>
  <c r="O111" i="37" s="1"/>
  <c r="L111" i="37"/>
  <c r="K111" i="37"/>
  <c r="I111" i="37"/>
  <c r="H111" i="37"/>
  <c r="E111" i="37"/>
  <c r="F111" i="37" s="1"/>
  <c r="N110" i="37"/>
  <c r="O110" i="37" s="1"/>
  <c r="K110" i="37"/>
  <c r="L110" i="37" s="1"/>
  <c r="H110" i="37"/>
  <c r="I110" i="37" s="1"/>
  <c r="E110" i="37"/>
  <c r="F110" i="37" s="1"/>
  <c r="N109" i="37"/>
  <c r="O109" i="37" s="1"/>
  <c r="L109" i="37"/>
  <c r="K109" i="37"/>
  <c r="H109" i="37"/>
  <c r="I109" i="37" s="1"/>
  <c r="E109" i="37"/>
  <c r="F109" i="37" s="1"/>
  <c r="N108" i="37"/>
  <c r="O108" i="37" s="1"/>
  <c r="K108" i="37"/>
  <c r="L108" i="37" s="1"/>
  <c r="H108" i="37"/>
  <c r="I108" i="37" s="1"/>
  <c r="E108" i="37"/>
  <c r="F108" i="37" s="1"/>
  <c r="N107" i="37"/>
  <c r="O107" i="37" s="1"/>
  <c r="L107" i="37"/>
  <c r="K107" i="37"/>
  <c r="I107" i="37"/>
  <c r="H107" i="37"/>
  <c r="E107" i="37"/>
  <c r="F107" i="37" s="1"/>
  <c r="N106" i="37"/>
  <c r="O106" i="37" s="1"/>
  <c r="L106" i="37"/>
  <c r="K106" i="37"/>
  <c r="H106" i="37"/>
  <c r="I106" i="37" s="1"/>
  <c r="E106" i="37"/>
  <c r="F106" i="37" s="1"/>
  <c r="N105" i="37"/>
  <c r="O105" i="37" s="1"/>
  <c r="K105" i="37"/>
  <c r="L105" i="37" s="1"/>
  <c r="H105" i="37"/>
  <c r="I105" i="37" s="1"/>
  <c r="E105" i="37"/>
  <c r="F105" i="37" s="1"/>
  <c r="O104" i="37"/>
  <c r="N104" i="37"/>
  <c r="L104" i="37"/>
  <c r="K104" i="37"/>
  <c r="H104" i="37"/>
  <c r="I104" i="37" s="1"/>
  <c r="E104" i="37"/>
  <c r="F104" i="37" s="1"/>
  <c r="N103" i="37"/>
  <c r="O103" i="37" s="1"/>
  <c r="K103" i="37"/>
  <c r="L103" i="37" s="1"/>
  <c r="I103" i="37"/>
  <c r="H103" i="37"/>
  <c r="E103" i="37"/>
  <c r="F103" i="37" s="1"/>
  <c r="O102" i="37"/>
  <c r="N102" i="37"/>
  <c r="L102" i="37"/>
  <c r="K102" i="37"/>
  <c r="H102" i="37"/>
  <c r="I102" i="37" s="1"/>
  <c r="E102" i="37"/>
  <c r="F102" i="37" s="1"/>
  <c r="N101" i="37"/>
  <c r="O101" i="37" s="1"/>
  <c r="K101" i="37"/>
  <c r="L101" i="37" s="1"/>
  <c r="H101" i="37"/>
  <c r="I101" i="37" s="1"/>
  <c r="E101" i="37"/>
  <c r="F101" i="37" s="1"/>
  <c r="N100" i="37"/>
  <c r="O100" i="37" s="1"/>
  <c r="L100" i="37"/>
  <c r="K100" i="37"/>
  <c r="H100" i="37"/>
  <c r="I100" i="37" s="1"/>
  <c r="E100" i="37"/>
  <c r="F100" i="37" s="1"/>
  <c r="N99" i="37"/>
  <c r="O99" i="37" s="1"/>
  <c r="K99" i="37"/>
  <c r="L99" i="37" s="1"/>
  <c r="I99" i="37"/>
  <c r="H99" i="37"/>
  <c r="E99" i="37"/>
  <c r="F99" i="37" s="1"/>
  <c r="N98" i="37"/>
  <c r="O98" i="37" s="1"/>
  <c r="K98" i="37"/>
  <c r="H98" i="37"/>
  <c r="H118" i="37" s="1"/>
  <c r="E98" i="37"/>
  <c r="M96" i="37"/>
  <c r="J96" i="37"/>
  <c r="G96" i="37"/>
  <c r="D96" i="37"/>
  <c r="B96" i="37"/>
  <c r="M95" i="37"/>
  <c r="G95" i="37"/>
  <c r="B91" i="37"/>
  <c r="O90" i="37"/>
  <c r="N90" i="37"/>
  <c r="L90" i="37"/>
  <c r="K90" i="37"/>
  <c r="H90" i="37"/>
  <c r="I90" i="37" s="1"/>
  <c r="E90" i="37"/>
  <c r="F90" i="37" s="1"/>
  <c r="N89" i="37"/>
  <c r="O89" i="37" s="1"/>
  <c r="K89" i="37"/>
  <c r="L89" i="37" s="1"/>
  <c r="H89" i="37"/>
  <c r="I89" i="37" s="1"/>
  <c r="E89" i="37"/>
  <c r="F89" i="37" s="1"/>
  <c r="N88" i="37"/>
  <c r="O88" i="37" s="1"/>
  <c r="L88" i="37"/>
  <c r="K88" i="37"/>
  <c r="H88" i="37"/>
  <c r="I88" i="37" s="1"/>
  <c r="E88" i="37"/>
  <c r="F88" i="37" s="1"/>
  <c r="N87" i="37"/>
  <c r="O87" i="37" s="1"/>
  <c r="K87" i="37"/>
  <c r="L87" i="37" s="1"/>
  <c r="I87" i="37"/>
  <c r="H87" i="37"/>
  <c r="E87" i="37"/>
  <c r="F87" i="37" s="1"/>
  <c r="N86" i="37"/>
  <c r="O86" i="37" s="1"/>
  <c r="L86" i="37"/>
  <c r="K86" i="37"/>
  <c r="H86" i="37"/>
  <c r="I86" i="37" s="1"/>
  <c r="E86" i="37"/>
  <c r="F86" i="37" s="1"/>
  <c r="N85" i="37"/>
  <c r="O85" i="37" s="1"/>
  <c r="L85" i="37"/>
  <c r="K85" i="37"/>
  <c r="H85" i="37"/>
  <c r="I85" i="37" s="1"/>
  <c r="E85" i="37"/>
  <c r="F85" i="37" s="1"/>
  <c r="N84" i="37"/>
  <c r="O84" i="37" s="1"/>
  <c r="L84" i="37"/>
  <c r="K84" i="37"/>
  <c r="H84" i="37"/>
  <c r="I84" i="37" s="1"/>
  <c r="E84" i="37"/>
  <c r="F84" i="37" s="1"/>
  <c r="N83" i="37"/>
  <c r="O83" i="37" s="1"/>
  <c r="L83" i="37"/>
  <c r="K83" i="37"/>
  <c r="I83" i="37"/>
  <c r="H83" i="37"/>
  <c r="E83" i="37"/>
  <c r="F83" i="37" s="1"/>
  <c r="O82" i="37"/>
  <c r="N82" i="37"/>
  <c r="K82" i="37"/>
  <c r="L82" i="37" s="1"/>
  <c r="H82" i="37"/>
  <c r="I82" i="37" s="1"/>
  <c r="E82" i="37"/>
  <c r="F82" i="37" s="1"/>
  <c r="O81" i="37"/>
  <c r="N81" i="37"/>
  <c r="L81" i="37"/>
  <c r="K81" i="37"/>
  <c r="H81" i="37"/>
  <c r="I81" i="37" s="1"/>
  <c r="E81" i="37"/>
  <c r="F81" i="37" s="1"/>
  <c r="N80" i="37"/>
  <c r="O80" i="37" s="1"/>
  <c r="K80" i="37"/>
  <c r="L80" i="37" s="1"/>
  <c r="H80" i="37"/>
  <c r="I80" i="37" s="1"/>
  <c r="E80" i="37"/>
  <c r="F80" i="37" s="1"/>
  <c r="O79" i="37"/>
  <c r="N79" i="37"/>
  <c r="L79" i="37"/>
  <c r="K79" i="37"/>
  <c r="I79" i="37"/>
  <c r="H79" i="37"/>
  <c r="E79" i="37"/>
  <c r="F79" i="37" s="1"/>
  <c r="N78" i="37"/>
  <c r="O78" i="37" s="1"/>
  <c r="L78" i="37"/>
  <c r="K78" i="37"/>
  <c r="H78" i="37"/>
  <c r="I78" i="37" s="1"/>
  <c r="E78" i="37"/>
  <c r="F78" i="37" s="1"/>
  <c r="O77" i="37"/>
  <c r="N77" i="37"/>
  <c r="K77" i="37"/>
  <c r="L77" i="37" s="1"/>
  <c r="H77" i="37"/>
  <c r="I77" i="37" s="1"/>
  <c r="E77" i="37"/>
  <c r="F77" i="37" s="1"/>
  <c r="N76" i="37"/>
  <c r="O76" i="37" s="1"/>
  <c r="L76" i="37"/>
  <c r="K76" i="37"/>
  <c r="H76" i="37"/>
  <c r="I76" i="37" s="1"/>
  <c r="E76" i="37"/>
  <c r="F76" i="37" s="1"/>
  <c r="O75" i="37"/>
  <c r="N75" i="37"/>
  <c r="K75" i="37"/>
  <c r="L75" i="37" s="1"/>
  <c r="I75" i="37"/>
  <c r="H75" i="37"/>
  <c r="E75" i="37"/>
  <c r="F75" i="37" s="1"/>
  <c r="N74" i="37"/>
  <c r="O74" i="37" s="1"/>
  <c r="L74" i="37"/>
  <c r="K74" i="37"/>
  <c r="H74" i="37"/>
  <c r="I74" i="37" s="1"/>
  <c r="E74" i="37"/>
  <c r="F74" i="37" s="1"/>
  <c r="O73" i="37"/>
  <c r="N73" i="37"/>
  <c r="K73" i="37"/>
  <c r="L73" i="37" s="1"/>
  <c r="H73" i="37"/>
  <c r="I73" i="37" s="1"/>
  <c r="E73" i="37"/>
  <c r="F73" i="37" s="1"/>
  <c r="N72" i="37"/>
  <c r="O72" i="37" s="1"/>
  <c r="L72" i="37"/>
  <c r="K72" i="37"/>
  <c r="H72" i="37"/>
  <c r="I72" i="37" s="1"/>
  <c r="E72" i="37"/>
  <c r="F72" i="37" s="1"/>
  <c r="N71" i="37"/>
  <c r="N91" i="37" s="1"/>
  <c r="K71" i="37"/>
  <c r="K91" i="37" s="1"/>
  <c r="I71" i="37"/>
  <c r="H71" i="37"/>
  <c r="E71" i="37"/>
  <c r="M69" i="37"/>
  <c r="J69" i="37"/>
  <c r="G69" i="37"/>
  <c r="D69" i="37"/>
  <c r="B69" i="37"/>
  <c r="M68" i="37"/>
  <c r="G68" i="37"/>
  <c r="B64" i="37"/>
  <c r="O63" i="37"/>
  <c r="N63" i="37"/>
  <c r="L63" i="37"/>
  <c r="K63" i="37"/>
  <c r="I63" i="37"/>
  <c r="H63" i="37"/>
  <c r="F63" i="37"/>
  <c r="E63" i="37"/>
  <c r="O62" i="37"/>
  <c r="N62" i="37"/>
  <c r="L62" i="37"/>
  <c r="K62" i="37"/>
  <c r="I62" i="37"/>
  <c r="H62" i="37"/>
  <c r="F62" i="37"/>
  <c r="E62" i="37"/>
  <c r="O61" i="37"/>
  <c r="N61" i="37"/>
  <c r="L61" i="37"/>
  <c r="K61" i="37"/>
  <c r="I61" i="37"/>
  <c r="H61" i="37"/>
  <c r="F61" i="37"/>
  <c r="E61" i="37"/>
  <c r="N60" i="37"/>
  <c r="O60" i="37" s="1"/>
  <c r="K60" i="37"/>
  <c r="L60" i="37" s="1"/>
  <c r="H60" i="37"/>
  <c r="I60" i="37" s="1"/>
  <c r="E60" i="37"/>
  <c r="F60" i="37" s="1"/>
  <c r="O59" i="37"/>
  <c r="N59" i="37"/>
  <c r="L59" i="37"/>
  <c r="K59" i="37"/>
  <c r="H59" i="37"/>
  <c r="I59" i="37" s="1"/>
  <c r="F59" i="37"/>
  <c r="E59" i="37"/>
  <c r="N58" i="37"/>
  <c r="O58" i="37" s="1"/>
  <c r="K58" i="37"/>
  <c r="L58" i="37" s="1"/>
  <c r="H58" i="37"/>
  <c r="I58" i="37" s="1"/>
  <c r="E58" i="37"/>
  <c r="F58" i="37" s="1"/>
  <c r="O57" i="37"/>
  <c r="N57" i="37"/>
  <c r="K57" i="37"/>
  <c r="L57" i="37" s="1"/>
  <c r="H57" i="37"/>
  <c r="I57" i="37" s="1"/>
  <c r="E57" i="37"/>
  <c r="F57" i="37" s="1"/>
  <c r="N56" i="37"/>
  <c r="O56" i="37" s="1"/>
  <c r="K56" i="37"/>
  <c r="L56" i="37" s="1"/>
  <c r="I56" i="37"/>
  <c r="H56" i="37"/>
  <c r="E56" i="37"/>
  <c r="F56" i="37" s="1"/>
  <c r="N55" i="37"/>
  <c r="O55" i="37" s="1"/>
  <c r="L55" i="37"/>
  <c r="K55" i="37"/>
  <c r="H55" i="37"/>
  <c r="I55" i="37" s="1"/>
  <c r="E55" i="37"/>
  <c r="F55" i="37" s="1"/>
  <c r="N54" i="37"/>
  <c r="O54" i="37" s="1"/>
  <c r="L54" i="37"/>
  <c r="K54" i="37"/>
  <c r="H54" i="37"/>
  <c r="I54" i="37" s="1"/>
  <c r="E54" i="37"/>
  <c r="F54" i="37" s="1"/>
  <c r="N53" i="37"/>
  <c r="O53" i="37" s="1"/>
  <c r="K53" i="37"/>
  <c r="L53" i="37" s="1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N51" i="37"/>
  <c r="O51" i="37" s="1"/>
  <c r="K51" i="37"/>
  <c r="L51" i="37" s="1"/>
  <c r="H51" i="37"/>
  <c r="I51" i="37" s="1"/>
  <c r="E51" i="37"/>
  <c r="F51" i="37" s="1"/>
  <c r="O50" i="37"/>
  <c r="N50" i="37"/>
  <c r="L50" i="37"/>
  <c r="K50" i="37"/>
  <c r="H50" i="37"/>
  <c r="I50" i="37" s="1"/>
  <c r="E50" i="37"/>
  <c r="F50" i="37" s="1"/>
  <c r="O49" i="37"/>
  <c r="N49" i="37"/>
  <c r="K49" i="37"/>
  <c r="L49" i="37" s="1"/>
  <c r="H49" i="37"/>
  <c r="I49" i="37" s="1"/>
  <c r="E49" i="37"/>
  <c r="F49" i="37" s="1"/>
  <c r="N48" i="37"/>
  <c r="O48" i="37" s="1"/>
  <c r="K48" i="37"/>
  <c r="L48" i="37" s="1"/>
  <c r="I48" i="37"/>
  <c r="H48" i="37"/>
  <c r="E48" i="37"/>
  <c r="F48" i="37" s="1"/>
  <c r="N47" i="37"/>
  <c r="O47" i="37" s="1"/>
  <c r="L47" i="37"/>
  <c r="K47" i="37"/>
  <c r="H47" i="37"/>
  <c r="I47" i="37" s="1"/>
  <c r="E47" i="37"/>
  <c r="F47" i="37" s="1"/>
  <c r="N46" i="37"/>
  <c r="O46" i="37" s="1"/>
  <c r="L46" i="37"/>
  <c r="K46" i="37"/>
  <c r="H46" i="37"/>
  <c r="I46" i="37" s="1"/>
  <c r="E46" i="37"/>
  <c r="F46" i="37" s="1"/>
  <c r="N45" i="37"/>
  <c r="O45" i="37" s="1"/>
  <c r="L45" i="37"/>
  <c r="K45" i="37"/>
  <c r="H45" i="37"/>
  <c r="I45" i="37" s="1"/>
  <c r="E45" i="37"/>
  <c r="F45" i="37" s="1"/>
  <c r="N44" i="37"/>
  <c r="K44" i="37"/>
  <c r="I44" i="37"/>
  <c r="H44" i="37"/>
  <c r="E44" i="37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O197" i="36"/>
  <c r="N197" i="36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O195" i="36"/>
  <c r="N195" i="36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O186" i="36"/>
  <c r="N186" i="36"/>
  <c r="L186" i="36"/>
  <c r="K186" i="36"/>
  <c r="H186" i="36"/>
  <c r="I186" i="36" s="1"/>
  <c r="F186" i="36"/>
  <c r="E186" i="36"/>
  <c r="N185" i="36"/>
  <c r="O185" i="36" s="1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N183" i="36"/>
  <c r="O183" i="36" s="1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O181" i="36"/>
  <c r="N181" i="36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O179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O171" i="36"/>
  <c r="N171" i="36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N169" i="36"/>
  <c r="O169" i="36" s="1"/>
  <c r="K169" i="36"/>
  <c r="L169" i="36" s="1"/>
  <c r="H169" i="36"/>
  <c r="I169" i="36" s="1"/>
  <c r="F169" i="36"/>
  <c r="E169" i="36"/>
  <c r="N168" i="36"/>
  <c r="O168" i="36" s="1"/>
  <c r="K168" i="36"/>
  <c r="L168" i="36" s="1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O165" i="36"/>
  <c r="N165" i="36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O163" i="36"/>
  <c r="N163" i="36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K160" i="36"/>
  <c r="L160" i="36" s="1"/>
  <c r="H160" i="36"/>
  <c r="I160" i="36" s="1"/>
  <c r="F160" i="36"/>
  <c r="E160" i="36"/>
  <c r="N159" i="36"/>
  <c r="O159" i="36" s="1"/>
  <c r="L159" i="36"/>
  <c r="K159" i="36"/>
  <c r="H159" i="36"/>
  <c r="I159" i="36" s="1"/>
  <c r="F159" i="36"/>
  <c r="E159" i="36"/>
  <c r="O158" i="36"/>
  <c r="N158" i="36"/>
  <c r="K158" i="36"/>
  <c r="L158" i="36" s="1"/>
  <c r="H158" i="36"/>
  <c r="I158" i="36" s="1"/>
  <c r="F158" i="36"/>
  <c r="E158" i="36"/>
  <c r="O157" i="36"/>
  <c r="N157" i="36"/>
  <c r="K157" i="36"/>
  <c r="L157" i="36" s="1"/>
  <c r="H157" i="36"/>
  <c r="I157" i="36" s="1"/>
  <c r="F157" i="36"/>
  <c r="E157" i="36"/>
  <c r="O156" i="36"/>
  <c r="N156" i="36"/>
  <c r="K156" i="36"/>
  <c r="L156" i="36" s="1"/>
  <c r="H156" i="36"/>
  <c r="I156" i="36" s="1"/>
  <c r="F156" i="36"/>
  <c r="E156" i="36"/>
  <c r="O155" i="36"/>
  <c r="N155" i="36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N142" i="36"/>
  <c r="O142" i="36" s="1"/>
  <c r="K142" i="36"/>
  <c r="L142" i="36" s="1"/>
  <c r="H142" i="36"/>
  <c r="I142" i="36" s="1"/>
  <c r="E142" i="36"/>
  <c r="F142" i="36" s="1"/>
  <c r="O141" i="36"/>
  <c r="N141" i="36"/>
  <c r="K141" i="36"/>
  <c r="L141" i="36" s="1"/>
  <c r="H141" i="36"/>
  <c r="I141" i="36" s="1"/>
  <c r="E141" i="36"/>
  <c r="F141" i="36" s="1"/>
  <c r="N140" i="36"/>
  <c r="O140" i="36" s="1"/>
  <c r="K140" i="36"/>
  <c r="L140" i="36" s="1"/>
  <c r="H140" i="36"/>
  <c r="I140" i="36" s="1"/>
  <c r="E140" i="36"/>
  <c r="F140" i="36" s="1"/>
  <c r="O139" i="36"/>
  <c r="N139" i="36"/>
  <c r="K139" i="36"/>
  <c r="L139" i="36" s="1"/>
  <c r="I139" i="36"/>
  <c r="H139" i="36"/>
  <c r="E139" i="36"/>
  <c r="F139" i="36" s="1"/>
  <c r="O138" i="36"/>
  <c r="N138" i="36"/>
  <c r="L138" i="36"/>
  <c r="K138" i="36"/>
  <c r="H138" i="36"/>
  <c r="I138" i="36" s="1"/>
  <c r="E138" i="36"/>
  <c r="F138" i="36" s="1"/>
  <c r="O137" i="36"/>
  <c r="N137" i="36"/>
  <c r="L137" i="36"/>
  <c r="K137" i="36"/>
  <c r="H137" i="36"/>
  <c r="I137" i="36" s="1"/>
  <c r="E137" i="36"/>
  <c r="F137" i="36" s="1"/>
  <c r="O136" i="36"/>
  <c r="N136" i="36"/>
  <c r="L136" i="36"/>
  <c r="K136" i="36"/>
  <c r="H136" i="36"/>
  <c r="I136" i="36" s="1"/>
  <c r="E136" i="36"/>
  <c r="F136" i="36" s="1"/>
  <c r="O135" i="36"/>
  <c r="N135" i="36"/>
  <c r="L135" i="36"/>
  <c r="K135" i="36"/>
  <c r="I135" i="36"/>
  <c r="H135" i="36"/>
  <c r="E135" i="36"/>
  <c r="F135" i="36" s="1"/>
  <c r="N134" i="36"/>
  <c r="O134" i="36" s="1"/>
  <c r="K134" i="36"/>
  <c r="L134" i="36" s="1"/>
  <c r="H134" i="36"/>
  <c r="I134" i="36" s="1"/>
  <c r="E134" i="36"/>
  <c r="F134" i="36" s="1"/>
  <c r="O133" i="36"/>
  <c r="N133" i="36"/>
  <c r="K133" i="36"/>
  <c r="L133" i="36" s="1"/>
  <c r="H133" i="36"/>
  <c r="I133" i="36" s="1"/>
  <c r="E133" i="36"/>
  <c r="F133" i="36" s="1"/>
  <c r="N132" i="36"/>
  <c r="O132" i="36" s="1"/>
  <c r="K132" i="36"/>
  <c r="L132" i="36" s="1"/>
  <c r="H132" i="36"/>
  <c r="I132" i="36" s="1"/>
  <c r="E132" i="36"/>
  <c r="F132" i="36" s="1"/>
  <c r="O131" i="36"/>
  <c r="N131" i="36"/>
  <c r="K131" i="36"/>
  <c r="L131" i="36" s="1"/>
  <c r="I131" i="36"/>
  <c r="H131" i="36"/>
  <c r="E131" i="36"/>
  <c r="F131" i="36" s="1"/>
  <c r="O130" i="36"/>
  <c r="N130" i="36"/>
  <c r="L130" i="36"/>
  <c r="K130" i="36"/>
  <c r="H130" i="36"/>
  <c r="I130" i="36" s="1"/>
  <c r="E130" i="36"/>
  <c r="F130" i="36" s="1"/>
  <c r="O129" i="36"/>
  <c r="N129" i="36"/>
  <c r="L129" i="36"/>
  <c r="K129" i="36"/>
  <c r="H129" i="36"/>
  <c r="I129" i="36" s="1"/>
  <c r="E129" i="36"/>
  <c r="F129" i="36" s="1"/>
  <c r="O128" i="36"/>
  <c r="N128" i="36"/>
  <c r="L128" i="36"/>
  <c r="K128" i="36"/>
  <c r="H128" i="36"/>
  <c r="I128" i="36" s="1"/>
  <c r="E128" i="36"/>
  <c r="F128" i="36" s="1"/>
  <c r="O127" i="36"/>
  <c r="N127" i="36"/>
  <c r="L127" i="36"/>
  <c r="K127" i="36"/>
  <c r="I127" i="36"/>
  <c r="H127" i="36"/>
  <c r="E127" i="36"/>
  <c r="F127" i="36" s="1"/>
  <c r="N126" i="36"/>
  <c r="O126" i="36" s="1"/>
  <c r="K126" i="36"/>
  <c r="L126" i="36" s="1"/>
  <c r="H126" i="36"/>
  <c r="I126" i="36" s="1"/>
  <c r="E126" i="36"/>
  <c r="F126" i="36" s="1"/>
  <c r="O125" i="36"/>
  <c r="N125" i="36"/>
  <c r="K125" i="36"/>
  <c r="K145" i="36" s="1"/>
  <c r="H125" i="36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K117" i="36"/>
  <c r="L117" i="36" s="1"/>
  <c r="H117" i="36"/>
  <c r="I117" i="36" s="1"/>
  <c r="E117" i="36"/>
  <c r="F117" i="36" s="1"/>
  <c r="N116" i="36"/>
  <c r="O116" i="36" s="1"/>
  <c r="K116" i="36"/>
  <c r="L116" i="36" s="1"/>
  <c r="I116" i="36"/>
  <c r="H116" i="36"/>
  <c r="E116" i="36"/>
  <c r="F116" i="36" s="1"/>
  <c r="O115" i="36"/>
  <c r="N115" i="36"/>
  <c r="L115" i="36"/>
  <c r="K115" i="36"/>
  <c r="H115" i="36"/>
  <c r="I115" i="36" s="1"/>
  <c r="E115" i="36"/>
  <c r="F115" i="36" s="1"/>
  <c r="N114" i="36"/>
  <c r="O114" i="36" s="1"/>
  <c r="L114" i="36"/>
  <c r="K114" i="36"/>
  <c r="H114" i="36"/>
  <c r="I114" i="36" s="1"/>
  <c r="E114" i="36"/>
  <c r="F114" i="36" s="1"/>
  <c r="O113" i="36"/>
  <c r="N113" i="36"/>
  <c r="L113" i="36"/>
  <c r="K113" i="36"/>
  <c r="H113" i="36"/>
  <c r="I113" i="36" s="1"/>
  <c r="E113" i="36"/>
  <c r="F113" i="36" s="1"/>
  <c r="N112" i="36"/>
  <c r="O112" i="36" s="1"/>
  <c r="L112" i="36"/>
  <c r="K112" i="36"/>
  <c r="I112" i="36"/>
  <c r="H112" i="36"/>
  <c r="E112" i="36"/>
  <c r="F112" i="36" s="1"/>
  <c r="N111" i="36"/>
  <c r="O111" i="36" s="1"/>
  <c r="K111" i="36"/>
  <c r="L111" i="36" s="1"/>
  <c r="H111" i="36"/>
  <c r="I111" i="36" s="1"/>
  <c r="E111" i="36"/>
  <c r="F111" i="36" s="1"/>
  <c r="N110" i="36"/>
  <c r="O110" i="36" s="1"/>
  <c r="K110" i="36"/>
  <c r="L110" i="36" s="1"/>
  <c r="H110" i="36"/>
  <c r="I110" i="36" s="1"/>
  <c r="E110" i="36"/>
  <c r="F110" i="36" s="1"/>
  <c r="N109" i="36"/>
  <c r="O109" i="36" s="1"/>
  <c r="K109" i="36"/>
  <c r="L109" i="36" s="1"/>
  <c r="H109" i="36"/>
  <c r="I109" i="36" s="1"/>
  <c r="E109" i="36"/>
  <c r="F109" i="36" s="1"/>
  <c r="O108" i="36"/>
  <c r="N108" i="36"/>
  <c r="K108" i="36"/>
  <c r="L108" i="36" s="1"/>
  <c r="I108" i="36"/>
  <c r="H108" i="36"/>
  <c r="E108" i="36"/>
  <c r="F108" i="36" s="1"/>
  <c r="N107" i="36"/>
  <c r="O107" i="36" s="1"/>
  <c r="L107" i="36"/>
  <c r="K107" i="36"/>
  <c r="H107" i="36"/>
  <c r="I107" i="36" s="1"/>
  <c r="E107" i="36"/>
  <c r="F107" i="36" s="1"/>
  <c r="O106" i="36"/>
  <c r="N106" i="36"/>
  <c r="L106" i="36"/>
  <c r="K106" i="36"/>
  <c r="H106" i="36"/>
  <c r="I106" i="36" s="1"/>
  <c r="E106" i="36"/>
  <c r="F106" i="36" s="1"/>
  <c r="N105" i="36"/>
  <c r="O105" i="36" s="1"/>
  <c r="L105" i="36"/>
  <c r="K105" i="36"/>
  <c r="H105" i="36"/>
  <c r="I105" i="36" s="1"/>
  <c r="E105" i="36"/>
  <c r="F105" i="36" s="1"/>
  <c r="O104" i="36"/>
  <c r="N104" i="36"/>
  <c r="L104" i="36"/>
  <c r="K104" i="36"/>
  <c r="I104" i="36"/>
  <c r="H104" i="36"/>
  <c r="E104" i="36"/>
  <c r="F104" i="36" s="1"/>
  <c r="N103" i="36"/>
  <c r="O103" i="36" s="1"/>
  <c r="K103" i="36"/>
  <c r="L103" i="36" s="1"/>
  <c r="H103" i="36"/>
  <c r="I103" i="36" s="1"/>
  <c r="E103" i="36"/>
  <c r="F103" i="36" s="1"/>
  <c r="O102" i="36"/>
  <c r="N102" i="36"/>
  <c r="K102" i="36"/>
  <c r="L102" i="36" s="1"/>
  <c r="H102" i="36"/>
  <c r="I102" i="36" s="1"/>
  <c r="E102" i="36"/>
  <c r="F102" i="36" s="1"/>
  <c r="O101" i="36"/>
  <c r="N101" i="36"/>
  <c r="K101" i="36"/>
  <c r="L101" i="36" s="1"/>
  <c r="H101" i="36"/>
  <c r="I101" i="36" s="1"/>
  <c r="E101" i="36"/>
  <c r="F101" i="36" s="1"/>
  <c r="N100" i="36"/>
  <c r="O100" i="36" s="1"/>
  <c r="K100" i="36"/>
  <c r="L100" i="36" s="1"/>
  <c r="I100" i="36"/>
  <c r="H100" i="36"/>
  <c r="E100" i="36"/>
  <c r="F100" i="36" s="1"/>
  <c r="O99" i="36"/>
  <c r="N99" i="36"/>
  <c r="L99" i="36"/>
  <c r="K99" i="36"/>
  <c r="H99" i="36"/>
  <c r="I99" i="36" s="1"/>
  <c r="E99" i="36"/>
  <c r="F99" i="36" s="1"/>
  <c r="N98" i="36"/>
  <c r="L98" i="36"/>
  <c r="K98" i="36"/>
  <c r="H98" i="36"/>
  <c r="E98" i="36"/>
  <c r="E118" i="36" s="1"/>
  <c r="M96" i="36"/>
  <c r="J96" i="36"/>
  <c r="G96" i="36"/>
  <c r="D96" i="36"/>
  <c r="B96" i="36"/>
  <c r="M95" i="36"/>
  <c r="G95" i="36"/>
  <c r="B91" i="36"/>
  <c r="O90" i="36"/>
  <c r="N90" i="36"/>
  <c r="K90" i="36"/>
  <c r="L90" i="36" s="1"/>
  <c r="H90" i="36"/>
  <c r="I90" i="36" s="1"/>
  <c r="F90" i="36"/>
  <c r="E90" i="36"/>
  <c r="O89" i="36"/>
  <c r="N89" i="36"/>
  <c r="K89" i="36"/>
  <c r="L89" i="36" s="1"/>
  <c r="H89" i="36"/>
  <c r="I89" i="36" s="1"/>
  <c r="F89" i="36"/>
  <c r="E89" i="36"/>
  <c r="O88" i="36"/>
  <c r="N88" i="36"/>
  <c r="L88" i="36"/>
  <c r="K88" i="36"/>
  <c r="H88" i="36"/>
  <c r="I88" i="36" s="1"/>
  <c r="F88" i="36"/>
  <c r="E88" i="36"/>
  <c r="N87" i="36"/>
  <c r="O87" i="36" s="1"/>
  <c r="K87" i="36"/>
  <c r="L87" i="36" s="1"/>
  <c r="H87" i="36"/>
  <c r="I87" i="36" s="1"/>
  <c r="F87" i="36"/>
  <c r="E87" i="36"/>
  <c r="N86" i="36"/>
  <c r="O86" i="36" s="1"/>
  <c r="K86" i="36"/>
  <c r="L86" i="36" s="1"/>
  <c r="H86" i="36"/>
  <c r="I86" i="36" s="1"/>
  <c r="F86" i="36"/>
  <c r="E86" i="36"/>
  <c r="N85" i="36"/>
  <c r="O85" i="36" s="1"/>
  <c r="K85" i="36"/>
  <c r="L85" i="36" s="1"/>
  <c r="H85" i="36"/>
  <c r="I85" i="36" s="1"/>
  <c r="F85" i="36"/>
  <c r="E85" i="36"/>
  <c r="N84" i="36"/>
  <c r="O84" i="36" s="1"/>
  <c r="L84" i="36"/>
  <c r="K84" i="36"/>
  <c r="H84" i="36"/>
  <c r="I84" i="36" s="1"/>
  <c r="F84" i="36"/>
  <c r="E84" i="36"/>
  <c r="O83" i="36"/>
  <c r="N83" i="36"/>
  <c r="K83" i="36"/>
  <c r="L83" i="36" s="1"/>
  <c r="H83" i="36"/>
  <c r="I83" i="36" s="1"/>
  <c r="F83" i="36"/>
  <c r="E83" i="36"/>
  <c r="O82" i="36"/>
  <c r="N82" i="36"/>
  <c r="K82" i="36"/>
  <c r="L82" i="36" s="1"/>
  <c r="H82" i="36"/>
  <c r="I82" i="36" s="1"/>
  <c r="F82" i="36"/>
  <c r="E82" i="36"/>
  <c r="O81" i="36"/>
  <c r="N81" i="36"/>
  <c r="K81" i="36"/>
  <c r="L81" i="36" s="1"/>
  <c r="H81" i="36"/>
  <c r="I81" i="36" s="1"/>
  <c r="F81" i="36"/>
  <c r="E81" i="36"/>
  <c r="O80" i="36"/>
  <c r="N80" i="36"/>
  <c r="L80" i="36"/>
  <c r="K80" i="36"/>
  <c r="H80" i="36"/>
  <c r="I80" i="36" s="1"/>
  <c r="F80" i="36"/>
  <c r="E80" i="36"/>
  <c r="N79" i="36"/>
  <c r="O79" i="36" s="1"/>
  <c r="K79" i="36"/>
  <c r="L79" i="36" s="1"/>
  <c r="H79" i="36"/>
  <c r="I79" i="36" s="1"/>
  <c r="F79" i="36"/>
  <c r="E79" i="36"/>
  <c r="N78" i="36"/>
  <c r="O78" i="36" s="1"/>
  <c r="K78" i="36"/>
  <c r="L78" i="36" s="1"/>
  <c r="H78" i="36"/>
  <c r="I78" i="36" s="1"/>
  <c r="F78" i="36"/>
  <c r="E78" i="36"/>
  <c r="N77" i="36"/>
  <c r="O77" i="36" s="1"/>
  <c r="K77" i="36"/>
  <c r="L77" i="36" s="1"/>
  <c r="H77" i="36"/>
  <c r="I77" i="36" s="1"/>
  <c r="F77" i="36"/>
  <c r="E77" i="36"/>
  <c r="N76" i="36"/>
  <c r="O76" i="36" s="1"/>
  <c r="L76" i="36"/>
  <c r="K76" i="36"/>
  <c r="H76" i="36"/>
  <c r="I76" i="36" s="1"/>
  <c r="F76" i="36"/>
  <c r="E76" i="36"/>
  <c r="O75" i="36"/>
  <c r="N75" i="36"/>
  <c r="K75" i="36"/>
  <c r="L75" i="36" s="1"/>
  <c r="H75" i="36"/>
  <c r="I75" i="36" s="1"/>
  <c r="F75" i="36"/>
  <c r="E75" i="36"/>
  <c r="O74" i="36"/>
  <c r="N74" i="36"/>
  <c r="K74" i="36"/>
  <c r="L74" i="36" s="1"/>
  <c r="H74" i="36"/>
  <c r="I74" i="36" s="1"/>
  <c r="F74" i="36"/>
  <c r="E74" i="36"/>
  <c r="O73" i="36"/>
  <c r="N73" i="36"/>
  <c r="K73" i="36"/>
  <c r="L73" i="36" s="1"/>
  <c r="H73" i="36"/>
  <c r="I73" i="36" s="1"/>
  <c r="F73" i="36"/>
  <c r="E73" i="36"/>
  <c r="O72" i="36"/>
  <c r="N72" i="36"/>
  <c r="L72" i="36"/>
  <c r="K72" i="36"/>
  <c r="H72" i="36"/>
  <c r="I72" i="36" s="1"/>
  <c r="F72" i="36"/>
  <c r="E72" i="36"/>
  <c r="N71" i="36"/>
  <c r="N91" i="36" s="1"/>
  <c r="K71" i="36"/>
  <c r="K91" i="36" s="1"/>
  <c r="H71" i="36"/>
  <c r="H91" i="36" s="1"/>
  <c r="F71" i="36"/>
  <c r="F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K61" i="36"/>
  <c r="L61" i="36" s="1"/>
  <c r="I61" i="36"/>
  <c r="H61" i="36"/>
  <c r="E61" i="36"/>
  <c r="F61" i="36" s="1"/>
  <c r="N60" i="36"/>
  <c r="O60" i="36" s="1"/>
  <c r="K60" i="36"/>
  <c r="L60" i="36" s="1"/>
  <c r="I60" i="36"/>
  <c r="H60" i="36"/>
  <c r="E60" i="36"/>
  <c r="F60" i="36" s="1"/>
  <c r="O59" i="36"/>
  <c r="N59" i="36"/>
  <c r="L59" i="36"/>
  <c r="K59" i="36"/>
  <c r="H59" i="36"/>
  <c r="I59" i="36" s="1"/>
  <c r="E59" i="36"/>
  <c r="F59" i="36" s="1"/>
  <c r="N58" i="36"/>
  <c r="O58" i="36" s="1"/>
  <c r="L58" i="36"/>
  <c r="K58" i="36"/>
  <c r="I58" i="36"/>
  <c r="H58" i="36"/>
  <c r="E58" i="36"/>
  <c r="F58" i="36" s="1"/>
  <c r="O57" i="36"/>
  <c r="N57" i="36"/>
  <c r="K57" i="36"/>
  <c r="L57" i="36" s="1"/>
  <c r="I57" i="36"/>
  <c r="H57" i="36"/>
  <c r="E57" i="36"/>
  <c r="F57" i="36" s="1"/>
  <c r="O56" i="36"/>
  <c r="N56" i="36"/>
  <c r="L56" i="36"/>
  <c r="K56" i="36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K54" i="36"/>
  <c r="L54" i="36" s="1"/>
  <c r="I54" i="36"/>
  <c r="H54" i="36"/>
  <c r="E54" i="36"/>
  <c r="F54" i="36" s="1"/>
  <c r="O53" i="36"/>
  <c r="N53" i="36"/>
  <c r="L53" i="36"/>
  <c r="K53" i="36"/>
  <c r="I53" i="36"/>
  <c r="H53" i="36"/>
  <c r="E53" i="36"/>
  <c r="F53" i="36" s="1"/>
  <c r="O52" i="36"/>
  <c r="N52" i="36"/>
  <c r="K52" i="36"/>
  <c r="L52" i="36" s="1"/>
  <c r="I52" i="36"/>
  <c r="H52" i="36"/>
  <c r="E52" i="36"/>
  <c r="F52" i="36" s="1"/>
  <c r="N51" i="36"/>
  <c r="O51" i="36" s="1"/>
  <c r="L51" i="36"/>
  <c r="K51" i="36"/>
  <c r="H51" i="36"/>
  <c r="I51" i="36" s="1"/>
  <c r="E51" i="36"/>
  <c r="F51" i="36" s="1"/>
  <c r="O50" i="36"/>
  <c r="N50" i="36"/>
  <c r="L50" i="36"/>
  <c r="K50" i="36"/>
  <c r="I50" i="36"/>
  <c r="H50" i="36"/>
  <c r="E50" i="36"/>
  <c r="F50" i="36" s="1"/>
  <c r="O49" i="36"/>
  <c r="N49" i="36"/>
  <c r="K49" i="36"/>
  <c r="L49" i="36" s="1"/>
  <c r="I49" i="36"/>
  <c r="H49" i="36"/>
  <c r="E49" i="36"/>
  <c r="F49" i="36" s="1"/>
  <c r="O48" i="36"/>
  <c r="N48" i="36"/>
  <c r="K48" i="36"/>
  <c r="L48" i="36" s="1"/>
  <c r="I48" i="36"/>
  <c r="H48" i="36"/>
  <c r="E48" i="36"/>
  <c r="F48" i="36" s="1"/>
  <c r="O47" i="36"/>
  <c r="N47" i="36"/>
  <c r="K47" i="36"/>
  <c r="L47" i="36" s="1"/>
  <c r="H47" i="36"/>
  <c r="I47" i="36" s="1"/>
  <c r="E47" i="36"/>
  <c r="F47" i="36" s="1"/>
  <c r="O46" i="36"/>
  <c r="N46" i="36"/>
  <c r="K46" i="36"/>
  <c r="L46" i="36" s="1"/>
  <c r="I46" i="36"/>
  <c r="H46" i="36"/>
  <c r="E46" i="36"/>
  <c r="F46" i="36" s="1"/>
  <c r="N45" i="36"/>
  <c r="O45" i="36" s="1"/>
  <c r="K45" i="36"/>
  <c r="L45" i="36" s="1"/>
  <c r="I45" i="36"/>
  <c r="H45" i="36"/>
  <c r="E45" i="36"/>
  <c r="F45" i="36" s="1"/>
  <c r="O44" i="36"/>
  <c r="N44" i="36"/>
  <c r="K44" i="36"/>
  <c r="I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E180" i="34"/>
  <c r="F180" i="34"/>
  <c r="H180" i="34"/>
  <c r="I180" i="34"/>
  <c r="E181" i="34"/>
  <c r="F181" i="34"/>
  <c r="H181" i="34"/>
  <c r="I181" i="34"/>
  <c r="E182" i="34"/>
  <c r="F182" i="34"/>
  <c r="H182" i="34"/>
  <c r="I182" i="34"/>
  <c r="E183" i="34"/>
  <c r="F183" i="34"/>
  <c r="H183" i="34"/>
  <c r="I183" i="34"/>
  <c r="E184" i="34"/>
  <c r="F184" i="34"/>
  <c r="H184" i="34"/>
  <c r="I184" i="34"/>
  <c r="E185" i="34"/>
  <c r="F185" i="34"/>
  <c r="H185" i="34"/>
  <c r="I185" i="34"/>
  <c r="E186" i="34"/>
  <c r="F186" i="34"/>
  <c r="H186" i="34"/>
  <c r="I186" i="34"/>
  <c r="E187" i="34"/>
  <c r="F187" i="34"/>
  <c r="H187" i="34"/>
  <c r="I187" i="34"/>
  <c r="E188" i="34"/>
  <c r="F188" i="34"/>
  <c r="H188" i="34"/>
  <c r="I188" i="34"/>
  <c r="E189" i="34"/>
  <c r="F189" i="34" s="1"/>
  <c r="H189" i="34"/>
  <c r="I189" i="34"/>
  <c r="E190" i="34"/>
  <c r="F190" i="34" s="1"/>
  <c r="H190" i="34"/>
  <c r="I190" i="34"/>
  <c r="E191" i="34"/>
  <c r="F191" i="34" s="1"/>
  <c r="H191" i="34"/>
  <c r="I191" i="34"/>
  <c r="E192" i="34"/>
  <c r="F192" i="34"/>
  <c r="H192" i="34"/>
  <c r="I192" i="34"/>
  <c r="E193" i="34"/>
  <c r="F193" i="34" s="1"/>
  <c r="H193" i="34"/>
  <c r="I193" i="34"/>
  <c r="E194" i="34"/>
  <c r="F194" i="34"/>
  <c r="H194" i="34"/>
  <c r="I194" i="34"/>
  <c r="E195" i="34"/>
  <c r="F195" i="34"/>
  <c r="H195" i="34"/>
  <c r="I195" i="34"/>
  <c r="E196" i="34"/>
  <c r="F196" i="34"/>
  <c r="H196" i="34"/>
  <c r="I196" i="34"/>
  <c r="E197" i="34"/>
  <c r="F197" i="34"/>
  <c r="H197" i="34"/>
  <c r="I197" i="34"/>
  <c r="E198" i="34"/>
  <c r="F198" i="34"/>
  <c r="H198" i="34"/>
  <c r="I198" i="34"/>
  <c r="H199" i="34"/>
  <c r="I199" i="34"/>
  <c r="B199" i="35"/>
  <c r="N198" i="35"/>
  <c r="O198" i="35" s="1"/>
  <c r="K198" i="35"/>
  <c r="L198" i="35" s="1"/>
  <c r="I198" i="35"/>
  <c r="H198" i="35"/>
  <c r="F198" i="35"/>
  <c r="E198" i="35"/>
  <c r="O197" i="35"/>
  <c r="N197" i="35"/>
  <c r="K197" i="35"/>
  <c r="L197" i="35" s="1"/>
  <c r="I197" i="35"/>
  <c r="H197" i="35"/>
  <c r="F197" i="35"/>
  <c r="E197" i="35"/>
  <c r="N196" i="35"/>
  <c r="O196" i="35" s="1"/>
  <c r="K196" i="35"/>
  <c r="L196" i="35" s="1"/>
  <c r="I196" i="35"/>
  <c r="H196" i="35"/>
  <c r="F196" i="35"/>
  <c r="E196" i="35"/>
  <c r="O195" i="35"/>
  <c r="N195" i="35"/>
  <c r="K195" i="35"/>
  <c r="L195" i="35" s="1"/>
  <c r="I195" i="35"/>
  <c r="H195" i="35"/>
  <c r="F195" i="35"/>
  <c r="E195" i="35"/>
  <c r="N194" i="35"/>
  <c r="O194" i="35" s="1"/>
  <c r="K194" i="35"/>
  <c r="L194" i="35" s="1"/>
  <c r="I194" i="35"/>
  <c r="H194" i="35"/>
  <c r="F194" i="35"/>
  <c r="E194" i="35"/>
  <c r="O193" i="35"/>
  <c r="N193" i="35"/>
  <c r="K193" i="35"/>
  <c r="L193" i="35" s="1"/>
  <c r="I193" i="35"/>
  <c r="H193" i="35"/>
  <c r="F193" i="35"/>
  <c r="E193" i="35"/>
  <c r="N192" i="35"/>
  <c r="O192" i="35" s="1"/>
  <c r="K192" i="35"/>
  <c r="L192" i="35" s="1"/>
  <c r="I192" i="35"/>
  <c r="H192" i="35"/>
  <c r="F192" i="35"/>
  <c r="E192" i="35"/>
  <c r="N191" i="35"/>
  <c r="O191" i="35" s="1"/>
  <c r="K191" i="35"/>
  <c r="L191" i="35" s="1"/>
  <c r="I191" i="35"/>
  <c r="H191" i="35"/>
  <c r="F191" i="35"/>
  <c r="E191" i="35"/>
  <c r="N190" i="35"/>
  <c r="O190" i="35" s="1"/>
  <c r="K190" i="35"/>
  <c r="L190" i="35" s="1"/>
  <c r="I190" i="35"/>
  <c r="H190" i="35"/>
  <c r="F190" i="35"/>
  <c r="E190" i="35"/>
  <c r="O189" i="35"/>
  <c r="N189" i="35"/>
  <c r="K189" i="35"/>
  <c r="L189" i="35" s="1"/>
  <c r="I189" i="35"/>
  <c r="H189" i="35"/>
  <c r="F189" i="35"/>
  <c r="E189" i="35"/>
  <c r="N188" i="35"/>
  <c r="O188" i="35" s="1"/>
  <c r="K188" i="35"/>
  <c r="L188" i="35" s="1"/>
  <c r="I188" i="35"/>
  <c r="H188" i="35"/>
  <c r="F188" i="35"/>
  <c r="E188" i="35"/>
  <c r="O187" i="35"/>
  <c r="N187" i="35"/>
  <c r="K187" i="35"/>
  <c r="L187" i="35" s="1"/>
  <c r="I187" i="35"/>
  <c r="H187" i="35"/>
  <c r="F187" i="35"/>
  <c r="E187" i="35"/>
  <c r="N186" i="35"/>
  <c r="O186" i="35" s="1"/>
  <c r="K186" i="35"/>
  <c r="L186" i="35" s="1"/>
  <c r="I186" i="35"/>
  <c r="H186" i="35"/>
  <c r="F186" i="35"/>
  <c r="E186" i="35"/>
  <c r="O185" i="35"/>
  <c r="N185" i="35"/>
  <c r="K185" i="35"/>
  <c r="L185" i="35" s="1"/>
  <c r="I185" i="35"/>
  <c r="H185" i="35"/>
  <c r="F185" i="35"/>
  <c r="E185" i="35"/>
  <c r="N184" i="35"/>
  <c r="O184" i="35" s="1"/>
  <c r="K184" i="35"/>
  <c r="L184" i="35" s="1"/>
  <c r="I184" i="35"/>
  <c r="H184" i="35"/>
  <c r="F184" i="35"/>
  <c r="E184" i="35"/>
  <c r="N183" i="35"/>
  <c r="O183" i="35" s="1"/>
  <c r="K183" i="35"/>
  <c r="L183" i="35" s="1"/>
  <c r="I183" i="35"/>
  <c r="H183" i="35"/>
  <c r="F183" i="35"/>
  <c r="E183" i="35"/>
  <c r="N182" i="35"/>
  <c r="O182" i="35" s="1"/>
  <c r="K182" i="35"/>
  <c r="L182" i="35" s="1"/>
  <c r="I182" i="35"/>
  <c r="H182" i="35"/>
  <c r="F182" i="35"/>
  <c r="E182" i="35"/>
  <c r="O181" i="35"/>
  <c r="N181" i="35"/>
  <c r="K181" i="35"/>
  <c r="L181" i="35" s="1"/>
  <c r="I181" i="35"/>
  <c r="H181" i="35"/>
  <c r="F181" i="35"/>
  <c r="E181" i="35"/>
  <c r="N180" i="35"/>
  <c r="O180" i="35" s="1"/>
  <c r="K180" i="35"/>
  <c r="L180" i="35" s="1"/>
  <c r="I180" i="35"/>
  <c r="H180" i="35"/>
  <c r="F180" i="35"/>
  <c r="E180" i="35"/>
  <c r="N179" i="35"/>
  <c r="K179" i="35"/>
  <c r="K199" i="35" s="1"/>
  <c r="I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K171" i="35"/>
  <c r="L171" i="35" s="1"/>
  <c r="I171" i="35"/>
  <c r="H171" i="35"/>
  <c r="E171" i="35"/>
  <c r="F171" i="35" s="1"/>
  <c r="N170" i="35"/>
  <c r="O170" i="35" s="1"/>
  <c r="K170" i="35"/>
  <c r="L170" i="35" s="1"/>
  <c r="H170" i="35"/>
  <c r="I170" i="35" s="1"/>
  <c r="E170" i="35"/>
  <c r="F170" i="35" s="1"/>
  <c r="O169" i="35"/>
  <c r="N169" i="35"/>
  <c r="K169" i="35"/>
  <c r="L169" i="35" s="1"/>
  <c r="H169" i="35"/>
  <c r="I169" i="35" s="1"/>
  <c r="E169" i="35"/>
  <c r="F169" i="35" s="1"/>
  <c r="O168" i="35"/>
  <c r="N168" i="35"/>
  <c r="K168" i="35"/>
  <c r="L168" i="35" s="1"/>
  <c r="H168" i="35"/>
  <c r="I168" i="35" s="1"/>
  <c r="E168" i="35"/>
  <c r="F168" i="35" s="1"/>
  <c r="N167" i="35"/>
  <c r="O167" i="35" s="1"/>
  <c r="K167" i="35"/>
  <c r="L167" i="35" s="1"/>
  <c r="I167" i="35"/>
  <c r="H167" i="35"/>
  <c r="E167" i="35"/>
  <c r="F167" i="35" s="1"/>
  <c r="O166" i="35"/>
  <c r="N166" i="35"/>
  <c r="K166" i="35"/>
  <c r="L166" i="35" s="1"/>
  <c r="H166" i="35"/>
  <c r="I166" i="35" s="1"/>
  <c r="E166" i="35"/>
  <c r="F166" i="35" s="1"/>
  <c r="N165" i="35"/>
  <c r="O165" i="35" s="1"/>
  <c r="L165" i="35"/>
  <c r="K165" i="35"/>
  <c r="H165" i="35"/>
  <c r="I165" i="35" s="1"/>
  <c r="E165" i="35"/>
  <c r="F165" i="35" s="1"/>
  <c r="N164" i="35"/>
  <c r="O164" i="35" s="1"/>
  <c r="K164" i="35"/>
  <c r="L164" i="35" s="1"/>
  <c r="H164" i="35"/>
  <c r="I164" i="35" s="1"/>
  <c r="E164" i="35"/>
  <c r="F164" i="35" s="1"/>
  <c r="O163" i="35"/>
  <c r="N163" i="35"/>
  <c r="L163" i="35"/>
  <c r="K163" i="35"/>
  <c r="I163" i="35"/>
  <c r="H163" i="35"/>
  <c r="E163" i="35"/>
  <c r="F163" i="35" s="1"/>
  <c r="N162" i="35"/>
  <c r="O162" i="35" s="1"/>
  <c r="K162" i="35"/>
  <c r="L162" i="35" s="1"/>
  <c r="H162" i="35"/>
  <c r="I162" i="35" s="1"/>
  <c r="E162" i="35"/>
  <c r="F162" i="35" s="1"/>
  <c r="O161" i="35"/>
  <c r="N161" i="35"/>
  <c r="K161" i="35"/>
  <c r="L161" i="35" s="1"/>
  <c r="H161" i="35"/>
  <c r="I161" i="35" s="1"/>
  <c r="E161" i="35"/>
  <c r="F161" i="35" s="1"/>
  <c r="O160" i="35"/>
  <c r="N160" i="35"/>
  <c r="K160" i="35"/>
  <c r="L160" i="35" s="1"/>
  <c r="H160" i="35"/>
  <c r="I160" i="35" s="1"/>
  <c r="E160" i="35"/>
  <c r="F160" i="35" s="1"/>
  <c r="N159" i="35"/>
  <c r="O159" i="35" s="1"/>
  <c r="K159" i="35"/>
  <c r="L159" i="35" s="1"/>
  <c r="I159" i="35"/>
  <c r="H159" i="35"/>
  <c r="E159" i="35"/>
  <c r="F159" i="35" s="1"/>
  <c r="O158" i="35"/>
  <c r="N158" i="35"/>
  <c r="L158" i="35"/>
  <c r="K158" i="35"/>
  <c r="H158" i="35"/>
  <c r="I158" i="35" s="1"/>
  <c r="E158" i="35"/>
  <c r="F158" i="35" s="1"/>
  <c r="N157" i="35"/>
  <c r="O157" i="35" s="1"/>
  <c r="K157" i="35"/>
  <c r="L157" i="35" s="1"/>
  <c r="H157" i="35"/>
  <c r="I157" i="35" s="1"/>
  <c r="E157" i="35"/>
  <c r="F157" i="35" s="1"/>
  <c r="N156" i="35"/>
  <c r="O156" i="35" s="1"/>
  <c r="L156" i="35"/>
  <c r="K156" i="35"/>
  <c r="H156" i="35"/>
  <c r="I156" i="35" s="1"/>
  <c r="E156" i="35"/>
  <c r="F156" i="35" s="1"/>
  <c r="N155" i="35"/>
  <c r="O155" i="35" s="1"/>
  <c r="K155" i="35"/>
  <c r="L155" i="35" s="1"/>
  <c r="I155" i="35"/>
  <c r="H155" i="35"/>
  <c r="E155" i="35"/>
  <c r="F155" i="35" s="1"/>
  <c r="N154" i="35"/>
  <c r="O154" i="35" s="1"/>
  <c r="K154" i="35"/>
  <c r="L154" i="35" s="1"/>
  <c r="H154" i="35"/>
  <c r="I154" i="35" s="1"/>
  <c r="E154" i="35"/>
  <c r="F154" i="35" s="1"/>
  <c r="O153" i="35"/>
  <c r="N153" i="35"/>
  <c r="K153" i="35"/>
  <c r="L153" i="35" s="1"/>
  <c r="H153" i="35"/>
  <c r="I153" i="35" s="1"/>
  <c r="E153" i="35"/>
  <c r="F153" i="35" s="1"/>
  <c r="N152" i="35"/>
  <c r="K152" i="35"/>
  <c r="H152" i="35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K142" i="35"/>
  <c r="L142" i="35" s="1"/>
  <c r="I142" i="35"/>
  <c r="H142" i="35"/>
  <c r="E142" i="35"/>
  <c r="F142" i="35" s="1"/>
  <c r="O141" i="35"/>
  <c r="N141" i="35"/>
  <c r="L141" i="35"/>
  <c r="K141" i="35"/>
  <c r="H141" i="35"/>
  <c r="I141" i="35" s="1"/>
  <c r="E141" i="35"/>
  <c r="F141" i="35" s="1"/>
  <c r="O140" i="35"/>
  <c r="N140" i="35"/>
  <c r="L140" i="35"/>
  <c r="K140" i="35"/>
  <c r="H140" i="35"/>
  <c r="I140" i="35" s="1"/>
  <c r="E140" i="35"/>
  <c r="F140" i="35" s="1"/>
  <c r="O139" i="35"/>
  <c r="N139" i="35"/>
  <c r="L139" i="35"/>
  <c r="K139" i="35"/>
  <c r="I139" i="35"/>
  <c r="H139" i="35"/>
  <c r="E139" i="35"/>
  <c r="F139" i="35" s="1"/>
  <c r="N138" i="35"/>
  <c r="O138" i="35" s="1"/>
  <c r="K138" i="35"/>
  <c r="L138" i="35" s="1"/>
  <c r="I138" i="35"/>
  <c r="H138" i="35"/>
  <c r="E138" i="35"/>
  <c r="F138" i="35" s="1"/>
  <c r="N137" i="35"/>
  <c r="O137" i="35" s="1"/>
  <c r="L137" i="35"/>
  <c r="K137" i="35"/>
  <c r="H137" i="35"/>
  <c r="I137" i="35" s="1"/>
  <c r="E137" i="35"/>
  <c r="F137" i="35" s="1"/>
  <c r="N136" i="35"/>
  <c r="O136" i="35" s="1"/>
  <c r="L136" i="35"/>
  <c r="K136" i="35"/>
  <c r="H136" i="35"/>
  <c r="I136" i="35" s="1"/>
  <c r="E136" i="35"/>
  <c r="F136" i="35" s="1"/>
  <c r="N135" i="35"/>
  <c r="O135" i="35" s="1"/>
  <c r="L135" i="35"/>
  <c r="K135" i="35"/>
  <c r="I135" i="35"/>
  <c r="H135" i="35"/>
  <c r="E135" i="35"/>
  <c r="F135" i="35" s="1"/>
  <c r="O134" i="35"/>
  <c r="N134" i="35"/>
  <c r="K134" i="35"/>
  <c r="L134" i="35" s="1"/>
  <c r="I134" i="35"/>
  <c r="H134" i="35"/>
  <c r="E134" i="35"/>
  <c r="F134" i="35" s="1"/>
  <c r="O133" i="35"/>
  <c r="N133" i="35"/>
  <c r="L133" i="35"/>
  <c r="K133" i="35"/>
  <c r="H133" i="35"/>
  <c r="I133" i="35" s="1"/>
  <c r="E133" i="35"/>
  <c r="F133" i="35" s="1"/>
  <c r="O132" i="35"/>
  <c r="N132" i="35"/>
  <c r="L132" i="35"/>
  <c r="K132" i="35"/>
  <c r="H132" i="35"/>
  <c r="I132" i="35" s="1"/>
  <c r="E132" i="35"/>
  <c r="F132" i="35" s="1"/>
  <c r="O131" i="35"/>
  <c r="N131" i="35"/>
  <c r="L131" i="35"/>
  <c r="K131" i="35"/>
  <c r="I131" i="35"/>
  <c r="H131" i="35"/>
  <c r="E131" i="35"/>
  <c r="F131" i="35" s="1"/>
  <c r="N130" i="35"/>
  <c r="O130" i="35" s="1"/>
  <c r="K130" i="35"/>
  <c r="L130" i="35" s="1"/>
  <c r="I130" i="35"/>
  <c r="H130" i="35"/>
  <c r="E130" i="35"/>
  <c r="F130" i="35" s="1"/>
  <c r="N129" i="35"/>
  <c r="O129" i="35" s="1"/>
  <c r="L129" i="35"/>
  <c r="K129" i="35"/>
  <c r="H129" i="35"/>
  <c r="I129" i="35" s="1"/>
  <c r="E129" i="35"/>
  <c r="F129" i="35" s="1"/>
  <c r="N128" i="35"/>
  <c r="O128" i="35" s="1"/>
  <c r="L128" i="35"/>
  <c r="K128" i="35"/>
  <c r="H128" i="35"/>
  <c r="I128" i="35" s="1"/>
  <c r="E128" i="35"/>
  <c r="F128" i="35" s="1"/>
  <c r="N127" i="35"/>
  <c r="O127" i="35" s="1"/>
  <c r="L127" i="35"/>
  <c r="K127" i="35"/>
  <c r="I127" i="35"/>
  <c r="H127" i="35"/>
  <c r="E127" i="35"/>
  <c r="F127" i="35" s="1"/>
  <c r="O126" i="35"/>
  <c r="N126" i="35"/>
  <c r="K126" i="35"/>
  <c r="L126" i="35" s="1"/>
  <c r="I126" i="35"/>
  <c r="H126" i="35"/>
  <c r="E126" i="35"/>
  <c r="F126" i="35" s="1"/>
  <c r="O125" i="35"/>
  <c r="N125" i="35"/>
  <c r="L125" i="35"/>
  <c r="K125" i="35"/>
  <c r="H125" i="35"/>
  <c r="H145" i="35" s="1"/>
  <c r="E125" i="35"/>
  <c r="E145" i="35" s="1"/>
  <c r="M123" i="35"/>
  <c r="J123" i="35"/>
  <c r="G123" i="35"/>
  <c r="D123" i="35"/>
  <c r="B123" i="35"/>
  <c r="M122" i="35"/>
  <c r="G122" i="35"/>
  <c r="B118" i="35"/>
  <c r="N117" i="35"/>
  <c r="O117" i="35" s="1"/>
  <c r="L117" i="35"/>
  <c r="K117" i="35"/>
  <c r="H117" i="35"/>
  <c r="I117" i="35" s="1"/>
  <c r="E117" i="35"/>
  <c r="F117" i="35" s="1"/>
  <c r="O116" i="35"/>
  <c r="N116" i="35"/>
  <c r="K116" i="35"/>
  <c r="L116" i="35" s="1"/>
  <c r="H116" i="35"/>
  <c r="I116" i="35" s="1"/>
  <c r="E116" i="35"/>
  <c r="F116" i="35" s="1"/>
  <c r="N115" i="35"/>
  <c r="O115" i="35" s="1"/>
  <c r="L115" i="35"/>
  <c r="K115" i="35"/>
  <c r="I115" i="35"/>
  <c r="H115" i="35"/>
  <c r="E115" i="35"/>
  <c r="F115" i="35" s="1"/>
  <c r="O114" i="35"/>
  <c r="N114" i="35"/>
  <c r="K114" i="35"/>
  <c r="L114" i="35" s="1"/>
  <c r="H114" i="35"/>
  <c r="I114" i="35" s="1"/>
  <c r="E114" i="35"/>
  <c r="F114" i="35" s="1"/>
  <c r="O113" i="35"/>
  <c r="N113" i="35"/>
  <c r="L113" i="35"/>
  <c r="K113" i="35"/>
  <c r="H113" i="35"/>
  <c r="I113" i="35" s="1"/>
  <c r="E113" i="35"/>
  <c r="F113" i="35" s="1"/>
  <c r="N112" i="35"/>
  <c r="O112" i="35" s="1"/>
  <c r="K112" i="35"/>
  <c r="L112" i="35" s="1"/>
  <c r="H112" i="35"/>
  <c r="I112" i="35" s="1"/>
  <c r="E112" i="35"/>
  <c r="F112" i="35" s="1"/>
  <c r="O111" i="35"/>
  <c r="N111" i="35"/>
  <c r="L111" i="35"/>
  <c r="K111" i="35"/>
  <c r="I111" i="35"/>
  <c r="H111" i="35"/>
  <c r="E111" i="35"/>
  <c r="F111" i="35" s="1"/>
  <c r="N110" i="35"/>
  <c r="O110" i="35" s="1"/>
  <c r="L110" i="35"/>
  <c r="K110" i="35"/>
  <c r="H110" i="35"/>
  <c r="I110" i="35" s="1"/>
  <c r="E110" i="35"/>
  <c r="F110" i="35" s="1"/>
  <c r="O109" i="35"/>
  <c r="N109" i="35"/>
  <c r="K109" i="35"/>
  <c r="L109" i="35" s="1"/>
  <c r="H109" i="35"/>
  <c r="I109" i="35" s="1"/>
  <c r="E109" i="35"/>
  <c r="F109" i="35" s="1"/>
  <c r="O108" i="35"/>
  <c r="N108" i="35"/>
  <c r="L108" i="35"/>
  <c r="K108" i="35"/>
  <c r="H108" i="35"/>
  <c r="I108" i="35" s="1"/>
  <c r="E108" i="35"/>
  <c r="F108" i="35" s="1"/>
  <c r="O107" i="35"/>
  <c r="N107" i="35"/>
  <c r="K107" i="35"/>
  <c r="L107" i="35" s="1"/>
  <c r="I107" i="35"/>
  <c r="H107" i="35"/>
  <c r="E107" i="35"/>
  <c r="F107" i="35" s="1"/>
  <c r="N106" i="35"/>
  <c r="O106" i="35" s="1"/>
  <c r="K106" i="35"/>
  <c r="L106" i="35" s="1"/>
  <c r="H106" i="35"/>
  <c r="I106" i="35" s="1"/>
  <c r="E106" i="35"/>
  <c r="F106" i="35" s="1"/>
  <c r="N105" i="35"/>
  <c r="O105" i="35" s="1"/>
  <c r="K105" i="35"/>
  <c r="L105" i="35" s="1"/>
  <c r="H105" i="35"/>
  <c r="I105" i="35" s="1"/>
  <c r="E105" i="35"/>
  <c r="F105" i="35" s="1"/>
  <c r="O104" i="35"/>
  <c r="N104" i="35"/>
  <c r="K104" i="35"/>
  <c r="L104" i="35" s="1"/>
  <c r="H104" i="35"/>
  <c r="I104" i="35" s="1"/>
  <c r="E104" i="35"/>
  <c r="F104" i="35" s="1"/>
  <c r="O103" i="35"/>
  <c r="N103" i="35"/>
  <c r="K103" i="35"/>
  <c r="L103" i="35" s="1"/>
  <c r="I103" i="35"/>
  <c r="H103" i="35"/>
  <c r="E103" i="35"/>
  <c r="F103" i="35" s="1"/>
  <c r="N102" i="35"/>
  <c r="O102" i="35" s="1"/>
  <c r="K102" i="35"/>
  <c r="L102" i="35" s="1"/>
  <c r="H102" i="35"/>
  <c r="I102" i="35" s="1"/>
  <c r="E102" i="35"/>
  <c r="F102" i="35" s="1"/>
  <c r="O101" i="35"/>
  <c r="N101" i="35"/>
  <c r="L101" i="35"/>
  <c r="K101" i="35"/>
  <c r="H101" i="35"/>
  <c r="I101" i="35" s="1"/>
  <c r="E101" i="35"/>
  <c r="F101" i="35" s="1"/>
  <c r="N100" i="35"/>
  <c r="O100" i="35" s="1"/>
  <c r="K100" i="35"/>
  <c r="L100" i="35" s="1"/>
  <c r="H100" i="35"/>
  <c r="I100" i="35" s="1"/>
  <c r="E100" i="35"/>
  <c r="F100" i="35" s="1"/>
  <c r="N99" i="35"/>
  <c r="O99" i="35" s="1"/>
  <c r="L99" i="35"/>
  <c r="K99" i="35"/>
  <c r="I99" i="35"/>
  <c r="H99" i="35"/>
  <c r="E99" i="35"/>
  <c r="F99" i="35" s="1"/>
  <c r="N98" i="35"/>
  <c r="K98" i="35"/>
  <c r="K118" i="35" s="1"/>
  <c r="H98" i="35"/>
  <c r="H118" i="35" s="1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L90" i="35"/>
  <c r="K90" i="35"/>
  <c r="H90" i="35"/>
  <c r="I90" i="35" s="1"/>
  <c r="F90" i="35"/>
  <c r="E90" i="35"/>
  <c r="N89" i="35"/>
  <c r="O89" i="35" s="1"/>
  <c r="K89" i="35"/>
  <c r="L89" i="35" s="1"/>
  <c r="H89" i="35"/>
  <c r="I89" i="35" s="1"/>
  <c r="F89" i="35"/>
  <c r="E89" i="35"/>
  <c r="O88" i="35"/>
  <c r="N88" i="35"/>
  <c r="L88" i="35"/>
  <c r="K88" i="35"/>
  <c r="H88" i="35"/>
  <c r="I88" i="35" s="1"/>
  <c r="F88" i="35"/>
  <c r="E88" i="35"/>
  <c r="N87" i="35"/>
  <c r="O87" i="35" s="1"/>
  <c r="K87" i="35"/>
  <c r="L87" i="35" s="1"/>
  <c r="H87" i="35"/>
  <c r="I87" i="35" s="1"/>
  <c r="F87" i="35"/>
  <c r="E87" i="35"/>
  <c r="O86" i="35"/>
  <c r="N86" i="35"/>
  <c r="L86" i="35"/>
  <c r="K86" i="35"/>
  <c r="H86" i="35"/>
  <c r="I86" i="35" s="1"/>
  <c r="F86" i="35"/>
  <c r="E86" i="35"/>
  <c r="O85" i="35"/>
  <c r="N85" i="35"/>
  <c r="L85" i="35"/>
  <c r="K85" i="35"/>
  <c r="H85" i="35"/>
  <c r="I85" i="35" s="1"/>
  <c r="F85" i="35"/>
  <c r="E85" i="35"/>
  <c r="N84" i="35"/>
  <c r="O84" i="35" s="1"/>
  <c r="L84" i="35"/>
  <c r="K84" i="35"/>
  <c r="H84" i="35"/>
  <c r="I84" i="35" s="1"/>
  <c r="F84" i="35"/>
  <c r="E84" i="35"/>
  <c r="N83" i="35"/>
  <c r="O83" i="35" s="1"/>
  <c r="K83" i="35"/>
  <c r="L83" i="35" s="1"/>
  <c r="H83" i="35"/>
  <c r="I83" i="35" s="1"/>
  <c r="F83" i="35"/>
  <c r="E83" i="35"/>
  <c r="O82" i="35"/>
  <c r="N82" i="35"/>
  <c r="L82" i="35"/>
  <c r="K82" i="35"/>
  <c r="H82" i="35"/>
  <c r="I82" i="35" s="1"/>
  <c r="F82" i="35"/>
  <c r="E82" i="35"/>
  <c r="N81" i="35"/>
  <c r="O81" i="35" s="1"/>
  <c r="L81" i="35"/>
  <c r="K81" i="35"/>
  <c r="H81" i="35"/>
  <c r="I81" i="35" s="1"/>
  <c r="F81" i="35"/>
  <c r="E81" i="35"/>
  <c r="N80" i="35"/>
  <c r="O80" i="35" s="1"/>
  <c r="L80" i="35"/>
  <c r="K80" i="35"/>
  <c r="H80" i="35"/>
  <c r="I80" i="35" s="1"/>
  <c r="F80" i="35"/>
  <c r="E80" i="35"/>
  <c r="N79" i="35"/>
  <c r="O79" i="35" s="1"/>
  <c r="K79" i="35"/>
  <c r="L79" i="35" s="1"/>
  <c r="H79" i="35"/>
  <c r="I79" i="35" s="1"/>
  <c r="F79" i="35"/>
  <c r="E79" i="35"/>
  <c r="N78" i="35"/>
  <c r="O78" i="35" s="1"/>
  <c r="L78" i="35"/>
  <c r="K78" i="35"/>
  <c r="H78" i="35"/>
  <c r="I78" i="35" s="1"/>
  <c r="F78" i="35"/>
  <c r="E78" i="35"/>
  <c r="N77" i="35"/>
  <c r="O77" i="35" s="1"/>
  <c r="L77" i="35"/>
  <c r="K77" i="35"/>
  <c r="H77" i="35"/>
  <c r="I77" i="35" s="1"/>
  <c r="F77" i="35"/>
  <c r="E77" i="35"/>
  <c r="N76" i="35"/>
  <c r="O76" i="35" s="1"/>
  <c r="L76" i="35"/>
  <c r="K76" i="35"/>
  <c r="H76" i="35"/>
  <c r="I76" i="35" s="1"/>
  <c r="F76" i="35"/>
  <c r="E76" i="35"/>
  <c r="O75" i="35"/>
  <c r="N75" i="35"/>
  <c r="K75" i="35"/>
  <c r="L75" i="35" s="1"/>
  <c r="H75" i="35"/>
  <c r="I75" i="35" s="1"/>
  <c r="F75" i="35"/>
  <c r="E75" i="35"/>
  <c r="N74" i="35"/>
  <c r="O74" i="35" s="1"/>
  <c r="L74" i="35"/>
  <c r="K74" i="35"/>
  <c r="H74" i="35"/>
  <c r="I74" i="35" s="1"/>
  <c r="F74" i="35"/>
  <c r="E74" i="35"/>
  <c r="O73" i="35"/>
  <c r="N73" i="35"/>
  <c r="L73" i="35"/>
  <c r="K73" i="35"/>
  <c r="H73" i="35"/>
  <c r="I73" i="35" s="1"/>
  <c r="F73" i="35"/>
  <c r="E73" i="35"/>
  <c r="O72" i="35"/>
  <c r="N72" i="35"/>
  <c r="L72" i="35"/>
  <c r="K72" i="35"/>
  <c r="H72" i="35"/>
  <c r="I72" i="35" s="1"/>
  <c r="F72" i="35"/>
  <c r="E72" i="35"/>
  <c r="N71" i="35"/>
  <c r="N91" i="35" s="1"/>
  <c r="K71" i="35"/>
  <c r="K91" i="35" s="1"/>
  <c r="H71" i="35"/>
  <c r="H91" i="35" s="1"/>
  <c r="F71" i="35"/>
  <c r="F91" i="35" s="1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N61" i="35"/>
  <c r="O61" i="35" s="1"/>
  <c r="L61" i="35"/>
  <c r="K61" i="35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N59" i="35"/>
  <c r="O59" i="35" s="1"/>
  <c r="L59" i="35"/>
  <c r="K59" i="35"/>
  <c r="H59" i="35"/>
  <c r="I59" i="35" s="1"/>
  <c r="F59" i="35"/>
  <c r="E59" i="35"/>
  <c r="O58" i="35"/>
  <c r="N58" i="35"/>
  <c r="K58" i="35"/>
  <c r="L58" i="35" s="1"/>
  <c r="H58" i="35"/>
  <c r="I58" i="35" s="1"/>
  <c r="F58" i="35"/>
  <c r="E58" i="35"/>
  <c r="N57" i="35"/>
  <c r="O57" i="35" s="1"/>
  <c r="L57" i="35"/>
  <c r="K57" i="35"/>
  <c r="H57" i="35"/>
  <c r="I57" i="35" s="1"/>
  <c r="F57" i="35"/>
  <c r="E57" i="35"/>
  <c r="N56" i="35"/>
  <c r="O56" i="35" s="1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N54" i="35"/>
  <c r="O54" i="35" s="1"/>
  <c r="K54" i="35"/>
  <c r="L54" i="35" s="1"/>
  <c r="H54" i="35"/>
  <c r="I54" i="35" s="1"/>
  <c r="F54" i="35"/>
  <c r="E54" i="35"/>
  <c r="O53" i="35"/>
  <c r="N53" i="35"/>
  <c r="L53" i="35"/>
  <c r="K53" i="35"/>
  <c r="H53" i="35"/>
  <c r="I53" i="35" s="1"/>
  <c r="F53" i="35"/>
  <c r="E53" i="35"/>
  <c r="O52" i="35"/>
  <c r="N52" i="35"/>
  <c r="K52" i="35"/>
  <c r="L52" i="35" s="1"/>
  <c r="H52" i="35"/>
  <c r="I52" i="35" s="1"/>
  <c r="F52" i="35"/>
  <c r="E52" i="35"/>
  <c r="N51" i="35"/>
  <c r="O51" i="35" s="1"/>
  <c r="L51" i="35"/>
  <c r="K51" i="35"/>
  <c r="H51" i="35"/>
  <c r="I51" i="35" s="1"/>
  <c r="F51" i="35"/>
  <c r="E51" i="35"/>
  <c r="N50" i="35"/>
  <c r="O50" i="35" s="1"/>
  <c r="K50" i="35"/>
  <c r="L50" i="35" s="1"/>
  <c r="H50" i="35"/>
  <c r="I50" i="35" s="1"/>
  <c r="F50" i="35"/>
  <c r="E50" i="35"/>
  <c r="N49" i="35"/>
  <c r="O49" i="35" s="1"/>
  <c r="L49" i="35"/>
  <c r="K49" i="35"/>
  <c r="H49" i="35"/>
  <c r="I49" i="35" s="1"/>
  <c r="F49" i="35"/>
  <c r="E49" i="35"/>
  <c r="N48" i="35"/>
  <c r="O48" i="35" s="1"/>
  <c r="K48" i="35"/>
  <c r="L48" i="35" s="1"/>
  <c r="H48" i="35"/>
  <c r="I48" i="35" s="1"/>
  <c r="F48" i="35"/>
  <c r="E48" i="35"/>
  <c r="O47" i="35"/>
  <c r="N47" i="35"/>
  <c r="L47" i="35"/>
  <c r="K47" i="35"/>
  <c r="H47" i="35"/>
  <c r="I47" i="35" s="1"/>
  <c r="F47" i="35"/>
  <c r="E47" i="35"/>
  <c r="N46" i="35"/>
  <c r="O46" i="35" s="1"/>
  <c r="K46" i="35"/>
  <c r="L46" i="35" s="1"/>
  <c r="H46" i="35"/>
  <c r="I46" i="35" s="1"/>
  <c r="F46" i="35"/>
  <c r="E46" i="35"/>
  <c r="N45" i="35"/>
  <c r="O45" i="35" s="1"/>
  <c r="L45" i="35"/>
  <c r="K45" i="35"/>
  <c r="H45" i="35"/>
  <c r="I45" i="35" s="1"/>
  <c r="F45" i="35"/>
  <c r="E45" i="35"/>
  <c r="O44" i="35"/>
  <c r="N44" i="35"/>
  <c r="K44" i="35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I104" i="34"/>
  <c r="H104" i="34"/>
  <c r="K199" i="40" l="1"/>
  <c r="L179" i="40"/>
  <c r="L199" i="40" s="1"/>
  <c r="L152" i="40"/>
  <c r="L172" i="40" s="1"/>
  <c r="L125" i="40"/>
  <c r="L145" i="40" s="1"/>
  <c r="L118" i="40"/>
  <c r="K118" i="40"/>
  <c r="L91" i="40"/>
  <c r="G7" i="40" s="1"/>
  <c r="K91" i="40"/>
  <c r="K17" i="40"/>
  <c r="K37" i="40" s="1"/>
  <c r="K32" i="40"/>
  <c r="L44" i="40"/>
  <c r="L54" i="40"/>
  <c r="L27" i="40" s="1"/>
  <c r="L56" i="40"/>
  <c r="L29" i="40" s="1"/>
  <c r="I179" i="40"/>
  <c r="I199" i="40" s="1"/>
  <c r="I152" i="40"/>
  <c r="I172" i="40" s="1"/>
  <c r="I98" i="40"/>
  <c r="I118" i="40" s="1"/>
  <c r="I91" i="40"/>
  <c r="H91" i="40"/>
  <c r="I44" i="40"/>
  <c r="I52" i="40"/>
  <c r="I25" i="40" s="1"/>
  <c r="I60" i="40"/>
  <c r="I33" i="40" s="1"/>
  <c r="F152" i="40"/>
  <c r="F172" i="40" s="1"/>
  <c r="F98" i="40"/>
  <c r="F118" i="40" s="1"/>
  <c r="F71" i="40"/>
  <c r="F91" i="40" s="1"/>
  <c r="F44" i="40"/>
  <c r="F49" i="40"/>
  <c r="F22" i="40" s="1"/>
  <c r="F51" i="40"/>
  <c r="F24" i="40" s="1"/>
  <c r="F53" i="40"/>
  <c r="F26" i="40" s="1"/>
  <c r="F55" i="40"/>
  <c r="F28" i="40" s="1"/>
  <c r="F57" i="40"/>
  <c r="F30" i="40" s="1"/>
  <c r="F59" i="40"/>
  <c r="F32" i="40" s="1"/>
  <c r="O199" i="39"/>
  <c r="N199" i="39"/>
  <c r="N172" i="39"/>
  <c r="O172" i="39"/>
  <c r="N145" i="39"/>
  <c r="O145" i="39"/>
  <c r="N118" i="39"/>
  <c r="O118" i="39"/>
  <c r="N91" i="39"/>
  <c r="O91" i="39"/>
  <c r="O44" i="39"/>
  <c r="O64" i="39" s="1"/>
  <c r="O91" i="40"/>
  <c r="E37" i="40"/>
  <c r="N37" i="40"/>
  <c r="O37" i="40"/>
  <c r="H37" i="40"/>
  <c r="G3" i="40"/>
  <c r="G9" i="40"/>
  <c r="K199" i="39"/>
  <c r="L179" i="39"/>
  <c r="L199" i="39" s="1"/>
  <c r="L152" i="39"/>
  <c r="L172" i="39" s="1"/>
  <c r="K145" i="39"/>
  <c r="L125" i="39"/>
  <c r="L145" i="39" s="1"/>
  <c r="K118" i="39"/>
  <c r="L98" i="39"/>
  <c r="L118" i="39" s="1"/>
  <c r="L71" i="39"/>
  <c r="L91" i="39" s="1"/>
  <c r="K64" i="39"/>
  <c r="L44" i="39"/>
  <c r="L64" i="39" s="1"/>
  <c r="H199" i="39"/>
  <c r="I179" i="39"/>
  <c r="I199" i="39" s="1"/>
  <c r="I172" i="39"/>
  <c r="H172" i="39"/>
  <c r="I125" i="39"/>
  <c r="I145" i="39" s="1"/>
  <c r="I98" i="39"/>
  <c r="I118" i="39" s="1"/>
  <c r="G3" i="39" s="1"/>
  <c r="I91" i="39"/>
  <c r="H91" i="39"/>
  <c r="I44" i="39"/>
  <c r="I64" i="39" s="1"/>
  <c r="F152" i="39"/>
  <c r="F172" i="39" s="1"/>
  <c r="F125" i="39"/>
  <c r="F145" i="39" s="1"/>
  <c r="F71" i="39"/>
  <c r="F91" i="39" s="1"/>
  <c r="F44" i="39"/>
  <c r="F64" i="39" s="1"/>
  <c r="N199" i="38"/>
  <c r="N172" i="38"/>
  <c r="O172" i="38"/>
  <c r="N118" i="38"/>
  <c r="O98" i="38"/>
  <c r="O118" i="38" s="1"/>
  <c r="O71" i="38"/>
  <c r="O91" i="38" s="1"/>
  <c r="N64" i="38"/>
  <c r="O44" i="38"/>
  <c r="O64" i="38" s="1"/>
  <c r="K37" i="39"/>
  <c r="F37" i="39"/>
  <c r="N37" i="39"/>
  <c r="O37" i="39"/>
  <c r="L37" i="39"/>
  <c r="E37" i="39"/>
  <c r="I37" i="39"/>
  <c r="H37" i="39"/>
  <c r="G5" i="39"/>
  <c r="G9" i="39"/>
  <c r="K199" i="38"/>
  <c r="L179" i="38"/>
  <c r="L199" i="38" s="1"/>
  <c r="K172" i="38"/>
  <c r="L152" i="38"/>
  <c r="L172" i="38" s="1"/>
  <c r="L98" i="38"/>
  <c r="L118" i="38" s="1"/>
  <c r="L91" i="38"/>
  <c r="K91" i="38"/>
  <c r="L44" i="38"/>
  <c r="L64" i="38" s="1"/>
  <c r="I179" i="38"/>
  <c r="I199" i="38" s="1"/>
  <c r="I152" i="38"/>
  <c r="I172" i="38" s="1"/>
  <c r="I118" i="38"/>
  <c r="H118" i="38"/>
  <c r="I91" i="38"/>
  <c r="H91" i="38"/>
  <c r="I44" i="38"/>
  <c r="I64" i="38" s="1"/>
  <c r="F98" i="38"/>
  <c r="F118" i="38" s="1"/>
  <c r="F71" i="38"/>
  <c r="F91" i="38" s="1"/>
  <c r="F44" i="38"/>
  <c r="F64" i="38" s="1"/>
  <c r="N199" i="37"/>
  <c r="O179" i="37"/>
  <c r="O199" i="37" s="1"/>
  <c r="O152" i="37"/>
  <c r="O172" i="37" s="1"/>
  <c r="N145" i="37"/>
  <c r="O71" i="37"/>
  <c r="O91" i="37" s="1"/>
  <c r="G7" i="37" s="1"/>
  <c r="N64" i="37"/>
  <c r="O44" i="37"/>
  <c r="O64" i="37" s="1"/>
  <c r="O199" i="38"/>
  <c r="K37" i="38"/>
  <c r="O37" i="38"/>
  <c r="E37" i="38"/>
  <c r="I37" i="38"/>
  <c r="F37" i="38"/>
  <c r="N37" i="38"/>
  <c r="H37" i="38"/>
  <c r="L37" i="38"/>
  <c r="G3" i="38"/>
  <c r="G5" i="38"/>
  <c r="G7" i="38"/>
  <c r="G9" i="38"/>
  <c r="K199" i="37"/>
  <c r="L179" i="37"/>
  <c r="L199" i="37" s="1"/>
  <c r="K172" i="37"/>
  <c r="L172" i="37"/>
  <c r="L145" i="37"/>
  <c r="K118" i="37"/>
  <c r="L98" i="37"/>
  <c r="L118" i="37" s="1"/>
  <c r="L71" i="37"/>
  <c r="L91" i="37" s="1"/>
  <c r="K64" i="37"/>
  <c r="L44" i="37"/>
  <c r="L64" i="37" s="1"/>
  <c r="I179" i="37"/>
  <c r="I199" i="37" s="1"/>
  <c r="I152" i="37"/>
  <c r="I172" i="37" s="1"/>
  <c r="I125" i="37"/>
  <c r="I145" i="37" s="1"/>
  <c r="I98" i="37"/>
  <c r="I118" i="37" s="1"/>
  <c r="I91" i="37"/>
  <c r="H91" i="37"/>
  <c r="I64" i="37"/>
  <c r="H64" i="37"/>
  <c r="E91" i="37"/>
  <c r="E64" i="37"/>
  <c r="F71" i="37"/>
  <c r="F91" i="37" s="1"/>
  <c r="F44" i="37"/>
  <c r="F64" i="37" s="1"/>
  <c r="E145" i="37"/>
  <c r="E118" i="37"/>
  <c r="O145" i="37"/>
  <c r="N118" i="37"/>
  <c r="O118" i="37"/>
  <c r="F125" i="37"/>
  <c r="F145" i="37" s="1"/>
  <c r="F98" i="37"/>
  <c r="F118" i="37" s="1"/>
  <c r="O199" i="36"/>
  <c r="N199" i="36"/>
  <c r="N172" i="36"/>
  <c r="O152" i="36"/>
  <c r="O172" i="36" s="1"/>
  <c r="N145" i="36"/>
  <c r="N118" i="36"/>
  <c r="O98" i="36"/>
  <c r="O118" i="36" s="1"/>
  <c r="O71" i="36"/>
  <c r="O91" i="36" s="1"/>
  <c r="N64" i="36"/>
  <c r="O64" i="36"/>
  <c r="F37" i="37"/>
  <c r="N37" i="37"/>
  <c r="L37" i="37"/>
  <c r="E37" i="37"/>
  <c r="I37" i="37"/>
  <c r="K37" i="37"/>
  <c r="O37" i="37"/>
  <c r="H37" i="37"/>
  <c r="K199" i="36"/>
  <c r="L179" i="36"/>
  <c r="L199" i="36" s="1"/>
  <c r="K172" i="36"/>
  <c r="L152" i="36"/>
  <c r="L172" i="36" s="1"/>
  <c r="L125" i="36"/>
  <c r="L145" i="36" s="1"/>
  <c r="L118" i="36"/>
  <c r="K118" i="36"/>
  <c r="L71" i="36"/>
  <c r="L91" i="36" s="1"/>
  <c r="G7" i="36" s="1"/>
  <c r="K64" i="36"/>
  <c r="L44" i="36"/>
  <c r="L64" i="36" s="1"/>
  <c r="I179" i="36"/>
  <c r="I199" i="36" s="1"/>
  <c r="I152" i="36"/>
  <c r="I172" i="36" s="1"/>
  <c r="H145" i="36"/>
  <c r="I125" i="36"/>
  <c r="I145" i="36" s="1"/>
  <c r="H118" i="36"/>
  <c r="I98" i="36"/>
  <c r="I118" i="36" s="1"/>
  <c r="I71" i="36"/>
  <c r="I91" i="36" s="1"/>
  <c r="I64" i="36"/>
  <c r="H64" i="36"/>
  <c r="F125" i="36"/>
  <c r="F145" i="36" s="1"/>
  <c r="F98" i="36"/>
  <c r="F118" i="36" s="1"/>
  <c r="F44" i="36"/>
  <c r="F64" i="36" s="1"/>
  <c r="N199" i="35"/>
  <c r="O179" i="35"/>
  <c r="N172" i="35"/>
  <c r="O152" i="35"/>
  <c r="O172" i="35" s="1"/>
  <c r="O145" i="35"/>
  <c r="N145" i="35"/>
  <c r="N118" i="35"/>
  <c r="O98" i="35"/>
  <c r="O118" i="35" s="1"/>
  <c r="O71" i="35"/>
  <c r="O91" i="35" s="1"/>
  <c r="G7" i="35" s="1"/>
  <c r="O64" i="35"/>
  <c r="N64" i="35"/>
  <c r="O145" i="36"/>
  <c r="K37" i="36"/>
  <c r="H37" i="36"/>
  <c r="E37" i="36"/>
  <c r="I37" i="36"/>
  <c r="F37" i="36"/>
  <c r="L37" i="36"/>
  <c r="N37" i="36"/>
  <c r="O37" i="36"/>
  <c r="G9" i="36"/>
  <c r="G5" i="36"/>
  <c r="G3" i="36"/>
  <c r="L179" i="35"/>
  <c r="L199" i="35" s="1"/>
  <c r="K172" i="35"/>
  <c r="L152" i="35"/>
  <c r="L172" i="35" s="1"/>
  <c r="K145" i="35"/>
  <c r="L145" i="35"/>
  <c r="L98" i="35"/>
  <c r="L118" i="35" s="1"/>
  <c r="L71" i="35"/>
  <c r="L91" i="35" s="1"/>
  <c r="K64" i="35"/>
  <c r="L44" i="35"/>
  <c r="L64" i="35" s="1"/>
  <c r="H172" i="35"/>
  <c r="I152" i="35"/>
  <c r="I172" i="35" s="1"/>
  <c r="I125" i="35"/>
  <c r="I145" i="35" s="1"/>
  <c r="I98" i="35"/>
  <c r="I118" i="35" s="1"/>
  <c r="I71" i="35"/>
  <c r="I91" i="35" s="1"/>
  <c r="I44" i="35"/>
  <c r="I64" i="35" s="1"/>
  <c r="F152" i="35"/>
  <c r="F172" i="35" s="1"/>
  <c r="F125" i="35"/>
  <c r="F145" i="35" s="1"/>
  <c r="F98" i="35"/>
  <c r="F118" i="35" s="1"/>
  <c r="F199" i="34"/>
  <c r="E199" i="34"/>
  <c r="I199" i="35"/>
  <c r="O199" i="35"/>
  <c r="K37" i="35"/>
  <c r="O37" i="35"/>
  <c r="F37" i="35"/>
  <c r="N37" i="35"/>
  <c r="E37" i="35"/>
  <c r="H37" i="35"/>
  <c r="L37" i="35"/>
  <c r="I37" i="35"/>
  <c r="G5" i="35"/>
  <c r="G3" i="35"/>
  <c r="L64" i="40" l="1"/>
  <c r="L17" i="40"/>
  <c r="L37" i="40" s="1"/>
  <c r="I64" i="40"/>
  <c r="I17" i="40"/>
  <c r="I37" i="40" s="1"/>
  <c r="F64" i="40"/>
  <c r="F17" i="40"/>
  <c r="F37" i="40" s="1"/>
  <c r="G7" i="39"/>
  <c r="G11" i="39"/>
  <c r="G11" i="38"/>
  <c r="G9" i="37"/>
  <c r="G5" i="37"/>
  <c r="G3" i="37"/>
  <c r="G11" i="37"/>
  <c r="G9" i="35"/>
  <c r="G11" i="36"/>
  <c r="G11" i="35"/>
  <c r="G11" i="40" l="1"/>
  <c r="G5" i="40"/>
  <c r="B199" i="34"/>
  <c r="N198" i="34"/>
  <c r="O198" i="34" s="1"/>
  <c r="L198" i="34"/>
  <c r="K198" i="34"/>
  <c r="N197" i="34"/>
  <c r="O197" i="34" s="1"/>
  <c r="L197" i="34"/>
  <c r="K197" i="34"/>
  <c r="N196" i="34"/>
  <c r="O196" i="34" s="1"/>
  <c r="L196" i="34"/>
  <c r="K196" i="34"/>
  <c r="N195" i="34"/>
  <c r="O195" i="34" s="1"/>
  <c r="L195" i="34"/>
  <c r="K195" i="34"/>
  <c r="N194" i="34"/>
  <c r="O194" i="34" s="1"/>
  <c r="L194" i="34"/>
  <c r="K194" i="34"/>
  <c r="N193" i="34"/>
  <c r="O193" i="34" s="1"/>
  <c r="L193" i="34"/>
  <c r="K193" i="34"/>
  <c r="N192" i="34"/>
  <c r="O192" i="34" s="1"/>
  <c r="L192" i="34"/>
  <c r="K192" i="34"/>
  <c r="N191" i="34"/>
  <c r="O191" i="34" s="1"/>
  <c r="L191" i="34"/>
  <c r="K191" i="34"/>
  <c r="N190" i="34"/>
  <c r="O190" i="34" s="1"/>
  <c r="L190" i="34"/>
  <c r="K190" i="34"/>
  <c r="N189" i="34"/>
  <c r="O189" i="34" s="1"/>
  <c r="L189" i="34"/>
  <c r="K189" i="34"/>
  <c r="N188" i="34"/>
  <c r="O188" i="34" s="1"/>
  <c r="L188" i="34"/>
  <c r="K188" i="34"/>
  <c r="N187" i="34"/>
  <c r="O187" i="34" s="1"/>
  <c r="L187" i="34"/>
  <c r="K187" i="34"/>
  <c r="N186" i="34"/>
  <c r="O186" i="34" s="1"/>
  <c r="L186" i="34"/>
  <c r="K186" i="34"/>
  <c r="N185" i="34"/>
  <c r="O185" i="34" s="1"/>
  <c r="L185" i="34"/>
  <c r="K185" i="34"/>
  <c r="N184" i="34"/>
  <c r="O184" i="34" s="1"/>
  <c r="L184" i="34"/>
  <c r="K184" i="34"/>
  <c r="N183" i="34"/>
  <c r="O183" i="34" s="1"/>
  <c r="L183" i="34"/>
  <c r="K183" i="34"/>
  <c r="N182" i="34"/>
  <c r="O182" i="34" s="1"/>
  <c r="L182" i="34"/>
  <c r="K182" i="34"/>
  <c r="N181" i="34"/>
  <c r="O181" i="34" s="1"/>
  <c r="L181" i="34"/>
  <c r="K181" i="34"/>
  <c r="N180" i="34"/>
  <c r="O180" i="34" s="1"/>
  <c r="L180" i="34"/>
  <c r="K180" i="34"/>
  <c r="N179" i="34"/>
  <c r="N199" i="34" s="1"/>
  <c r="L179" i="34"/>
  <c r="L199" i="34" s="1"/>
  <c r="K179" i="34"/>
  <c r="K199" i="34" s="1"/>
  <c r="H179" i="34"/>
  <c r="E179" i="34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H171" i="34"/>
  <c r="I171" i="34" s="1"/>
  <c r="F171" i="34"/>
  <c r="E171" i="34"/>
  <c r="N170" i="34"/>
  <c r="O170" i="34" s="1"/>
  <c r="L170" i="34"/>
  <c r="K170" i="34"/>
  <c r="H170" i="34"/>
  <c r="I170" i="34" s="1"/>
  <c r="F170" i="34"/>
  <c r="E170" i="34"/>
  <c r="N169" i="34"/>
  <c r="O169" i="34" s="1"/>
  <c r="L169" i="34"/>
  <c r="K169" i="34"/>
  <c r="H169" i="34"/>
  <c r="I169" i="34" s="1"/>
  <c r="F169" i="34"/>
  <c r="E169" i="34"/>
  <c r="N168" i="34"/>
  <c r="O168" i="34" s="1"/>
  <c r="L168" i="34"/>
  <c r="K168" i="34"/>
  <c r="H168" i="34"/>
  <c r="I168" i="34" s="1"/>
  <c r="F168" i="34"/>
  <c r="E168" i="34"/>
  <c r="N167" i="34"/>
  <c r="O167" i="34" s="1"/>
  <c r="L167" i="34"/>
  <c r="K167" i="34"/>
  <c r="H167" i="34"/>
  <c r="I167" i="34" s="1"/>
  <c r="F167" i="34"/>
  <c r="E167" i="34"/>
  <c r="N166" i="34"/>
  <c r="O166" i="34" s="1"/>
  <c r="L166" i="34"/>
  <c r="K166" i="34"/>
  <c r="I166" i="34"/>
  <c r="H166" i="34"/>
  <c r="E166" i="34"/>
  <c r="F166" i="34" s="1"/>
  <c r="N165" i="34"/>
  <c r="O165" i="34" s="1"/>
  <c r="L165" i="34"/>
  <c r="K165" i="34"/>
  <c r="H165" i="34"/>
  <c r="I165" i="34" s="1"/>
  <c r="E165" i="34"/>
  <c r="F165" i="34" s="1"/>
  <c r="N164" i="34"/>
  <c r="O164" i="34" s="1"/>
  <c r="L164" i="34"/>
  <c r="K164" i="34"/>
  <c r="I164" i="34"/>
  <c r="H164" i="34"/>
  <c r="F164" i="34"/>
  <c r="E164" i="34"/>
  <c r="N163" i="34"/>
  <c r="O163" i="34" s="1"/>
  <c r="L163" i="34"/>
  <c r="K163" i="34"/>
  <c r="I163" i="34"/>
  <c r="H163" i="34"/>
  <c r="E163" i="34"/>
  <c r="F163" i="34" s="1"/>
  <c r="N162" i="34"/>
  <c r="O162" i="34" s="1"/>
  <c r="L162" i="34"/>
  <c r="K162" i="34"/>
  <c r="I162" i="34"/>
  <c r="H162" i="34"/>
  <c r="F162" i="34"/>
  <c r="E162" i="34"/>
  <c r="N161" i="34"/>
  <c r="O161" i="34" s="1"/>
  <c r="L161" i="34"/>
  <c r="K161" i="34"/>
  <c r="H161" i="34"/>
  <c r="I161" i="34" s="1"/>
  <c r="F161" i="34"/>
  <c r="E161" i="34"/>
  <c r="N160" i="34"/>
  <c r="O160" i="34" s="1"/>
  <c r="L160" i="34"/>
  <c r="K160" i="34"/>
  <c r="H160" i="34"/>
  <c r="I160" i="34" s="1"/>
  <c r="F160" i="34"/>
  <c r="E160" i="34"/>
  <c r="N159" i="34"/>
  <c r="O159" i="34" s="1"/>
  <c r="L159" i="34"/>
  <c r="K159" i="34"/>
  <c r="H159" i="34"/>
  <c r="I159" i="34" s="1"/>
  <c r="F159" i="34"/>
  <c r="E159" i="34"/>
  <c r="N158" i="34"/>
  <c r="O158" i="34" s="1"/>
  <c r="L158" i="34"/>
  <c r="K158" i="34"/>
  <c r="I158" i="34"/>
  <c r="H158" i="34"/>
  <c r="E158" i="34"/>
  <c r="F158" i="34" s="1"/>
  <c r="N157" i="34"/>
  <c r="O157" i="34" s="1"/>
  <c r="L157" i="34"/>
  <c r="K157" i="34"/>
  <c r="H157" i="34"/>
  <c r="I157" i="34" s="1"/>
  <c r="E157" i="34"/>
  <c r="F157" i="34" s="1"/>
  <c r="N156" i="34"/>
  <c r="O156" i="34" s="1"/>
  <c r="L156" i="34"/>
  <c r="K156" i="34"/>
  <c r="H156" i="34"/>
  <c r="I156" i="34" s="1"/>
  <c r="E156" i="34"/>
  <c r="F156" i="34" s="1"/>
  <c r="N155" i="34"/>
  <c r="O155" i="34" s="1"/>
  <c r="K155" i="34"/>
  <c r="L155" i="34" s="1"/>
  <c r="I155" i="34"/>
  <c r="H155" i="34"/>
  <c r="E155" i="34"/>
  <c r="F155" i="34" s="1"/>
  <c r="N154" i="34"/>
  <c r="O154" i="34" s="1"/>
  <c r="L154" i="34"/>
  <c r="K154" i="34"/>
  <c r="H154" i="34"/>
  <c r="I154" i="34" s="1"/>
  <c r="E154" i="34"/>
  <c r="F154" i="34" s="1"/>
  <c r="N153" i="34"/>
  <c r="O153" i="34" s="1"/>
  <c r="L153" i="34"/>
  <c r="K153" i="34"/>
  <c r="H153" i="34"/>
  <c r="I153" i="34" s="1"/>
  <c r="E153" i="34"/>
  <c r="F153" i="34" s="1"/>
  <c r="N152" i="34"/>
  <c r="N172" i="34" s="1"/>
  <c r="L152" i="34"/>
  <c r="K152" i="34"/>
  <c r="K172" i="34" s="1"/>
  <c r="H152" i="34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N142" i="34"/>
  <c r="O142" i="34" s="1"/>
  <c r="K142" i="34"/>
  <c r="L142" i="34" s="1"/>
  <c r="H142" i="34"/>
  <c r="I142" i="34" s="1"/>
  <c r="F142" i="34"/>
  <c r="E142" i="34"/>
  <c r="O141" i="34"/>
  <c r="N141" i="34"/>
  <c r="L141" i="34"/>
  <c r="K141" i="34"/>
  <c r="H141" i="34"/>
  <c r="I141" i="34" s="1"/>
  <c r="E141" i="34"/>
  <c r="F141" i="34" s="1"/>
  <c r="N140" i="34"/>
  <c r="O140" i="34" s="1"/>
  <c r="K140" i="34"/>
  <c r="L140" i="34" s="1"/>
  <c r="H140" i="34"/>
  <c r="I140" i="34" s="1"/>
  <c r="F140" i="34"/>
  <c r="E140" i="34"/>
  <c r="N139" i="34"/>
  <c r="O139" i="34" s="1"/>
  <c r="K139" i="34"/>
  <c r="L139" i="34" s="1"/>
  <c r="I139" i="34"/>
  <c r="H139" i="34"/>
  <c r="E139" i="34"/>
  <c r="F139" i="34" s="1"/>
  <c r="O138" i="34"/>
  <c r="N138" i="34"/>
  <c r="K138" i="34"/>
  <c r="L138" i="34" s="1"/>
  <c r="H138" i="34"/>
  <c r="I138" i="34" s="1"/>
  <c r="E138" i="34"/>
  <c r="F138" i="34" s="1"/>
  <c r="N137" i="34"/>
  <c r="O137" i="34" s="1"/>
  <c r="K137" i="34"/>
  <c r="L137" i="34" s="1"/>
  <c r="H137" i="34"/>
  <c r="I137" i="34" s="1"/>
  <c r="E137" i="34"/>
  <c r="F137" i="34" s="1"/>
  <c r="O136" i="34"/>
  <c r="N136" i="34"/>
  <c r="K136" i="34"/>
  <c r="L136" i="34" s="1"/>
  <c r="H136" i="34"/>
  <c r="I136" i="34" s="1"/>
  <c r="F136" i="34"/>
  <c r="E136" i="34"/>
  <c r="N135" i="34"/>
  <c r="O135" i="34" s="1"/>
  <c r="K135" i="34"/>
  <c r="L135" i="34" s="1"/>
  <c r="H135" i="34"/>
  <c r="I135" i="34" s="1"/>
  <c r="F135" i="34"/>
  <c r="E135" i="34"/>
  <c r="O134" i="34"/>
  <c r="N134" i="34"/>
  <c r="L134" i="34"/>
  <c r="K134" i="34"/>
  <c r="H134" i="34"/>
  <c r="I134" i="34" s="1"/>
  <c r="F134" i="34"/>
  <c r="E134" i="34"/>
  <c r="N133" i="34"/>
  <c r="O133" i="34" s="1"/>
  <c r="L133" i="34"/>
  <c r="K133" i="34"/>
  <c r="H133" i="34"/>
  <c r="I133" i="34" s="1"/>
  <c r="E133" i="34"/>
  <c r="F133" i="34" s="1"/>
  <c r="N132" i="34"/>
  <c r="O132" i="34" s="1"/>
  <c r="L132" i="34"/>
  <c r="K132" i="34"/>
  <c r="H132" i="34"/>
  <c r="I132" i="34" s="1"/>
  <c r="F132" i="34"/>
  <c r="E132" i="34"/>
  <c r="N131" i="34"/>
  <c r="O131" i="34" s="1"/>
  <c r="L131" i="34"/>
  <c r="K131" i="34"/>
  <c r="H131" i="34"/>
  <c r="I131" i="34" s="1"/>
  <c r="E131" i="34"/>
  <c r="F131" i="34" s="1"/>
  <c r="O130" i="34"/>
  <c r="N130" i="34"/>
  <c r="L130" i="34"/>
  <c r="K130" i="34"/>
  <c r="H130" i="34"/>
  <c r="I130" i="34" s="1"/>
  <c r="F130" i="34"/>
  <c r="E130" i="34"/>
  <c r="N129" i="34"/>
  <c r="O129" i="34" s="1"/>
  <c r="K129" i="34"/>
  <c r="L129" i="34" s="1"/>
  <c r="H129" i="34"/>
  <c r="I129" i="34" s="1"/>
  <c r="E129" i="34"/>
  <c r="F129" i="34" s="1"/>
  <c r="N128" i="34"/>
  <c r="O128" i="34" s="1"/>
  <c r="K128" i="34"/>
  <c r="L128" i="34" s="1"/>
  <c r="I128" i="34"/>
  <c r="H128" i="34"/>
  <c r="F128" i="34"/>
  <c r="E128" i="34"/>
  <c r="O127" i="34"/>
  <c r="N127" i="34"/>
  <c r="K127" i="34"/>
  <c r="L127" i="34" s="1"/>
  <c r="H127" i="34"/>
  <c r="I127" i="34" s="1"/>
  <c r="E127" i="34"/>
  <c r="F127" i="34" s="1"/>
  <c r="N126" i="34"/>
  <c r="O126" i="34" s="1"/>
  <c r="K126" i="34"/>
  <c r="L126" i="34" s="1"/>
  <c r="H126" i="34"/>
  <c r="I126" i="34" s="1"/>
  <c r="E126" i="34"/>
  <c r="F126" i="34" s="1"/>
  <c r="O125" i="34"/>
  <c r="N125" i="34"/>
  <c r="K125" i="34"/>
  <c r="K145" i="34" s="1"/>
  <c r="H125" i="34"/>
  <c r="E125" i="34"/>
  <c r="F125" i="34" s="1"/>
  <c r="M123" i="34"/>
  <c r="J123" i="34"/>
  <c r="G123" i="34"/>
  <c r="D123" i="34"/>
  <c r="B123" i="34"/>
  <c r="M122" i="34"/>
  <c r="G122" i="34"/>
  <c r="B118" i="34"/>
  <c r="N117" i="34"/>
  <c r="O117" i="34" s="1"/>
  <c r="K117" i="34"/>
  <c r="L117" i="34" s="1"/>
  <c r="H117" i="34"/>
  <c r="I117" i="34" s="1"/>
  <c r="E117" i="34"/>
  <c r="F117" i="34" s="1"/>
  <c r="O116" i="34"/>
  <c r="N116" i="34"/>
  <c r="K116" i="34"/>
  <c r="L116" i="34" s="1"/>
  <c r="I116" i="34"/>
  <c r="H116" i="34"/>
  <c r="E116" i="34"/>
  <c r="F116" i="34" s="1"/>
  <c r="N115" i="34"/>
  <c r="O115" i="34" s="1"/>
  <c r="K115" i="34"/>
  <c r="L115" i="34" s="1"/>
  <c r="H115" i="34"/>
  <c r="I115" i="34" s="1"/>
  <c r="E115" i="34"/>
  <c r="F115" i="34" s="1"/>
  <c r="N114" i="34"/>
  <c r="O114" i="34" s="1"/>
  <c r="K114" i="34"/>
  <c r="L114" i="34" s="1"/>
  <c r="H114" i="34"/>
  <c r="I114" i="34" s="1"/>
  <c r="E114" i="34"/>
  <c r="F114" i="34" s="1"/>
  <c r="N113" i="34"/>
  <c r="O113" i="34" s="1"/>
  <c r="K113" i="34"/>
  <c r="L113" i="34" s="1"/>
  <c r="H113" i="34"/>
  <c r="I113" i="34" s="1"/>
  <c r="F113" i="34"/>
  <c r="E113" i="34"/>
  <c r="N112" i="34"/>
  <c r="O112" i="34" s="1"/>
  <c r="K112" i="34"/>
  <c r="L112" i="34" s="1"/>
  <c r="I112" i="34"/>
  <c r="H112" i="34"/>
  <c r="F112" i="34"/>
  <c r="E112" i="34"/>
  <c r="N111" i="34"/>
  <c r="O111" i="34" s="1"/>
  <c r="K111" i="34"/>
  <c r="L111" i="34" s="1"/>
  <c r="H111" i="34"/>
  <c r="I111" i="34" s="1"/>
  <c r="F111" i="34"/>
  <c r="E111" i="34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E109" i="34"/>
  <c r="F109" i="34" s="1"/>
  <c r="N108" i="34"/>
  <c r="O108" i="34" s="1"/>
  <c r="K108" i="34"/>
  <c r="L108" i="34" s="1"/>
  <c r="I108" i="34"/>
  <c r="H108" i="34"/>
  <c r="F108" i="34"/>
  <c r="E108" i="34"/>
  <c r="O107" i="34"/>
  <c r="N107" i="34"/>
  <c r="K107" i="34"/>
  <c r="L107" i="34" s="1"/>
  <c r="I107" i="34"/>
  <c r="H107" i="34"/>
  <c r="E107" i="34"/>
  <c r="F107" i="34" s="1"/>
  <c r="N106" i="34"/>
  <c r="O106" i="34" s="1"/>
  <c r="K106" i="34"/>
  <c r="L106" i="34" s="1"/>
  <c r="I106" i="34"/>
  <c r="H106" i="34"/>
  <c r="F106" i="34"/>
  <c r="E106" i="34"/>
  <c r="N105" i="34"/>
  <c r="O105" i="34" s="1"/>
  <c r="K105" i="34"/>
  <c r="L105" i="34" s="1"/>
  <c r="H105" i="34"/>
  <c r="I105" i="34" s="1"/>
  <c r="F105" i="34"/>
  <c r="E105" i="34"/>
  <c r="O104" i="34"/>
  <c r="N104" i="34"/>
  <c r="K104" i="34"/>
  <c r="L104" i="34" s="1"/>
  <c r="F104" i="34"/>
  <c r="E104" i="34"/>
  <c r="O103" i="34"/>
  <c r="N103" i="34"/>
  <c r="K103" i="34"/>
  <c r="L103" i="34" s="1"/>
  <c r="H103" i="34"/>
  <c r="I103" i="34" s="1"/>
  <c r="E103" i="34"/>
  <c r="F103" i="34" s="1"/>
  <c r="N102" i="34"/>
  <c r="O102" i="34" s="1"/>
  <c r="K102" i="34"/>
  <c r="L102" i="34" s="1"/>
  <c r="I102" i="34"/>
  <c r="H102" i="34"/>
  <c r="E102" i="34"/>
  <c r="F102" i="34" s="1"/>
  <c r="N101" i="34"/>
  <c r="O101" i="34" s="1"/>
  <c r="K101" i="34"/>
  <c r="L101" i="34" s="1"/>
  <c r="H101" i="34"/>
  <c r="I101" i="34" s="1"/>
  <c r="E101" i="34"/>
  <c r="F101" i="34" s="1"/>
  <c r="N100" i="34"/>
  <c r="O100" i="34" s="1"/>
  <c r="K100" i="34"/>
  <c r="L100" i="34" s="1"/>
  <c r="I100" i="34"/>
  <c r="H100" i="34"/>
  <c r="E100" i="34"/>
  <c r="F100" i="34" s="1"/>
  <c r="O99" i="34"/>
  <c r="N99" i="34"/>
  <c r="K99" i="34"/>
  <c r="L99" i="34" s="1"/>
  <c r="H99" i="34"/>
  <c r="I99" i="34" s="1"/>
  <c r="E99" i="34"/>
  <c r="F99" i="34" s="1"/>
  <c r="N98" i="34"/>
  <c r="N118" i="34" s="1"/>
  <c r="K98" i="34"/>
  <c r="K118" i="34" s="1"/>
  <c r="H98" i="34"/>
  <c r="E98" i="34"/>
  <c r="F98" i="34" s="1"/>
  <c r="M96" i="34"/>
  <c r="J96" i="34"/>
  <c r="G96" i="34"/>
  <c r="D96" i="34"/>
  <c r="B96" i="34"/>
  <c r="M95" i="34"/>
  <c r="G95" i="34"/>
  <c r="B91" i="34"/>
  <c r="N90" i="34"/>
  <c r="O90" i="34" s="1"/>
  <c r="K90" i="34"/>
  <c r="L90" i="34" s="1"/>
  <c r="H90" i="34"/>
  <c r="I90" i="34" s="1"/>
  <c r="E90" i="34"/>
  <c r="F90" i="34" s="1"/>
  <c r="N89" i="34"/>
  <c r="O89" i="34" s="1"/>
  <c r="K89" i="34"/>
  <c r="L89" i="34" s="1"/>
  <c r="H89" i="34"/>
  <c r="I89" i="34" s="1"/>
  <c r="F89" i="34"/>
  <c r="E89" i="34"/>
  <c r="O88" i="34"/>
  <c r="N88" i="34"/>
  <c r="K88" i="34"/>
  <c r="L88" i="34" s="1"/>
  <c r="H88" i="34"/>
  <c r="I88" i="34" s="1"/>
  <c r="E88" i="34"/>
  <c r="F88" i="34" s="1"/>
  <c r="O87" i="34"/>
  <c r="N87" i="34"/>
  <c r="K87" i="34"/>
  <c r="L87" i="34" s="1"/>
  <c r="H87" i="34"/>
  <c r="I87" i="34" s="1"/>
  <c r="F87" i="34"/>
  <c r="E87" i="34"/>
  <c r="O86" i="34"/>
  <c r="N86" i="34"/>
  <c r="K86" i="34"/>
  <c r="L86" i="34" s="1"/>
  <c r="I86" i="34"/>
  <c r="H86" i="34"/>
  <c r="E86" i="34"/>
  <c r="F86" i="34" s="1"/>
  <c r="N85" i="34"/>
  <c r="O85" i="34" s="1"/>
  <c r="K85" i="34"/>
  <c r="L85" i="34" s="1"/>
  <c r="H85" i="34"/>
  <c r="I85" i="34" s="1"/>
  <c r="F85" i="34"/>
  <c r="E85" i="34"/>
  <c r="N84" i="34"/>
  <c r="O84" i="34" s="1"/>
  <c r="K84" i="34"/>
  <c r="L84" i="34" s="1"/>
  <c r="H84" i="34"/>
  <c r="I84" i="34" s="1"/>
  <c r="E84" i="34"/>
  <c r="F84" i="34" s="1"/>
  <c r="O83" i="34"/>
  <c r="N83" i="34"/>
  <c r="K83" i="34"/>
  <c r="L83" i="34" s="1"/>
  <c r="H83" i="34"/>
  <c r="I83" i="34" s="1"/>
  <c r="E83" i="34"/>
  <c r="F83" i="34" s="1"/>
  <c r="N82" i="34"/>
  <c r="O82" i="34" s="1"/>
  <c r="K82" i="34"/>
  <c r="L82" i="34" s="1"/>
  <c r="H82" i="34"/>
  <c r="I82" i="34" s="1"/>
  <c r="F82" i="34"/>
  <c r="E82" i="34"/>
  <c r="N81" i="34"/>
  <c r="O81" i="34" s="1"/>
  <c r="K81" i="34"/>
  <c r="L81" i="34" s="1"/>
  <c r="H81" i="34"/>
  <c r="I81" i="34" s="1"/>
  <c r="E81" i="34"/>
  <c r="F81" i="34" s="1"/>
  <c r="N80" i="34"/>
  <c r="O80" i="34" s="1"/>
  <c r="K80" i="34"/>
  <c r="L80" i="34" s="1"/>
  <c r="H80" i="34"/>
  <c r="I80" i="34" s="1"/>
  <c r="F80" i="34"/>
  <c r="E80" i="34"/>
  <c r="O79" i="34"/>
  <c r="N79" i="34"/>
  <c r="K79" i="34"/>
  <c r="L79" i="34" s="1"/>
  <c r="H79" i="34"/>
  <c r="I79" i="34" s="1"/>
  <c r="F79" i="34"/>
  <c r="E79" i="34"/>
  <c r="O78" i="34"/>
  <c r="N78" i="34"/>
  <c r="K78" i="34"/>
  <c r="L78" i="34" s="1"/>
  <c r="H78" i="34"/>
  <c r="I78" i="34" s="1"/>
  <c r="F78" i="34"/>
  <c r="E78" i="34"/>
  <c r="O77" i="34"/>
  <c r="N77" i="34"/>
  <c r="K77" i="34"/>
  <c r="L77" i="34" s="1"/>
  <c r="I77" i="34"/>
  <c r="H77" i="34"/>
  <c r="F77" i="34"/>
  <c r="E77" i="34"/>
  <c r="N76" i="34"/>
  <c r="O76" i="34" s="1"/>
  <c r="K76" i="34"/>
  <c r="L76" i="34" s="1"/>
  <c r="H76" i="34"/>
  <c r="I76" i="34" s="1"/>
  <c r="E76" i="34"/>
  <c r="F76" i="34" s="1"/>
  <c r="N75" i="34"/>
  <c r="O75" i="34" s="1"/>
  <c r="K75" i="34"/>
  <c r="L75" i="34" s="1"/>
  <c r="H75" i="34"/>
  <c r="I75" i="34" s="1"/>
  <c r="E75" i="34"/>
  <c r="F75" i="34" s="1"/>
  <c r="N74" i="34"/>
  <c r="O74" i="34" s="1"/>
  <c r="K74" i="34"/>
  <c r="L74" i="34" s="1"/>
  <c r="H74" i="34"/>
  <c r="I74" i="34" s="1"/>
  <c r="F74" i="34"/>
  <c r="E74" i="34"/>
  <c r="N73" i="34"/>
  <c r="O73" i="34" s="1"/>
  <c r="K73" i="34"/>
  <c r="L73" i="34" s="1"/>
  <c r="I73" i="34"/>
  <c r="H73" i="34"/>
  <c r="F73" i="34"/>
  <c r="E73" i="34"/>
  <c r="N72" i="34"/>
  <c r="O72" i="34" s="1"/>
  <c r="K72" i="34"/>
  <c r="L72" i="34" s="1"/>
  <c r="H72" i="34"/>
  <c r="I72" i="34" s="1"/>
  <c r="E72" i="34"/>
  <c r="F72" i="34" s="1"/>
  <c r="O71" i="34"/>
  <c r="N71" i="34"/>
  <c r="N91" i="34" s="1"/>
  <c r="K71" i="34"/>
  <c r="K91" i="34" s="1"/>
  <c r="H71" i="34"/>
  <c r="I7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N61" i="34"/>
  <c r="O61" i="34" s="1"/>
  <c r="K61" i="34"/>
  <c r="L61" i="34" s="1"/>
  <c r="H61" i="34"/>
  <c r="I61" i="34" s="1"/>
  <c r="E61" i="34"/>
  <c r="F61" i="34" s="1"/>
  <c r="N60" i="34"/>
  <c r="O60" i="34" s="1"/>
  <c r="L60" i="34"/>
  <c r="K60" i="34"/>
  <c r="H60" i="34"/>
  <c r="I60" i="34" s="1"/>
  <c r="E60" i="34"/>
  <c r="F60" i="34" s="1"/>
  <c r="O59" i="34"/>
  <c r="N59" i="34"/>
  <c r="L59" i="34"/>
  <c r="K59" i="34"/>
  <c r="H59" i="34"/>
  <c r="I59" i="34" s="1"/>
  <c r="E59" i="34"/>
  <c r="F59" i="34" s="1"/>
  <c r="N58" i="34"/>
  <c r="O58" i="34" s="1"/>
  <c r="K58" i="34"/>
  <c r="L58" i="34" s="1"/>
  <c r="I58" i="34"/>
  <c r="H58" i="34"/>
  <c r="F58" i="34"/>
  <c r="E58" i="34"/>
  <c r="N57" i="34"/>
  <c r="O57" i="34" s="1"/>
  <c r="K57" i="34"/>
  <c r="L57" i="34" s="1"/>
  <c r="H57" i="34"/>
  <c r="I57" i="34" s="1"/>
  <c r="E57" i="34"/>
  <c r="F57" i="34" s="1"/>
  <c r="O56" i="34"/>
  <c r="N56" i="34"/>
  <c r="K56" i="34"/>
  <c r="L56" i="34" s="1"/>
  <c r="H56" i="34"/>
  <c r="I56" i="34" s="1"/>
  <c r="E56" i="34"/>
  <c r="F56" i="34" s="1"/>
  <c r="N55" i="34"/>
  <c r="O55" i="34" s="1"/>
  <c r="K55" i="34"/>
  <c r="L55" i="34" s="1"/>
  <c r="H55" i="34"/>
  <c r="I55" i="34" s="1"/>
  <c r="F55" i="34"/>
  <c r="E55" i="34"/>
  <c r="O54" i="34"/>
  <c r="N54" i="34"/>
  <c r="K54" i="34"/>
  <c r="L54" i="34" s="1"/>
  <c r="I54" i="34"/>
  <c r="H54" i="34"/>
  <c r="E54" i="34"/>
  <c r="F54" i="34" s="1"/>
  <c r="N53" i="34"/>
  <c r="O53" i="34" s="1"/>
  <c r="K53" i="34"/>
  <c r="L53" i="34" s="1"/>
  <c r="H53" i="34"/>
  <c r="I53" i="34" s="1"/>
  <c r="F53" i="34"/>
  <c r="E53" i="34"/>
  <c r="N52" i="34"/>
  <c r="O52" i="34" s="1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E51" i="34"/>
  <c r="F51" i="34" s="1"/>
  <c r="N50" i="34"/>
  <c r="O50" i="34" s="1"/>
  <c r="K50" i="34"/>
  <c r="L50" i="34" s="1"/>
  <c r="I50" i="34"/>
  <c r="H50" i="34"/>
  <c r="E50" i="34"/>
  <c r="F50" i="34" s="1"/>
  <c r="O49" i="34"/>
  <c r="N49" i="34"/>
  <c r="K49" i="34"/>
  <c r="L49" i="34" s="1"/>
  <c r="H49" i="34"/>
  <c r="I49" i="34" s="1"/>
  <c r="E49" i="34"/>
  <c r="F49" i="34" s="1"/>
  <c r="N48" i="34"/>
  <c r="O48" i="34" s="1"/>
  <c r="K48" i="34"/>
  <c r="L48" i="34" s="1"/>
  <c r="H48" i="34"/>
  <c r="I48" i="34" s="1"/>
  <c r="F48" i="34"/>
  <c r="E48" i="34"/>
  <c r="O47" i="34"/>
  <c r="N47" i="34"/>
  <c r="K47" i="34"/>
  <c r="L47" i="34" s="1"/>
  <c r="H47" i="34"/>
  <c r="I47" i="34" s="1"/>
  <c r="F47" i="34"/>
  <c r="E47" i="34"/>
  <c r="N46" i="34"/>
  <c r="O46" i="34" s="1"/>
  <c r="K46" i="34"/>
  <c r="L46" i="34" s="1"/>
  <c r="I46" i="34"/>
  <c r="H46" i="34"/>
  <c r="F46" i="34"/>
  <c r="E46" i="34"/>
  <c r="N45" i="34"/>
  <c r="O45" i="34" s="1"/>
  <c r="K45" i="34"/>
  <c r="L45" i="34" s="1"/>
  <c r="H45" i="34"/>
  <c r="I45" i="34" s="1"/>
  <c r="E45" i="34"/>
  <c r="F45" i="34" s="1"/>
  <c r="O44" i="34"/>
  <c r="N44" i="34"/>
  <c r="N64" i="34" s="1"/>
  <c r="K44" i="34"/>
  <c r="K64" i="34" s="1"/>
  <c r="I44" i="34"/>
  <c r="H44" i="34"/>
  <c r="F44" i="34"/>
  <c r="E44" i="34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N195" i="33"/>
  <c r="O195" i="33" s="1"/>
  <c r="L195" i="33"/>
  <c r="K195" i="33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O191" i="33"/>
  <c r="N191" i="33"/>
  <c r="L191" i="33"/>
  <c r="K191" i="33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O188" i="33"/>
  <c r="N188" i="33"/>
  <c r="K188" i="33"/>
  <c r="L188" i="33" s="1"/>
  <c r="H188" i="33"/>
  <c r="I188" i="33" s="1"/>
  <c r="F188" i="33"/>
  <c r="E188" i="33"/>
  <c r="N187" i="33"/>
  <c r="O187" i="33" s="1"/>
  <c r="L187" i="33"/>
  <c r="K187" i="33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O183" i="33"/>
  <c r="N183" i="33"/>
  <c r="L183" i="33"/>
  <c r="K183" i="33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N179" i="33"/>
  <c r="L179" i="33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E171" i="33"/>
  <c r="F171" i="33" s="1"/>
  <c r="N170" i="33"/>
  <c r="O170" i="33" s="1"/>
  <c r="K170" i="33"/>
  <c r="L170" i="33" s="1"/>
  <c r="H170" i="33"/>
  <c r="I170" i="33" s="1"/>
  <c r="E170" i="33"/>
  <c r="F170" i="33" s="1"/>
  <c r="O169" i="33"/>
  <c r="N169" i="33"/>
  <c r="L169" i="33"/>
  <c r="K169" i="33"/>
  <c r="H169" i="33"/>
  <c r="I169" i="33" s="1"/>
  <c r="E169" i="33"/>
  <c r="F169" i="33" s="1"/>
  <c r="N168" i="33"/>
  <c r="O168" i="33" s="1"/>
  <c r="K168" i="33"/>
  <c r="L168" i="33" s="1"/>
  <c r="I168" i="33"/>
  <c r="H168" i="33"/>
  <c r="E168" i="33"/>
  <c r="F168" i="33" s="1"/>
  <c r="O167" i="33"/>
  <c r="N167" i="33"/>
  <c r="L167" i="33"/>
  <c r="K167" i="33"/>
  <c r="H167" i="33"/>
  <c r="I167" i="33" s="1"/>
  <c r="E167" i="33"/>
  <c r="F167" i="33" s="1"/>
  <c r="O166" i="33"/>
  <c r="N166" i="33"/>
  <c r="K166" i="33"/>
  <c r="L166" i="33" s="1"/>
  <c r="H166" i="33"/>
  <c r="I166" i="33" s="1"/>
  <c r="E166" i="33"/>
  <c r="F166" i="33" s="1"/>
  <c r="N165" i="33"/>
  <c r="O165" i="33" s="1"/>
  <c r="K165" i="33"/>
  <c r="L165" i="33" s="1"/>
  <c r="H165" i="33"/>
  <c r="I165" i="33" s="1"/>
  <c r="E165" i="33"/>
  <c r="F165" i="33" s="1"/>
  <c r="O164" i="33"/>
  <c r="N164" i="33"/>
  <c r="K164" i="33"/>
  <c r="L164" i="33" s="1"/>
  <c r="I164" i="33"/>
  <c r="H164" i="33"/>
  <c r="E164" i="33"/>
  <c r="F164" i="33" s="1"/>
  <c r="O163" i="33"/>
  <c r="N163" i="33"/>
  <c r="K163" i="33"/>
  <c r="L163" i="33" s="1"/>
  <c r="H163" i="33"/>
  <c r="I163" i="33" s="1"/>
  <c r="E163" i="33"/>
  <c r="F163" i="33" s="1"/>
  <c r="N162" i="33"/>
  <c r="O162" i="33" s="1"/>
  <c r="L162" i="33"/>
  <c r="K162" i="33"/>
  <c r="H162" i="33"/>
  <c r="I162" i="33" s="1"/>
  <c r="E162" i="33"/>
  <c r="F162" i="33" s="1"/>
  <c r="N161" i="33"/>
  <c r="O161" i="33" s="1"/>
  <c r="K161" i="33"/>
  <c r="L161" i="33" s="1"/>
  <c r="H161" i="33"/>
  <c r="I161" i="33" s="1"/>
  <c r="E161" i="33"/>
  <c r="F161" i="33" s="1"/>
  <c r="O160" i="33"/>
  <c r="N160" i="33"/>
  <c r="L160" i="33"/>
  <c r="K160" i="33"/>
  <c r="I160" i="33"/>
  <c r="H160" i="33"/>
  <c r="E160" i="33"/>
  <c r="F160" i="33" s="1"/>
  <c r="N159" i="33"/>
  <c r="O159" i="33" s="1"/>
  <c r="K159" i="33"/>
  <c r="L159" i="33" s="1"/>
  <c r="H159" i="33"/>
  <c r="I159" i="33" s="1"/>
  <c r="E159" i="33"/>
  <c r="F159" i="33" s="1"/>
  <c r="O158" i="33"/>
  <c r="N158" i="33"/>
  <c r="L158" i="33"/>
  <c r="K158" i="33"/>
  <c r="H158" i="33"/>
  <c r="I158" i="33" s="1"/>
  <c r="E158" i="33"/>
  <c r="F158" i="33" s="1"/>
  <c r="O157" i="33"/>
  <c r="N157" i="33"/>
  <c r="K157" i="33"/>
  <c r="L157" i="33" s="1"/>
  <c r="H157" i="33"/>
  <c r="I157" i="33" s="1"/>
  <c r="E157" i="33"/>
  <c r="F157" i="33" s="1"/>
  <c r="N156" i="33"/>
  <c r="O156" i="33" s="1"/>
  <c r="K156" i="33"/>
  <c r="L156" i="33" s="1"/>
  <c r="I156" i="33"/>
  <c r="H156" i="33"/>
  <c r="E156" i="33"/>
  <c r="F156" i="33" s="1"/>
  <c r="N155" i="33"/>
  <c r="O155" i="33" s="1"/>
  <c r="L155" i="33"/>
  <c r="K155" i="33"/>
  <c r="H155" i="33"/>
  <c r="I155" i="33" s="1"/>
  <c r="E155" i="33"/>
  <c r="F155" i="33" s="1"/>
  <c r="N154" i="33"/>
  <c r="O154" i="33" s="1"/>
  <c r="K154" i="33"/>
  <c r="L154" i="33" s="1"/>
  <c r="H154" i="33"/>
  <c r="I154" i="33" s="1"/>
  <c r="E154" i="33"/>
  <c r="F154" i="33" s="1"/>
  <c r="O153" i="33"/>
  <c r="N153" i="33"/>
  <c r="L153" i="33"/>
  <c r="K153" i="33"/>
  <c r="H153" i="33"/>
  <c r="I153" i="33" s="1"/>
  <c r="E153" i="33"/>
  <c r="F153" i="33" s="1"/>
  <c r="O152" i="33"/>
  <c r="N152" i="33"/>
  <c r="K152" i="33"/>
  <c r="I152" i="33"/>
  <c r="H152" i="33"/>
  <c r="H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E142" i="33"/>
  <c r="F142" i="33" s="1"/>
  <c r="N141" i="33"/>
  <c r="O141" i="33" s="1"/>
  <c r="L141" i="33"/>
  <c r="K141" i="33"/>
  <c r="H141" i="33"/>
  <c r="I141" i="33" s="1"/>
  <c r="E141" i="33"/>
  <c r="F141" i="33" s="1"/>
  <c r="N140" i="33"/>
  <c r="O140" i="33" s="1"/>
  <c r="L140" i="33"/>
  <c r="K140" i="33"/>
  <c r="H140" i="33"/>
  <c r="I140" i="33" s="1"/>
  <c r="E140" i="33"/>
  <c r="F140" i="33" s="1"/>
  <c r="N139" i="33"/>
  <c r="O139" i="33" s="1"/>
  <c r="L139" i="33"/>
  <c r="K139" i="33"/>
  <c r="H139" i="33"/>
  <c r="I139" i="33" s="1"/>
  <c r="E139" i="33"/>
  <c r="F139" i="33" s="1"/>
  <c r="N138" i="33"/>
  <c r="O138" i="33" s="1"/>
  <c r="L138" i="33"/>
  <c r="K138" i="33"/>
  <c r="I138" i="33"/>
  <c r="H138" i="33"/>
  <c r="E138" i="33"/>
  <c r="F138" i="33" s="1"/>
  <c r="O137" i="33"/>
  <c r="N137" i="33"/>
  <c r="L137" i="33"/>
  <c r="K137" i="33"/>
  <c r="H137" i="33"/>
  <c r="I137" i="33" s="1"/>
  <c r="E137" i="33"/>
  <c r="F137" i="33" s="1"/>
  <c r="O136" i="33"/>
  <c r="N136" i="33"/>
  <c r="K136" i="33"/>
  <c r="L136" i="33" s="1"/>
  <c r="I136" i="33"/>
  <c r="H136" i="33"/>
  <c r="E136" i="33"/>
  <c r="F136" i="33" s="1"/>
  <c r="O135" i="33"/>
  <c r="N135" i="33"/>
  <c r="L135" i="33"/>
  <c r="K135" i="33"/>
  <c r="H135" i="33"/>
  <c r="I135" i="33" s="1"/>
  <c r="E135" i="33"/>
  <c r="F135" i="33" s="1"/>
  <c r="O134" i="33"/>
  <c r="N134" i="33"/>
  <c r="L134" i="33"/>
  <c r="K134" i="33"/>
  <c r="I134" i="33"/>
  <c r="H134" i="33"/>
  <c r="E134" i="33"/>
  <c r="F134" i="33" s="1"/>
  <c r="N133" i="33"/>
  <c r="O133" i="33" s="1"/>
  <c r="K133" i="33"/>
  <c r="L133" i="33" s="1"/>
  <c r="H133" i="33"/>
  <c r="I133" i="33" s="1"/>
  <c r="E133" i="33"/>
  <c r="F133" i="33" s="1"/>
  <c r="O132" i="33"/>
  <c r="N132" i="33"/>
  <c r="L132" i="33"/>
  <c r="K132" i="33"/>
  <c r="H132" i="33"/>
  <c r="I132" i="33" s="1"/>
  <c r="E132" i="33"/>
  <c r="F132" i="33" s="1"/>
  <c r="O131" i="33"/>
  <c r="N131" i="33"/>
  <c r="K131" i="33"/>
  <c r="L131" i="33" s="1"/>
  <c r="H131" i="33"/>
  <c r="I131" i="33" s="1"/>
  <c r="E131" i="33"/>
  <c r="F131" i="33" s="1"/>
  <c r="N130" i="33"/>
  <c r="O130" i="33" s="1"/>
  <c r="L130" i="33"/>
  <c r="K130" i="33"/>
  <c r="I130" i="33"/>
  <c r="H130" i="33"/>
  <c r="E130" i="33"/>
  <c r="F130" i="33" s="1"/>
  <c r="O129" i="33"/>
  <c r="N129" i="33"/>
  <c r="L129" i="33"/>
  <c r="K129" i="33"/>
  <c r="H129" i="33"/>
  <c r="I129" i="33" s="1"/>
  <c r="E129" i="33"/>
  <c r="F129" i="33" s="1"/>
  <c r="O128" i="33"/>
  <c r="N128" i="33"/>
  <c r="L128" i="33"/>
  <c r="K128" i="33"/>
  <c r="H128" i="33"/>
  <c r="I128" i="33" s="1"/>
  <c r="E128" i="33"/>
  <c r="F128" i="33" s="1"/>
  <c r="O127" i="33"/>
  <c r="N127" i="33"/>
  <c r="L127" i="33"/>
  <c r="K127" i="33"/>
  <c r="H127" i="33"/>
  <c r="I127" i="33" s="1"/>
  <c r="E127" i="33"/>
  <c r="F127" i="33" s="1"/>
  <c r="O126" i="33"/>
  <c r="N126" i="33"/>
  <c r="L126" i="33"/>
  <c r="K126" i="33"/>
  <c r="I126" i="33"/>
  <c r="H126" i="33"/>
  <c r="E126" i="33"/>
  <c r="F126" i="33" s="1"/>
  <c r="N125" i="33"/>
  <c r="N145" i="33" s="1"/>
  <c r="L125" i="33"/>
  <c r="K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N117" i="33"/>
  <c r="O117" i="33" s="1"/>
  <c r="K117" i="33"/>
  <c r="L117" i="33" s="1"/>
  <c r="I117" i="33"/>
  <c r="H117" i="33"/>
  <c r="E117" i="33"/>
  <c r="F117" i="33" s="1"/>
  <c r="N116" i="33"/>
  <c r="O116" i="33" s="1"/>
  <c r="K116" i="33"/>
  <c r="L116" i="33" s="1"/>
  <c r="H116" i="33"/>
  <c r="I116" i="33" s="1"/>
  <c r="E116" i="33"/>
  <c r="F116" i="33" s="1"/>
  <c r="O115" i="33"/>
  <c r="N115" i="33"/>
  <c r="L115" i="33"/>
  <c r="K115" i="33"/>
  <c r="I115" i="33"/>
  <c r="H115" i="33"/>
  <c r="E115" i="33"/>
  <c r="F115" i="33" s="1"/>
  <c r="N114" i="33"/>
  <c r="O114" i="33" s="1"/>
  <c r="K114" i="33"/>
  <c r="L114" i="33" s="1"/>
  <c r="H114" i="33"/>
  <c r="I114" i="33" s="1"/>
  <c r="E114" i="33"/>
  <c r="F114" i="33" s="1"/>
  <c r="O113" i="33"/>
  <c r="N113" i="33"/>
  <c r="L113" i="33"/>
  <c r="K113" i="33"/>
  <c r="I113" i="33"/>
  <c r="H113" i="33"/>
  <c r="E113" i="33"/>
  <c r="F113" i="33" s="1"/>
  <c r="N112" i="33"/>
  <c r="O112" i="33" s="1"/>
  <c r="L112" i="33"/>
  <c r="K112" i="33"/>
  <c r="H112" i="33"/>
  <c r="I112" i="33" s="1"/>
  <c r="E112" i="33"/>
  <c r="F112" i="33" s="1"/>
  <c r="O111" i="33"/>
  <c r="N111" i="33"/>
  <c r="K111" i="33"/>
  <c r="L111" i="33" s="1"/>
  <c r="I111" i="33"/>
  <c r="H111" i="33"/>
  <c r="E111" i="33"/>
  <c r="F111" i="33" s="1"/>
  <c r="N110" i="33"/>
  <c r="O110" i="33" s="1"/>
  <c r="L110" i="33"/>
  <c r="K110" i="33"/>
  <c r="H110" i="33"/>
  <c r="I110" i="33" s="1"/>
  <c r="E110" i="33"/>
  <c r="F110" i="33" s="1"/>
  <c r="O109" i="33"/>
  <c r="N109" i="33"/>
  <c r="K109" i="33"/>
  <c r="L109" i="33" s="1"/>
  <c r="I109" i="33"/>
  <c r="H109" i="33"/>
  <c r="E109" i="33"/>
  <c r="F109" i="33" s="1"/>
  <c r="N108" i="33"/>
  <c r="O108" i="33" s="1"/>
  <c r="L108" i="33"/>
  <c r="K108" i="33"/>
  <c r="H108" i="33"/>
  <c r="I108" i="33" s="1"/>
  <c r="E108" i="33"/>
  <c r="F108" i="33" s="1"/>
  <c r="O107" i="33"/>
  <c r="N107" i="33"/>
  <c r="L107" i="33"/>
  <c r="K107" i="33"/>
  <c r="I107" i="33"/>
  <c r="H107" i="33"/>
  <c r="E107" i="33"/>
  <c r="F107" i="33" s="1"/>
  <c r="O106" i="33"/>
  <c r="N106" i="33"/>
  <c r="K106" i="33"/>
  <c r="L106" i="33" s="1"/>
  <c r="H106" i="33"/>
  <c r="I106" i="33" s="1"/>
  <c r="E106" i="33"/>
  <c r="F106" i="33" s="1"/>
  <c r="O105" i="33"/>
  <c r="N105" i="33"/>
  <c r="K105" i="33"/>
  <c r="L105" i="33" s="1"/>
  <c r="I105" i="33"/>
  <c r="H105" i="33"/>
  <c r="E105" i="33"/>
  <c r="F105" i="33" s="1"/>
  <c r="N104" i="33"/>
  <c r="O104" i="33" s="1"/>
  <c r="L104" i="33"/>
  <c r="K104" i="33"/>
  <c r="H104" i="33"/>
  <c r="I104" i="33" s="1"/>
  <c r="E104" i="33"/>
  <c r="F104" i="33" s="1"/>
  <c r="O103" i="33"/>
  <c r="N103" i="33"/>
  <c r="L103" i="33"/>
  <c r="K103" i="33"/>
  <c r="I103" i="33"/>
  <c r="H103" i="33"/>
  <c r="E103" i="33"/>
  <c r="F103" i="33" s="1"/>
  <c r="O102" i="33"/>
  <c r="N102" i="33"/>
  <c r="L102" i="33"/>
  <c r="K102" i="33"/>
  <c r="H102" i="33"/>
  <c r="I102" i="33" s="1"/>
  <c r="E102" i="33"/>
  <c r="F102" i="33" s="1"/>
  <c r="N101" i="33"/>
  <c r="O101" i="33" s="1"/>
  <c r="K101" i="33"/>
  <c r="L101" i="33" s="1"/>
  <c r="I101" i="33"/>
  <c r="H101" i="33"/>
  <c r="E101" i="33"/>
  <c r="F101" i="33" s="1"/>
  <c r="O100" i="33"/>
  <c r="N100" i="33"/>
  <c r="L100" i="33"/>
  <c r="K100" i="33"/>
  <c r="H100" i="33"/>
  <c r="I100" i="33" s="1"/>
  <c r="E100" i="33"/>
  <c r="F100" i="33" s="1"/>
  <c r="O99" i="33"/>
  <c r="N99" i="33"/>
  <c r="L99" i="33"/>
  <c r="K99" i="33"/>
  <c r="I99" i="33"/>
  <c r="H99" i="33"/>
  <c r="E99" i="33"/>
  <c r="F99" i="33" s="1"/>
  <c r="N98" i="33"/>
  <c r="K98" i="33"/>
  <c r="K118" i="33" s="1"/>
  <c r="H98" i="33"/>
  <c r="H118" i="33" s="1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N89" i="33"/>
  <c r="O89" i="33" s="1"/>
  <c r="K89" i="33"/>
  <c r="L89" i="33" s="1"/>
  <c r="H89" i="33"/>
  <c r="I89" i="33" s="1"/>
  <c r="E89" i="33"/>
  <c r="F89" i="33" s="1"/>
  <c r="O88" i="33"/>
  <c r="N88" i="33"/>
  <c r="K88" i="33"/>
  <c r="L88" i="33" s="1"/>
  <c r="I88" i="33"/>
  <c r="H88" i="33"/>
  <c r="F88" i="33"/>
  <c r="E88" i="33"/>
  <c r="N87" i="33"/>
  <c r="O87" i="33" s="1"/>
  <c r="K87" i="33"/>
  <c r="L87" i="33" s="1"/>
  <c r="I87" i="33"/>
  <c r="H87" i="33"/>
  <c r="F87" i="33"/>
  <c r="E87" i="33"/>
  <c r="N86" i="33"/>
  <c r="O86" i="33" s="1"/>
  <c r="K86" i="33"/>
  <c r="L86" i="33" s="1"/>
  <c r="I86" i="33"/>
  <c r="H86" i="33"/>
  <c r="F86" i="33"/>
  <c r="E86" i="33"/>
  <c r="N85" i="33"/>
  <c r="O85" i="33" s="1"/>
  <c r="K85" i="33"/>
  <c r="L85" i="33" s="1"/>
  <c r="I85" i="33"/>
  <c r="H85" i="33"/>
  <c r="F85" i="33"/>
  <c r="E85" i="33"/>
  <c r="O84" i="33"/>
  <c r="N84" i="33"/>
  <c r="K84" i="33"/>
  <c r="L84" i="33" s="1"/>
  <c r="I84" i="33"/>
  <c r="H84" i="33"/>
  <c r="F84" i="33"/>
  <c r="E84" i="33"/>
  <c r="N83" i="33"/>
  <c r="O83" i="33" s="1"/>
  <c r="K83" i="33"/>
  <c r="L83" i="33" s="1"/>
  <c r="I83" i="33"/>
  <c r="H83" i="33"/>
  <c r="F83" i="33"/>
  <c r="E83" i="33"/>
  <c r="N82" i="33"/>
  <c r="O82" i="33" s="1"/>
  <c r="K82" i="33"/>
  <c r="L82" i="33" s="1"/>
  <c r="I82" i="33"/>
  <c r="H82" i="33"/>
  <c r="F82" i="33"/>
  <c r="E82" i="33"/>
  <c r="N81" i="33"/>
  <c r="O81" i="33" s="1"/>
  <c r="K81" i="33"/>
  <c r="L81" i="33" s="1"/>
  <c r="I81" i="33"/>
  <c r="H81" i="33"/>
  <c r="F81" i="33"/>
  <c r="E81" i="33"/>
  <c r="O80" i="33"/>
  <c r="N80" i="33"/>
  <c r="K80" i="33"/>
  <c r="L80" i="33" s="1"/>
  <c r="I80" i="33"/>
  <c r="H80" i="33"/>
  <c r="F80" i="33"/>
  <c r="E80" i="33"/>
  <c r="N79" i="33"/>
  <c r="O79" i="33" s="1"/>
  <c r="K79" i="33"/>
  <c r="L79" i="33" s="1"/>
  <c r="I79" i="33"/>
  <c r="H79" i="33"/>
  <c r="F79" i="33"/>
  <c r="E79" i="33"/>
  <c r="N78" i="33"/>
  <c r="O78" i="33" s="1"/>
  <c r="K78" i="33"/>
  <c r="L78" i="33" s="1"/>
  <c r="I78" i="33"/>
  <c r="H78" i="33"/>
  <c r="F78" i="33"/>
  <c r="E78" i="33"/>
  <c r="N77" i="33"/>
  <c r="O77" i="33" s="1"/>
  <c r="K77" i="33"/>
  <c r="L77" i="33" s="1"/>
  <c r="I77" i="33"/>
  <c r="H77" i="33"/>
  <c r="F77" i="33"/>
  <c r="E77" i="33"/>
  <c r="O76" i="33"/>
  <c r="N76" i="33"/>
  <c r="K76" i="33"/>
  <c r="L76" i="33" s="1"/>
  <c r="I76" i="33"/>
  <c r="H76" i="33"/>
  <c r="F76" i="33"/>
  <c r="E76" i="33"/>
  <c r="N75" i="33"/>
  <c r="O75" i="33" s="1"/>
  <c r="K75" i="33"/>
  <c r="L75" i="33" s="1"/>
  <c r="I75" i="33"/>
  <c r="H75" i="33"/>
  <c r="F75" i="33"/>
  <c r="E75" i="33"/>
  <c r="N74" i="33"/>
  <c r="O74" i="33" s="1"/>
  <c r="K74" i="33"/>
  <c r="L74" i="33" s="1"/>
  <c r="I74" i="33"/>
  <c r="H74" i="33"/>
  <c r="F74" i="33"/>
  <c r="E74" i="33"/>
  <c r="N73" i="33"/>
  <c r="O73" i="33" s="1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N71" i="33"/>
  <c r="N91" i="33" s="1"/>
  <c r="K71" i="33"/>
  <c r="I71" i="33"/>
  <c r="H71" i="33"/>
  <c r="H91" i="33" s="1"/>
  <c r="F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K61" i="33"/>
  <c r="L61" i="33" s="1"/>
  <c r="I61" i="33"/>
  <c r="H61" i="33"/>
  <c r="E61" i="33"/>
  <c r="F61" i="33" s="1"/>
  <c r="O60" i="33"/>
  <c r="N60" i="33"/>
  <c r="L60" i="33"/>
  <c r="K60" i="33"/>
  <c r="H60" i="33"/>
  <c r="I60" i="33" s="1"/>
  <c r="E60" i="33"/>
  <c r="F60" i="33" s="1"/>
  <c r="O59" i="33"/>
  <c r="N59" i="33"/>
  <c r="K59" i="33"/>
  <c r="L59" i="33" s="1"/>
  <c r="I59" i="33"/>
  <c r="H59" i="33"/>
  <c r="E59" i="33"/>
  <c r="F59" i="33" s="1"/>
  <c r="O58" i="33"/>
  <c r="N58" i="33"/>
  <c r="K58" i="33"/>
  <c r="L58" i="33" s="1"/>
  <c r="H58" i="33"/>
  <c r="I58" i="33" s="1"/>
  <c r="E58" i="33"/>
  <c r="F58" i="33" s="1"/>
  <c r="O57" i="33"/>
  <c r="N57" i="33"/>
  <c r="K57" i="33"/>
  <c r="L57" i="33" s="1"/>
  <c r="I57" i="33"/>
  <c r="H57" i="33"/>
  <c r="E57" i="33"/>
  <c r="F57" i="33" s="1"/>
  <c r="N56" i="33"/>
  <c r="O56" i="33" s="1"/>
  <c r="K56" i="33"/>
  <c r="L56" i="33" s="1"/>
  <c r="H56" i="33"/>
  <c r="I56" i="33" s="1"/>
  <c r="E56" i="33"/>
  <c r="F56" i="33" s="1"/>
  <c r="O55" i="33"/>
  <c r="N55" i="33"/>
  <c r="L55" i="33"/>
  <c r="K55" i="33"/>
  <c r="I55" i="33"/>
  <c r="H55" i="33"/>
  <c r="E55" i="33"/>
  <c r="F55" i="33" s="1"/>
  <c r="N54" i="33"/>
  <c r="O54" i="33" s="1"/>
  <c r="K54" i="33"/>
  <c r="L54" i="33" s="1"/>
  <c r="H54" i="33"/>
  <c r="I54" i="33" s="1"/>
  <c r="E54" i="33"/>
  <c r="F54" i="33" s="1"/>
  <c r="O53" i="33"/>
  <c r="N53" i="33"/>
  <c r="K53" i="33"/>
  <c r="L53" i="33" s="1"/>
  <c r="I53" i="33"/>
  <c r="H53" i="33"/>
  <c r="E53" i="33"/>
  <c r="F53" i="33" s="1"/>
  <c r="N52" i="33"/>
  <c r="O52" i="33" s="1"/>
  <c r="L52" i="33"/>
  <c r="K52" i="33"/>
  <c r="H52" i="33"/>
  <c r="I52" i="33" s="1"/>
  <c r="E52" i="33"/>
  <c r="F52" i="33" s="1"/>
  <c r="O51" i="33"/>
  <c r="N51" i="33"/>
  <c r="K51" i="33"/>
  <c r="L51" i="33" s="1"/>
  <c r="I51" i="33"/>
  <c r="H51" i="33"/>
  <c r="E51" i="33"/>
  <c r="F51" i="33" s="1"/>
  <c r="N50" i="33"/>
  <c r="O50" i="33" s="1"/>
  <c r="K50" i="33"/>
  <c r="L50" i="33" s="1"/>
  <c r="H50" i="33"/>
  <c r="I50" i="33" s="1"/>
  <c r="E50" i="33"/>
  <c r="F50" i="33" s="1"/>
  <c r="N49" i="33"/>
  <c r="O49" i="33" s="1"/>
  <c r="K49" i="33"/>
  <c r="L49" i="33" s="1"/>
  <c r="I49" i="33"/>
  <c r="H49" i="33"/>
  <c r="E49" i="33"/>
  <c r="F49" i="33" s="1"/>
  <c r="O48" i="33"/>
  <c r="N48" i="33"/>
  <c r="K48" i="33"/>
  <c r="L48" i="33" s="1"/>
  <c r="H48" i="33"/>
  <c r="I48" i="33" s="1"/>
  <c r="E48" i="33"/>
  <c r="F48" i="33" s="1"/>
  <c r="O47" i="33"/>
  <c r="N47" i="33"/>
  <c r="L47" i="33"/>
  <c r="K47" i="33"/>
  <c r="I47" i="33"/>
  <c r="H47" i="33"/>
  <c r="E47" i="33"/>
  <c r="F47" i="33" s="1"/>
  <c r="O46" i="33"/>
  <c r="N46" i="33"/>
  <c r="K46" i="33"/>
  <c r="L46" i="33" s="1"/>
  <c r="H46" i="33"/>
  <c r="I46" i="33" s="1"/>
  <c r="E46" i="33"/>
  <c r="F46" i="33" s="1"/>
  <c r="O45" i="33"/>
  <c r="N45" i="33"/>
  <c r="K45" i="33"/>
  <c r="L45" i="33" s="1"/>
  <c r="I45" i="33"/>
  <c r="H45" i="33"/>
  <c r="E45" i="33"/>
  <c r="F45" i="33" s="1"/>
  <c r="O44" i="33"/>
  <c r="N44" i="33"/>
  <c r="L44" i="33"/>
  <c r="K44" i="33"/>
  <c r="H44" i="33"/>
  <c r="H64" i="33" s="1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O189" i="32"/>
  <c r="N189" i="32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O187" i="32"/>
  <c r="N187" i="32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O180" i="32"/>
  <c r="N180" i="32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O171" i="32"/>
  <c r="N171" i="32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K164" i="32"/>
  <c r="L164" i="32" s="1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N161" i="32"/>
  <c r="O161" i="32" s="1"/>
  <c r="K161" i="32"/>
  <c r="L161" i="32" s="1"/>
  <c r="H161" i="32"/>
  <c r="I161" i="32" s="1"/>
  <c r="F161" i="32"/>
  <c r="E161" i="32"/>
  <c r="N160" i="32"/>
  <c r="O160" i="32" s="1"/>
  <c r="K160" i="32"/>
  <c r="L160" i="32" s="1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N158" i="32"/>
  <c r="O158" i="32" s="1"/>
  <c r="K158" i="32"/>
  <c r="L158" i="32" s="1"/>
  <c r="H158" i="32"/>
  <c r="I158" i="32" s="1"/>
  <c r="F158" i="32"/>
  <c r="E158" i="32"/>
  <c r="O157" i="32"/>
  <c r="N157" i="32"/>
  <c r="K157" i="32"/>
  <c r="L157" i="32" s="1"/>
  <c r="H157" i="32"/>
  <c r="I157" i="32" s="1"/>
  <c r="F157" i="32"/>
  <c r="E157" i="32"/>
  <c r="N156" i="32"/>
  <c r="O156" i="32" s="1"/>
  <c r="K156" i="32"/>
  <c r="L156" i="32" s="1"/>
  <c r="H156" i="32"/>
  <c r="I156" i="32" s="1"/>
  <c r="F156" i="32"/>
  <c r="E156" i="32"/>
  <c r="O155" i="32"/>
  <c r="N155" i="32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N152" i="32"/>
  <c r="N172" i="32" s="1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L141" i="32"/>
  <c r="K141" i="32"/>
  <c r="H141" i="32"/>
  <c r="I141" i="32" s="1"/>
  <c r="E141" i="32"/>
  <c r="F141" i="32" s="1"/>
  <c r="N140" i="32"/>
  <c r="O140" i="32" s="1"/>
  <c r="K140" i="32"/>
  <c r="L140" i="32" s="1"/>
  <c r="I140" i="32"/>
  <c r="H140" i="32"/>
  <c r="E140" i="32"/>
  <c r="F140" i="32" s="1"/>
  <c r="O139" i="32"/>
  <c r="N139" i="32"/>
  <c r="L139" i="32"/>
  <c r="K139" i="32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N137" i="32"/>
  <c r="O137" i="32" s="1"/>
  <c r="L137" i="32"/>
  <c r="K137" i="32"/>
  <c r="H137" i="32"/>
  <c r="I137" i="32" s="1"/>
  <c r="E137" i="32"/>
  <c r="F137" i="32" s="1"/>
  <c r="N136" i="32"/>
  <c r="O136" i="32" s="1"/>
  <c r="K136" i="32"/>
  <c r="L136" i="32" s="1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O134" i="32"/>
  <c r="N134" i="32"/>
  <c r="L134" i="32"/>
  <c r="K134" i="32"/>
  <c r="H134" i="32"/>
  <c r="I134" i="32" s="1"/>
  <c r="E134" i="32"/>
  <c r="F134" i="32" s="1"/>
  <c r="N133" i="32"/>
  <c r="O133" i="32" s="1"/>
  <c r="K133" i="32"/>
  <c r="L133" i="32" s="1"/>
  <c r="H133" i="32"/>
  <c r="I133" i="32" s="1"/>
  <c r="E133" i="32"/>
  <c r="F133" i="32" s="1"/>
  <c r="N132" i="32"/>
  <c r="O132" i="32" s="1"/>
  <c r="L132" i="32"/>
  <c r="K132" i="32"/>
  <c r="I132" i="32"/>
  <c r="H132" i="32"/>
  <c r="E132" i="32"/>
  <c r="F132" i="32" s="1"/>
  <c r="N131" i="32"/>
  <c r="O131" i="32" s="1"/>
  <c r="K131" i="32"/>
  <c r="L131" i="32" s="1"/>
  <c r="H131" i="32"/>
  <c r="I131" i="32" s="1"/>
  <c r="E131" i="32"/>
  <c r="F131" i="32" s="1"/>
  <c r="N130" i="32"/>
  <c r="O130" i="32" s="1"/>
  <c r="L130" i="32"/>
  <c r="K130" i="32"/>
  <c r="H130" i="32"/>
  <c r="I130" i="32" s="1"/>
  <c r="E130" i="32"/>
  <c r="F130" i="32" s="1"/>
  <c r="N129" i="32"/>
  <c r="O129" i="32" s="1"/>
  <c r="K129" i="32"/>
  <c r="L129" i="32" s="1"/>
  <c r="H129" i="32"/>
  <c r="I129" i="32" s="1"/>
  <c r="E129" i="32"/>
  <c r="F129" i="32" s="1"/>
  <c r="N128" i="32"/>
  <c r="O128" i="32" s="1"/>
  <c r="L128" i="32"/>
  <c r="K128" i="32"/>
  <c r="I128" i="32"/>
  <c r="H128" i="32"/>
  <c r="E128" i="32"/>
  <c r="F128" i="32" s="1"/>
  <c r="N127" i="32"/>
  <c r="O127" i="32" s="1"/>
  <c r="L127" i="32"/>
  <c r="K127" i="32"/>
  <c r="H127" i="32"/>
  <c r="I127" i="32" s="1"/>
  <c r="E127" i="32"/>
  <c r="F127" i="32" s="1"/>
  <c r="N126" i="32"/>
  <c r="O126" i="32" s="1"/>
  <c r="K126" i="32"/>
  <c r="L126" i="32" s="1"/>
  <c r="H126" i="32"/>
  <c r="I126" i="32" s="1"/>
  <c r="E126" i="32"/>
  <c r="F126" i="32" s="1"/>
  <c r="O125" i="32"/>
  <c r="N125" i="32"/>
  <c r="L125" i="32"/>
  <c r="K125" i="32"/>
  <c r="I125" i="32"/>
  <c r="H125" i="32"/>
  <c r="H145" i="32" s="1"/>
  <c r="E125" i="32"/>
  <c r="E145" i="32" s="1"/>
  <c r="M123" i="32"/>
  <c r="J123" i="32"/>
  <c r="G123" i="32"/>
  <c r="D123" i="32"/>
  <c r="B123" i="32"/>
  <c r="M122" i="32"/>
  <c r="G122" i="32"/>
  <c r="B118" i="32"/>
  <c r="N117" i="32"/>
  <c r="O117" i="32" s="1"/>
  <c r="K117" i="32"/>
  <c r="L117" i="32" s="1"/>
  <c r="I117" i="32"/>
  <c r="H117" i="32"/>
  <c r="E117" i="32"/>
  <c r="F117" i="32" s="1"/>
  <c r="N116" i="32"/>
  <c r="O116" i="32" s="1"/>
  <c r="K116" i="32"/>
  <c r="L116" i="32" s="1"/>
  <c r="H116" i="32"/>
  <c r="I116" i="32" s="1"/>
  <c r="E116" i="32"/>
  <c r="F116" i="32" s="1"/>
  <c r="O115" i="32"/>
  <c r="N115" i="32"/>
  <c r="L115" i="32"/>
  <c r="K115" i="32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O113" i="32"/>
  <c r="N113" i="32"/>
  <c r="K113" i="32"/>
  <c r="L113" i="32" s="1"/>
  <c r="I113" i="32"/>
  <c r="H113" i="32"/>
  <c r="E113" i="32"/>
  <c r="F113" i="32" s="1"/>
  <c r="O112" i="32"/>
  <c r="N112" i="32"/>
  <c r="L112" i="32"/>
  <c r="K112" i="32"/>
  <c r="H112" i="32"/>
  <c r="I112" i="32" s="1"/>
  <c r="E112" i="32"/>
  <c r="F112" i="32" s="1"/>
  <c r="O111" i="32"/>
  <c r="N111" i="32"/>
  <c r="K111" i="32"/>
  <c r="L111" i="32" s="1"/>
  <c r="H111" i="32"/>
  <c r="I111" i="32" s="1"/>
  <c r="E111" i="32"/>
  <c r="F111" i="32" s="1"/>
  <c r="N110" i="32"/>
  <c r="O110" i="32" s="1"/>
  <c r="L110" i="32"/>
  <c r="K110" i="32"/>
  <c r="I110" i="32"/>
  <c r="H110" i="32"/>
  <c r="E110" i="32"/>
  <c r="F110" i="32" s="1"/>
  <c r="O109" i="32"/>
  <c r="N109" i="32"/>
  <c r="K109" i="32"/>
  <c r="L109" i="32" s="1"/>
  <c r="I109" i="32"/>
  <c r="H109" i="32"/>
  <c r="E109" i="32"/>
  <c r="F109" i="32" s="1"/>
  <c r="O108" i="32"/>
  <c r="N108" i="32"/>
  <c r="K108" i="32"/>
  <c r="L108" i="32" s="1"/>
  <c r="H108" i="32"/>
  <c r="I108" i="32" s="1"/>
  <c r="E108" i="32"/>
  <c r="F108" i="32" s="1"/>
  <c r="N107" i="32"/>
  <c r="O107" i="32" s="1"/>
  <c r="L107" i="32"/>
  <c r="K107" i="32"/>
  <c r="H107" i="32"/>
  <c r="I107" i="32" s="1"/>
  <c r="E107" i="32"/>
  <c r="F107" i="32" s="1"/>
  <c r="N106" i="32"/>
  <c r="O106" i="32" s="1"/>
  <c r="K106" i="32"/>
  <c r="L106" i="32" s="1"/>
  <c r="I106" i="32"/>
  <c r="H106" i="32"/>
  <c r="E106" i="32"/>
  <c r="F106" i="32" s="1"/>
  <c r="N105" i="32"/>
  <c r="O105" i="32" s="1"/>
  <c r="K105" i="32"/>
  <c r="L105" i="32" s="1"/>
  <c r="I105" i="32"/>
  <c r="H105" i="32"/>
  <c r="E105" i="32"/>
  <c r="F105" i="32" s="1"/>
  <c r="N104" i="32"/>
  <c r="O104" i="32" s="1"/>
  <c r="L104" i="32"/>
  <c r="K104" i="32"/>
  <c r="H104" i="32"/>
  <c r="I104" i="32" s="1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L102" i="32"/>
  <c r="K102" i="32"/>
  <c r="I102" i="32"/>
  <c r="H102" i="32"/>
  <c r="E102" i="32"/>
  <c r="F102" i="32" s="1"/>
  <c r="N101" i="32"/>
  <c r="O101" i="32" s="1"/>
  <c r="K101" i="32"/>
  <c r="L101" i="32" s="1"/>
  <c r="I101" i="32"/>
  <c r="H101" i="32"/>
  <c r="E101" i="32"/>
  <c r="F101" i="32" s="1"/>
  <c r="N100" i="32"/>
  <c r="O100" i="32" s="1"/>
  <c r="K100" i="32"/>
  <c r="L100" i="32" s="1"/>
  <c r="H100" i="32"/>
  <c r="I100" i="32" s="1"/>
  <c r="E100" i="32"/>
  <c r="F100" i="32" s="1"/>
  <c r="O99" i="32"/>
  <c r="N99" i="32"/>
  <c r="L99" i="32"/>
  <c r="K99" i="32"/>
  <c r="H99" i="32"/>
  <c r="I99" i="32" s="1"/>
  <c r="E99" i="32"/>
  <c r="F99" i="32" s="1"/>
  <c r="O98" i="32"/>
  <c r="N98" i="32"/>
  <c r="K98" i="32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K90" i="32"/>
  <c r="L90" i="32" s="1"/>
  <c r="I90" i="32"/>
  <c r="H90" i="32"/>
  <c r="E90" i="32"/>
  <c r="F90" i="32" s="1"/>
  <c r="N89" i="32"/>
  <c r="O89" i="32" s="1"/>
  <c r="L89" i="32"/>
  <c r="K89" i="32"/>
  <c r="H89" i="32"/>
  <c r="I89" i="32" s="1"/>
  <c r="E89" i="32"/>
  <c r="F89" i="32" s="1"/>
  <c r="O88" i="32"/>
  <c r="N88" i="32"/>
  <c r="L88" i="32"/>
  <c r="K88" i="32"/>
  <c r="H88" i="32"/>
  <c r="I88" i="32" s="1"/>
  <c r="E88" i="32"/>
  <c r="F88" i="32" s="1"/>
  <c r="N87" i="32"/>
  <c r="O87" i="32" s="1"/>
  <c r="L87" i="32"/>
  <c r="K87" i="32"/>
  <c r="I87" i="32"/>
  <c r="H87" i="32"/>
  <c r="E87" i="32"/>
  <c r="F87" i="32" s="1"/>
  <c r="N86" i="32"/>
  <c r="O86" i="32" s="1"/>
  <c r="K86" i="32"/>
  <c r="L86" i="32" s="1"/>
  <c r="I86" i="32"/>
  <c r="H86" i="32"/>
  <c r="E86" i="32"/>
  <c r="F86" i="32" s="1"/>
  <c r="N85" i="32"/>
  <c r="O85" i="32" s="1"/>
  <c r="L85" i="32"/>
  <c r="K85" i="32"/>
  <c r="H85" i="32"/>
  <c r="I85" i="32" s="1"/>
  <c r="E85" i="32"/>
  <c r="F85" i="32" s="1"/>
  <c r="O84" i="32"/>
  <c r="N84" i="32"/>
  <c r="L84" i="32"/>
  <c r="K84" i="32"/>
  <c r="H84" i="32"/>
  <c r="I84" i="32" s="1"/>
  <c r="E84" i="32"/>
  <c r="F84" i="32" s="1"/>
  <c r="N83" i="32"/>
  <c r="O83" i="32" s="1"/>
  <c r="L83" i="32"/>
  <c r="K83" i="32"/>
  <c r="I83" i="32"/>
  <c r="H83" i="32"/>
  <c r="E83" i="32"/>
  <c r="F83" i="32" s="1"/>
  <c r="N82" i="32"/>
  <c r="O82" i="32" s="1"/>
  <c r="K82" i="32"/>
  <c r="L82" i="32" s="1"/>
  <c r="I82" i="32"/>
  <c r="H82" i="32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L80" i="32"/>
  <c r="K80" i="32"/>
  <c r="H80" i="32"/>
  <c r="I80" i="32" s="1"/>
  <c r="E80" i="32"/>
  <c r="F80" i="32" s="1"/>
  <c r="O79" i="32"/>
  <c r="N79" i="32"/>
  <c r="L79" i="32"/>
  <c r="K79" i="32"/>
  <c r="H79" i="32"/>
  <c r="I79" i="32" s="1"/>
  <c r="E79" i="32"/>
  <c r="F79" i="32" s="1"/>
  <c r="N78" i="32"/>
  <c r="O78" i="32" s="1"/>
  <c r="L78" i="32"/>
  <c r="K78" i="32"/>
  <c r="I78" i="32"/>
  <c r="H78" i="32"/>
  <c r="E78" i="32"/>
  <c r="F78" i="32" s="1"/>
  <c r="N77" i="32"/>
  <c r="O77" i="32" s="1"/>
  <c r="K77" i="32"/>
  <c r="L77" i="32" s="1"/>
  <c r="H77" i="32"/>
  <c r="I77" i="32" s="1"/>
  <c r="E77" i="32"/>
  <c r="F77" i="32" s="1"/>
  <c r="N76" i="32"/>
  <c r="O76" i="32" s="1"/>
  <c r="K76" i="32"/>
  <c r="L76" i="32" s="1"/>
  <c r="H76" i="32"/>
  <c r="I76" i="32" s="1"/>
  <c r="E76" i="32"/>
  <c r="F76" i="32" s="1"/>
  <c r="N75" i="32"/>
  <c r="O75" i="32" s="1"/>
  <c r="K75" i="32"/>
  <c r="L75" i="32" s="1"/>
  <c r="I75" i="32"/>
  <c r="H75" i="32"/>
  <c r="E75" i="32"/>
  <c r="F75" i="32" s="1"/>
  <c r="N74" i="32"/>
  <c r="O74" i="32" s="1"/>
  <c r="L74" i="32"/>
  <c r="K74" i="32"/>
  <c r="I74" i="32"/>
  <c r="H74" i="32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K72" i="32"/>
  <c r="L72" i="32" s="1"/>
  <c r="H72" i="32"/>
  <c r="I72" i="32" s="1"/>
  <c r="E72" i="32"/>
  <c r="F72" i="32" s="1"/>
  <c r="N71" i="32"/>
  <c r="K71" i="32"/>
  <c r="K91" i="32" s="1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K63" i="32"/>
  <c r="L63" i="32" s="1"/>
  <c r="I63" i="32"/>
  <c r="H63" i="32"/>
  <c r="E63" i="32"/>
  <c r="F63" i="32" s="1"/>
  <c r="N62" i="32"/>
  <c r="O62" i="32" s="1"/>
  <c r="L62" i="32"/>
  <c r="K62" i="32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N60" i="32"/>
  <c r="O60" i="32" s="1"/>
  <c r="L60" i="32"/>
  <c r="K60" i="32"/>
  <c r="H60" i="32"/>
  <c r="I60" i="32" s="1"/>
  <c r="E60" i="32"/>
  <c r="F60" i="32" s="1"/>
  <c r="N59" i="32"/>
  <c r="O59" i="32" s="1"/>
  <c r="L59" i="32"/>
  <c r="K59" i="32"/>
  <c r="I59" i="32"/>
  <c r="H59" i="32"/>
  <c r="E59" i="32"/>
  <c r="F59" i="32" s="1"/>
  <c r="N58" i="32"/>
  <c r="O58" i="32" s="1"/>
  <c r="K58" i="32"/>
  <c r="L58" i="32" s="1"/>
  <c r="H58" i="32"/>
  <c r="I58" i="32" s="1"/>
  <c r="E58" i="32"/>
  <c r="F58" i="32" s="1"/>
  <c r="N57" i="32"/>
  <c r="O57" i="32" s="1"/>
  <c r="K57" i="32"/>
  <c r="L57" i="32" s="1"/>
  <c r="H57" i="32"/>
  <c r="I57" i="32" s="1"/>
  <c r="E57" i="32"/>
  <c r="F57" i="32" s="1"/>
  <c r="O56" i="32"/>
  <c r="N56" i="32"/>
  <c r="K56" i="32"/>
  <c r="L56" i="32" s="1"/>
  <c r="I56" i="32"/>
  <c r="H56" i="32"/>
  <c r="E56" i="32"/>
  <c r="F56" i="32" s="1"/>
  <c r="N55" i="32"/>
  <c r="O55" i="32" s="1"/>
  <c r="L55" i="32"/>
  <c r="K55" i="32"/>
  <c r="I55" i="32"/>
  <c r="H55" i="32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K53" i="32"/>
  <c r="L53" i="32" s="1"/>
  <c r="H53" i="32"/>
  <c r="I53" i="32" s="1"/>
  <c r="E53" i="32"/>
  <c r="F53" i="32" s="1"/>
  <c r="N52" i="32"/>
  <c r="O52" i="32" s="1"/>
  <c r="K52" i="32"/>
  <c r="L52" i="32" s="1"/>
  <c r="I52" i="32"/>
  <c r="H52" i="32"/>
  <c r="E52" i="32"/>
  <c r="F52" i="32" s="1"/>
  <c r="N51" i="32"/>
  <c r="O51" i="32" s="1"/>
  <c r="L51" i="32"/>
  <c r="K51" i="32"/>
  <c r="I51" i="32"/>
  <c r="H51" i="32"/>
  <c r="E51" i="32"/>
  <c r="F51" i="32" s="1"/>
  <c r="O50" i="32"/>
  <c r="N50" i="32"/>
  <c r="K50" i="32"/>
  <c r="L50" i="32" s="1"/>
  <c r="H50" i="32"/>
  <c r="I50" i="32" s="1"/>
  <c r="E50" i="32"/>
  <c r="F50" i="32" s="1"/>
  <c r="N49" i="32"/>
  <c r="O49" i="32" s="1"/>
  <c r="K49" i="32"/>
  <c r="L49" i="32" s="1"/>
  <c r="H49" i="32"/>
  <c r="I49" i="32" s="1"/>
  <c r="E49" i="32"/>
  <c r="F49" i="32" s="1"/>
  <c r="O48" i="32"/>
  <c r="N48" i="32"/>
  <c r="K48" i="32"/>
  <c r="L48" i="32" s="1"/>
  <c r="H48" i="32"/>
  <c r="I48" i="32" s="1"/>
  <c r="E48" i="32"/>
  <c r="F48" i="32" s="1"/>
  <c r="N47" i="32"/>
  <c r="O47" i="32" s="1"/>
  <c r="K47" i="32"/>
  <c r="L47" i="32" s="1"/>
  <c r="I47" i="32"/>
  <c r="H47" i="32"/>
  <c r="E47" i="32"/>
  <c r="F47" i="32" s="1"/>
  <c r="N46" i="32"/>
  <c r="O46" i="32" s="1"/>
  <c r="L46" i="32"/>
  <c r="K46" i="32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N44" i="32"/>
  <c r="L44" i="32"/>
  <c r="K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E198" i="31"/>
  <c r="F198" i="31" s="1"/>
  <c r="N197" i="31"/>
  <c r="O197" i="31" s="1"/>
  <c r="L197" i="31"/>
  <c r="K197" i="31"/>
  <c r="H197" i="31"/>
  <c r="I197" i="31" s="1"/>
  <c r="E197" i="31"/>
  <c r="F197" i="31" s="1"/>
  <c r="N196" i="31"/>
  <c r="O196" i="31" s="1"/>
  <c r="L196" i="31"/>
  <c r="K196" i="31"/>
  <c r="I196" i="31"/>
  <c r="H196" i="31"/>
  <c r="E196" i="31"/>
  <c r="F196" i="31" s="1"/>
  <c r="O195" i="31"/>
  <c r="N195" i="31"/>
  <c r="K195" i="31"/>
  <c r="L195" i="31" s="1"/>
  <c r="H195" i="31"/>
  <c r="I195" i="31" s="1"/>
  <c r="E195" i="31"/>
  <c r="F195" i="31" s="1"/>
  <c r="N194" i="31"/>
  <c r="O194" i="31" s="1"/>
  <c r="K194" i="31"/>
  <c r="L194" i="31" s="1"/>
  <c r="H194" i="31"/>
  <c r="I194" i="31" s="1"/>
  <c r="E194" i="31"/>
  <c r="F194" i="31" s="1"/>
  <c r="O193" i="31"/>
  <c r="N193" i="31"/>
  <c r="K193" i="31"/>
  <c r="L193" i="31" s="1"/>
  <c r="H193" i="31"/>
  <c r="I193" i="31" s="1"/>
  <c r="E193" i="31"/>
  <c r="F193" i="31" s="1"/>
  <c r="N192" i="31"/>
  <c r="O192" i="31" s="1"/>
  <c r="K192" i="31"/>
  <c r="L192" i="31" s="1"/>
  <c r="I192" i="31"/>
  <c r="H192" i="31"/>
  <c r="E192" i="31"/>
  <c r="F192" i="31" s="1"/>
  <c r="N191" i="31"/>
  <c r="O191" i="31" s="1"/>
  <c r="L191" i="31"/>
  <c r="K191" i="31"/>
  <c r="H191" i="31"/>
  <c r="I191" i="31" s="1"/>
  <c r="E191" i="31"/>
  <c r="F191" i="31" s="1"/>
  <c r="N190" i="31"/>
  <c r="O190" i="31" s="1"/>
  <c r="L190" i="31"/>
  <c r="K190" i="31"/>
  <c r="H190" i="31"/>
  <c r="I190" i="31" s="1"/>
  <c r="E190" i="31"/>
  <c r="F190" i="31" s="1"/>
  <c r="N189" i="31"/>
  <c r="O189" i="31" s="1"/>
  <c r="L189" i="31"/>
  <c r="K189" i="31"/>
  <c r="H189" i="31"/>
  <c r="I189" i="31" s="1"/>
  <c r="E189" i="31"/>
  <c r="F189" i="31" s="1"/>
  <c r="N188" i="31"/>
  <c r="O188" i="31" s="1"/>
  <c r="L188" i="31"/>
  <c r="K188" i="31"/>
  <c r="I188" i="31"/>
  <c r="H188" i="31"/>
  <c r="E188" i="31"/>
  <c r="F188" i="31" s="1"/>
  <c r="O187" i="31"/>
  <c r="N187" i="31"/>
  <c r="K187" i="31"/>
  <c r="L187" i="31" s="1"/>
  <c r="H187" i="31"/>
  <c r="I187" i="31" s="1"/>
  <c r="E187" i="31"/>
  <c r="F187" i="31" s="1"/>
  <c r="N186" i="31"/>
  <c r="O186" i="31" s="1"/>
  <c r="K186" i="31"/>
  <c r="L186" i="31" s="1"/>
  <c r="H186" i="31"/>
  <c r="I186" i="31" s="1"/>
  <c r="E186" i="31"/>
  <c r="F186" i="31" s="1"/>
  <c r="O185" i="31"/>
  <c r="N185" i="31"/>
  <c r="K185" i="31"/>
  <c r="L185" i="31" s="1"/>
  <c r="H185" i="31"/>
  <c r="I185" i="31" s="1"/>
  <c r="E185" i="31"/>
  <c r="F185" i="31" s="1"/>
  <c r="N184" i="31"/>
  <c r="O184" i="31" s="1"/>
  <c r="K184" i="31"/>
  <c r="L184" i="31" s="1"/>
  <c r="I184" i="31"/>
  <c r="H184" i="31"/>
  <c r="E184" i="31"/>
  <c r="F184" i="31" s="1"/>
  <c r="N183" i="31"/>
  <c r="O183" i="31" s="1"/>
  <c r="L183" i="31"/>
  <c r="K183" i="31"/>
  <c r="H183" i="31"/>
  <c r="I183" i="31" s="1"/>
  <c r="E183" i="31"/>
  <c r="F183" i="31" s="1"/>
  <c r="N182" i="31"/>
  <c r="O182" i="31" s="1"/>
  <c r="L182" i="31"/>
  <c r="K182" i="31"/>
  <c r="H182" i="31"/>
  <c r="I182" i="31" s="1"/>
  <c r="E182" i="31"/>
  <c r="F182" i="31" s="1"/>
  <c r="N181" i="31"/>
  <c r="O181" i="31" s="1"/>
  <c r="L181" i="31"/>
  <c r="K181" i="31"/>
  <c r="H181" i="31"/>
  <c r="I181" i="31" s="1"/>
  <c r="E181" i="31"/>
  <c r="F181" i="31" s="1"/>
  <c r="N180" i="31"/>
  <c r="O180" i="31" s="1"/>
  <c r="L180" i="31"/>
  <c r="K180" i="31"/>
  <c r="I180" i="31"/>
  <c r="H180" i="31"/>
  <c r="E180" i="31"/>
  <c r="F180" i="31" s="1"/>
  <c r="O179" i="31"/>
  <c r="N179" i="31"/>
  <c r="K179" i="31"/>
  <c r="K199" i="31" s="1"/>
  <c r="H179" i="31"/>
  <c r="H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K171" i="31"/>
  <c r="L171" i="31" s="1"/>
  <c r="H171" i="31"/>
  <c r="I171" i="31" s="1"/>
  <c r="E171" i="31"/>
  <c r="F171" i="31" s="1"/>
  <c r="O170" i="31"/>
  <c r="N170" i="31"/>
  <c r="K170" i="31"/>
  <c r="L170" i="31" s="1"/>
  <c r="H170" i="31"/>
  <c r="I170" i="31" s="1"/>
  <c r="E170" i="31"/>
  <c r="F170" i="31" s="1"/>
  <c r="N169" i="31"/>
  <c r="O169" i="31" s="1"/>
  <c r="K169" i="31"/>
  <c r="L169" i="31" s="1"/>
  <c r="I169" i="31"/>
  <c r="H169" i="31"/>
  <c r="E169" i="31"/>
  <c r="F169" i="31" s="1"/>
  <c r="N168" i="31"/>
  <c r="O168" i="31" s="1"/>
  <c r="L168" i="31"/>
  <c r="K168" i="31"/>
  <c r="H168" i="31"/>
  <c r="I168" i="31" s="1"/>
  <c r="E168" i="31"/>
  <c r="F168" i="31" s="1"/>
  <c r="N167" i="31"/>
  <c r="O167" i="31" s="1"/>
  <c r="K167" i="31"/>
  <c r="L167" i="31" s="1"/>
  <c r="H167" i="31"/>
  <c r="I167" i="31" s="1"/>
  <c r="E167" i="31"/>
  <c r="F167" i="31" s="1"/>
  <c r="N166" i="31"/>
  <c r="O166" i="31" s="1"/>
  <c r="L166" i="31"/>
  <c r="K166" i="31"/>
  <c r="H166" i="31"/>
  <c r="I166" i="31" s="1"/>
  <c r="E166" i="31"/>
  <c r="F166" i="31" s="1"/>
  <c r="O165" i="31"/>
  <c r="N165" i="31"/>
  <c r="K165" i="31"/>
  <c r="L165" i="31" s="1"/>
  <c r="I165" i="31"/>
  <c r="H165" i="31"/>
  <c r="E165" i="31"/>
  <c r="F165" i="31" s="1"/>
  <c r="N164" i="31"/>
  <c r="O164" i="31" s="1"/>
  <c r="K164" i="31"/>
  <c r="L164" i="31" s="1"/>
  <c r="H164" i="31"/>
  <c r="I164" i="31" s="1"/>
  <c r="E164" i="31"/>
  <c r="F164" i="31" s="1"/>
  <c r="N163" i="31"/>
  <c r="O163" i="31" s="1"/>
  <c r="K163" i="31"/>
  <c r="L163" i="31" s="1"/>
  <c r="H163" i="31"/>
  <c r="I163" i="31" s="1"/>
  <c r="E163" i="31"/>
  <c r="F163" i="31" s="1"/>
  <c r="O162" i="31"/>
  <c r="N162" i="31"/>
  <c r="K162" i="31"/>
  <c r="L162" i="31" s="1"/>
  <c r="H162" i="31"/>
  <c r="I162" i="31" s="1"/>
  <c r="E162" i="31"/>
  <c r="F162" i="31" s="1"/>
  <c r="N161" i="31"/>
  <c r="O161" i="31" s="1"/>
  <c r="K161" i="31"/>
  <c r="L161" i="31" s="1"/>
  <c r="I161" i="31"/>
  <c r="H161" i="31"/>
  <c r="E161" i="31"/>
  <c r="F161" i="31" s="1"/>
  <c r="N160" i="31"/>
  <c r="O160" i="31" s="1"/>
  <c r="K160" i="31"/>
  <c r="L160" i="31" s="1"/>
  <c r="H160" i="31"/>
  <c r="I160" i="31" s="1"/>
  <c r="E160" i="31"/>
  <c r="F160" i="31" s="1"/>
  <c r="O159" i="31"/>
  <c r="N159" i="31"/>
  <c r="L159" i="31"/>
  <c r="K159" i="31"/>
  <c r="H159" i="31"/>
  <c r="I159" i="31" s="1"/>
  <c r="E159" i="31"/>
  <c r="F159" i="31" s="1"/>
  <c r="N158" i="31"/>
  <c r="O158" i="31" s="1"/>
  <c r="K158" i="31"/>
  <c r="L158" i="31" s="1"/>
  <c r="H158" i="31"/>
  <c r="I158" i="31" s="1"/>
  <c r="E158" i="31"/>
  <c r="F158" i="31" s="1"/>
  <c r="N157" i="31"/>
  <c r="O157" i="31" s="1"/>
  <c r="L157" i="31"/>
  <c r="K157" i="31"/>
  <c r="I157" i="31"/>
  <c r="H157" i="31"/>
  <c r="E157" i="31"/>
  <c r="F157" i="31" s="1"/>
  <c r="N156" i="31"/>
  <c r="O156" i="31" s="1"/>
  <c r="K156" i="31"/>
  <c r="L156" i="31" s="1"/>
  <c r="H156" i="31"/>
  <c r="I156" i="31" s="1"/>
  <c r="E156" i="31"/>
  <c r="F156" i="31" s="1"/>
  <c r="N155" i="31"/>
  <c r="O155" i="31" s="1"/>
  <c r="K155" i="31"/>
  <c r="L155" i="31" s="1"/>
  <c r="H155" i="31"/>
  <c r="I155" i="31" s="1"/>
  <c r="E155" i="31"/>
  <c r="F155" i="31" s="1"/>
  <c r="O154" i="31"/>
  <c r="N154" i="31"/>
  <c r="K154" i="31"/>
  <c r="L154" i="31" s="1"/>
  <c r="H154" i="31"/>
  <c r="I154" i="31" s="1"/>
  <c r="E154" i="31"/>
  <c r="F154" i="31" s="1"/>
  <c r="N153" i="31"/>
  <c r="O153" i="31" s="1"/>
  <c r="K153" i="31"/>
  <c r="L153" i="31" s="1"/>
  <c r="I153" i="31"/>
  <c r="H153" i="31"/>
  <c r="E153" i="31"/>
  <c r="F153" i="31" s="1"/>
  <c r="N152" i="31"/>
  <c r="L152" i="31"/>
  <c r="K152" i="31"/>
  <c r="H152" i="31"/>
  <c r="H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K142" i="31"/>
  <c r="L142" i="31" s="1"/>
  <c r="H142" i="31"/>
  <c r="I142" i="31" s="1"/>
  <c r="F142" i="31"/>
  <c r="E142" i="31"/>
  <c r="N141" i="31"/>
  <c r="O141" i="31" s="1"/>
  <c r="K141" i="31"/>
  <c r="L141" i="31" s="1"/>
  <c r="H141" i="31"/>
  <c r="I141" i="31" s="1"/>
  <c r="F141" i="31"/>
  <c r="E141" i="31"/>
  <c r="N140" i="31"/>
  <c r="O140" i="31" s="1"/>
  <c r="K140" i="31"/>
  <c r="L140" i="31" s="1"/>
  <c r="H140" i="31"/>
  <c r="I140" i="31" s="1"/>
  <c r="F140" i="31"/>
  <c r="E140" i="31"/>
  <c r="N139" i="31"/>
  <c r="O139" i="31" s="1"/>
  <c r="L139" i="31"/>
  <c r="K139" i="31"/>
  <c r="H139" i="31"/>
  <c r="I139" i="31" s="1"/>
  <c r="F139" i="31"/>
  <c r="E139" i="31"/>
  <c r="N138" i="31"/>
  <c r="O138" i="31" s="1"/>
  <c r="K138" i="31"/>
  <c r="L138" i="31" s="1"/>
  <c r="H138" i="31"/>
  <c r="I138" i="31" s="1"/>
  <c r="F138" i="31"/>
  <c r="E138" i="31"/>
  <c r="O137" i="31"/>
  <c r="N137" i="31"/>
  <c r="K137" i="31"/>
  <c r="L137" i="31" s="1"/>
  <c r="H137" i="31"/>
  <c r="I137" i="31" s="1"/>
  <c r="F137" i="31"/>
  <c r="E137" i="31"/>
  <c r="N136" i="31"/>
  <c r="O136" i="31" s="1"/>
  <c r="K136" i="31"/>
  <c r="L136" i="31" s="1"/>
  <c r="H136" i="31"/>
  <c r="I136" i="31" s="1"/>
  <c r="F136" i="31"/>
  <c r="E136" i="31"/>
  <c r="O135" i="31"/>
  <c r="N135" i="3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K132" i="31"/>
  <c r="L132" i="31" s="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K125" i="31"/>
  <c r="L125" i="31" s="1"/>
  <c r="L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F117" i="31"/>
  <c r="E117" i="31"/>
  <c r="N116" i="31"/>
  <c r="O116" i="31" s="1"/>
  <c r="L116" i="31"/>
  <c r="K116" i="3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O114" i="31"/>
  <c r="N114" i="31"/>
  <c r="L114" i="31"/>
  <c r="K114" i="31"/>
  <c r="H114" i="31"/>
  <c r="I114" i="31" s="1"/>
  <c r="F114" i="31"/>
  <c r="E114" i="31"/>
  <c r="N113" i="31"/>
  <c r="O113" i="31" s="1"/>
  <c r="K113" i="31"/>
  <c r="L113" i="31" s="1"/>
  <c r="H113" i="31"/>
  <c r="I113" i="31" s="1"/>
  <c r="F113" i="31"/>
  <c r="E113" i="31"/>
  <c r="N112" i="31"/>
  <c r="O112" i="31" s="1"/>
  <c r="L112" i="31"/>
  <c r="K112" i="3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K110" i="31"/>
  <c r="L110" i="31" s="1"/>
  <c r="H110" i="31"/>
  <c r="I110" i="31" s="1"/>
  <c r="F110" i="31"/>
  <c r="E110" i="31"/>
  <c r="O109" i="31"/>
  <c r="N109" i="31"/>
  <c r="K109" i="31"/>
  <c r="L109" i="31" s="1"/>
  <c r="H109" i="31"/>
  <c r="I109" i="31" s="1"/>
  <c r="F109" i="31"/>
  <c r="E109" i="31"/>
  <c r="O108" i="31"/>
  <c r="N108" i="31"/>
  <c r="L108" i="31"/>
  <c r="K108" i="3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O102" i="31"/>
  <c r="N102" i="31"/>
  <c r="K102" i="31"/>
  <c r="L102" i="31" s="1"/>
  <c r="H102" i="31"/>
  <c r="I102" i="31" s="1"/>
  <c r="F102" i="31"/>
  <c r="E102" i="31"/>
  <c r="O101" i="31"/>
  <c r="N101" i="31"/>
  <c r="K101" i="31"/>
  <c r="L101" i="31" s="1"/>
  <c r="H101" i="31"/>
  <c r="I101" i="31" s="1"/>
  <c r="F101" i="31"/>
  <c r="E101" i="31"/>
  <c r="O100" i="31"/>
  <c r="N100" i="31"/>
  <c r="L100" i="31"/>
  <c r="K100" i="31"/>
  <c r="H100" i="31"/>
  <c r="I100" i="31" s="1"/>
  <c r="F100" i="31"/>
  <c r="E100" i="31"/>
  <c r="N99" i="31"/>
  <c r="O99" i="31" s="1"/>
  <c r="K99" i="31"/>
  <c r="L99" i="31" s="1"/>
  <c r="H99" i="31"/>
  <c r="I99" i="31" s="1"/>
  <c r="F99" i="31"/>
  <c r="E99" i="31"/>
  <c r="N98" i="3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O87" i="31"/>
  <c r="N87" i="31"/>
  <c r="K87" i="31"/>
  <c r="L87" i="31" s="1"/>
  <c r="I87" i="31"/>
  <c r="H87" i="31"/>
  <c r="E87" i="31"/>
  <c r="F87" i="31" s="1"/>
  <c r="O86" i="31"/>
  <c r="N86" i="31"/>
  <c r="K86" i="31"/>
  <c r="L86" i="31" s="1"/>
  <c r="H86" i="31"/>
  <c r="I86" i="31" s="1"/>
  <c r="E86" i="31"/>
  <c r="F86" i="31" s="1"/>
  <c r="N85" i="31"/>
  <c r="O85" i="31" s="1"/>
  <c r="L85" i="31"/>
  <c r="K85" i="31"/>
  <c r="H85" i="31"/>
  <c r="I85" i="31" s="1"/>
  <c r="E85" i="31"/>
  <c r="F85" i="31" s="1"/>
  <c r="N84" i="31"/>
  <c r="O84" i="31" s="1"/>
  <c r="K84" i="31"/>
  <c r="L84" i="31" s="1"/>
  <c r="H84" i="31"/>
  <c r="I84" i="31" s="1"/>
  <c r="E84" i="31"/>
  <c r="F84" i="31" s="1"/>
  <c r="O83" i="31"/>
  <c r="N83" i="31"/>
  <c r="L83" i="31"/>
  <c r="K83" i="3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O81" i="31"/>
  <c r="N81" i="31"/>
  <c r="K81" i="31"/>
  <c r="L81" i="31" s="1"/>
  <c r="H81" i="31"/>
  <c r="I81" i="31" s="1"/>
  <c r="E81" i="31"/>
  <c r="F81" i="31" s="1"/>
  <c r="N80" i="31"/>
  <c r="O80" i="31" s="1"/>
  <c r="K80" i="31"/>
  <c r="L80" i="31" s="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O78" i="31"/>
  <c r="N78" i="31"/>
  <c r="L78" i="31"/>
  <c r="K78" i="31"/>
  <c r="H78" i="31"/>
  <c r="I78" i="31" s="1"/>
  <c r="E78" i="31"/>
  <c r="F78" i="31" s="1"/>
  <c r="O77" i="31"/>
  <c r="N77" i="31"/>
  <c r="K77" i="31"/>
  <c r="L77" i="31" s="1"/>
  <c r="H77" i="31"/>
  <c r="I77" i="31" s="1"/>
  <c r="F77" i="31"/>
  <c r="E77" i="31"/>
  <c r="O76" i="31"/>
  <c r="N76" i="31"/>
  <c r="K76" i="31"/>
  <c r="L76" i="31" s="1"/>
  <c r="H76" i="31"/>
  <c r="I76" i="31" s="1"/>
  <c r="F76" i="31"/>
  <c r="E76" i="31"/>
  <c r="O75" i="31"/>
  <c r="N75" i="31"/>
  <c r="L75" i="31"/>
  <c r="K75" i="31"/>
  <c r="H75" i="31"/>
  <c r="I75" i="31" s="1"/>
  <c r="F75" i="31"/>
  <c r="E75" i="31"/>
  <c r="N74" i="31"/>
  <c r="O74" i="31" s="1"/>
  <c r="K74" i="31"/>
  <c r="L74" i="31" s="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N72" i="31"/>
  <c r="O72" i="31" s="1"/>
  <c r="K72" i="31"/>
  <c r="L72" i="31" s="1"/>
  <c r="H72" i="31"/>
  <c r="I72" i="31" s="1"/>
  <c r="F72" i="31"/>
  <c r="E72" i="31"/>
  <c r="N71" i="31"/>
  <c r="L71" i="31"/>
  <c r="K71" i="31"/>
  <c r="H71" i="31"/>
  <c r="F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K61" i="31"/>
  <c r="L61" i="31" s="1"/>
  <c r="I61" i="31"/>
  <c r="H61" i="31"/>
  <c r="E61" i="31"/>
  <c r="F61" i="31" s="1"/>
  <c r="O60" i="31"/>
  <c r="N60" i="31"/>
  <c r="L60" i="31"/>
  <c r="K60" i="31"/>
  <c r="H60" i="31"/>
  <c r="I60" i="31" s="1"/>
  <c r="F60" i="31"/>
  <c r="E60" i="31"/>
  <c r="N59" i="31"/>
  <c r="O59" i="31" s="1"/>
  <c r="K59" i="31"/>
  <c r="L59" i="31" s="1"/>
  <c r="H59" i="31"/>
  <c r="I59" i="31" s="1"/>
  <c r="F59" i="31"/>
  <c r="E59" i="31"/>
  <c r="N58" i="31"/>
  <c r="O58" i="31" s="1"/>
  <c r="L58" i="31"/>
  <c r="K58" i="31"/>
  <c r="H58" i="31"/>
  <c r="I58" i="31" s="1"/>
  <c r="F58" i="31"/>
  <c r="E58" i="31"/>
  <c r="O57" i="31"/>
  <c r="N57" i="3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N55" i="31"/>
  <c r="O55" i="31" s="1"/>
  <c r="K55" i="31"/>
  <c r="L55" i="31" s="1"/>
  <c r="H55" i="31"/>
  <c r="I55" i="31" s="1"/>
  <c r="F55" i="31"/>
  <c r="E55" i="31"/>
  <c r="N54" i="31"/>
  <c r="O54" i="31" s="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O52" i="31"/>
  <c r="N52" i="31"/>
  <c r="L52" i="31"/>
  <c r="K52" i="31"/>
  <c r="H52" i="31"/>
  <c r="I52" i="31" s="1"/>
  <c r="F52" i="31"/>
  <c r="E52" i="31"/>
  <c r="N51" i="31"/>
  <c r="O51" i="31" s="1"/>
  <c r="K51" i="31"/>
  <c r="L51" i="31" s="1"/>
  <c r="H51" i="31"/>
  <c r="I51" i="31" s="1"/>
  <c r="F51" i="31"/>
  <c r="E51" i="31"/>
  <c r="N50" i="31"/>
  <c r="O50" i="31" s="1"/>
  <c r="L50" i="31"/>
  <c r="K50" i="31"/>
  <c r="H50" i="31"/>
  <c r="I50" i="31" s="1"/>
  <c r="F50" i="31"/>
  <c r="E50" i="31"/>
  <c r="O49" i="31"/>
  <c r="N49" i="31"/>
  <c r="K49" i="31"/>
  <c r="L49" i="31" s="1"/>
  <c r="H49" i="31"/>
  <c r="I49" i="31" s="1"/>
  <c r="F49" i="31"/>
  <c r="E49" i="31"/>
  <c r="O48" i="31"/>
  <c r="N48" i="31"/>
  <c r="L48" i="31"/>
  <c r="K48" i="31"/>
  <c r="H48" i="31"/>
  <c r="I48" i="31" s="1"/>
  <c r="E48" i="31"/>
  <c r="F48" i="31" s="1"/>
  <c r="O47" i="31"/>
  <c r="N47" i="31"/>
  <c r="L47" i="31"/>
  <c r="K47" i="31"/>
  <c r="I47" i="31"/>
  <c r="H47" i="31"/>
  <c r="E47" i="31"/>
  <c r="F47" i="31" s="1"/>
  <c r="N46" i="31"/>
  <c r="O46" i="31" s="1"/>
  <c r="K46" i="31"/>
  <c r="L46" i="31" s="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H44" i="31"/>
  <c r="H64" i="31" s="1"/>
  <c r="F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O196" i="30"/>
  <c r="N196" i="30"/>
  <c r="K196" i="30"/>
  <c r="L196" i="30" s="1"/>
  <c r="H196" i="30"/>
  <c r="I196" i="30" s="1"/>
  <c r="F196" i="30"/>
  <c r="E196" i="30"/>
  <c r="O195" i="30"/>
  <c r="N195" i="30"/>
  <c r="L195" i="30"/>
  <c r="K195" i="30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O193" i="30"/>
  <c r="N193" i="30"/>
  <c r="K193" i="30"/>
  <c r="L193" i="30" s="1"/>
  <c r="H193" i="30"/>
  <c r="I193" i="30" s="1"/>
  <c r="F193" i="30"/>
  <c r="E193" i="30"/>
  <c r="O192" i="30"/>
  <c r="N192" i="30"/>
  <c r="K192" i="30"/>
  <c r="L192" i="30" s="1"/>
  <c r="H192" i="30"/>
  <c r="I192" i="30" s="1"/>
  <c r="F192" i="30"/>
  <c r="E192" i="30"/>
  <c r="O191" i="30"/>
  <c r="N191" i="30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N187" i="30"/>
  <c r="O187" i="30" s="1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O185" i="30"/>
  <c r="N185" i="30"/>
  <c r="K185" i="30"/>
  <c r="L185" i="30" s="1"/>
  <c r="H185" i="30"/>
  <c r="I185" i="30" s="1"/>
  <c r="F185" i="30"/>
  <c r="E185" i="30"/>
  <c r="O184" i="30"/>
  <c r="N184" i="30"/>
  <c r="K184" i="30"/>
  <c r="L184" i="30" s="1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N199" i="30" s="1"/>
  <c r="K179" i="30"/>
  <c r="H179" i="30"/>
  <c r="H199" i="30" s="1"/>
  <c r="F179" i="30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O170" i="30"/>
  <c r="N170" i="30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O168" i="30"/>
  <c r="N168" i="30"/>
  <c r="L168" i="30"/>
  <c r="K168" i="30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L164" i="30"/>
  <c r="K164" i="30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O162" i="30"/>
  <c r="N162" i="30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O160" i="30"/>
  <c r="N160" i="30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O153" i="30"/>
  <c r="N153" i="30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H144" i="30"/>
  <c r="I144" i="30" s="1"/>
  <c r="F144" i="30"/>
  <c r="E144" i="30"/>
  <c r="N143" i="30"/>
  <c r="O143" i="30" s="1"/>
  <c r="K143" i="30"/>
  <c r="L143" i="30" s="1"/>
  <c r="H143" i="30"/>
  <c r="I143" i="30" s="1"/>
  <c r="F143" i="30"/>
  <c r="E143" i="30"/>
  <c r="O142" i="30"/>
  <c r="N142" i="30"/>
  <c r="K142" i="30"/>
  <c r="L142" i="30" s="1"/>
  <c r="H142" i="30"/>
  <c r="I142" i="30" s="1"/>
  <c r="F142" i="30"/>
  <c r="E142" i="30"/>
  <c r="N141" i="30"/>
  <c r="O141" i="30" s="1"/>
  <c r="K141" i="30"/>
  <c r="L141" i="30" s="1"/>
  <c r="H141" i="30"/>
  <c r="I141" i="30" s="1"/>
  <c r="F141" i="30"/>
  <c r="E141" i="30"/>
  <c r="O140" i="30"/>
  <c r="N140" i="30"/>
  <c r="L140" i="30"/>
  <c r="K140" i="30"/>
  <c r="H140" i="30"/>
  <c r="I140" i="30" s="1"/>
  <c r="F140" i="30"/>
  <c r="E140" i="30"/>
  <c r="O139" i="30"/>
  <c r="N139" i="30"/>
  <c r="K139" i="30"/>
  <c r="L139" i="30" s="1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O137" i="30"/>
  <c r="N137" i="30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O135" i="30"/>
  <c r="N135" i="30"/>
  <c r="K135" i="30"/>
  <c r="L135" i="30" s="1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F133" i="30"/>
  <c r="E133" i="30"/>
  <c r="N132" i="30"/>
  <c r="O132" i="30" s="1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O130" i="30"/>
  <c r="N130" i="30"/>
  <c r="K130" i="30"/>
  <c r="L130" i="30" s="1"/>
  <c r="H130" i="30"/>
  <c r="I130" i="30" s="1"/>
  <c r="F130" i="30"/>
  <c r="E130" i="30"/>
  <c r="O129" i="30"/>
  <c r="N129" i="30"/>
  <c r="K129" i="30"/>
  <c r="L129" i="30" s="1"/>
  <c r="H129" i="30"/>
  <c r="I129" i="30" s="1"/>
  <c r="F129" i="30"/>
  <c r="E129" i="30"/>
  <c r="O128" i="30"/>
  <c r="N128" i="30"/>
  <c r="L128" i="30"/>
  <c r="K128" i="30"/>
  <c r="H128" i="30"/>
  <c r="I128" i="30" s="1"/>
  <c r="F128" i="30"/>
  <c r="E128" i="30"/>
  <c r="N127" i="30"/>
  <c r="O127" i="30" s="1"/>
  <c r="K127" i="30"/>
  <c r="L127" i="30" s="1"/>
  <c r="H127" i="30"/>
  <c r="I127" i="30" s="1"/>
  <c r="F127" i="30"/>
  <c r="E127" i="30"/>
  <c r="N126" i="30"/>
  <c r="O126" i="30" s="1"/>
  <c r="K126" i="30"/>
  <c r="L126" i="30" s="1"/>
  <c r="H126" i="30"/>
  <c r="I126" i="30" s="1"/>
  <c r="F126" i="30"/>
  <c r="E126" i="30"/>
  <c r="N125" i="30"/>
  <c r="N145" i="30" s="1"/>
  <c r="K125" i="30"/>
  <c r="H125" i="30"/>
  <c r="H145" i="30" s="1"/>
  <c r="F125" i="30"/>
  <c r="F145" i="30" s="1"/>
  <c r="E125" i="30"/>
  <c r="E145" i="30" s="1"/>
  <c r="M123" i="30"/>
  <c r="J123" i="30"/>
  <c r="G123" i="30"/>
  <c r="D123" i="30"/>
  <c r="B123" i="30"/>
  <c r="M122" i="30"/>
  <c r="G122" i="30"/>
  <c r="B118" i="30"/>
  <c r="N117" i="30"/>
  <c r="O117" i="30" s="1"/>
  <c r="L117" i="30"/>
  <c r="K117" i="30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O115" i="30"/>
  <c r="N115" i="30"/>
  <c r="K115" i="30"/>
  <c r="L115" i="30" s="1"/>
  <c r="H115" i="30"/>
  <c r="I115" i="30" s="1"/>
  <c r="F115" i="30"/>
  <c r="E115" i="30"/>
  <c r="O114" i="30"/>
  <c r="N114" i="30"/>
  <c r="L114" i="30"/>
  <c r="K114" i="30"/>
  <c r="H114" i="30"/>
  <c r="I114" i="30" s="1"/>
  <c r="F114" i="30"/>
  <c r="E114" i="30"/>
  <c r="N113" i="30"/>
  <c r="O113" i="30" s="1"/>
  <c r="L113" i="30"/>
  <c r="K113" i="30"/>
  <c r="H113" i="30"/>
  <c r="I113" i="30" s="1"/>
  <c r="F113" i="30"/>
  <c r="E113" i="30"/>
  <c r="O112" i="30"/>
  <c r="N112" i="30"/>
  <c r="K112" i="30"/>
  <c r="L112" i="30" s="1"/>
  <c r="H112" i="30"/>
  <c r="I112" i="30" s="1"/>
  <c r="F112" i="30"/>
  <c r="E112" i="30"/>
  <c r="O111" i="30"/>
  <c r="N111" i="30"/>
  <c r="K111" i="30"/>
  <c r="L111" i="30" s="1"/>
  <c r="H111" i="30"/>
  <c r="I111" i="30" s="1"/>
  <c r="F111" i="30"/>
  <c r="E111" i="30"/>
  <c r="O110" i="30"/>
  <c r="N110" i="30"/>
  <c r="L110" i="30"/>
  <c r="K110" i="30"/>
  <c r="H110" i="30"/>
  <c r="I110" i="30" s="1"/>
  <c r="F110" i="30"/>
  <c r="E110" i="30"/>
  <c r="N109" i="30"/>
  <c r="O109" i="30" s="1"/>
  <c r="L109" i="30"/>
  <c r="K109" i="30"/>
  <c r="H109" i="30"/>
  <c r="I109" i="30" s="1"/>
  <c r="F109" i="30"/>
  <c r="E109" i="30"/>
  <c r="O108" i="30"/>
  <c r="N108" i="30"/>
  <c r="K108" i="30"/>
  <c r="L108" i="30" s="1"/>
  <c r="H108" i="30"/>
  <c r="I108" i="30" s="1"/>
  <c r="F108" i="30"/>
  <c r="E108" i="30"/>
  <c r="O107" i="30"/>
  <c r="N107" i="30"/>
  <c r="K107" i="30"/>
  <c r="L107" i="30" s="1"/>
  <c r="H107" i="30"/>
  <c r="I107" i="30" s="1"/>
  <c r="F107" i="30"/>
  <c r="E107" i="30"/>
  <c r="O106" i="30"/>
  <c r="N106" i="30"/>
  <c r="L106" i="30"/>
  <c r="K106" i="30"/>
  <c r="H106" i="30"/>
  <c r="I106" i="30" s="1"/>
  <c r="F106" i="30"/>
  <c r="E106" i="30"/>
  <c r="N105" i="30"/>
  <c r="O105" i="30" s="1"/>
  <c r="L105" i="30"/>
  <c r="K105" i="30"/>
  <c r="H105" i="30"/>
  <c r="I105" i="30" s="1"/>
  <c r="F105" i="30"/>
  <c r="E105" i="30"/>
  <c r="N104" i="30"/>
  <c r="O104" i="30" s="1"/>
  <c r="K104" i="30"/>
  <c r="L104" i="30" s="1"/>
  <c r="H104" i="30"/>
  <c r="I104" i="30" s="1"/>
  <c r="F104" i="30"/>
  <c r="E104" i="30"/>
  <c r="O103" i="30"/>
  <c r="N103" i="30"/>
  <c r="K103" i="30"/>
  <c r="L103" i="30" s="1"/>
  <c r="H103" i="30"/>
  <c r="I103" i="30" s="1"/>
  <c r="F103" i="30"/>
  <c r="E103" i="30"/>
  <c r="O102" i="30"/>
  <c r="N102" i="30"/>
  <c r="L102" i="30"/>
  <c r="K102" i="30"/>
  <c r="H102" i="30"/>
  <c r="I102" i="30" s="1"/>
  <c r="F102" i="30"/>
  <c r="E102" i="30"/>
  <c r="N101" i="30"/>
  <c r="O101" i="30" s="1"/>
  <c r="L101" i="30"/>
  <c r="K101" i="30"/>
  <c r="H101" i="30"/>
  <c r="I101" i="30" s="1"/>
  <c r="F101" i="30"/>
  <c r="E101" i="30"/>
  <c r="O100" i="30"/>
  <c r="N100" i="30"/>
  <c r="K100" i="30"/>
  <c r="L100" i="30" s="1"/>
  <c r="H100" i="30"/>
  <c r="I100" i="30" s="1"/>
  <c r="F100" i="30"/>
  <c r="E100" i="30"/>
  <c r="O99" i="30"/>
  <c r="N99" i="30"/>
  <c r="K99" i="30"/>
  <c r="L99" i="30" s="1"/>
  <c r="H99" i="30"/>
  <c r="I99" i="30" s="1"/>
  <c r="F99" i="30"/>
  <c r="E99" i="30"/>
  <c r="O98" i="30"/>
  <c r="N98" i="30"/>
  <c r="K98" i="30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O89" i="30"/>
  <c r="N89" i="30"/>
  <c r="K89" i="30"/>
  <c r="L89" i="30" s="1"/>
  <c r="H89" i="30"/>
  <c r="I89" i="30" s="1"/>
  <c r="E89" i="30"/>
  <c r="F89" i="30" s="1"/>
  <c r="N88" i="30"/>
  <c r="O88" i="30" s="1"/>
  <c r="L88" i="30"/>
  <c r="K88" i="30"/>
  <c r="I88" i="30"/>
  <c r="H88" i="30"/>
  <c r="E88" i="30"/>
  <c r="F88" i="30" s="1"/>
  <c r="O87" i="30"/>
  <c r="N87" i="30"/>
  <c r="K87" i="30"/>
  <c r="L87" i="30" s="1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O84" i="30"/>
  <c r="N84" i="30"/>
  <c r="K84" i="30"/>
  <c r="L84" i="30" s="1"/>
  <c r="I84" i="30"/>
  <c r="H84" i="30"/>
  <c r="E84" i="30"/>
  <c r="F84" i="30" s="1"/>
  <c r="N83" i="30"/>
  <c r="O83" i="30" s="1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O81" i="30"/>
  <c r="N81" i="30"/>
  <c r="L81" i="30"/>
  <c r="K81" i="30"/>
  <c r="H81" i="30"/>
  <c r="I81" i="30" s="1"/>
  <c r="E81" i="30"/>
  <c r="F81" i="30" s="1"/>
  <c r="N80" i="30"/>
  <c r="O80" i="30" s="1"/>
  <c r="K80" i="30"/>
  <c r="L80" i="30" s="1"/>
  <c r="I80" i="30"/>
  <c r="H80" i="30"/>
  <c r="E80" i="30"/>
  <c r="F80" i="30" s="1"/>
  <c r="N79" i="30"/>
  <c r="O79" i="30" s="1"/>
  <c r="L79" i="30"/>
  <c r="K79" i="30"/>
  <c r="H79" i="30"/>
  <c r="I79" i="30" s="1"/>
  <c r="E79" i="30"/>
  <c r="F79" i="30" s="1"/>
  <c r="N78" i="30"/>
  <c r="O78" i="30" s="1"/>
  <c r="K78" i="30"/>
  <c r="L78" i="30" s="1"/>
  <c r="H78" i="30"/>
  <c r="I78" i="30" s="1"/>
  <c r="E78" i="30"/>
  <c r="F78" i="30" s="1"/>
  <c r="O77" i="30"/>
  <c r="N77" i="30"/>
  <c r="L77" i="30"/>
  <c r="K77" i="30"/>
  <c r="H77" i="30"/>
  <c r="I77" i="30" s="1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O74" i="30"/>
  <c r="N74" i="30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O72" i="30"/>
  <c r="N72" i="30"/>
  <c r="L72" i="30"/>
  <c r="K72" i="30"/>
  <c r="I72" i="30"/>
  <c r="H72" i="30"/>
  <c r="E72" i="30"/>
  <c r="F72" i="30" s="1"/>
  <c r="N71" i="30"/>
  <c r="N91" i="30" s="1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O62" i="30"/>
  <c r="N62" i="30"/>
  <c r="K62" i="30"/>
  <c r="L62" i="30" s="1"/>
  <c r="H62" i="30"/>
  <c r="I62" i="30" s="1"/>
  <c r="E62" i="30"/>
  <c r="F62" i="30" s="1"/>
  <c r="O61" i="30"/>
  <c r="N61" i="30"/>
  <c r="K61" i="30"/>
  <c r="L61" i="30" s="1"/>
  <c r="I61" i="30"/>
  <c r="H61" i="30"/>
  <c r="E61" i="30"/>
  <c r="F61" i="30" s="1"/>
  <c r="O60" i="30"/>
  <c r="N60" i="30"/>
  <c r="L60" i="30"/>
  <c r="K60" i="30"/>
  <c r="H60" i="30"/>
  <c r="I60" i="30" s="1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L58" i="30"/>
  <c r="K58" i="30"/>
  <c r="H58" i="30"/>
  <c r="I58" i="30" s="1"/>
  <c r="E58" i="30"/>
  <c r="F58" i="30" s="1"/>
  <c r="N57" i="30"/>
  <c r="O57" i="30" s="1"/>
  <c r="K57" i="30"/>
  <c r="L57" i="30" s="1"/>
  <c r="I57" i="30"/>
  <c r="H57" i="30"/>
  <c r="E57" i="30"/>
  <c r="F57" i="30" s="1"/>
  <c r="N56" i="30"/>
  <c r="O56" i="30" s="1"/>
  <c r="K56" i="30"/>
  <c r="L56" i="30" s="1"/>
  <c r="H56" i="30"/>
  <c r="I56" i="30" s="1"/>
  <c r="E56" i="30"/>
  <c r="F56" i="30" s="1"/>
  <c r="O55" i="30"/>
  <c r="N55" i="30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K53" i="30"/>
  <c r="L53" i="30" s="1"/>
  <c r="I53" i="30"/>
  <c r="H53" i="30"/>
  <c r="E53" i="30"/>
  <c r="F53" i="30" s="1"/>
  <c r="O52" i="30"/>
  <c r="N52" i="30"/>
  <c r="K52" i="30"/>
  <c r="L52" i="30" s="1"/>
  <c r="H52" i="30"/>
  <c r="I52" i="30" s="1"/>
  <c r="E52" i="30"/>
  <c r="F52" i="30" s="1"/>
  <c r="N51" i="30"/>
  <c r="O51" i="30" s="1"/>
  <c r="L51" i="30"/>
  <c r="K51" i="30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O49" i="30"/>
  <c r="N49" i="30"/>
  <c r="L49" i="30"/>
  <c r="K49" i="30"/>
  <c r="I49" i="30"/>
  <c r="H49" i="30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O46" i="30"/>
  <c r="N46" i="30"/>
  <c r="K46" i="30"/>
  <c r="L46" i="30" s="1"/>
  <c r="H46" i="30"/>
  <c r="I46" i="30" s="1"/>
  <c r="E46" i="30"/>
  <c r="F46" i="30" s="1"/>
  <c r="O45" i="30"/>
  <c r="N45" i="30"/>
  <c r="K45" i="30"/>
  <c r="L45" i="30" s="1"/>
  <c r="I45" i="30"/>
  <c r="H45" i="30"/>
  <c r="E45" i="30"/>
  <c r="F45" i="30" s="1"/>
  <c r="O44" i="30"/>
  <c r="N44" i="30"/>
  <c r="L44" i="30"/>
  <c r="K44" i="30"/>
  <c r="H44" i="30"/>
  <c r="H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L161" i="29"/>
  <c r="K161" i="29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F153" i="29"/>
  <c r="E153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O138" i="29"/>
  <c r="N138" i="29"/>
  <c r="L138" i="29"/>
  <c r="K138" i="29"/>
  <c r="I138" i="29"/>
  <c r="H138" i="29"/>
  <c r="F138" i="29"/>
  <c r="E138" i="29"/>
  <c r="O137" i="29"/>
  <c r="N137" i="29"/>
  <c r="L137" i="29"/>
  <c r="K137" i="29"/>
  <c r="I137" i="29"/>
  <c r="H137" i="29"/>
  <c r="F137" i="29"/>
  <c r="E137" i="29"/>
  <c r="O136" i="29"/>
  <c r="N136" i="29"/>
  <c r="L136" i="29"/>
  <c r="K136" i="29"/>
  <c r="I136" i="29"/>
  <c r="H136" i="29"/>
  <c r="F136" i="29"/>
  <c r="E136" i="29"/>
  <c r="O135" i="29"/>
  <c r="N135" i="29"/>
  <c r="L135" i="29"/>
  <c r="K135" i="29"/>
  <c r="I135" i="29"/>
  <c r="H135" i="29"/>
  <c r="F135" i="29"/>
  <c r="E135" i="29"/>
  <c r="O134" i="29"/>
  <c r="N134" i="29"/>
  <c r="L134" i="29"/>
  <c r="K134" i="29"/>
  <c r="I134" i="29"/>
  <c r="H134" i="29"/>
  <c r="F134" i="29"/>
  <c r="E134" i="29"/>
  <c r="O133" i="29"/>
  <c r="N133" i="29"/>
  <c r="L133" i="29"/>
  <c r="K133" i="29"/>
  <c r="I133" i="29"/>
  <c r="H133" i="29"/>
  <c r="F133" i="29"/>
  <c r="E133" i="29"/>
  <c r="O132" i="29"/>
  <c r="N132" i="29"/>
  <c r="L132" i="29"/>
  <c r="K132" i="29"/>
  <c r="I132" i="29"/>
  <c r="H132" i="29"/>
  <c r="F132" i="29"/>
  <c r="E132" i="29"/>
  <c r="O131" i="29"/>
  <c r="N131" i="29"/>
  <c r="L131" i="29"/>
  <c r="K131" i="29"/>
  <c r="I131" i="29"/>
  <c r="H131" i="29"/>
  <c r="F131" i="29"/>
  <c r="E131" i="29"/>
  <c r="O130" i="29"/>
  <c r="N130" i="29"/>
  <c r="L130" i="29"/>
  <c r="K130" i="29"/>
  <c r="I130" i="29"/>
  <c r="H130" i="29"/>
  <c r="F130" i="29"/>
  <c r="E130" i="29"/>
  <c r="O129" i="29"/>
  <c r="N129" i="29"/>
  <c r="L129" i="29"/>
  <c r="K129" i="29"/>
  <c r="I129" i="29"/>
  <c r="H129" i="29"/>
  <c r="F129" i="29"/>
  <c r="E129" i="29"/>
  <c r="O128" i="29"/>
  <c r="N128" i="29"/>
  <c r="L128" i="29"/>
  <c r="K128" i="29"/>
  <c r="I128" i="29"/>
  <c r="H128" i="29"/>
  <c r="F128" i="29"/>
  <c r="E128" i="29"/>
  <c r="O127" i="29"/>
  <c r="N127" i="29"/>
  <c r="L127" i="29"/>
  <c r="K127" i="29"/>
  <c r="I127" i="29"/>
  <c r="H127" i="29"/>
  <c r="F127" i="29"/>
  <c r="E127" i="29"/>
  <c r="O126" i="29"/>
  <c r="N126" i="29"/>
  <c r="L126" i="29"/>
  <c r="K126" i="29"/>
  <c r="I126" i="29"/>
  <c r="H126" i="29"/>
  <c r="F126" i="29"/>
  <c r="E126" i="29"/>
  <c r="O125" i="29"/>
  <c r="O145" i="29" s="1"/>
  <c r="N125" i="29"/>
  <c r="N145" i="29" s="1"/>
  <c r="L125" i="29"/>
  <c r="L145" i="29" s="1"/>
  <c r="K125" i="29"/>
  <c r="K145" i="29" s="1"/>
  <c r="I125" i="29"/>
  <c r="I145" i="29" s="1"/>
  <c r="H125" i="29"/>
  <c r="H145" i="29" s="1"/>
  <c r="F125" i="29"/>
  <c r="F145" i="29" s="1"/>
  <c r="E125" i="29"/>
  <c r="E145" i="29" s="1"/>
  <c r="M123" i="29"/>
  <c r="J123" i="29"/>
  <c r="G123" i="29"/>
  <c r="D123" i="29"/>
  <c r="B123" i="29"/>
  <c r="M122" i="29"/>
  <c r="G122" i="29"/>
  <c r="B118" i="29"/>
  <c r="O117" i="29"/>
  <c r="N117" i="29"/>
  <c r="L117" i="29"/>
  <c r="K117" i="29"/>
  <c r="H117" i="29"/>
  <c r="I117" i="29" s="1"/>
  <c r="F117" i="29"/>
  <c r="E117" i="29"/>
  <c r="N116" i="29"/>
  <c r="O116" i="29" s="1"/>
  <c r="K116" i="29"/>
  <c r="L116" i="29" s="1"/>
  <c r="H116" i="29"/>
  <c r="I116" i="29" s="1"/>
  <c r="F116" i="29"/>
  <c r="E116" i="29"/>
  <c r="O115" i="29"/>
  <c r="N115" i="29"/>
  <c r="L115" i="29"/>
  <c r="K115" i="29"/>
  <c r="H115" i="29"/>
  <c r="I115" i="29" s="1"/>
  <c r="F115" i="29"/>
  <c r="E115" i="29"/>
  <c r="O114" i="29"/>
  <c r="N114" i="29"/>
  <c r="K114" i="29"/>
  <c r="L114" i="29" s="1"/>
  <c r="H114" i="29"/>
  <c r="I114" i="29" s="1"/>
  <c r="F114" i="29"/>
  <c r="E114" i="29"/>
  <c r="N113" i="29"/>
  <c r="O113" i="29" s="1"/>
  <c r="L113" i="29"/>
  <c r="K113" i="29"/>
  <c r="H113" i="29"/>
  <c r="I113" i="29" s="1"/>
  <c r="F113" i="29"/>
  <c r="E113" i="29"/>
  <c r="N112" i="29"/>
  <c r="O112" i="29" s="1"/>
  <c r="K112" i="29"/>
  <c r="L112" i="29" s="1"/>
  <c r="H112" i="29"/>
  <c r="I112" i="29" s="1"/>
  <c r="F112" i="29"/>
  <c r="E112" i="29"/>
  <c r="N111" i="29"/>
  <c r="O111" i="29" s="1"/>
  <c r="L111" i="29"/>
  <c r="K111" i="29"/>
  <c r="H111" i="29"/>
  <c r="I111" i="29" s="1"/>
  <c r="F111" i="29"/>
  <c r="E111" i="29"/>
  <c r="N110" i="29"/>
  <c r="O110" i="29" s="1"/>
  <c r="K110" i="29"/>
  <c r="L110" i="29" s="1"/>
  <c r="H110" i="29"/>
  <c r="I110" i="29" s="1"/>
  <c r="F110" i="29"/>
  <c r="E110" i="29"/>
  <c r="O109" i="29"/>
  <c r="N109" i="29"/>
  <c r="L109" i="29"/>
  <c r="K109" i="29"/>
  <c r="H109" i="29"/>
  <c r="I109" i="29" s="1"/>
  <c r="F109" i="29"/>
  <c r="E109" i="29"/>
  <c r="N108" i="29"/>
  <c r="O108" i="29" s="1"/>
  <c r="K108" i="29"/>
  <c r="L108" i="29" s="1"/>
  <c r="H108" i="29"/>
  <c r="I108" i="29" s="1"/>
  <c r="F108" i="29"/>
  <c r="E108" i="29"/>
  <c r="N107" i="29"/>
  <c r="O107" i="29" s="1"/>
  <c r="L107" i="29"/>
  <c r="K107" i="29"/>
  <c r="H107" i="29"/>
  <c r="I107" i="29" s="1"/>
  <c r="F107" i="29"/>
  <c r="E107" i="29"/>
  <c r="O106" i="29"/>
  <c r="N106" i="29"/>
  <c r="K106" i="29"/>
  <c r="L106" i="29" s="1"/>
  <c r="H106" i="29"/>
  <c r="I106" i="29" s="1"/>
  <c r="F106" i="29"/>
  <c r="E106" i="29"/>
  <c r="N105" i="29"/>
  <c r="O105" i="29" s="1"/>
  <c r="L105" i="29"/>
  <c r="K105" i="29"/>
  <c r="H105" i="29"/>
  <c r="I105" i="29" s="1"/>
  <c r="F105" i="29"/>
  <c r="E105" i="29"/>
  <c r="N104" i="29"/>
  <c r="O104" i="29" s="1"/>
  <c r="K104" i="29"/>
  <c r="L104" i="29" s="1"/>
  <c r="H104" i="29"/>
  <c r="I104" i="29" s="1"/>
  <c r="F104" i="29"/>
  <c r="E104" i="29"/>
  <c r="N103" i="29"/>
  <c r="O103" i="29" s="1"/>
  <c r="L103" i="29"/>
  <c r="K103" i="29"/>
  <c r="H103" i="29"/>
  <c r="I103" i="29" s="1"/>
  <c r="F103" i="29"/>
  <c r="E103" i="29"/>
  <c r="N102" i="29"/>
  <c r="O102" i="29" s="1"/>
  <c r="K102" i="29"/>
  <c r="L102" i="29" s="1"/>
  <c r="H102" i="29"/>
  <c r="I102" i="29" s="1"/>
  <c r="F102" i="29"/>
  <c r="E102" i="29"/>
  <c r="O101" i="29"/>
  <c r="N101" i="29"/>
  <c r="L101" i="29"/>
  <c r="K101" i="29"/>
  <c r="H101" i="29"/>
  <c r="I101" i="29" s="1"/>
  <c r="F101" i="29"/>
  <c r="E101" i="29"/>
  <c r="N100" i="29"/>
  <c r="O100" i="29" s="1"/>
  <c r="K100" i="29"/>
  <c r="L100" i="29" s="1"/>
  <c r="H100" i="29"/>
  <c r="I100" i="29" s="1"/>
  <c r="F100" i="29"/>
  <c r="E100" i="29"/>
  <c r="N99" i="29"/>
  <c r="O99" i="29" s="1"/>
  <c r="L99" i="29"/>
  <c r="K99" i="29"/>
  <c r="H99" i="29"/>
  <c r="I99" i="29" s="1"/>
  <c r="F99" i="29"/>
  <c r="E99" i="29"/>
  <c r="O98" i="29"/>
  <c r="N98" i="29"/>
  <c r="K98" i="29"/>
  <c r="H98" i="29"/>
  <c r="H118" i="29" s="1"/>
  <c r="F98" i="29"/>
  <c r="F118" i="29" s="1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L90" i="29"/>
  <c r="K90" i="29"/>
  <c r="H90" i="29"/>
  <c r="I90" i="29" s="1"/>
  <c r="F90" i="29"/>
  <c r="E90" i="29"/>
  <c r="N89" i="29"/>
  <c r="O89" i="29" s="1"/>
  <c r="K89" i="29"/>
  <c r="L89" i="29" s="1"/>
  <c r="H89" i="29"/>
  <c r="I89" i="29" s="1"/>
  <c r="F89" i="29"/>
  <c r="E89" i="29"/>
  <c r="N88" i="29"/>
  <c r="O88" i="29" s="1"/>
  <c r="K88" i="29"/>
  <c r="L88" i="29" s="1"/>
  <c r="H88" i="29"/>
  <c r="I88" i="29" s="1"/>
  <c r="F88" i="29"/>
  <c r="E88" i="29"/>
  <c r="N87" i="29"/>
  <c r="O87" i="29" s="1"/>
  <c r="K87" i="29"/>
  <c r="L87" i="29" s="1"/>
  <c r="H87" i="29"/>
  <c r="I87" i="29" s="1"/>
  <c r="F87" i="29"/>
  <c r="E87" i="29"/>
  <c r="N86" i="29"/>
  <c r="O86" i="29" s="1"/>
  <c r="L86" i="29"/>
  <c r="K86" i="29"/>
  <c r="H86" i="29"/>
  <c r="I86" i="29" s="1"/>
  <c r="F86" i="29"/>
  <c r="E86" i="29"/>
  <c r="N85" i="29"/>
  <c r="O85" i="29" s="1"/>
  <c r="K85" i="29"/>
  <c r="L85" i="29" s="1"/>
  <c r="H85" i="29"/>
  <c r="I85" i="29" s="1"/>
  <c r="F85" i="29"/>
  <c r="E85" i="29"/>
  <c r="O84" i="29"/>
  <c r="N84" i="29"/>
  <c r="K84" i="29"/>
  <c r="L84" i="29" s="1"/>
  <c r="H84" i="29"/>
  <c r="I84" i="29" s="1"/>
  <c r="F84" i="29"/>
  <c r="E84" i="29"/>
  <c r="N83" i="29"/>
  <c r="O83" i="29" s="1"/>
  <c r="K83" i="29"/>
  <c r="L83" i="29" s="1"/>
  <c r="H83" i="29"/>
  <c r="I83" i="29" s="1"/>
  <c r="F83" i="29"/>
  <c r="E83" i="29"/>
  <c r="O82" i="29"/>
  <c r="N82" i="29"/>
  <c r="L82" i="29"/>
  <c r="K82" i="29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N80" i="29"/>
  <c r="O80" i="29" s="1"/>
  <c r="K80" i="29"/>
  <c r="L80" i="29" s="1"/>
  <c r="H80" i="29"/>
  <c r="I80" i="29" s="1"/>
  <c r="F80" i="29"/>
  <c r="E80" i="29"/>
  <c r="N79" i="29"/>
  <c r="O79" i="29" s="1"/>
  <c r="K79" i="29"/>
  <c r="L79" i="29" s="1"/>
  <c r="H79" i="29"/>
  <c r="I79" i="29" s="1"/>
  <c r="F79" i="29"/>
  <c r="E79" i="29"/>
  <c r="N78" i="29"/>
  <c r="O78" i="29" s="1"/>
  <c r="L78" i="29"/>
  <c r="K78" i="29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N76" i="29"/>
  <c r="O76" i="29" s="1"/>
  <c r="K76" i="29"/>
  <c r="L76" i="29" s="1"/>
  <c r="H76" i="29"/>
  <c r="I76" i="29" s="1"/>
  <c r="F76" i="29"/>
  <c r="E76" i="29"/>
  <c r="O75" i="29"/>
  <c r="N75" i="29"/>
  <c r="K75" i="29"/>
  <c r="L75" i="29" s="1"/>
  <c r="H75" i="29"/>
  <c r="I75" i="29" s="1"/>
  <c r="F75" i="29"/>
  <c r="E75" i="29"/>
  <c r="N74" i="29"/>
  <c r="O74" i="29" s="1"/>
  <c r="L74" i="29"/>
  <c r="K74" i="29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K71" i="29"/>
  <c r="H71" i="29"/>
  <c r="H91" i="29" s="1"/>
  <c r="F71" i="29"/>
  <c r="E71" i="29"/>
  <c r="E91" i="29" s="1"/>
  <c r="M69" i="29"/>
  <c r="J69" i="29"/>
  <c r="G69" i="29"/>
  <c r="D69" i="29"/>
  <c r="B69" i="29"/>
  <c r="M68" i="29"/>
  <c r="G68" i="29"/>
  <c r="B64" i="29"/>
  <c r="N63" i="29"/>
  <c r="O63" i="29" s="1"/>
  <c r="L63" i="29"/>
  <c r="K63" i="29"/>
  <c r="H63" i="29"/>
  <c r="I63" i="29" s="1"/>
  <c r="F63" i="29"/>
  <c r="E63" i="29"/>
  <c r="N62" i="29"/>
  <c r="O62" i="29" s="1"/>
  <c r="K62" i="29"/>
  <c r="L62" i="29" s="1"/>
  <c r="H62" i="29"/>
  <c r="I62" i="29" s="1"/>
  <c r="F62" i="29"/>
  <c r="E62" i="29"/>
  <c r="O61" i="29"/>
  <c r="N61" i="29"/>
  <c r="K61" i="29"/>
  <c r="L61" i="29" s="1"/>
  <c r="H61" i="29"/>
  <c r="I61" i="29" s="1"/>
  <c r="F61" i="29"/>
  <c r="E61" i="29"/>
  <c r="N60" i="29"/>
  <c r="O60" i="29" s="1"/>
  <c r="K60" i="29"/>
  <c r="L60" i="29" s="1"/>
  <c r="H60" i="29"/>
  <c r="I60" i="29" s="1"/>
  <c r="F60" i="29"/>
  <c r="E60" i="29"/>
  <c r="O59" i="29"/>
  <c r="N59" i="29"/>
  <c r="L59" i="29"/>
  <c r="K59" i="29"/>
  <c r="H59" i="29"/>
  <c r="I59" i="29" s="1"/>
  <c r="F59" i="29"/>
  <c r="E59" i="29"/>
  <c r="N58" i="29"/>
  <c r="O58" i="29" s="1"/>
  <c r="K58" i="29"/>
  <c r="L58" i="29" s="1"/>
  <c r="H58" i="29"/>
  <c r="I58" i="29" s="1"/>
  <c r="F58" i="29"/>
  <c r="E58" i="29"/>
  <c r="N57" i="29"/>
  <c r="O57" i="29" s="1"/>
  <c r="K57" i="29"/>
  <c r="L57" i="29" s="1"/>
  <c r="H57" i="29"/>
  <c r="I57" i="29" s="1"/>
  <c r="F57" i="29"/>
  <c r="E57" i="29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K53" i="29"/>
  <c r="L53" i="29" s="1"/>
  <c r="H53" i="29"/>
  <c r="I53" i="29" s="1"/>
  <c r="F53" i="29"/>
  <c r="E53" i="29"/>
  <c r="O52" i="29"/>
  <c r="N52" i="29"/>
  <c r="K52" i="29"/>
  <c r="L52" i="29" s="1"/>
  <c r="H52" i="29"/>
  <c r="I52" i="29" s="1"/>
  <c r="F52" i="29"/>
  <c r="E52" i="29"/>
  <c r="N51" i="29"/>
  <c r="O51" i="29" s="1"/>
  <c r="L51" i="29"/>
  <c r="K51" i="29"/>
  <c r="H51" i="29"/>
  <c r="I51" i="29" s="1"/>
  <c r="F51" i="29"/>
  <c r="E51" i="29"/>
  <c r="O50" i="29"/>
  <c r="N50" i="29"/>
  <c r="K50" i="29"/>
  <c r="L50" i="29" s="1"/>
  <c r="H50" i="29"/>
  <c r="I50" i="29" s="1"/>
  <c r="F50" i="29"/>
  <c r="E50" i="29"/>
  <c r="N49" i="29"/>
  <c r="O49" i="29" s="1"/>
  <c r="K49" i="29"/>
  <c r="L49" i="29" s="1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F47" i="29"/>
  <c r="E47" i="29"/>
  <c r="N46" i="29"/>
  <c r="O46" i="29" s="1"/>
  <c r="K46" i="29"/>
  <c r="L46" i="29" s="1"/>
  <c r="H46" i="29"/>
  <c r="I46" i="29" s="1"/>
  <c r="F46" i="29"/>
  <c r="E46" i="29"/>
  <c r="O45" i="29"/>
  <c r="N45" i="29"/>
  <c r="K45" i="29"/>
  <c r="L45" i="29" s="1"/>
  <c r="H45" i="29"/>
  <c r="I45" i="29" s="1"/>
  <c r="F45" i="29"/>
  <c r="E45" i="29"/>
  <c r="N44" i="29"/>
  <c r="K44" i="29"/>
  <c r="H44" i="29"/>
  <c r="H64" i="29" s="1"/>
  <c r="F44" i="29"/>
  <c r="F6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I198" i="28"/>
  <c r="H198" i="28"/>
  <c r="F198" i="28"/>
  <c r="E198" i="28"/>
  <c r="N197" i="28"/>
  <c r="O197" i="28" s="1"/>
  <c r="L197" i="28"/>
  <c r="K197" i="28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N195" i="28"/>
  <c r="O195" i="28" s="1"/>
  <c r="L195" i="28"/>
  <c r="K195" i="28"/>
  <c r="H195" i="28"/>
  <c r="I195" i="28" s="1"/>
  <c r="F195" i="28"/>
  <c r="E195" i="28"/>
  <c r="O194" i="28"/>
  <c r="N194" i="28"/>
  <c r="L194" i="28"/>
  <c r="K194" i="28"/>
  <c r="I194" i="28"/>
  <c r="H194" i="28"/>
  <c r="F194" i="28"/>
  <c r="E194" i="28"/>
  <c r="O193" i="28"/>
  <c r="N193" i="28"/>
  <c r="L193" i="28"/>
  <c r="K193" i="28"/>
  <c r="H193" i="28"/>
  <c r="I193" i="28" s="1"/>
  <c r="F193" i="28"/>
  <c r="E193" i="28"/>
  <c r="N192" i="28"/>
  <c r="O192" i="28" s="1"/>
  <c r="L192" i="28"/>
  <c r="K192" i="28"/>
  <c r="H192" i="28"/>
  <c r="I192" i="28" s="1"/>
  <c r="F192" i="28"/>
  <c r="E192" i="28"/>
  <c r="O191" i="28"/>
  <c r="N191" i="28"/>
  <c r="L191" i="28"/>
  <c r="K191" i="28"/>
  <c r="I191" i="28"/>
  <c r="H191" i="28"/>
  <c r="F191" i="28"/>
  <c r="E191" i="28"/>
  <c r="O190" i="28"/>
  <c r="N190" i="28"/>
  <c r="L190" i="28"/>
  <c r="K190" i="28"/>
  <c r="I190" i="28"/>
  <c r="H190" i="28"/>
  <c r="F190" i="28"/>
  <c r="E190" i="28"/>
  <c r="O189" i="28"/>
  <c r="N189" i="28"/>
  <c r="L189" i="28"/>
  <c r="K189" i="28"/>
  <c r="I189" i="28"/>
  <c r="H189" i="28"/>
  <c r="F189" i="28"/>
  <c r="E189" i="28"/>
  <c r="O188" i="28"/>
  <c r="N188" i="28"/>
  <c r="L188" i="28"/>
  <c r="K188" i="28"/>
  <c r="H188" i="28"/>
  <c r="I188" i="28" s="1"/>
  <c r="F188" i="28"/>
  <c r="E188" i="28"/>
  <c r="N187" i="28"/>
  <c r="O187" i="28" s="1"/>
  <c r="L187" i="28"/>
  <c r="K187" i="28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L185" i="28"/>
  <c r="K185" i="28"/>
  <c r="H185" i="28"/>
  <c r="I185" i="28" s="1"/>
  <c r="F185" i="28"/>
  <c r="E185" i="28"/>
  <c r="O184" i="28"/>
  <c r="N184" i="28"/>
  <c r="L184" i="28"/>
  <c r="K184" i="28"/>
  <c r="I184" i="28"/>
  <c r="H184" i="28"/>
  <c r="F184" i="28"/>
  <c r="E184" i="28"/>
  <c r="O183" i="28"/>
  <c r="N183" i="28"/>
  <c r="L183" i="28"/>
  <c r="K183" i="28"/>
  <c r="I183" i="28"/>
  <c r="H183" i="28"/>
  <c r="F183" i="28"/>
  <c r="E183" i="28"/>
  <c r="O182" i="28"/>
  <c r="N182" i="28"/>
  <c r="L182" i="28"/>
  <c r="K182" i="28"/>
  <c r="I182" i="28"/>
  <c r="H182" i="28"/>
  <c r="F182" i="28"/>
  <c r="E182" i="28"/>
  <c r="O181" i="28"/>
  <c r="N181" i="28"/>
  <c r="L181" i="28"/>
  <c r="K181" i="28"/>
  <c r="H181" i="28"/>
  <c r="I181" i="28" s="1"/>
  <c r="F181" i="28"/>
  <c r="E181" i="28"/>
  <c r="N180" i="28"/>
  <c r="O180" i="28" s="1"/>
  <c r="L180" i="28"/>
  <c r="K180" i="28"/>
  <c r="H180" i="28"/>
  <c r="I180" i="28" s="1"/>
  <c r="F180" i="28"/>
  <c r="E180" i="28"/>
  <c r="O179" i="28"/>
  <c r="N179" i="28"/>
  <c r="L179" i="28"/>
  <c r="L199" i="28" s="1"/>
  <c r="K179" i="28"/>
  <c r="K199" i="28" s="1"/>
  <c r="I179" i="28"/>
  <c r="H179" i="28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N170" i="28"/>
  <c r="O170" i="28" s="1"/>
  <c r="L170" i="28"/>
  <c r="K170" i="28"/>
  <c r="I170" i="28"/>
  <c r="H170" i="28"/>
  <c r="F170" i="28"/>
  <c r="E170" i="28"/>
  <c r="N169" i="28"/>
  <c r="O169" i="28" s="1"/>
  <c r="L169" i="28"/>
  <c r="K169" i="28"/>
  <c r="I169" i="28"/>
  <c r="H169" i="28"/>
  <c r="F169" i="28"/>
  <c r="E169" i="28"/>
  <c r="N168" i="28"/>
  <c r="O168" i="28" s="1"/>
  <c r="L168" i="28"/>
  <c r="K168" i="28"/>
  <c r="I168" i="28"/>
  <c r="H168" i="28"/>
  <c r="F168" i="28"/>
  <c r="E168" i="28"/>
  <c r="N167" i="28"/>
  <c r="O167" i="28" s="1"/>
  <c r="L167" i="28"/>
  <c r="K167" i="28"/>
  <c r="H167" i="28"/>
  <c r="I167" i="28" s="1"/>
  <c r="F167" i="28"/>
  <c r="E167" i="28"/>
  <c r="O166" i="28"/>
  <c r="N166" i="28"/>
  <c r="L166" i="28"/>
  <c r="K166" i="28"/>
  <c r="I166" i="28"/>
  <c r="H166" i="28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L164" i="28"/>
  <c r="K164" i="28"/>
  <c r="H164" i="28"/>
  <c r="I164" i="28" s="1"/>
  <c r="F164" i="28"/>
  <c r="E164" i="28"/>
  <c r="O163" i="28"/>
  <c r="N163" i="28"/>
  <c r="L163" i="28"/>
  <c r="K163" i="28"/>
  <c r="I163" i="28"/>
  <c r="H163" i="28"/>
  <c r="F163" i="28"/>
  <c r="E163" i="28"/>
  <c r="O162" i="28"/>
  <c r="N162" i="28"/>
  <c r="L162" i="28"/>
  <c r="K162" i="28"/>
  <c r="I162" i="28"/>
  <c r="H162" i="28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L160" i="28"/>
  <c r="K160" i="28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L158" i="28"/>
  <c r="K158" i="28"/>
  <c r="I158" i="28"/>
  <c r="H158" i="28"/>
  <c r="F158" i="28"/>
  <c r="E158" i="28"/>
  <c r="N157" i="28"/>
  <c r="O157" i="28" s="1"/>
  <c r="L157" i="28"/>
  <c r="K157" i="28"/>
  <c r="H157" i="28"/>
  <c r="I157" i="28" s="1"/>
  <c r="F157" i="28"/>
  <c r="E157" i="28"/>
  <c r="N156" i="28"/>
  <c r="O156" i="28" s="1"/>
  <c r="L156" i="28"/>
  <c r="K156" i="28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L154" i="28"/>
  <c r="K154" i="28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L152" i="28"/>
  <c r="L172" i="28" s="1"/>
  <c r="K152" i="28"/>
  <c r="K172" i="28" s="1"/>
  <c r="H152" i="28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I144" i="28"/>
  <c r="H144" i="28"/>
  <c r="F144" i="28"/>
  <c r="E144" i="28"/>
  <c r="N143" i="28"/>
  <c r="O143" i="28" s="1"/>
  <c r="L143" i="28"/>
  <c r="K143" i="28"/>
  <c r="I143" i="28"/>
  <c r="H143" i="28"/>
  <c r="F143" i="28"/>
  <c r="E143" i="28"/>
  <c r="N142" i="28"/>
  <c r="O142" i="28" s="1"/>
  <c r="L142" i="28"/>
  <c r="K142" i="28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N139" i="28"/>
  <c r="O139" i="28" s="1"/>
  <c r="L139" i="28"/>
  <c r="K139" i="28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L137" i="28"/>
  <c r="K137" i="28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N134" i="28"/>
  <c r="O134" i="28" s="1"/>
  <c r="L134" i="28"/>
  <c r="K134" i="28"/>
  <c r="H134" i="28"/>
  <c r="I134" i="28" s="1"/>
  <c r="F134" i="28"/>
  <c r="E134" i="28"/>
  <c r="O133" i="28"/>
  <c r="N133" i="28"/>
  <c r="L133" i="28"/>
  <c r="K133" i="28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L131" i="28"/>
  <c r="K131" i="28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O129" i="28"/>
  <c r="N129" i="28"/>
  <c r="L129" i="28"/>
  <c r="K129" i="28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L127" i="28"/>
  <c r="K127" i="28"/>
  <c r="H127" i="28"/>
  <c r="I127" i="28" s="1"/>
  <c r="F127" i="28"/>
  <c r="E127" i="28"/>
  <c r="N126" i="28"/>
  <c r="O126" i="28" s="1"/>
  <c r="L126" i="28"/>
  <c r="K126" i="28"/>
  <c r="H126" i="28"/>
  <c r="I126" i="28" s="1"/>
  <c r="F126" i="28"/>
  <c r="E126" i="28"/>
  <c r="O125" i="28"/>
  <c r="N125" i="28"/>
  <c r="L125" i="28"/>
  <c r="L145" i="28" s="1"/>
  <c r="K125" i="28"/>
  <c r="K145" i="28" s="1"/>
  <c r="H125" i="28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I117" i="28"/>
  <c r="H117" i="28"/>
  <c r="E117" i="28"/>
  <c r="F117" i="28" s="1"/>
  <c r="N116" i="28"/>
  <c r="O116" i="28" s="1"/>
  <c r="K116" i="28"/>
  <c r="L116" i="28" s="1"/>
  <c r="H116" i="28"/>
  <c r="I116" i="28" s="1"/>
  <c r="E116" i="28"/>
  <c r="F116" i="28" s="1"/>
  <c r="N115" i="28"/>
  <c r="O115" i="28" s="1"/>
  <c r="L115" i="28"/>
  <c r="K115" i="28"/>
  <c r="H115" i="28"/>
  <c r="I115" i="28" s="1"/>
  <c r="E115" i="28"/>
  <c r="F115" i="28" s="1"/>
  <c r="N114" i="28"/>
  <c r="O114" i="28" s="1"/>
  <c r="K114" i="28"/>
  <c r="L114" i="28" s="1"/>
  <c r="I114" i="28"/>
  <c r="H114" i="28"/>
  <c r="E114" i="28"/>
  <c r="F114" i="28" s="1"/>
  <c r="N113" i="28"/>
  <c r="O113" i="28" s="1"/>
  <c r="L113" i="28"/>
  <c r="K113" i="28"/>
  <c r="H113" i="28"/>
  <c r="I113" i="28" s="1"/>
  <c r="E113" i="28"/>
  <c r="F113" i="28" s="1"/>
  <c r="N112" i="28"/>
  <c r="O112" i="28" s="1"/>
  <c r="K112" i="28"/>
  <c r="L112" i="28" s="1"/>
  <c r="H112" i="28"/>
  <c r="I112" i="28" s="1"/>
  <c r="E112" i="28"/>
  <c r="F112" i="28" s="1"/>
  <c r="N111" i="28"/>
  <c r="O111" i="28" s="1"/>
  <c r="L111" i="28"/>
  <c r="K111" i="28"/>
  <c r="H111" i="28"/>
  <c r="I111" i="28" s="1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K109" i="28"/>
  <c r="L109" i="28" s="1"/>
  <c r="H109" i="28"/>
  <c r="I109" i="28" s="1"/>
  <c r="E109" i="28"/>
  <c r="F109" i="28" s="1"/>
  <c r="N108" i="28"/>
  <c r="O108" i="28" s="1"/>
  <c r="K108" i="28"/>
  <c r="L108" i="28" s="1"/>
  <c r="I108" i="28"/>
  <c r="H108" i="28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K106" i="28"/>
  <c r="L106" i="28" s="1"/>
  <c r="I106" i="28"/>
  <c r="H106" i="28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L103" i="28"/>
  <c r="K103" i="28"/>
  <c r="H103" i="28"/>
  <c r="I103" i="28" s="1"/>
  <c r="E103" i="28"/>
  <c r="F103" i="28" s="1"/>
  <c r="N102" i="28"/>
  <c r="O102" i="28" s="1"/>
  <c r="K102" i="28"/>
  <c r="L102" i="28" s="1"/>
  <c r="I102" i="28"/>
  <c r="H102" i="28"/>
  <c r="E102" i="28"/>
  <c r="F102" i="28" s="1"/>
  <c r="O101" i="28"/>
  <c r="N101" i="28"/>
  <c r="L101" i="28"/>
  <c r="K101" i="28"/>
  <c r="H101" i="28"/>
  <c r="I101" i="28" s="1"/>
  <c r="E101" i="28"/>
  <c r="F101" i="28" s="1"/>
  <c r="N100" i="28"/>
  <c r="O100" i="28" s="1"/>
  <c r="K100" i="28"/>
  <c r="L100" i="28" s="1"/>
  <c r="H100" i="28"/>
  <c r="I100" i="28" s="1"/>
  <c r="E100" i="28"/>
  <c r="F100" i="28" s="1"/>
  <c r="N99" i="28"/>
  <c r="O99" i="28" s="1"/>
  <c r="L99" i="28"/>
  <c r="K99" i="28"/>
  <c r="H99" i="28"/>
  <c r="I99" i="28" s="1"/>
  <c r="E99" i="28"/>
  <c r="F99" i="28" s="1"/>
  <c r="N98" i="28"/>
  <c r="K98" i="28"/>
  <c r="K118" i="28" s="1"/>
  <c r="H98" i="28"/>
  <c r="I98" i="28" s="1"/>
  <c r="E98" i="28"/>
  <c r="E118" i="28" s="1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N89" i="28"/>
  <c r="O89" i="28" s="1"/>
  <c r="K89" i="28"/>
  <c r="L89" i="28" s="1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L87" i="28"/>
  <c r="K87" i="28"/>
  <c r="H87" i="28"/>
  <c r="I87" i="28" s="1"/>
  <c r="E87" i="28"/>
  <c r="F87" i="28" s="1"/>
  <c r="O86" i="28"/>
  <c r="N86" i="28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O84" i="28"/>
  <c r="N84" i="28"/>
  <c r="K84" i="28"/>
  <c r="L84" i="28" s="1"/>
  <c r="I84" i="28"/>
  <c r="H84" i="28"/>
  <c r="E84" i="28"/>
  <c r="F84" i="28" s="1"/>
  <c r="O83" i="28"/>
  <c r="N83" i="28"/>
  <c r="L83" i="28"/>
  <c r="K83" i="28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K81" i="28"/>
  <c r="L81" i="28" s="1"/>
  <c r="H81" i="28"/>
  <c r="I81" i="28" s="1"/>
  <c r="E81" i="28"/>
  <c r="F81" i="28" s="1"/>
  <c r="O80" i="28"/>
  <c r="N80" i="28"/>
  <c r="K80" i="28"/>
  <c r="L80" i="28" s="1"/>
  <c r="H80" i="28"/>
  <c r="I80" i="28" s="1"/>
  <c r="E80" i="28"/>
  <c r="F80" i="28" s="1"/>
  <c r="N79" i="28"/>
  <c r="O79" i="28" s="1"/>
  <c r="L79" i="28"/>
  <c r="K79" i="28"/>
  <c r="I79" i="28"/>
  <c r="H79" i="28"/>
  <c r="E79" i="28"/>
  <c r="F79" i="28" s="1"/>
  <c r="O78" i="28"/>
  <c r="N78" i="28"/>
  <c r="K78" i="28"/>
  <c r="L78" i="28" s="1"/>
  <c r="H78" i="28"/>
  <c r="I78" i="28" s="1"/>
  <c r="E78" i="28"/>
  <c r="F78" i="28" s="1"/>
  <c r="N77" i="28"/>
  <c r="O77" i="28" s="1"/>
  <c r="K77" i="28"/>
  <c r="L77" i="28" s="1"/>
  <c r="H77" i="28"/>
  <c r="I77" i="28" s="1"/>
  <c r="E77" i="28"/>
  <c r="F77" i="28" s="1"/>
  <c r="O76" i="28"/>
  <c r="N76" i="28"/>
  <c r="K76" i="28"/>
  <c r="L76" i="28" s="1"/>
  <c r="H76" i="28"/>
  <c r="I76" i="28" s="1"/>
  <c r="E76" i="28"/>
  <c r="F76" i="28" s="1"/>
  <c r="N75" i="28"/>
  <c r="O75" i="28" s="1"/>
  <c r="L75" i="28"/>
  <c r="K75" i="28"/>
  <c r="I75" i="28"/>
  <c r="H75" i="28"/>
  <c r="E75" i="28"/>
  <c r="F75" i="28" s="1"/>
  <c r="O74" i="28"/>
  <c r="N74" i="28"/>
  <c r="K74" i="28"/>
  <c r="L74" i="28" s="1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K72" i="28"/>
  <c r="L72" i="28" s="1"/>
  <c r="H72" i="28"/>
  <c r="I72" i="28" s="1"/>
  <c r="E72" i="28"/>
  <c r="F72" i="28" s="1"/>
  <c r="N71" i="28"/>
  <c r="L71" i="28"/>
  <c r="L91" i="28" s="1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K63" i="28"/>
  <c r="L63" i="28" s="1"/>
  <c r="H63" i="28"/>
  <c r="I63" i="28" s="1"/>
  <c r="E63" i="28"/>
  <c r="F63" i="28" s="1"/>
  <c r="O62" i="28"/>
  <c r="N62" i="28"/>
  <c r="K62" i="28"/>
  <c r="L62" i="28" s="1"/>
  <c r="H62" i="28"/>
  <c r="I62" i="28" s="1"/>
  <c r="E62" i="28"/>
  <c r="F62" i="28" s="1"/>
  <c r="O61" i="28"/>
  <c r="N61" i="28"/>
  <c r="K61" i="28"/>
  <c r="L61" i="28" s="1"/>
  <c r="I61" i="28"/>
  <c r="H61" i="28"/>
  <c r="E61" i="28"/>
  <c r="F61" i="28" s="1"/>
  <c r="N60" i="28"/>
  <c r="O60" i="28" s="1"/>
  <c r="L60" i="28"/>
  <c r="K60" i="28"/>
  <c r="H60" i="28"/>
  <c r="I60" i="28" s="1"/>
  <c r="E60" i="28"/>
  <c r="F60" i="28" s="1"/>
  <c r="N59" i="28"/>
  <c r="O59" i="28" s="1"/>
  <c r="K59" i="28"/>
  <c r="L59" i="28" s="1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K57" i="28"/>
  <c r="L57" i="28" s="1"/>
  <c r="I57" i="28"/>
  <c r="H57" i="28"/>
  <c r="E57" i="28"/>
  <c r="F57" i="28" s="1"/>
  <c r="N56" i="28"/>
  <c r="O56" i="28" s="1"/>
  <c r="L56" i="28"/>
  <c r="K56" i="28"/>
  <c r="I56" i="28"/>
  <c r="H56" i="28"/>
  <c r="E56" i="28"/>
  <c r="F56" i="28" s="1"/>
  <c r="O55" i="28"/>
  <c r="N55" i="28"/>
  <c r="K55" i="28"/>
  <c r="L55" i="28" s="1"/>
  <c r="I55" i="28"/>
  <c r="H55" i="28"/>
  <c r="E55" i="28"/>
  <c r="F55" i="28" s="1"/>
  <c r="N54" i="28"/>
  <c r="O54" i="28" s="1"/>
  <c r="K54" i="28"/>
  <c r="L54" i="28" s="1"/>
  <c r="I54" i="28"/>
  <c r="H54" i="28"/>
  <c r="E54" i="28"/>
  <c r="F54" i="28" s="1"/>
  <c r="O53" i="28"/>
  <c r="N53" i="28"/>
  <c r="K53" i="28"/>
  <c r="L53" i="28" s="1"/>
  <c r="I53" i="28"/>
  <c r="H53" i="28"/>
  <c r="E53" i="28"/>
  <c r="F53" i="28" s="1"/>
  <c r="N52" i="28"/>
  <c r="O52" i="28" s="1"/>
  <c r="L52" i="28"/>
  <c r="K52" i="28"/>
  <c r="H52" i="28"/>
  <c r="I52" i="28" s="1"/>
  <c r="E52" i="28"/>
  <c r="F52" i="28" s="1"/>
  <c r="O51" i="28"/>
  <c r="N51" i="28"/>
  <c r="K51" i="28"/>
  <c r="L51" i="28" s="1"/>
  <c r="I51" i="28"/>
  <c r="H51" i="28"/>
  <c r="E51" i="28"/>
  <c r="F51" i="28" s="1"/>
  <c r="N50" i="28"/>
  <c r="O50" i="28" s="1"/>
  <c r="K50" i="28"/>
  <c r="L50" i="28" s="1"/>
  <c r="I50" i="28"/>
  <c r="H50" i="28"/>
  <c r="E50" i="28"/>
  <c r="F50" i="28" s="1"/>
  <c r="O49" i="28"/>
  <c r="N49" i="28"/>
  <c r="K49" i="28"/>
  <c r="L49" i="28" s="1"/>
  <c r="H49" i="28"/>
  <c r="I49" i="28" s="1"/>
  <c r="E49" i="28"/>
  <c r="F49" i="28" s="1"/>
  <c r="O48" i="28"/>
  <c r="N48" i="28"/>
  <c r="L48" i="28"/>
  <c r="K48" i="28"/>
  <c r="H48" i="28"/>
  <c r="I48" i="28" s="1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K46" i="28"/>
  <c r="L46" i="28" s="1"/>
  <c r="H46" i="28"/>
  <c r="I46" i="28" s="1"/>
  <c r="E46" i="28"/>
  <c r="F46" i="28" s="1"/>
  <c r="O45" i="28"/>
  <c r="N45" i="28"/>
  <c r="K45" i="28"/>
  <c r="L45" i="28" s="1"/>
  <c r="I45" i="28"/>
  <c r="H45" i="28"/>
  <c r="E45" i="28"/>
  <c r="F45" i="28" s="1"/>
  <c r="N44" i="28"/>
  <c r="N64" i="28" s="1"/>
  <c r="L44" i="28"/>
  <c r="K44" i="28"/>
  <c r="H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I198" i="27"/>
  <c r="H198" i="27"/>
  <c r="F198" i="27"/>
  <c r="E198" i="27"/>
  <c r="O197" i="27"/>
  <c r="N197" i="27"/>
  <c r="L197" i="27"/>
  <c r="K197" i="27"/>
  <c r="I197" i="27"/>
  <c r="H197" i="27"/>
  <c r="F197" i="27"/>
  <c r="E197" i="27"/>
  <c r="O196" i="27"/>
  <c r="N196" i="27"/>
  <c r="L196" i="27"/>
  <c r="K196" i="27"/>
  <c r="I196" i="27"/>
  <c r="H196" i="27"/>
  <c r="F196" i="27"/>
  <c r="E196" i="27"/>
  <c r="O195" i="27"/>
  <c r="N195" i="27"/>
  <c r="L195" i="27"/>
  <c r="K195" i="27"/>
  <c r="I195" i="27"/>
  <c r="H195" i="27"/>
  <c r="F195" i="27"/>
  <c r="E195" i="27"/>
  <c r="O194" i="27"/>
  <c r="N194" i="27"/>
  <c r="L194" i="27"/>
  <c r="K194" i="27"/>
  <c r="I194" i="27"/>
  <c r="H194" i="27"/>
  <c r="F194" i="27"/>
  <c r="E194" i="27"/>
  <c r="O193" i="27"/>
  <c r="N193" i="27"/>
  <c r="L193" i="27"/>
  <c r="K193" i="27"/>
  <c r="I193" i="27"/>
  <c r="H193" i="27"/>
  <c r="F193" i="27"/>
  <c r="E193" i="27"/>
  <c r="O192" i="27"/>
  <c r="N192" i="27"/>
  <c r="L192" i="27"/>
  <c r="K192" i="27"/>
  <c r="I192" i="27"/>
  <c r="H192" i="27"/>
  <c r="F192" i="27"/>
  <c r="E192" i="27"/>
  <c r="O191" i="27"/>
  <c r="N191" i="27"/>
  <c r="L191" i="27"/>
  <c r="K191" i="27"/>
  <c r="I191" i="27"/>
  <c r="H191" i="27"/>
  <c r="F191" i="27"/>
  <c r="E191" i="27"/>
  <c r="O190" i="27"/>
  <c r="N190" i="27"/>
  <c r="L190" i="27"/>
  <c r="K190" i="27"/>
  <c r="I190" i="27"/>
  <c r="H190" i="27"/>
  <c r="F190" i="27"/>
  <c r="E190" i="27"/>
  <c r="O189" i="27"/>
  <c r="N189" i="27"/>
  <c r="L189" i="27"/>
  <c r="K189" i="27"/>
  <c r="I189" i="27"/>
  <c r="H189" i="27"/>
  <c r="F189" i="27"/>
  <c r="E189" i="27"/>
  <c r="O188" i="27"/>
  <c r="N188" i="27"/>
  <c r="L188" i="27"/>
  <c r="K188" i="27"/>
  <c r="I188" i="27"/>
  <c r="H188" i="27"/>
  <c r="F188" i="27"/>
  <c r="E188" i="27"/>
  <c r="O187" i="27"/>
  <c r="N187" i="27"/>
  <c r="L187" i="27"/>
  <c r="K187" i="27"/>
  <c r="I187" i="27"/>
  <c r="H187" i="27"/>
  <c r="F187" i="27"/>
  <c r="E187" i="27"/>
  <c r="O186" i="27"/>
  <c r="N186" i="27"/>
  <c r="L186" i="27"/>
  <c r="K186" i="27"/>
  <c r="I186" i="27"/>
  <c r="H186" i="27"/>
  <c r="F186" i="27"/>
  <c r="E186" i="27"/>
  <c r="O185" i="27"/>
  <c r="N185" i="27"/>
  <c r="L185" i="27"/>
  <c r="K185" i="27"/>
  <c r="I185" i="27"/>
  <c r="H185" i="27"/>
  <c r="F185" i="27"/>
  <c r="E185" i="27"/>
  <c r="O184" i="27"/>
  <c r="N184" i="27"/>
  <c r="L184" i="27"/>
  <c r="K184" i="27"/>
  <c r="I184" i="27"/>
  <c r="H184" i="27"/>
  <c r="F184" i="27"/>
  <c r="E184" i="27"/>
  <c r="O183" i="27"/>
  <c r="N183" i="27"/>
  <c r="L183" i="27"/>
  <c r="K183" i="27"/>
  <c r="I183" i="27"/>
  <c r="H183" i="27"/>
  <c r="F183" i="27"/>
  <c r="E183" i="27"/>
  <c r="O182" i="27"/>
  <c r="N182" i="27"/>
  <c r="L182" i="27"/>
  <c r="K182" i="27"/>
  <c r="I182" i="27"/>
  <c r="H182" i="27"/>
  <c r="F182" i="27"/>
  <c r="E182" i="27"/>
  <c r="O181" i="27"/>
  <c r="N181" i="27"/>
  <c r="L181" i="27"/>
  <c r="K181" i="27"/>
  <c r="I181" i="27"/>
  <c r="H181" i="27"/>
  <c r="F181" i="27"/>
  <c r="E181" i="27"/>
  <c r="O180" i="27"/>
  <c r="N180" i="27"/>
  <c r="L180" i="27"/>
  <c r="K180" i="27"/>
  <c r="I180" i="27"/>
  <c r="H180" i="27"/>
  <c r="F180" i="27"/>
  <c r="E180" i="27"/>
  <c r="O179" i="27"/>
  <c r="O199" i="27" s="1"/>
  <c r="N179" i="27"/>
  <c r="N199" i="27" s="1"/>
  <c r="L179" i="27"/>
  <c r="L199" i="27" s="1"/>
  <c r="K179" i="27"/>
  <c r="K199" i="27" s="1"/>
  <c r="I179" i="27"/>
  <c r="I199" i="27" s="1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O167" i="27"/>
  <c r="N167" i="27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K165" i="27"/>
  <c r="L165" i="27" s="1"/>
  <c r="H165" i="27"/>
  <c r="I165" i="27" s="1"/>
  <c r="F165" i="27"/>
  <c r="E165" i="27"/>
  <c r="O164" i="27"/>
  <c r="N164" i="27"/>
  <c r="K164" i="27"/>
  <c r="L164" i="27" s="1"/>
  <c r="H164" i="27"/>
  <c r="I164" i="27" s="1"/>
  <c r="F164" i="27"/>
  <c r="E164" i="27"/>
  <c r="O163" i="27"/>
  <c r="N163" i="27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K161" i="27"/>
  <c r="L161" i="27" s="1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O156" i="27"/>
  <c r="N156" i="27"/>
  <c r="K156" i="27"/>
  <c r="L156" i="27" s="1"/>
  <c r="H156" i="27"/>
  <c r="I156" i="27" s="1"/>
  <c r="F156" i="27"/>
  <c r="E156" i="27"/>
  <c r="O155" i="27"/>
  <c r="N155" i="27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K153" i="27"/>
  <c r="L153" i="27" s="1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F117" i="27"/>
  <c r="E117" i="27"/>
  <c r="N116" i="27"/>
  <c r="O116" i="27" s="1"/>
  <c r="L116" i="27"/>
  <c r="K116" i="27"/>
  <c r="I116" i="27"/>
  <c r="H116" i="27"/>
  <c r="F116" i="27"/>
  <c r="E116" i="27"/>
  <c r="N115" i="27"/>
  <c r="O115" i="27" s="1"/>
  <c r="L115" i="27"/>
  <c r="K115" i="27"/>
  <c r="I115" i="27"/>
  <c r="H115" i="27"/>
  <c r="F115" i="27"/>
  <c r="E115" i="27"/>
  <c r="N114" i="27"/>
  <c r="O114" i="27" s="1"/>
  <c r="L114" i="27"/>
  <c r="K114" i="27"/>
  <c r="I114" i="27"/>
  <c r="H114" i="27"/>
  <c r="F114" i="27"/>
  <c r="E114" i="27"/>
  <c r="N113" i="27"/>
  <c r="O113" i="27" s="1"/>
  <c r="L113" i="27"/>
  <c r="K113" i="27"/>
  <c r="I113" i="27"/>
  <c r="H113" i="27"/>
  <c r="F113" i="27"/>
  <c r="E113" i="27"/>
  <c r="N112" i="27"/>
  <c r="O112" i="27" s="1"/>
  <c r="L112" i="27"/>
  <c r="K112" i="27"/>
  <c r="I112" i="27"/>
  <c r="H112" i="27"/>
  <c r="F112" i="27"/>
  <c r="E112" i="27"/>
  <c r="N111" i="27"/>
  <c r="O111" i="27" s="1"/>
  <c r="L111" i="27"/>
  <c r="K111" i="27"/>
  <c r="I111" i="27"/>
  <c r="H111" i="27"/>
  <c r="F111" i="27"/>
  <c r="E111" i="27"/>
  <c r="N110" i="27"/>
  <c r="O110" i="27" s="1"/>
  <c r="L110" i="27"/>
  <c r="K110" i="27"/>
  <c r="I110" i="27"/>
  <c r="H110" i="27"/>
  <c r="F110" i="27"/>
  <c r="E110" i="27"/>
  <c r="N109" i="27"/>
  <c r="O109" i="27" s="1"/>
  <c r="L109" i="27"/>
  <c r="K109" i="27"/>
  <c r="I109" i="27"/>
  <c r="H109" i="27"/>
  <c r="F109" i="27"/>
  <c r="E109" i="27"/>
  <c r="N108" i="27"/>
  <c r="O108" i="27" s="1"/>
  <c r="L108" i="27"/>
  <c r="K108" i="27"/>
  <c r="I108" i="27"/>
  <c r="H108" i="27"/>
  <c r="F108" i="27"/>
  <c r="E108" i="27"/>
  <c r="N107" i="27"/>
  <c r="O107" i="27" s="1"/>
  <c r="L107" i="27"/>
  <c r="K107" i="27"/>
  <c r="I107" i="27"/>
  <c r="H107" i="27"/>
  <c r="F107" i="27"/>
  <c r="E107" i="27"/>
  <c r="N106" i="27"/>
  <c r="O106" i="27" s="1"/>
  <c r="L106" i="27"/>
  <c r="K106" i="27"/>
  <c r="I106" i="27"/>
  <c r="H106" i="27"/>
  <c r="F106" i="27"/>
  <c r="E106" i="27"/>
  <c r="N105" i="27"/>
  <c r="O105" i="27" s="1"/>
  <c r="L105" i="27"/>
  <c r="K105" i="27"/>
  <c r="I105" i="27"/>
  <c r="H105" i="27"/>
  <c r="F105" i="27"/>
  <c r="E105" i="27"/>
  <c r="N104" i="27"/>
  <c r="O104" i="27" s="1"/>
  <c r="L104" i="27"/>
  <c r="K104" i="27"/>
  <c r="I104" i="27"/>
  <c r="H104" i="27"/>
  <c r="F104" i="27"/>
  <c r="E104" i="27"/>
  <c r="N103" i="27"/>
  <c r="O103" i="27" s="1"/>
  <c r="L103" i="27"/>
  <c r="K103" i="27"/>
  <c r="I103" i="27"/>
  <c r="H103" i="27"/>
  <c r="F103" i="27"/>
  <c r="E103" i="27"/>
  <c r="N102" i="27"/>
  <c r="O102" i="27" s="1"/>
  <c r="L102" i="27"/>
  <c r="K102" i="27"/>
  <c r="I102" i="27"/>
  <c r="H102" i="27"/>
  <c r="F102" i="27"/>
  <c r="E102" i="27"/>
  <c r="N101" i="27"/>
  <c r="O101" i="27" s="1"/>
  <c r="L101" i="27"/>
  <c r="K101" i="27"/>
  <c r="I101" i="27"/>
  <c r="H101" i="27"/>
  <c r="F101" i="27"/>
  <c r="E101" i="27"/>
  <c r="N100" i="27"/>
  <c r="O100" i="27" s="1"/>
  <c r="L100" i="27"/>
  <c r="K100" i="27"/>
  <c r="I100" i="27"/>
  <c r="H100" i="27"/>
  <c r="F100" i="27"/>
  <c r="E100" i="27"/>
  <c r="N99" i="27"/>
  <c r="O99" i="27" s="1"/>
  <c r="L99" i="27"/>
  <c r="K99" i="27"/>
  <c r="I99" i="27"/>
  <c r="H99" i="27"/>
  <c r="F99" i="27"/>
  <c r="E99" i="27"/>
  <c r="N98" i="27"/>
  <c r="N118" i="27" s="1"/>
  <c r="L98" i="27"/>
  <c r="L118" i="27" s="1"/>
  <c r="K98" i="27"/>
  <c r="K118" i="27" s="1"/>
  <c r="I98" i="27"/>
  <c r="I118" i="27" s="1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L90" i="27"/>
  <c r="K90" i="27"/>
  <c r="I90" i="27"/>
  <c r="H90" i="27"/>
  <c r="F90" i="27"/>
  <c r="E90" i="27"/>
  <c r="N89" i="27"/>
  <c r="O89" i="27" s="1"/>
  <c r="L89" i="27"/>
  <c r="K89" i="27"/>
  <c r="I89" i="27"/>
  <c r="H89" i="27"/>
  <c r="F89" i="27"/>
  <c r="E89" i="27"/>
  <c r="N88" i="27"/>
  <c r="O88" i="27" s="1"/>
  <c r="L88" i="27"/>
  <c r="K88" i="27"/>
  <c r="I88" i="27"/>
  <c r="H88" i="27"/>
  <c r="F88" i="27"/>
  <c r="E88" i="27"/>
  <c r="N87" i="27"/>
  <c r="O87" i="27" s="1"/>
  <c r="L87" i="27"/>
  <c r="K87" i="27"/>
  <c r="I87" i="27"/>
  <c r="H87" i="27"/>
  <c r="F87" i="27"/>
  <c r="E87" i="27"/>
  <c r="N86" i="27"/>
  <c r="O86" i="27" s="1"/>
  <c r="L86" i="27"/>
  <c r="K86" i="27"/>
  <c r="I86" i="27"/>
  <c r="H86" i="27"/>
  <c r="F86" i="27"/>
  <c r="E86" i="27"/>
  <c r="N85" i="27"/>
  <c r="O85" i="27" s="1"/>
  <c r="L85" i="27"/>
  <c r="K85" i="27"/>
  <c r="I85" i="27"/>
  <c r="H85" i="27"/>
  <c r="F85" i="27"/>
  <c r="E85" i="27"/>
  <c r="N84" i="27"/>
  <c r="O84" i="27" s="1"/>
  <c r="L84" i="27"/>
  <c r="K84" i="27"/>
  <c r="I84" i="27"/>
  <c r="H84" i="27"/>
  <c r="F84" i="27"/>
  <c r="E84" i="27"/>
  <c r="N83" i="27"/>
  <c r="O83" i="27" s="1"/>
  <c r="L83" i="27"/>
  <c r="K83" i="27"/>
  <c r="I83" i="27"/>
  <c r="H83" i="27"/>
  <c r="F83" i="27"/>
  <c r="E83" i="27"/>
  <c r="N82" i="27"/>
  <c r="O82" i="27" s="1"/>
  <c r="L82" i="27"/>
  <c r="K82" i="27"/>
  <c r="I82" i="27"/>
  <c r="H82" i="27"/>
  <c r="F82" i="27"/>
  <c r="E82" i="27"/>
  <c r="N81" i="27"/>
  <c r="O81" i="27" s="1"/>
  <c r="L81" i="27"/>
  <c r="K81" i="27"/>
  <c r="I81" i="27"/>
  <c r="H81" i="27"/>
  <c r="F81" i="27"/>
  <c r="E81" i="27"/>
  <c r="N80" i="27"/>
  <c r="O80" i="27" s="1"/>
  <c r="L80" i="27"/>
  <c r="K80" i="27"/>
  <c r="I80" i="27"/>
  <c r="H80" i="27"/>
  <c r="F80" i="27"/>
  <c r="E80" i="27"/>
  <c r="N79" i="27"/>
  <c r="O79" i="27" s="1"/>
  <c r="L79" i="27"/>
  <c r="K79" i="27"/>
  <c r="I79" i="27"/>
  <c r="H79" i="27"/>
  <c r="F79" i="27"/>
  <c r="E79" i="27"/>
  <c r="N78" i="27"/>
  <c r="O78" i="27" s="1"/>
  <c r="L78" i="27"/>
  <c r="K78" i="27"/>
  <c r="I78" i="27"/>
  <c r="H78" i="27"/>
  <c r="F78" i="27"/>
  <c r="E78" i="27"/>
  <c r="N77" i="27"/>
  <c r="O77" i="27" s="1"/>
  <c r="L77" i="27"/>
  <c r="K77" i="27"/>
  <c r="I77" i="27"/>
  <c r="H77" i="27"/>
  <c r="F77" i="27"/>
  <c r="E77" i="27"/>
  <c r="N76" i="27"/>
  <c r="O76" i="27" s="1"/>
  <c r="L76" i="27"/>
  <c r="K76" i="27"/>
  <c r="I76" i="27"/>
  <c r="H76" i="27"/>
  <c r="F76" i="27"/>
  <c r="E76" i="27"/>
  <c r="N75" i="27"/>
  <c r="O75" i="27" s="1"/>
  <c r="L75" i="27"/>
  <c r="K75" i="27"/>
  <c r="I75" i="27"/>
  <c r="H75" i="27"/>
  <c r="F75" i="27"/>
  <c r="E75" i="27"/>
  <c r="N74" i="27"/>
  <c r="O74" i="27" s="1"/>
  <c r="L74" i="27"/>
  <c r="K74" i="27"/>
  <c r="I74" i="27"/>
  <c r="H74" i="27"/>
  <c r="F74" i="27"/>
  <c r="E74" i="27"/>
  <c r="N73" i="27"/>
  <c r="O73" i="27" s="1"/>
  <c r="L73" i="27"/>
  <c r="K73" i="27"/>
  <c r="I73" i="27"/>
  <c r="H73" i="27"/>
  <c r="F73" i="27"/>
  <c r="E73" i="27"/>
  <c r="N72" i="27"/>
  <c r="O72" i="27" s="1"/>
  <c r="L72" i="27"/>
  <c r="K72" i="27"/>
  <c r="I72" i="27"/>
  <c r="H72" i="27"/>
  <c r="F72" i="27"/>
  <c r="E72" i="27"/>
  <c r="N71" i="27"/>
  <c r="N91" i="27" s="1"/>
  <c r="L71" i="27"/>
  <c r="L91" i="27" s="1"/>
  <c r="K71" i="27"/>
  <c r="K91" i="27" s="1"/>
  <c r="I71" i="27"/>
  <c r="I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H63" i="27"/>
  <c r="I63" i="27" s="1"/>
  <c r="F63" i="27"/>
  <c r="E63" i="27"/>
  <c r="O62" i="27"/>
  <c r="N62" i="27"/>
  <c r="K62" i="27"/>
  <c r="L62" i="27" s="1"/>
  <c r="H62" i="27"/>
  <c r="I62" i="27" s="1"/>
  <c r="F62" i="27"/>
  <c r="E62" i="27"/>
  <c r="N61" i="27"/>
  <c r="O61" i="27" s="1"/>
  <c r="K61" i="27"/>
  <c r="L61" i="27" s="1"/>
  <c r="H61" i="27"/>
  <c r="I61" i="27" s="1"/>
  <c r="F61" i="27"/>
  <c r="E61" i="27"/>
  <c r="O60" i="27"/>
  <c r="N60" i="27"/>
  <c r="L60" i="27"/>
  <c r="K60" i="27"/>
  <c r="H60" i="27"/>
  <c r="I60" i="27" s="1"/>
  <c r="F60" i="27"/>
  <c r="E60" i="27"/>
  <c r="N59" i="27"/>
  <c r="O59" i="27" s="1"/>
  <c r="L59" i="27"/>
  <c r="K59" i="27"/>
  <c r="H59" i="27"/>
  <c r="I59" i="27" s="1"/>
  <c r="F59" i="27"/>
  <c r="E59" i="27"/>
  <c r="N58" i="27"/>
  <c r="O58" i="27" s="1"/>
  <c r="K58" i="27"/>
  <c r="L58" i="27" s="1"/>
  <c r="H58" i="27"/>
  <c r="I58" i="27" s="1"/>
  <c r="F58" i="27"/>
  <c r="E58" i="27"/>
  <c r="O57" i="27"/>
  <c r="N57" i="27"/>
  <c r="K57" i="27"/>
  <c r="L57" i="27" s="1"/>
  <c r="H57" i="27"/>
  <c r="I57" i="27" s="1"/>
  <c r="F57" i="27"/>
  <c r="E57" i="27"/>
  <c r="N56" i="27"/>
  <c r="O56" i="27" s="1"/>
  <c r="L56" i="27"/>
  <c r="K56" i="27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O54" i="27"/>
  <c r="N54" i="27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F53" i="27"/>
  <c r="E53" i="27"/>
  <c r="O52" i="27"/>
  <c r="N52" i="27"/>
  <c r="L52" i="27"/>
  <c r="K52" i="27"/>
  <c r="H52" i="27"/>
  <c r="I52" i="27" s="1"/>
  <c r="F52" i="27"/>
  <c r="E52" i="27"/>
  <c r="N51" i="27"/>
  <c r="O51" i="27" s="1"/>
  <c r="L51" i="27"/>
  <c r="K51" i="27"/>
  <c r="H51" i="27"/>
  <c r="I51" i="27" s="1"/>
  <c r="F51" i="27"/>
  <c r="E51" i="27"/>
  <c r="N50" i="27"/>
  <c r="O50" i="27" s="1"/>
  <c r="K50" i="27"/>
  <c r="L50" i="27" s="1"/>
  <c r="H50" i="27"/>
  <c r="I50" i="27" s="1"/>
  <c r="F50" i="27"/>
  <c r="E50" i="27"/>
  <c r="O49" i="27"/>
  <c r="N49" i="27"/>
  <c r="K49" i="27"/>
  <c r="L49" i="27" s="1"/>
  <c r="H49" i="27"/>
  <c r="I49" i="27" s="1"/>
  <c r="F49" i="27"/>
  <c r="E49" i="27"/>
  <c r="N48" i="27"/>
  <c r="O48" i="27" s="1"/>
  <c r="L48" i="27"/>
  <c r="K48" i="27"/>
  <c r="H48" i="27"/>
  <c r="I48" i="27" s="1"/>
  <c r="F48" i="27"/>
  <c r="E48" i="27"/>
  <c r="N47" i="27"/>
  <c r="O47" i="27" s="1"/>
  <c r="L47" i="27"/>
  <c r="K47" i="27"/>
  <c r="H47" i="27"/>
  <c r="I47" i="27" s="1"/>
  <c r="F47" i="27"/>
  <c r="E47" i="27"/>
  <c r="O46" i="27"/>
  <c r="N46" i="27"/>
  <c r="K46" i="27"/>
  <c r="L46" i="27" s="1"/>
  <c r="H46" i="27"/>
  <c r="I46" i="27" s="1"/>
  <c r="F46" i="27"/>
  <c r="E46" i="27"/>
  <c r="N45" i="27"/>
  <c r="O45" i="27" s="1"/>
  <c r="K45" i="27"/>
  <c r="L45" i="27" s="1"/>
  <c r="H45" i="27"/>
  <c r="I45" i="27" s="1"/>
  <c r="F45" i="27"/>
  <c r="E45" i="27"/>
  <c r="O44" i="27"/>
  <c r="N44" i="27"/>
  <c r="K44" i="27"/>
  <c r="H44" i="27"/>
  <c r="H64" i="27" s="1"/>
  <c r="F44" i="27"/>
  <c r="F6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E195" i="26"/>
  <c r="F195" i="26" s="1"/>
  <c r="O194" i="26"/>
  <c r="N194" i="26"/>
  <c r="K194" i="26"/>
  <c r="L194" i="26" s="1"/>
  <c r="I194" i="26"/>
  <c r="H194" i="26"/>
  <c r="E194" i="26"/>
  <c r="F194" i="26" s="1"/>
  <c r="N193" i="26"/>
  <c r="O193" i="26" s="1"/>
  <c r="K193" i="26"/>
  <c r="L193" i="26" s="1"/>
  <c r="I193" i="26"/>
  <c r="H193" i="26"/>
  <c r="F193" i="26"/>
  <c r="E193" i="26"/>
  <c r="N192" i="26"/>
  <c r="O192" i="26" s="1"/>
  <c r="K192" i="26"/>
  <c r="L192" i="26" s="1"/>
  <c r="I192" i="26"/>
  <c r="H192" i="26"/>
  <c r="E192" i="26"/>
  <c r="F192" i="26" s="1"/>
  <c r="N191" i="26"/>
  <c r="O191" i="26" s="1"/>
  <c r="K191" i="26"/>
  <c r="L191" i="26" s="1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E189" i="26"/>
  <c r="F189" i="26" s="1"/>
  <c r="N188" i="26"/>
  <c r="O188" i="26" s="1"/>
  <c r="L188" i="26"/>
  <c r="K188" i="26"/>
  <c r="I188" i="26"/>
  <c r="H188" i="26"/>
  <c r="E188" i="26"/>
  <c r="F188" i="26" s="1"/>
  <c r="O187" i="26"/>
  <c r="N187" i="26"/>
  <c r="K187" i="26"/>
  <c r="L187" i="26" s="1"/>
  <c r="I187" i="26"/>
  <c r="H187" i="26"/>
  <c r="E187" i="26"/>
  <c r="F187" i="26" s="1"/>
  <c r="N186" i="26"/>
  <c r="O186" i="26" s="1"/>
  <c r="K186" i="26"/>
  <c r="L186" i="26" s="1"/>
  <c r="I186" i="26"/>
  <c r="H186" i="26"/>
  <c r="F186" i="26"/>
  <c r="E186" i="26"/>
  <c r="N185" i="26"/>
  <c r="O185" i="26" s="1"/>
  <c r="K185" i="26"/>
  <c r="L185" i="26" s="1"/>
  <c r="I185" i="26"/>
  <c r="H185" i="26"/>
  <c r="F185" i="26"/>
  <c r="E185" i="26"/>
  <c r="O184" i="26"/>
  <c r="N184" i="26"/>
  <c r="K184" i="26"/>
  <c r="L184" i="26" s="1"/>
  <c r="I184" i="26"/>
  <c r="H184" i="26"/>
  <c r="E184" i="26"/>
  <c r="F184" i="26" s="1"/>
  <c r="N183" i="26"/>
  <c r="O183" i="26" s="1"/>
  <c r="K183" i="26"/>
  <c r="L183" i="26" s="1"/>
  <c r="I183" i="26"/>
  <c r="H183" i="26"/>
  <c r="E183" i="26"/>
  <c r="F183" i="26" s="1"/>
  <c r="O182" i="26"/>
  <c r="N182" i="26"/>
  <c r="L182" i="26"/>
  <c r="K182" i="26"/>
  <c r="I182" i="26"/>
  <c r="H182" i="26"/>
  <c r="E182" i="26"/>
  <c r="F182" i="26" s="1"/>
  <c r="N181" i="26"/>
  <c r="O181" i="26" s="1"/>
  <c r="K181" i="26"/>
  <c r="L181" i="26" s="1"/>
  <c r="I181" i="26"/>
  <c r="H181" i="26"/>
  <c r="E181" i="26"/>
  <c r="F181" i="26" s="1"/>
  <c r="O180" i="26"/>
  <c r="N180" i="26"/>
  <c r="K180" i="26"/>
  <c r="L180" i="26" s="1"/>
  <c r="I180" i="26"/>
  <c r="H180" i="26"/>
  <c r="E180" i="26"/>
  <c r="F180" i="26" s="1"/>
  <c r="N179" i="26"/>
  <c r="N199" i="26" s="1"/>
  <c r="K179" i="26"/>
  <c r="I179" i="26"/>
  <c r="I199" i="26" s="1"/>
  <c r="H179" i="26"/>
  <c r="H199" i="26" s="1"/>
  <c r="F179" i="26"/>
  <c r="E179" i="26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E171" i="26"/>
  <c r="F171" i="26" s="1"/>
  <c r="N170" i="26"/>
  <c r="O170" i="26" s="1"/>
  <c r="L170" i="26"/>
  <c r="K170" i="26"/>
  <c r="I170" i="26"/>
  <c r="H170" i="26"/>
  <c r="E170" i="26"/>
  <c r="F170" i="26" s="1"/>
  <c r="O169" i="26"/>
  <c r="N169" i="26"/>
  <c r="K169" i="26"/>
  <c r="L169" i="26" s="1"/>
  <c r="I169" i="26"/>
  <c r="H169" i="26"/>
  <c r="E169" i="26"/>
  <c r="F169" i="26" s="1"/>
  <c r="O168" i="26"/>
  <c r="N168" i="26"/>
  <c r="K168" i="26"/>
  <c r="L168" i="26" s="1"/>
  <c r="I168" i="26"/>
  <c r="H168" i="26"/>
  <c r="E168" i="26"/>
  <c r="F168" i="26" s="1"/>
  <c r="O167" i="26"/>
  <c r="N167" i="26"/>
  <c r="L167" i="26"/>
  <c r="K167" i="26"/>
  <c r="I167" i="26"/>
  <c r="H167" i="26"/>
  <c r="E167" i="26"/>
  <c r="F167" i="26" s="1"/>
  <c r="N166" i="26"/>
  <c r="O166" i="26" s="1"/>
  <c r="L166" i="26"/>
  <c r="K166" i="26"/>
  <c r="I166" i="26"/>
  <c r="H166" i="26"/>
  <c r="F166" i="26"/>
  <c r="E166" i="26"/>
  <c r="N165" i="26"/>
  <c r="O165" i="26" s="1"/>
  <c r="L165" i="26"/>
  <c r="K165" i="26"/>
  <c r="I165" i="26"/>
  <c r="H165" i="26"/>
  <c r="E165" i="26"/>
  <c r="F165" i="26" s="1"/>
  <c r="O164" i="26"/>
  <c r="N164" i="26"/>
  <c r="K164" i="26"/>
  <c r="L164" i="26" s="1"/>
  <c r="I164" i="26"/>
  <c r="H164" i="26"/>
  <c r="E164" i="26"/>
  <c r="F164" i="26" s="1"/>
  <c r="O163" i="26"/>
  <c r="N163" i="26"/>
  <c r="K163" i="26"/>
  <c r="L163" i="26" s="1"/>
  <c r="I163" i="26"/>
  <c r="H163" i="26"/>
  <c r="F163" i="26"/>
  <c r="E163" i="26"/>
  <c r="N162" i="26"/>
  <c r="O162" i="26" s="1"/>
  <c r="K162" i="26"/>
  <c r="L162" i="26" s="1"/>
  <c r="I162" i="26"/>
  <c r="H162" i="26"/>
  <c r="E162" i="26"/>
  <c r="F162" i="26" s="1"/>
  <c r="N161" i="26"/>
  <c r="O161" i="26" s="1"/>
  <c r="L161" i="26"/>
  <c r="K161" i="26"/>
  <c r="I161" i="26"/>
  <c r="H161" i="26"/>
  <c r="E161" i="26"/>
  <c r="F161" i="26" s="1"/>
  <c r="O160" i="26"/>
  <c r="N160" i="26"/>
  <c r="L160" i="26"/>
  <c r="K160" i="26"/>
  <c r="I160" i="26"/>
  <c r="H160" i="26"/>
  <c r="E160" i="26"/>
  <c r="F160" i="26" s="1"/>
  <c r="N159" i="26"/>
  <c r="O159" i="26" s="1"/>
  <c r="K159" i="26"/>
  <c r="L159" i="26" s="1"/>
  <c r="I159" i="26"/>
  <c r="H159" i="26"/>
  <c r="E159" i="26"/>
  <c r="F159" i="26" s="1"/>
  <c r="N158" i="26"/>
  <c r="O158" i="26" s="1"/>
  <c r="K158" i="26"/>
  <c r="L158" i="26" s="1"/>
  <c r="I158" i="26"/>
  <c r="H158" i="26"/>
  <c r="E158" i="26"/>
  <c r="F158" i="26" s="1"/>
  <c r="N157" i="26"/>
  <c r="O157" i="26" s="1"/>
  <c r="L157" i="26"/>
  <c r="K157" i="26"/>
  <c r="I157" i="26"/>
  <c r="H157" i="26"/>
  <c r="E157" i="26"/>
  <c r="F157" i="26" s="1"/>
  <c r="O156" i="26"/>
  <c r="N156" i="26"/>
  <c r="L156" i="26"/>
  <c r="K156" i="26"/>
  <c r="I156" i="26"/>
  <c r="H156" i="26"/>
  <c r="E156" i="26"/>
  <c r="F156" i="26" s="1"/>
  <c r="N155" i="26"/>
  <c r="O155" i="26" s="1"/>
  <c r="K155" i="26"/>
  <c r="L155" i="26" s="1"/>
  <c r="I155" i="26"/>
  <c r="H155" i="26"/>
  <c r="F155" i="26"/>
  <c r="E155" i="26"/>
  <c r="O154" i="26"/>
  <c r="N154" i="26"/>
  <c r="K154" i="26"/>
  <c r="L154" i="26" s="1"/>
  <c r="I154" i="26"/>
  <c r="H154" i="26"/>
  <c r="F154" i="26"/>
  <c r="E154" i="26"/>
  <c r="N153" i="26"/>
  <c r="O153" i="26" s="1"/>
  <c r="K153" i="26"/>
  <c r="L153" i="26" s="1"/>
  <c r="I153" i="26"/>
  <c r="H153" i="26"/>
  <c r="F153" i="26"/>
  <c r="E153" i="26"/>
  <c r="O152" i="26"/>
  <c r="N152" i="26"/>
  <c r="K152" i="26"/>
  <c r="K172" i="26" s="1"/>
  <c r="I152" i="26"/>
  <c r="I172" i="26" s="1"/>
  <c r="H152" i="26"/>
  <c r="H172" i="26" s="1"/>
  <c r="F152" i="26"/>
  <c r="E152" i="26"/>
  <c r="M150" i="26"/>
  <c r="J150" i="26"/>
  <c r="G150" i="26"/>
  <c r="D150" i="26"/>
  <c r="B150" i="26"/>
  <c r="M149" i="26"/>
  <c r="G149" i="26"/>
  <c r="B145" i="26"/>
  <c r="N144" i="26"/>
  <c r="O144" i="26" s="1"/>
  <c r="K144" i="26"/>
  <c r="L144" i="26" s="1"/>
  <c r="H144" i="26"/>
  <c r="I144" i="26" s="1"/>
  <c r="E144" i="26"/>
  <c r="F144" i="26" s="1"/>
  <c r="O143" i="26"/>
  <c r="N143" i="26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E142" i="26"/>
  <c r="F142" i="26" s="1"/>
  <c r="N141" i="26"/>
  <c r="O141" i="26" s="1"/>
  <c r="K141" i="26"/>
  <c r="L141" i="26" s="1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I139" i="26" s="1"/>
  <c r="E139" i="26"/>
  <c r="F139" i="26" s="1"/>
  <c r="N138" i="26"/>
  <c r="O138" i="26" s="1"/>
  <c r="K138" i="26"/>
  <c r="L138" i="26" s="1"/>
  <c r="H138" i="26"/>
  <c r="I138" i="26" s="1"/>
  <c r="E138" i="26"/>
  <c r="F138" i="26" s="1"/>
  <c r="O137" i="26"/>
  <c r="N137" i="26"/>
  <c r="K137" i="26"/>
  <c r="L137" i="26" s="1"/>
  <c r="H137" i="26"/>
  <c r="I137" i="26" s="1"/>
  <c r="E137" i="26"/>
  <c r="F137" i="26" s="1"/>
  <c r="N136" i="26"/>
  <c r="O136" i="26" s="1"/>
  <c r="K136" i="26"/>
  <c r="L136" i="26" s="1"/>
  <c r="H136" i="26"/>
  <c r="I136" i="26" s="1"/>
  <c r="E136" i="26"/>
  <c r="F136" i="26" s="1"/>
  <c r="O135" i="26"/>
  <c r="N135" i="26"/>
  <c r="K135" i="26"/>
  <c r="L135" i="26" s="1"/>
  <c r="H135" i="26"/>
  <c r="I135" i="26" s="1"/>
  <c r="E135" i="26"/>
  <c r="F135" i="26" s="1"/>
  <c r="N134" i="26"/>
  <c r="O134" i="26" s="1"/>
  <c r="K134" i="26"/>
  <c r="L134" i="26" s="1"/>
  <c r="H134" i="26"/>
  <c r="I134" i="26" s="1"/>
  <c r="E134" i="26"/>
  <c r="F134" i="26" s="1"/>
  <c r="O133" i="26"/>
  <c r="N133" i="26"/>
  <c r="K133" i="26"/>
  <c r="L133" i="26" s="1"/>
  <c r="H133" i="26"/>
  <c r="I133" i="26" s="1"/>
  <c r="E133" i="26"/>
  <c r="F133" i="26" s="1"/>
  <c r="N132" i="26"/>
  <c r="O132" i="26" s="1"/>
  <c r="L132" i="26"/>
  <c r="K132" i="26"/>
  <c r="H132" i="26"/>
  <c r="I132" i="26" s="1"/>
  <c r="E132" i="26"/>
  <c r="F132" i="26" s="1"/>
  <c r="N131" i="26"/>
  <c r="O131" i="26" s="1"/>
  <c r="K131" i="26"/>
  <c r="L131" i="26" s="1"/>
  <c r="H131" i="26"/>
  <c r="I131" i="26" s="1"/>
  <c r="E131" i="26"/>
  <c r="F131" i="26" s="1"/>
  <c r="O130" i="26"/>
  <c r="N130" i="26"/>
  <c r="K130" i="26"/>
  <c r="L130" i="26" s="1"/>
  <c r="H130" i="26"/>
  <c r="I130" i="26" s="1"/>
  <c r="E130" i="26"/>
  <c r="F130" i="26" s="1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E128" i="26"/>
  <c r="F128" i="26" s="1"/>
  <c r="N127" i="26"/>
  <c r="O127" i="26" s="1"/>
  <c r="K127" i="26"/>
  <c r="L127" i="26" s="1"/>
  <c r="H127" i="26"/>
  <c r="I127" i="26" s="1"/>
  <c r="E127" i="26"/>
  <c r="F127" i="26" s="1"/>
  <c r="O126" i="26"/>
  <c r="N126" i="26"/>
  <c r="K126" i="26"/>
  <c r="L126" i="26" s="1"/>
  <c r="H126" i="26"/>
  <c r="I126" i="26" s="1"/>
  <c r="E126" i="26"/>
  <c r="F126" i="26" s="1"/>
  <c r="N125" i="26"/>
  <c r="K125" i="26"/>
  <c r="H125" i="26"/>
  <c r="H145" i="26" s="1"/>
  <c r="E125" i="26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E116" i="26"/>
  <c r="F116" i="26" s="1"/>
  <c r="O115" i="26"/>
  <c r="N115" i="26"/>
  <c r="K115" i="26"/>
  <c r="L115" i="26" s="1"/>
  <c r="H115" i="26"/>
  <c r="I115" i="26" s="1"/>
  <c r="E115" i="26"/>
  <c r="F115" i="26" s="1"/>
  <c r="N114" i="26"/>
  <c r="O114" i="26" s="1"/>
  <c r="K114" i="26"/>
  <c r="L114" i="26" s="1"/>
  <c r="H114" i="26"/>
  <c r="I114" i="26" s="1"/>
  <c r="E114" i="26"/>
  <c r="F114" i="26" s="1"/>
  <c r="N113" i="26"/>
  <c r="O113" i="26" s="1"/>
  <c r="L113" i="26"/>
  <c r="K113" i="26"/>
  <c r="H113" i="26"/>
  <c r="I113" i="26" s="1"/>
  <c r="E113" i="26"/>
  <c r="F113" i="26" s="1"/>
  <c r="N112" i="26"/>
  <c r="O112" i="26" s="1"/>
  <c r="K112" i="26"/>
  <c r="L112" i="26" s="1"/>
  <c r="H112" i="26"/>
  <c r="I112" i="26" s="1"/>
  <c r="E112" i="26"/>
  <c r="F112" i="26" s="1"/>
  <c r="N111" i="26"/>
  <c r="O111" i="26" s="1"/>
  <c r="K111" i="26"/>
  <c r="L111" i="26" s="1"/>
  <c r="H111" i="26"/>
  <c r="I111" i="26" s="1"/>
  <c r="E111" i="26"/>
  <c r="F111" i="26" s="1"/>
  <c r="N110" i="26"/>
  <c r="O110" i="26" s="1"/>
  <c r="K110" i="26"/>
  <c r="L110" i="26" s="1"/>
  <c r="H110" i="26"/>
  <c r="I110" i="26" s="1"/>
  <c r="F110" i="26"/>
  <c r="E110" i="26"/>
  <c r="N109" i="26"/>
  <c r="O109" i="26" s="1"/>
  <c r="K109" i="26"/>
  <c r="L109" i="26" s="1"/>
  <c r="I109" i="26"/>
  <c r="H109" i="26"/>
  <c r="F109" i="26"/>
  <c r="E109" i="26"/>
  <c r="O108" i="26"/>
  <c r="N108" i="26"/>
  <c r="K108" i="26"/>
  <c r="L108" i="26" s="1"/>
  <c r="I108" i="26"/>
  <c r="H108" i="26"/>
  <c r="E108" i="26"/>
  <c r="F108" i="26" s="1"/>
  <c r="N107" i="26"/>
  <c r="O107" i="26" s="1"/>
  <c r="L107" i="26"/>
  <c r="K107" i="26"/>
  <c r="I107" i="26"/>
  <c r="H107" i="26"/>
  <c r="F107" i="26"/>
  <c r="E107" i="26"/>
  <c r="N106" i="26"/>
  <c r="O106" i="26" s="1"/>
  <c r="L106" i="26"/>
  <c r="K106" i="26"/>
  <c r="I106" i="26"/>
  <c r="H106" i="26"/>
  <c r="E106" i="26"/>
  <c r="F106" i="26" s="1"/>
  <c r="N105" i="26"/>
  <c r="O105" i="26" s="1"/>
  <c r="K105" i="26"/>
  <c r="L105" i="26" s="1"/>
  <c r="I105" i="26"/>
  <c r="H105" i="26"/>
  <c r="F105" i="26"/>
  <c r="E105" i="26"/>
  <c r="O104" i="26"/>
  <c r="N104" i="26"/>
  <c r="K104" i="26"/>
  <c r="L104" i="26" s="1"/>
  <c r="I104" i="26"/>
  <c r="H104" i="26"/>
  <c r="F104" i="26"/>
  <c r="E104" i="26"/>
  <c r="N103" i="26"/>
  <c r="O103" i="26" s="1"/>
  <c r="K103" i="26"/>
  <c r="L103" i="26" s="1"/>
  <c r="I103" i="26"/>
  <c r="H103" i="26"/>
  <c r="F103" i="26"/>
  <c r="E103" i="26"/>
  <c r="N102" i="26"/>
  <c r="O102" i="26" s="1"/>
  <c r="K102" i="26"/>
  <c r="L102" i="26" s="1"/>
  <c r="I102" i="26"/>
  <c r="H102" i="26"/>
  <c r="E102" i="26"/>
  <c r="F102" i="26" s="1"/>
  <c r="O101" i="26"/>
  <c r="N101" i="26"/>
  <c r="L101" i="26"/>
  <c r="K101" i="26"/>
  <c r="I101" i="26"/>
  <c r="H101" i="26"/>
  <c r="E101" i="26"/>
  <c r="F101" i="26" s="1"/>
  <c r="N100" i="26"/>
  <c r="O100" i="26" s="1"/>
  <c r="K100" i="26"/>
  <c r="L100" i="26" s="1"/>
  <c r="I100" i="26"/>
  <c r="H100" i="26"/>
  <c r="E100" i="26"/>
  <c r="F100" i="26" s="1"/>
  <c r="O99" i="26"/>
  <c r="N99" i="26"/>
  <c r="L99" i="26"/>
  <c r="K99" i="26"/>
  <c r="I99" i="26"/>
  <c r="H99" i="26"/>
  <c r="E99" i="26"/>
  <c r="F99" i="26" s="1"/>
  <c r="O98" i="26"/>
  <c r="N98" i="26"/>
  <c r="K98" i="26"/>
  <c r="L98" i="26" s="1"/>
  <c r="I98" i="26"/>
  <c r="H98" i="26"/>
  <c r="H118" i="26" s="1"/>
  <c r="F98" i="26"/>
  <c r="E98" i="26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E90" i="26"/>
  <c r="F90" i="26" s="1"/>
  <c r="O89" i="26"/>
  <c r="N89" i="26"/>
  <c r="K89" i="26"/>
  <c r="L89" i="26" s="1"/>
  <c r="H89" i="26"/>
  <c r="I89" i="26" s="1"/>
  <c r="F89" i="26"/>
  <c r="E89" i="26"/>
  <c r="N88" i="26"/>
  <c r="O88" i="26" s="1"/>
  <c r="K88" i="26"/>
  <c r="L88" i="26" s="1"/>
  <c r="H88" i="26"/>
  <c r="I88" i="26" s="1"/>
  <c r="E88" i="26"/>
  <c r="F88" i="26" s="1"/>
  <c r="N87" i="26"/>
  <c r="O87" i="26" s="1"/>
  <c r="K87" i="26"/>
  <c r="L87" i="26" s="1"/>
  <c r="H87" i="26"/>
  <c r="I87" i="26" s="1"/>
  <c r="E87" i="26"/>
  <c r="F87" i="26" s="1"/>
  <c r="O86" i="26"/>
  <c r="N86" i="26"/>
  <c r="L86" i="26"/>
  <c r="K86" i="26"/>
  <c r="H86" i="26"/>
  <c r="I86" i="26" s="1"/>
  <c r="E86" i="26"/>
  <c r="F86" i="26" s="1"/>
  <c r="N85" i="26"/>
  <c r="O85" i="26" s="1"/>
  <c r="K85" i="26"/>
  <c r="L85" i="26" s="1"/>
  <c r="H85" i="26"/>
  <c r="I85" i="26" s="1"/>
  <c r="E85" i="26"/>
  <c r="F85" i="26" s="1"/>
  <c r="N84" i="26"/>
  <c r="O84" i="26" s="1"/>
  <c r="K84" i="26"/>
  <c r="L84" i="26" s="1"/>
  <c r="H84" i="26"/>
  <c r="I84" i="26" s="1"/>
  <c r="E84" i="26"/>
  <c r="F84" i="26" s="1"/>
  <c r="O83" i="26"/>
  <c r="N83" i="26"/>
  <c r="L83" i="26"/>
  <c r="K83" i="26"/>
  <c r="H83" i="26"/>
  <c r="I83" i="26" s="1"/>
  <c r="E83" i="26"/>
  <c r="F83" i="26" s="1"/>
  <c r="N82" i="26"/>
  <c r="O82" i="26" s="1"/>
  <c r="K82" i="26"/>
  <c r="L82" i="26" s="1"/>
  <c r="H82" i="26"/>
  <c r="I82" i="26" s="1"/>
  <c r="E82" i="26"/>
  <c r="F82" i="26" s="1"/>
  <c r="N81" i="26"/>
  <c r="O81" i="26" s="1"/>
  <c r="K81" i="26"/>
  <c r="L81" i="26" s="1"/>
  <c r="H81" i="26"/>
  <c r="I81" i="26" s="1"/>
  <c r="E81" i="26"/>
  <c r="F81" i="26" s="1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O78" i="26"/>
  <c r="N78" i="26"/>
  <c r="K78" i="26"/>
  <c r="L78" i="26" s="1"/>
  <c r="H78" i="26"/>
  <c r="I78" i="26" s="1"/>
  <c r="E78" i="26"/>
  <c r="F78" i="26" s="1"/>
  <c r="N77" i="26"/>
  <c r="O77" i="26" s="1"/>
  <c r="K77" i="26"/>
  <c r="L77" i="26" s="1"/>
  <c r="H77" i="26"/>
  <c r="I77" i="26" s="1"/>
  <c r="E77" i="26"/>
  <c r="F77" i="26" s="1"/>
  <c r="N76" i="26"/>
  <c r="O76" i="26" s="1"/>
  <c r="K76" i="26"/>
  <c r="L76" i="26" s="1"/>
  <c r="H76" i="26"/>
  <c r="I76" i="26" s="1"/>
  <c r="E76" i="26"/>
  <c r="F76" i="26" s="1"/>
  <c r="O75" i="26"/>
  <c r="N75" i="26"/>
  <c r="K75" i="26"/>
  <c r="L75" i="26" s="1"/>
  <c r="H75" i="26"/>
  <c r="I75" i="26" s="1"/>
  <c r="E75" i="26"/>
  <c r="F75" i="26" s="1"/>
  <c r="O74" i="26"/>
  <c r="N74" i="26"/>
  <c r="K74" i="26"/>
  <c r="L74" i="26" s="1"/>
  <c r="H74" i="26"/>
  <c r="I74" i="26" s="1"/>
  <c r="E74" i="26"/>
  <c r="F74" i="26" s="1"/>
  <c r="N73" i="26"/>
  <c r="O73" i="26" s="1"/>
  <c r="K73" i="26"/>
  <c r="L73" i="26" s="1"/>
  <c r="H73" i="26"/>
  <c r="I73" i="26" s="1"/>
  <c r="E73" i="26"/>
  <c r="F73" i="26" s="1"/>
  <c r="N72" i="26"/>
  <c r="O72" i="26" s="1"/>
  <c r="K72" i="26"/>
  <c r="L72" i="26" s="1"/>
  <c r="H72" i="26"/>
  <c r="I72" i="26" s="1"/>
  <c r="E72" i="26"/>
  <c r="F72" i="26" s="1"/>
  <c r="O71" i="26"/>
  <c r="N71" i="26"/>
  <c r="K71" i="26"/>
  <c r="H71" i="26"/>
  <c r="H91" i="26" s="1"/>
  <c r="E71" i="26"/>
  <c r="M69" i="26"/>
  <c r="J69" i="26"/>
  <c r="G69" i="26"/>
  <c r="D69" i="26"/>
  <c r="B69" i="26"/>
  <c r="M68" i="26"/>
  <c r="G68" i="26"/>
  <c r="B64" i="26"/>
  <c r="O63" i="26"/>
  <c r="N63" i="26"/>
  <c r="K63" i="26"/>
  <c r="L63" i="26" s="1"/>
  <c r="I63" i="26"/>
  <c r="H63" i="26"/>
  <c r="E63" i="26"/>
  <c r="F63" i="26" s="1"/>
  <c r="O62" i="26"/>
  <c r="N62" i="26"/>
  <c r="K62" i="26"/>
  <c r="L62" i="26" s="1"/>
  <c r="I62" i="26"/>
  <c r="H62" i="26"/>
  <c r="E62" i="26"/>
  <c r="F62" i="26" s="1"/>
  <c r="O61" i="26"/>
  <c r="N61" i="26"/>
  <c r="K61" i="26"/>
  <c r="L61" i="26" s="1"/>
  <c r="I61" i="26"/>
  <c r="H61" i="26"/>
  <c r="F61" i="26"/>
  <c r="E61" i="26"/>
  <c r="N60" i="26"/>
  <c r="O60" i="26" s="1"/>
  <c r="K60" i="26"/>
  <c r="L60" i="26" s="1"/>
  <c r="I60" i="26"/>
  <c r="H60" i="26"/>
  <c r="F60" i="26"/>
  <c r="E60" i="26"/>
  <c r="O59" i="26"/>
  <c r="N59" i="26"/>
  <c r="K59" i="26"/>
  <c r="L59" i="26" s="1"/>
  <c r="I59" i="26"/>
  <c r="H59" i="26"/>
  <c r="E59" i="26"/>
  <c r="F59" i="26" s="1"/>
  <c r="O58" i="26"/>
  <c r="N58" i="26"/>
  <c r="K58" i="26"/>
  <c r="L58" i="26" s="1"/>
  <c r="I58" i="26"/>
  <c r="H58" i="26"/>
  <c r="E58" i="26"/>
  <c r="F58" i="26" s="1"/>
  <c r="O57" i="26"/>
  <c r="N57" i="26"/>
  <c r="K57" i="26"/>
  <c r="L57" i="26" s="1"/>
  <c r="I57" i="26"/>
  <c r="H57" i="26"/>
  <c r="E57" i="26"/>
  <c r="F57" i="26" s="1"/>
  <c r="O56" i="26"/>
  <c r="N56" i="26"/>
  <c r="K56" i="26"/>
  <c r="L56" i="26" s="1"/>
  <c r="I56" i="26"/>
  <c r="H56" i="26"/>
  <c r="E56" i="26"/>
  <c r="F56" i="26" s="1"/>
  <c r="O55" i="26"/>
  <c r="N55" i="26"/>
  <c r="K55" i="26"/>
  <c r="L55" i="26" s="1"/>
  <c r="I55" i="26"/>
  <c r="H55" i="26"/>
  <c r="E55" i="26"/>
  <c r="F55" i="26" s="1"/>
  <c r="O54" i="26"/>
  <c r="N54" i="26"/>
  <c r="K54" i="26"/>
  <c r="L54" i="26" s="1"/>
  <c r="I54" i="26"/>
  <c r="H54" i="26"/>
  <c r="E54" i="26"/>
  <c r="F54" i="26" s="1"/>
  <c r="O53" i="26"/>
  <c r="N53" i="26"/>
  <c r="K53" i="26"/>
  <c r="L53" i="26" s="1"/>
  <c r="I53" i="26"/>
  <c r="H53" i="26"/>
  <c r="F53" i="26"/>
  <c r="E53" i="26"/>
  <c r="N52" i="26"/>
  <c r="O52" i="26" s="1"/>
  <c r="K52" i="26"/>
  <c r="L52" i="26" s="1"/>
  <c r="I52" i="26"/>
  <c r="H52" i="26"/>
  <c r="E52" i="26"/>
  <c r="F52" i="26" s="1"/>
  <c r="N51" i="26"/>
  <c r="O51" i="26" s="1"/>
  <c r="K51" i="26"/>
  <c r="L51" i="26" s="1"/>
  <c r="I51" i="26"/>
  <c r="H51" i="26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I48" i="26"/>
  <c r="H48" i="26"/>
  <c r="F48" i="26"/>
  <c r="E48" i="26"/>
  <c r="O47" i="26"/>
  <c r="N47" i="26"/>
  <c r="K47" i="26"/>
  <c r="L47" i="26" s="1"/>
  <c r="I47" i="26"/>
  <c r="H47" i="26"/>
  <c r="E47" i="26"/>
  <c r="F47" i="26" s="1"/>
  <c r="O46" i="26"/>
  <c r="N46" i="26"/>
  <c r="K46" i="26"/>
  <c r="L46" i="26" s="1"/>
  <c r="I46" i="26"/>
  <c r="H46" i="26"/>
  <c r="E46" i="26"/>
  <c r="F46" i="26" s="1"/>
  <c r="O45" i="26"/>
  <c r="N45" i="26"/>
  <c r="K45" i="26"/>
  <c r="L45" i="26" s="1"/>
  <c r="I45" i="26"/>
  <c r="H45" i="26"/>
  <c r="E45" i="26"/>
  <c r="F45" i="26" s="1"/>
  <c r="O44" i="26"/>
  <c r="N44" i="26"/>
  <c r="K44" i="26"/>
  <c r="I44" i="26"/>
  <c r="I64" i="26" s="1"/>
  <c r="H44" i="26"/>
  <c r="H64" i="26" s="1"/>
  <c r="F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O191" i="25"/>
  <c r="N191" i="25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L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N169" i="25"/>
  <c r="O169" i="25" s="1"/>
  <c r="K169" i="25"/>
  <c r="L169" i="25" s="1"/>
  <c r="H169" i="25"/>
  <c r="I169" i="25" s="1"/>
  <c r="F169" i="25"/>
  <c r="E169" i="25"/>
  <c r="O168" i="25"/>
  <c r="N168" i="25"/>
  <c r="K168" i="25"/>
  <c r="L168" i="25" s="1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N165" i="25"/>
  <c r="O165" i="25" s="1"/>
  <c r="K165" i="25"/>
  <c r="L165" i="25" s="1"/>
  <c r="H165" i="25"/>
  <c r="I165" i="25" s="1"/>
  <c r="F165" i="25"/>
  <c r="E165" i="25"/>
  <c r="N164" i="25"/>
  <c r="O164" i="25" s="1"/>
  <c r="K164" i="25"/>
  <c r="L164" i="25" s="1"/>
  <c r="H164" i="25"/>
  <c r="I164" i="25" s="1"/>
  <c r="F164" i="25"/>
  <c r="E164" i="25"/>
  <c r="N163" i="25"/>
  <c r="O163" i="25" s="1"/>
  <c r="L163" i="25"/>
  <c r="K163" i="25"/>
  <c r="H163" i="25"/>
  <c r="I163" i="25" s="1"/>
  <c r="F163" i="25"/>
  <c r="E163" i="25"/>
  <c r="N162" i="25"/>
  <c r="O162" i="25" s="1"/>
  <c r="K162" i="25"/>
  <c r="L162" i="25" s="1"/>
  <c r="H162" i="25"/>
  <c r="I162" i="25" s="1"/>
  <c r="F162" i="25"/>
  <c r="E162" i="25"/>
  <c r="O161" i="25"/>
  <c r="N161" i="25"/>
  <c r="K161" i="25"/>
  <c r="L161" i="25" s="1"/>
  <c r="H161" i="25"/>
  <c r="I161" i="25" s="1"/>
  <c r="F161" i="25"/>
  <c r="E161" i="25"/>
  <c r="N160" i="25"/>
  <c r="O160" i="25" s="1"/>
  <c r="K160" i="25"/>
  <c r="L160" i="25" s="1"/>
  <c r="H160" i="25"/>
  <c r="I160" i="25" s="1"/>
  <c r="F160" i="25"/>
  <c r="E160" i="25"/>
  <c r="O159" i="25"/>
  <c r="N159" i="25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N157" i="25"/>
  <c r="O157" i="25" s="1"/>
  <c r="K157" i="25"/>
  <c r="L157" i="25" s="1"/>
  <c r="H157" i="25"/>
  <c r="I157" i="25" s="1"/>
  <c r="F157" i="25"/>
  <c r="E157" i="25"/>
  <c r="N156" i="25"/>
  <c r="O156" i="25" s="1"/>
  <c r="K156" i="25"/>
  <c r="L156" i="25" s="1"/>
  <c r="H156" i="25"/>
  <c r="I156" i="25" s="1"/>
  <c r="F156" i="25"/>
  <c r="E156" i="25"/>
  <c r="N155" i="25"/>
  <c r="O155" i="25" s="1"/>
  <c r="L155" i="25"/>
  <c r="K155" i="25"/>
  <c r="H155" i="25"/>
  <c r="I155" i="25" s="1"/>
  <c r="F155" i="25"/>
  <c r="E155" i="25"/>
  <c r="O154" i="25"/>
  <c r="N154" i="25"/>
  <c r="K154" i="25"/>
  <c r="L154" i="25" s="1"/>
  <c r="H154" i="25"/>
  <c r="I154" i="25" s="1"/>
  <c r="F154" i="25"/>
  <c r="E154" i="25"/>
  <c r="N153" i="25"/>
  <c r="O153" i="25" s="1"/>
  <c r="K153" i="25"/>
  <c r="L153" i="25" s="1"/>
  <c r="H153" i="25"/>
  <c r="I153" i="25" s="1"/>
  <c r="F153" i="25"/>
  <c r="E153" i="25"/>
  <c r="O152" i="25"/>
  <c r="N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E144" i="25"/>
  <c r="F144" i="25" s="1"/>
  <c r="O143" i="25"/>
  <c r="N143" i="25"/>
  <c r="K143" i="25"/>
  <c r="L143" i="25" s="1"/>
  <c r="I143" i="25"/>
  <c r="H143" i="25"/>
  <c r="E143" i="25"/>
  <c r="F143" i="25" s="1"/>
  <c r="O142" i="25"/>
  <c r="N142" i="25"/>
  <c r="L142" i="25"/>
  <c r="K142" i="25"/>
  <c r="H142" i="25"/>
  <c r="I142" i="25" s="1"/>
  <c r="E142" i="25"/>
  <c r="F142" i="25" s="1"/>
  <c r="O141" i="25"/>
  <c r="N141" i="25"/>
  <c r="L141" i="25"/>
  <c r="K141" i="25"/>
  <c r="I141" i="25"/>
  <c r="H141" i="25"/>
  <c r="E141" i="25"/>
  <c r="F141" i="25" s="1"/>
  <c r="N140" i="25"/>
  <c r="O140" i="25" s="1"/>
  <c r="K140" i="25"/>
  <c r="L140" i="25" s="1"/>
  <c r="H140" i="25"/>
  <c r="I140" i="25" s="1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L137" i="25"/>
  <c r="K137" i="25"/>
  <c r="I137" i="25"/>
  <c r="H137" i="25"/>
  <c r="E137" i="25"/>
  <c r="F137" i="25" s="1"/>
  <c r="O136" i="25"/>
  <c r="N136" i="25"/>
  <c r="L136" i="25"/>
  <c r="K136" i="25"/>
  <c r="H136" i="25"/>
  <c r="I136" i="25" s="1"/>
  <c r="E136" i="25"/>
  <c r="F136" i="25" s="1"/>
  <c r="O135" i="25"/>
  <c r="N135" i="25"/>
  <c r="K135" i="25"/>
  <c r="L135" i="25" s="1"/>
  <c r="I135" i="25"/>
  <c r="H135" i="25"/>
  <c r="E135" i="25"/>
  <c r="F135" i="25" s="1"/>
  <c r="O134" i="25"/>
  <c r="N134" i="25"/>
  <c r="K134" i="25"/>
  <c r="L134" i="25" s="1"/>
  <c r="H134" i="25"/>
  <c r="I134" i="25" s="1"/>
  <c r="E134" i="25"/>
  <c r="F134" i="25" s="1"/>
  <c r="N133" i="25"/>
  <c r="O133" i="25" s="1"/>
  <c r="L133" i="25"/>
  <c r="K133" i="25"/>
  <c r="I133" i="25"/>
  <c r="H133" i="25"/>
  <c r="E133" i="25"/>
  <c r="F133" i="25" s="1"/>
  <c r="O132" i="25"/>
  <c r="N132" i="25"/>
  <c r="K132" i="25"/>
  <c r="L132" i="25" s="1"/>
  <c r="H132" i="25"/>
  <c r="I132" i="25" s="1"/>
  <c r="E132" i="25"/>
  <c r="F132" i="25" s="1"/>
  <c r="N131" i="25"/>
  <c r="O131" i="25" s="1"/>
  <c r="L131" i="25"/>
  <c r="K131" i="25"/>
  <c r="I131" i="25"/>
  <c r="H131" i="25"/>
  <c r="E131" i="25"/>
  <c r="F131" i="25" s="1"/>
  <c r="O130" i="25"/>
  <c r="N130" i="25"/>
  <c r="L130" i="25"/>
  <c r="K130" i="25"/>
  <c r="H130" i="25"/>
  <c r="I130" i="25" s="1"/>
  <c r="E130" i="25"/>
  <c r="F130" i="25" s="1"/>
  <c r="O129" i="25"/>
  <c r="N129" i="25"/>
  <c r="K129" i="25"/>
  <c r="L129" i="25" s="1"/>
  <c r="I129" i="25"/>
  <c r="H129" i="25"/>
  <c r="E129" i="25"/>
  <c r="F129" i="25" s="1"/>
  <c r="O128" i="25"/>
  <c r="N128" i="25"/>
  <c r="K128" i="25"/>
  <c r="L128" i="25" s="1"/>
  <c r="H128" i="25"/>
  <c r="I128" i="25" s="1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K145" i="25" s="1"/>
  <c r="I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K117" i="25"/>
  <c r="L117" i="25" s="1"/>
  <c r="H117" i="25"/>
  <c r="I117" i="25" s="1"/>
  <c r="E117" i="25"/>
  <c r="F117" i="25" s="1"/>
  <c r="O116" i="25"/>
  <c r="N116" i="25"/>
  <c r="L116" i="25"/>
  <c r="K116" i="25"/>
  <c r="H116" i="25"/>
  <c r="I116" i="25" s="1"/>
  <c r="E116" i="25"/>
  <c r="F116" i="25" s="1"/>
  <c r="N115" i="25"/>
  <c r="O115" i="25" s="1"/>
  <c r="K115" i="25"/>
  <c r="L115" i="25" s="1"/>
  <c r="H115" i="25"/>
  <c r="I115" i="25" s="1"/>
  <c r="E115" i="25"/>
  <c r="F115" i="25" s="1"/>
  <c r="N114" i="25"/>
  <c r="O114" i="25" s="1"/>
  <c r="L114" i="25"/>
  <c r="K114" i="25"/>
  <c r="I114" i="25"/>
  <c r="H114" i="25"/>
  <c r="E114" i="25"/>
  <c r="F114" i="25" s="1"/>
  <c r="N113" i="25"/>
  <c r="O113" i="25" s="1"/>
  <c r="L113" i="25"/>
  <c r="K113" i="25"/>
  <c r="H113" i="25"/>
  <c r="I113" i="25" s="1"/>
  <c r="E113" i="25"/>
  <c r="F113" i="25" s="1"/>
  <c r="O112" i="25"/>
  <c r="N112" i="25"/>
  <c r="K112" i="25"/>
  <c r="L112" i="25" s="1"/>
  <c r="H112" i="25"/>
  <c r="I112" i="25" s="1"/>
  <c r="E112" i="25"/>
  <c r="F112" i="25" s="1"/>
  <c r="N111" i="25"/>
  <c r="O111" i="25" s="1"/>
  <c r="L111" i="25"/>
  <c r="K111" i="25"/>
  <c r="H111" i="25"/>
  <c r="I111" i="25" s="1"/>
  <c r="E111" i="25"/>
  <c r="F111" i="25" s="1"/>
  <c r="N110" i="25"/>
  <c r="O110" i="25" s="1"/>
  <c r="K110" i="25"/>
  <c r="L110" i="25" s="1"/>
  <c r="I110" i="25"/>
  <c r="H110" i="25"/>
  <c r="E110" i="25"/>
  <c r="F110" i="25" s="1"/>
  <c r="O109" i="25"/>
  <c r="N109" i="25"/>
  <c r="L109" i="25"/>
  <c r="K109" i="25"/>
  <c r="H109" i="25"/>
  <c r="I109" i="25" s="1"/>
  <c r="E109" i="25"/>
  <c r="F109" i="25" s="1"/>
  <c r="N108" i="25"/>
  <c r="O108" i="25" s="1"/>
  <c r="K108" i="25"/>
  <c r="L108" i="25" s="1"/>
  <c r="H108" i="25"/>
  <c r="I108" i="25" s="1"/>
  <c r="E108" i="25"/>
  <c r="F108" i="25" s="1"/>
  <c r="O107" i="25"/>
  <c r="N107" i="25"/>
  <c r="L107" i="25"/>
  <c r="K107" i="25"/>
  <c r="H107" i="25"/>
  <c r="I107" i="25" s="1"/>
  <c r="E107" i="25"/>
  <c r="F107" i="25" s="1"/>
  <c r="N106" i="25"/>
  <c r="O106" i="25" s="1"/>
  <c r="K106" i="25"/>
  <c r="L106" i="25" s="1"/>
  <c r="I106" i="25"/>
  <c r="H106" i="25"/>
  <c r="E106" i="25"/>
  <c r="F106" i="25" s="1"/>
  <c r="O105" i="25"/>
  <c r="N105" i="25"/>
  <c r="K105" i="25"/>
  <c r="L105" i="25" s="1"/>
  <c r="H105" i="25"/>
  <c r="I105" i="25" s="1"/>
  <c r="E105" i="25"/>
  <c r="F105" i="25" s="1"/>
  <c r="O104" i="25"/>
  <c r="N104" i="25"/>
  <c r="L104" i="25"/>
  <c r="K104" i="25"/>
  <c r="H104" i="25"/>
  <c r="I104" i="25" s="1"/>
  <c r="E104" i="25"/>
  <c r="F104" i="25" s="1"/>
  <c r="N103" i="25"/>
  <c r="O103" i="25" s="1"/>
  <c r="K103" i="25"/>
  <c r="L103" i="25" s="1"/>
  <c r="H103" i="25"/>
  <c r="I103" i="25" s="1"/>
  <c r="E103" i="25"/>
  <c r="F103" i="25" s="1"/>
  <c r="O102" i="25"/>
  <c r="N102" i="25"/>
  <c r="L102" i="25"/>
  <c r="K102" i="25"/>
  <c r="I102" i="25"/>
  <c r="H102" i="25"/>
  <c r="E102" i="25"/>
  <c r="F102" i="25" s="1"/>
  <c r="N101" i="25"/>
  <c r="O101" i="25" s="1"/>
  <c r="K101" i="25"/>
  <c r="L101" i="25" s="1"/>
  <c r="H101" i="25"/>
  <c r="I101" i="25" s="1"/>
  <c r="E101" i="25"/>
  <c r="F101" i="25" s="1"/>
  <c r="O100" i="25"/>
  <c r="N100" i="25"/>
  <c r="L100" i="25"/>
  <c r="K100" i="25"/>
  <c r="H100" i="25"/>
  <c r="I100" i="25" s="1"/>
  <c r="E100" i="25"/>
  <c r="F100" i="25" s="1"/>
  <c r="N99" i="25"/>
  <c r="O99" i="25" s="1"/>
  <c r="K99" i="25"/>
  <c r="L99" i="25" s="1"/>
  <c r="H99" i="25"/>
  <c r="I99" i="25" s="1"/>
  <c r="E99" i="25"/>
  <c r="F99" i="25" s="1"/>
  <c r="N98" i="25"/>
  <c r="N118" i="25" s="1"/>
  <c r="L98" i="25"/>
  <c r="K98" i="25"/>
  <c r="I98" i="25"/>
  <c r="H98" i="25"/>
  <c r="E98" i="25"/>
  <c r="E118" i="25" s="1"/>
  <c r="M96" i="25"/>
  <c r="J96" i="25"/>
  <c r="G96" i="25"/>
  <c r="D96" i="25"/>
  <c r="B96" i="25"/>
  <c r="M95" i="25"/>
  <c r="G95" i="25"/>
  <c r="E91" i="25"/>
  <c r="B91" i="25"/>
  <c r="N90" i="25"/>
  <c r="O90" i="25" s="1"/>
  <c r="K90" i="25"/>
  <c r="L90" i="25" s="1"/>
  <c r="I90" i="25"/>
  <c r="H90" i="25"/>
  <c r="F90" i="25"/>
  <c r="E90" i="25"/>
  <c r="O89" i="25"/>
  <c r="N89" i="25"/>
  <c r="K89" i="25"/>
  <c r="L89" i="25" s="1"/>
  <c r="I89" i="25"/>
  <c r="H89" i="25"/>
  <c r="F89" i="25"/>
  <c r="E89" i="25"/>
  <c r="N88" i="25"/>
  <c r="O88" i="25" s="1"/>
  <c r="K88" i="25"/>
  <c r="L88" i="25" s="1"/>
  <c r="I88" i="25"/>
  <c r="H88" i="25"/>
  <c r="F88" i="25"/>
  <c r="E88" i="25"/>
  <c r="O87" i="25"/>
  <c r="N87" i="25"/>
  <c r="K87" i="25"/>
  <c r="L87" i="25" s="1"/>
  <c r="I87" i="25"/>
  <c r="H87" i="25"/>
  <c r="F87" i="25"/>
  <c r="E87" i="25"/>
  <c r="N86" i="25"/>
  <c r="O86" i="25" s="1"/>
  <c r="K86" i="25"/>
  <c r="L86" i="25" s="1"/>
  <c r="I86" i="25"/>
  <c r="H86" i="25"/>
  <c r="F86" i="25"/>
  <c r="E86" i="25"/>
  <c r="O85" i="25"/>
  <c r="N85" i="25"/>
  <c r="K85" i="25"/>
  <c r="L85" i="25" s="1"/>
  <c r="I85" i="25"/>
  <c r="H85" i="25"/>
  <c r="F85" i="25"/>
  <c r="E85" i="25"/>
  <c r="N84" i="25"/>
  <c r="O84" i="25" s="1"/>
  <c r="K84" i="25"/>
  <c r="L84" i="25" s="1"/>
  <c r="I84" i="25"/>
  <c r="H84" i="25"/>
  <c r="F84" i="25"/>
  <c r="E84" i="25"/>
  <c r="O83" i="25"/>
  <c r="N83" i="25"/>
  <c r="K83" i="25"/>
  <c r="L83" i="25" s="1"/>
  <c r="I83" i="25"/>
  <c r="H83" i="25"/>
  <c r="F83" i="25"/>
  <c r="E83" i="25"/>
  <c r="N82" i="25"/>
  <c r="O82" i="25" s="1"/>
  <c r="K82" i="25"/>
  <c r="L82" i="25" s="1"/>
  <c r="I82" i="25"/>
  <c r="H82" i="25"/>
  <c r="F82" i="25"/>
  <c r="E82" i="25"/>
  <c r="O81" i="25"/>
  <c r="N81" i="25"/>
  <c r="K81" i="25"/>
  <c r="L81" i="25" s="1"/>
  <c r="I81" i="25"/>
  <c r="H81" i="25"/>
  <c r="F81" i="25"/>
  <c r="E81" i="25"/>
  <c r="N80" i="25"/>
  <c r="O80" i="25" s="1"/>
  <c r="K80" i="25"/>
  <c r="L80" i="25" s="1"/>
  <c r="I80" i="25"/>
  <c r="H80" i="25"/>
  <c r="F80" i="25"/>
  <c r="E80" i="25"/>
  <c r="O79" i="25"/>
  <c r="N79" i="25"/>
  <c r="K79" i="25"/>
  <c r="L79" i="25" s="1"/>
  <c r="I79" i="25"/>
  <c r="H79" i="25"/>
  <c r="F79" i="25"/>
  <c r="E79" i="25"/>
  <c r="N78" i="25"/>
  <c r="O78" i="25" s="1"/>
  <c r="K78" i="25"/>
  <c r="L78" i="25" s="1"/>
  <c r="I78" i="25"/>
  <c r="H78" i="25"/>
  <c r="F78" i="25"/>
  <c r="E78" i="25"/>
  <c r="O77" i="25"/>
  <c r="N77" i="25"/>
  <c r="K77" i="25"/>
  <c r="L77" i="25" s="1"/>
  <c r="I77" i="25"/>
  <c r="H77" i="25"/>
  <c r="F77" i="25"/>
  <c r="E77" i="25"/>
  <c r="N76" i="25"/>
  <c r="O76" i="25" s="1"/>
  <c r="K76" i="25"/>
  <c r="L76" i="25" s="1"/>
  <c r="I76" i="25"/>
  <c r="H76" i="25"/>
  <c r="F76" i="25"/>
  <c r="E76" i="25"/>
  <c r="O75" i="25"/>
  <c r="N75" i="25"/>
  <c r="K75" i="25"/>
  <c r="L75" i="25" s="1"/>
  <c r="I75" i="25"/>
  <c r="H75" i="25"/>
  <c r="F75" i="25"/>
  <c r="E75" i="25"/>
  <c r="N74" i="25"/>
  <c r="O74" i="25" s="1"/>
  <c r="K74" i="25"/>
  <c r="L74" i="25" s="1"/>
  <c r="I74" i="25"/>
  <c r="H74" i="25"/>
  <c r="F74" i="25"/>
  <c r="E74" i="25"/>
  <c r="O73" i="25"/>
  <c r="N73" i="25"/>
  <c r="K73" i="25"/>
  <c r="L73" i="25" s="1"/>
  <c r="I73" i="25"/>
  <c r="H73" i="25"/>
  <c r="F73" i="25"/>
  <c r="E73" i="25"/>
  <c r="N72" i="25"/>
  <c r="O72" i="25" s="1"/>
  <c r="K72" i="25"/>
  <c r="L72" i="25" s="1"/>
  <c r="I72" i="25"/>
  <c r="H72" i="25"/>
  <c r="F72" i="25"/>
  <c r="E72" i="25"/>
  <c r="O71" i="25"/>
  <c r="N71" i="25"/>
  <c r="K71" i="25"/>
  <c r="K91" i="25" s="1"/>
  <c r="I71" i="25"/>
  <c r="I91" i="25" s="1"/>
  <c r="H71" i="25"/>
  <c r="H91" i="25" s="1"/>
  <c r="F71" i="25"/>
  <c r="F91" i="25" s="1"/>
  <c r="E71" i="25"/>
  <c r="M69" i="25"/>
  <c r="J69" i="25"/>
  <c r="G69" i="25"/>
  <c r="D69" i="25"/>
  <c r="B69" i="25"/>
  <c r="M68" i="25"/>
  <c r="G68" i="25"/>
  <c r="B64" i="25"/>
  <c r="N63" i="25"/>
  <c r="O63" i="25" s="1"/>
  <c r="K63" i="25"/>
  <c r="L63" i="25" s="1"/>
  <c r="H63" i="25"/>
  <c r="I63" i="25" s="1"/>
  <c r="E63" i="25"/>
  <c r="F63" i="25" s="1"/>
  <c r="O62" i="25"/>
  <c r="N62" i="25"/>
  <c r="L62" i="25"/>
  <c r="K62" i="25"/>
  <c r="I62" i="25"/>
  <c r="H62" i="25"/>
  <c r="E62" i="25"/>
  <c r="F62" i="25" s="1"/>
  <c r="N61" i="25"/>
  <c r="O61" i="25" s="1"/>
  <c r="K61" i="25"/>
  <c r="L61" i="25" s="1"/>
  <c r="H61" i="25"/>
  <c r="I61" i="25" s="1"/>
  <c r="E61" i="25"/>
  <c r="F61" i="25" s="1"/>
  <c r="O60" i="25"/>
  <c r="N60" i="25"/>
  <c r="L60" i="25"/>
  <c r="K60" i="25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N58" i="25"/>
  <c r="O58" i="25" s="1"/>
  <c r="K58" i="25"/>
  <c r="L58" i="25" s="1"/>
  <c r="I58" i="25"/>
  <c r="H58" i="25"/>
  <c r="E58" i="25"/>
  <c r="F58" i="25" s="1"/>
  <c r="O57" i="25"/>
  <c r="N57" i="25"/>
  <c r="L57" i="25"/>
  <c r="K57" i="25"/>
  <c r="H57" i="25"/>
  <c r="I57" i="25" s="1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I54" i="25"/>
  <c r="H54" i="25"/>
  <c r="E54" i="25"/>
  <c r="F54" i="25" s="1"/>
  <c r="O53" i="25"/>
  <c r="N53" i="25"/>
  <c r="K53" i="25"/>
  <c r="L53" i="25" s="1"/>
  <c r="H53" i="25"/>
  <c r="I53" i="25" s="1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I50" i="25"/>
  <c r="H50" i="25"/>
  <c r="E50" i="25"/>
  <c r="F50" i="25" s="1"/>
  <c r="N49" i="25"/>
  <c r="O49" i="25" s="1"/>
  <c r="K49" i="25"/>
  <c r="L49" i="25" s="1"/>
  <c r="H49" i="25"/>
  <c r="I49" i="25" s="1"/>
  <c r="E49" i="25"/>
  <c r="F49" i="25" s="1"/>
  <c r="O48" i="25"/>
  <c r="N48" i="25"/>
  <c r="L48" i="25"/>
  <c r="K48" i="25"/>
  <c r="H48" i="25"/>
  <c r="I48" i="25" s="1"/>
  <c r="E48" i="25"/>
  <c r="F48" i="25" s="1"/>
  <c r="O47" i="25"/>
  <c r="N47" i="25"/>
  <c r="K47" i="25"/>
  <c r="L47" i="25" s="1"/>
  <c r="H47" i="25"/>
  <c r="I47" i="25" s="1"/>
  <c r="E47" i="25"/>
  <c r="F47" i="25" s="1"/>
  <c r="O46" i="25"/>
  <c r="N46" i="25"/>
  <c r="L46" i="25"/>
  <c r="K46" i="25"/>
  <c r="I46" i="25"/>
  <c r="H46" i="25"/>
  <c r="E46" i="25"/>
  <c r="F46" i="25" s="1"/>
  <c r="O45" i="25"/>
  <c r="N45" i="25"/>
  <c r="K45" i="25"/>
  <c r="L45" i="25" s="1"/>
  <c r="H45" i="25"/>
  <c r="I45" i="25" s="1"/>
  <c r="E45" i="25"/>
  <c r="F45" i="25" s="1"/>
  <c r="O44" i="25"/>
  <c r="N44" i="25"/>
  <c r="K44" i="25"/>
  <c r="H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L198" i="24"/>
  <c r="K198" i="24"/>
  <c r="H198" i="24"/>
  <c r="I198" i="24" s="1"/>
  <c r="E198" i="24"/>
  <c r="O197" i="24"/>
  <c r="N197" i="24"/>
  <c r="K197" i="24"/>
  <c r="L197" i="24" s="1"/>
  <c r="I197" i="24"/>
  <c r="H197" i="24"/>
  <c r="E197" i="24"/>
  <c r="O196" i="24"/>
  <c r="N196" i="24"/>
  <c r="L196" i="24"/>
  <c r="K196" i="24"/>
  <c r="I196" i="24"/>
  <c r="H196" i="24"/>
  <c r="E196" i="24"/>
  <c r="O195" i="24"/>
  <c r="N195" i="24"/>
  <c r="L195" i="24"/>
  <c r="K195" i="24"/>
  <c r="H195" i="24"/>
  <c r="I195" i="24" s="1"/>
  <c r="E195" i="24"/>
  <c r="N194" i="24"/>
  <c r="O194" i="24" s="1"/>
  <c r="K194" i="24"/>
  <c r="L194" i="24" s="1"/>
  <c r="H194" i="24"/>
  <c r="I194" i="24" s="1"/>
  <c r="E194" i="24"/>
  <c r="N193" i="24"/>
  <c r="O193" i="24" s="1"/>
  <c r="L193" i="24"/>
  <c r="K193" i="24"/>
  <c r="I193" i="24"/>
  <c r="H193" i="24"/>
  <c r="E193" i="24"/>
  <c r="N192" i="24"/>
  <c r="O192" i="24" s="1"/>
  <c r="K192" i="24"/>
  <c r="L192" i="24" s="1"/>
  <c r="I192" i="24"/>
  <c r="H192" i="24"/>
  <c r="E192" i="24"/>
  <c r="N191" i="24"/>
  <c r="O191" i="24" s="1"/>
  <c r="K191" i="24"/>
  <c r="L191" i="24" s="1"/>
  <c r="H191" i="24"/>
  <c r="I191" i="24" s="1"/>
  <c r="E191" i="24"/>
  <c r="N190" i="24"/>
  <c r="O190" i="24" s="1"/>
  <c r="L190" i="24"/>
  <c r="K190" i="24"/>
  <c r="H190" i="24"/>
  <c r="I190" i="24" s="1"/>
  <c r="E190" i="24"/>
  <c r="N189" i="24"/>
  <c r="O189" i="24" s="1"/>
  <c r="K189" i="24"/>
  <c r="L189" i="24" s="1"/>
  <c r="I189" i="24"/>
  <c r="H189" i="24"/>
  <c r="E189" i="24"/>
  <c r="N188" i="24"/>
  <c r="O188" i="24" s="1"/>
  <c r="K188" i="24"/>
  <c r="L188" i="24" s="1"/>
  <c r="I188" i="24"/>
  <c r="H188" i="24"/>
  <c r="E188" i="24"/>
  <c r="N187" i="24"/>
  <c r="O187" i="24" s="1"/>
  <c r="L187" i="24"/>
  <c r="K187" i="24"/>
  <c r="H187" i="24"/>
  <c r="I187" i="24" s="1"/>
  <c r="E187" i="24"/>
  <c r="N186" i="24"/>
  <c r="O186" i="24" s="1"/>
  <c r="K186" i="24"/>
  <c r="L186" i="24" s="1"/>
  <c r="H186" i="24"/>
  <c r="I186" i="24" s="1"/>
  <c r="E186" i="24"/>
  <c r="O185" i="24"/>
  <c r="N185" i="24"/>
  <c r="L185" i="24"/>
  <c r="K185" i="24"/>
  <c r="I185" i="24"/>
  <c r="H185" i="24"/>
  <c r="E185" i="24"/>
  <c r="N184" i="24"/>
  <c r="O184" i="24" s="1"/>
  <c r="K184" i="24"/>
  <c r="L184" i="24" s="1"/>
  <c r="I184" i="24"/>
  <c r="H184" i="24"/>
  <c r="E184" i="24"/>
  <c r="N183" i="24"/>
  <c r="O183" i="24" s="1"/>
  <c r="K183" i="24"/>
  <c r="L183" i="24" s="1"/>
  <c r="H183" i="24"/>
  <c r="I183" i="24" s="1"/>
  <c r="E183" i="24"/>
  <c r="N182" i="24"/>
  <c r="O182" i="24" s="1"/>
  <c r="L182" i="24"/>
  <c r="K182" i="24"/>
  <c r="H182" i="24"/>
  <c r="I182" i="24" s="1"/>
  <c r="E182" i="24"/>
  <c r="O181" i="24"/>
  <c r="N181" i="24"/>
  <c r="K181" i="24"/>
  <c r="L181" i="24" s="1"/>
  <c r="I181" i="24"/>
  <c r="H181" i="24"/>
  <c r="E181" i="24"/>
  <c r="N180" i="24"/>
  <c r="O180" i="24" s="1"/>
  <c r="L180" i="24"/>
  <c r="K180" i="24"/>
  <c r="I180" i="24"/>
  <c r="H180" i="24"/>
  <c r="E180" i="24"/>
  <c r="N179" i="24"/>
  <c r="O179" i="24" s="1"/>
  <c r="L179" i="24"/>
  <c r="K179" i="24"/>
  <c r="H179" i="24"/>
  <c r="H199" i="24" s="1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O171" i="24" s="1"/>
  <c r="L171" i="24"/>
  <c r="K171" i="24"/>
  <c r="H171" i="24"/>
  <c r="I171" i="24" s="1"/>
  <c r="E171" i="24"/>
  <c r="O170" i="24"/>
  <c r="N170" i="24"/>
  <c r="L170" i="24"/>
  <c r="K170" i="24"/>
  <c r="H170" i="24"/>
  <c r="I170" i="24" s="1"/>
  <c r="E170" i="24"/>
  <c r="N169" i="24"/>
  <c r="O169" i="24" s="1"/>
  <c r="L169" i="24"/>
  <c r="K169" i="24"/>
  <c r="I169" i="24"/>
  <c r="H169" i="24"/>
  <c r="F169" i="24"/>
  <c r="E169" i="24"/>
  <c r="N168" i="24"/>
  <c r="O168" i="24" s="1"/>
  <c r="L168" i="24"/>
  <c r="K168" i="24"/>
  <c r="I168" i="24"/>
  <c r="H168" i="24"/>
  <c r="F168" i="24"/>
  <c r="E168" i="24"/>
  <c r="O167" i="24"/>
  <c r="N167" i="24"/>
  <c r="L167" i="24"/>
  <c r="K167" i="24"/>
  <c r="I167" i="24"/>
  <c r="H167" i="24"/>
  <c r="F167" i="24"/>
  <c r="E167" i="24"/>
  <c r="N166" i="24"/>
  <c r="O166" i="24" s="1"/>
  <c r="L166" i="24"/>
  <c r="K166" i="24"/>
  <c r="I166" i="24"/>
  <c r="H166" i="24"/>
  <c r="F166" i="24"/>
  <c r="E166" i="24"/>
  <c r="N165" i="24"/>
  <c r="O165" i="24" s="1"/>
  <c r="L165" i="24"/>
  <c r="K165" i="24"/>
  <c r="I165" i="24"/>
  <c r="H165" i="24"/>
  <c r="F165" i="24"/>
  <c r="E165" i="24"/>
  <c r="N164" i="24"/>
  <c r="O164" i="24" s="1"/>
  <c r="L164" i="24"/>
  <c r="K164" i="24"/>
  <c r="I164" i="24"/>
  <c r="H164" i="24"/>
  <c r="F164" i="24"/>
  <c r="E164" i="24"/>
  <c r="N163" i="24"/>
  <c r="O163" i="24" s="1"/>
  <c r="L163" i="24"/>
  <c r="K163" i="24"/>
  <c r="I163" i="24"/>
  <c r="H163" i="24"/>
  <c r="F163" i="24"/>
  <c r="E163" i="24"/>
  <c r="N162" i="24"/>
  <c r="O162" i="24" s="1"/>
  <c r="L162" i="24"/>
  <c r="K162" i="24"/>
  <c r="I162" i="24"/>
  <c r="H162" i="24"/>
  <c r="F162" i="24"/>
  <c r="E162" i="24"/>
  <c r="N161" i="24"/>
  <c r="O161" i="24" s="1"/>
  <c r="L161" i="24"/>
  <c r="K161" i="24"/>
  <c r="I161" i="24"/>
  <c r="H161" i="24"/>
  <c r="F161" i="24"/>
  <c r="E161" i="24"/>
  <c r="N160" i="24"/>
  <c r="O160" i="24" s="1"/>
  <c r="L160" i="24"/>
  <c r="K160" i="24"/>
  <c r="I160" i="24"/>
  <c r="H160" i="24"/>
  <c r="F160" i="24"/>
  <c r="E160" i="24"/>
  <c r="O159" i="24"/>
  <c r="N159" i="24"/>
  <c r="L159" i="24"/>
  <c r="K159" i="24"/>
  <c r="I159" i="24"/>
  <c r="H159" i="24"/>
  <c r="F159" i="24"/>
  <c r="E159" i="24"/>
  <c r="N158" i="24"/>
  <c r="O158" i="24" s="1"/>
  <c r="L158" i="24"/>
  <c r="K158" i="24"/>
  <c r="I158" i="24"/>
  <c r="H158" i="24"/>
  <c r="F158" i="24"/>
  <c r="E158" i="24"/>
  <c r="N157" i="24"/>
  <c r="O157" i="24" s="1"/>
  <c r="L157" i="24"/>
  <c r="K157" i="24"/>
  <c r="I157" i="24"/>
  <c r="H157" i="24"/>
  <c r="F157" i="24"/>
  <c r="E157" i="24"/>
  <c r="O156" i="24"/>
  <c r="N156" i="24"/>
  <c r="L156" i="24"/>
  <c r="K156" i="24"/>
  <c r="I156" i="24"/>
  <c r="H156" i="24"/>
  <c r="F156" i="24"/>
  <c r="E156" i="24"/>
  <c r="O155" i="24"/>
  <c r="N155" i="24"/>
  <c r="L155" i="24"/>
  <c r="K155" i="24"/>
  <c r="I155" i="24"/>
  <c r="H155" i="24"/>
  <c r="F155" i="24"/>
  <c r="E155" i="24"/>
  <c r="O154" i="24"/>
  <c r="N154" i="24"/>
  <c r="L154" i="24"/>
  <c r="K154" i="24"/>
  <c r="I154" i="24"/>
  <c r="H154" i="24"/>
  <c r="F154" i="24"/>
  <c r="E154" i="24"/>
  <c r="O153" i="24"/>
  <c r="N153" i="24"/>
  <c r="L153" i="24"/>
  <c r="K153" i="24"/>
  <c r="I153" i="24"/>
  <c r="H153" i="24"/>
  <c r="F153" i="24"/>
  <c r="E153" i="24"/>
  <c r="O152" i="24"/>
  <c r="N152" i="24"/>
  <c r="L152" i="24"/>
  <c r="K152" i="24"/>
  <c r="K172" i="24" s="1"/>
  <c r="I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K144" i="24"/>
  <c r="L144" i="24" s="1"/>
  <c r="I144" i="24"/>
  <c r="H144" i="24"/>
  <c r="F144" i="24"/>
  <c r="E144" i="24"/>
  <c r="N143" i="24"/>
  <c r="O143" i="24" s="1"/>
  <c r="K143" i="24"/>
  <c r="L143" i="24" s="1"/>
  <c r="I143" i="24"/>
  <c r="H143" i="24"/>
  <c r="F143" i="24"/>
  <c r="E143" i="24"/>
  <c r="N142" i="24"/>
  <c r="O142" i="24" s="1"/>
  <c r="K142" i="24"/>
  <c r="L142" i="24" s="1"/>
  <c r="I142" i="24"/>
  <c r="H142" i="24"/>
  <c r="F142" i="24"/>
  <c r="E142" i="24"/>
  <c r="N141" i="24"/>
  <c r="O141" i="24" s="1"/>
  <c r="K141" i="24"/>
  <c r="L141" i="24" s="1"/>
  <c r="I141" i="24"/>
  <c r="H141" i="24"/>
  <c r="F141" i="24"/>
  <c r="E141" i="24"/>
  <c r="O140" i="24"/>
  <c r="N140" i="24"/>
  <c r="K140" i="24"/>
  <c r="L140" i="24" s="1"/>
  <c r="I140" i="24"/>
  <c r="H140" i="24"/>
  <c r="F140" i="24"/>
  <c r="E140" i="24"/>
  <c r="N139" i="24"/>
  <c r="O139" i="24" s="1"/>
  <c r="K139" i="24"/>
  <c r="L139" i="24" s="1"/>
  <c r="I139" i="24"/>
  <c r="H139" i="24"/>
  <c r="F139" i="24"/>
  <c r="E139" i="24"/>
  <c r="N138" i="24"/>
  <c r="O138" i="24" s="1"/>
  <c r="K138" i="24"/>
  <c r="L138" i="24" s="1"/>
  <c r="I138" i="24"/>
  <c r="H138" i="24"/>
  <c r="F138" i="24"/>
  <c r="E138" i="24"/>
  <c r="N137" i="24"/>
  <c r="O137" i="24" s="1"/>
  <c r="K137" i="24"/>
  <c r="L137" i="24" s="1"/>
  <c r="I137" i="24"/>
  <c r="H137" i="24"/>
  <c r="F137" i="24"/>
  <c r="E137" i="24"/>
  <c r="N136" i="24"/>
  <c r="O136" i="24" s="1"/>
  <c r="K136" i="24"/>
  <c r="L136" i="24" s="1"/>
  <c r="I136" i="24"/>
  <c r="H136" i="24"/>
  <c r="F136" i="24"/>
  <c r="E136" i="24"/>
  <c r="N135" i="24"/>
  <c r="O135" i="24" s="1"/>
  <c r="K135" i="24"/>
  <c r="L135" i="24" s="1"/>
  <c r="I135" i="24"/>
  <c r="H135" i="24"/>
  <c r="F135" i="24"/>
  <c r="E135" i="24"/>
  <c r="N134" i="24"/>
  <c r="O134" i="24" s="1"/>
  <c r="K134" i="24"/>
  <c r="L134" i="24" s="1"/>
  <c r="I134" i="24"/>
  <c r="H134" i="24"/>
  <c r="F134" i="24"/>
  <c r="E134" i="24"/>
  <c r="N133" i="24"/>
  <c r="O133" i="24" s="1"/>
  <c r="K133" i="24"/>
  <c r="L133" i="24" s="1"/>
  <c r="I133" i="24"/>
  <c r="H133" i="24"/>
  <c r="F133" i="24"/>
  <c r="E133" i="24"/>
  <c r="O132" i="24"/>
  <c r="N132" i="24"/>
  <c r="K132" i="24"/>
  <c r="L132" i="24" s="1"/>
  <c r="I132" i="24"/>
  <c r="H132" i="24"/>
  <c r="F132" i="24"/>
  <c r="E132" i="24"/>
  <c r="N131" i="24"/>
  <c r="O131" i="24" s="1"/>
  <c r="K131" i="24"/>
  <c r="L131" i="24" s="1"/>
  <c r="I131" i="24"/>
  <c r="H131" i="24"/>
  <c r="F131" i="24"/>
  <c r="E131" i="24"/>
  <c r="N130" i="24"/>
  <c r="O130" i="24" s="1"/>
  <c r="K130" i="24"/>
  <c r="L130" i="24" s="1"/>
  <c r="I130" i="24"/>
  <c r="H130" i="24"/>
  <c r="F130" i="24"/>
  <c r="E130" i="24"/>
  <c r="N129" i="24"/>
  <c r="O129" i="24" s="1"/>
  <c r="K129" i="24"/>
  <c r="L129" i="24" s="1"/>
  <c r="I129" i="24"/>
  <c r="H129" i="24"/>
  <c r="F129" i="24"/>
  <c r="E129" i="24"/>
  <c r="N128" i="24"/>
  <c r="O128" i="24" s="1"/>
  <c r="K128" i="24"/>
  <c r="L128" i="24" s="1"/>
  <c r="I128" i="24"/>
  <c r="H128" i="24"/>
  <c r="F128" i="24"/>
  <c r="E128" i="24"/>
  <c r="N127" i="24"/>
  <c r="O127" i="24" s="1"/>
  <c r="K127" i="24"/>
  <c r="L127" i="24" s="1"/>
  <c r="I127" i="24"/>
  <c r="H127" i="24"/>
  <c r="F127" i="24"/>
  <c r="E127" i="24"/>
  <c r="N126" i="24"/>
  <c r="O126" i="24" s="1"/>
  <c r="K126" i="24"/>
  <c r="L126" i="24" s="1"/>
  <c r="I126" i="24"/>
  <c r="H126" i="24"/>
  <c r="F126" i="24"/>
  <c r="E126" i="24"/>
  <c r="N125" i="24"/>
  <c r="K125" i="24"/>
  <c r="K145" i="24" s="1"/>
  <c r="I125" i="24"/>
  <c r="I145" i="24" s="1"/>
  <c r="H125" i="24"/>
  <c r="H145" i="24" s="1"/>
  <c r="F125" i="24"/>
  <c r="F145" i="24" s="1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I117" i="24"/>
  <c r="H117" i="24"/>
  <c r="F117" i="24"/>
  <c r="E117" i="24"/>
  <c r="N116" i="24"/>
  <c r="O116" i="24" s="1"/>
  <c r="L116" i="24"/>
  <c r="K116" i="24"/>
  <c r="I116" i="24"/>
  <c r="H116" i="24"/>
  <c r="F116" i="24"/>
  <c r="E116" i="24"/>
  <c r="N115" i="24"/>
  <c r="O115" i="24" s="1"/>
  <c r="L115" i="24"/>
  <c r="K115" i="24"/>
  <c r="I115" i="24"/>
  <c r="H115" i="24"/>
  <c r="F115" i="24"/>
  <c r="E115" i="24"/>
  <c r="N114" i="24"/>
  <c r="O114" i="24" s="1"/>
  <c r="L114" i="24"/>
  <c r="K114" i="24"/>
  <c r="I114" i="24"/>
  <c r="H114" i="24"/>
  <c r="F114" i="24"/>
  <c r="E114" i="24"/>
  <c r="N113" i="24"/>
  <c r="O113" i="24" s="1"/>
  <c r="L113" i="24"/>
  <c r="K113" i="24"/>
  <c r="I113" i="24"/>
  <c r="H113" i="24"/>
  <c r="F113" i="24"/>
  <c r="E113" i="24"/>
  <c r="N112" i="24"/>
  <c r="O112" i="24" s="1"/>
  <c r="L112" i="24"/>
  <c r="K112" i="24"/>
  <c r="I112" i="24"/>
  <c r="H112" i="24"/>
  <c r="F112" i="24"/>
  <c r="E112" i="24"/>
  <c r="N111" i="24"/>
  <c r="O111" i="24" s="1"/>
  <c r="L111" i="24"/>
  <c r="K111" i="24"/>
  <c r="I111" i="24"/>
  <c r="H111" i="24"/>
  <c r="F111" i="24"/>
  <c r="E111" i="24"/>
  <c r="N110" i="24"/>
  <c r="O110" i="24" s="1"/>
  <c r="L110" i="24"/>
  <c r="K110" i="24"/>
  <c r="I110" i="24"/>
  <c r="H110" i="24"/>
  <c r="F110" i="24"/>
  <c r="E110" i="24"/>
  <c r="N109" i="24"/>
  <c r="O109" i="24" s="1"/>
  <c r="L109" i="24"/>
  <c r="K109" i="24"/>
  <c r="I109" i="24"/>
  <c r="H109" i="24"/>
  <c r="F109" i="24"/>
  <c r="E109" i="24"/>
  <c r="O108" i="24"/>
  <c r="N108" i="24"/>
  <c r="L108" i="24"/>
  <c r="K108" i="24"/>
  <c r="I108" i="24"/>
  <c r="H108" i="24"/>
  <c r="F108" i="24"/>
  <c r="E108" i="24"/>
  <c r="N107" i="24"/>
  <c r="O107" i="24" s="1"/>
  <c r="L107" i="24"/>
  <c r="K107" i="24"/>
  <c r="I107" i="24"/>
  <c r="H107" i="24"/>
  <c r="F107" i="24"/>
  <c r="E107" i="24"/>
  <c r="O106" i="24"/>
  <c r="N106" i="24"/>
  <c r="L106" i="24"/>
  <c r="K106" i="24"/>
  <c r="I106" i="24"/>
  <c r="H106" i="24"/>
  <c r="F106" i="24"/>
  <c r="E106" i="24"/>
  <c r="N105" i="24"/>
  <c r="O105" i="24" s="1"/>
  <c r="L105" i="24"/>
  <c r="K105" i="24"/>
  <c r="I105" i="24"/>
  <c r="H105" i="24"/>
  <c r="F105" i="24"/>
  <c r="E105" i="24"/>
  <c r="N104" i="24"/>
  <c r="O104" i="24" s="1"/>
  <c r="L104" i="24"/>
  <c r="K104" i="24"/>
  <c r="I104" i="24"/>
  <c r="H104" i="24"/>
  <c r="F104" i="24"/>
  <c r="E104" i="24"/>
  <c r="N103" i="24"/>
  <c r="O103" i="24" s="1"/>
  <c r="L103" i="24"/>
  <c r="K103" i="24"/>
  <c r="I103" i="24"/>
  <c r="H103" i="24"/>
  <c r="F103" i="24"/>
  <c r="E103" i="24"/>
  <c r="N102" i="24"/>
  <c r="O102" i="24" s="1"/>
  <c r="L102" i="24"/>
  <c r="K102" i="24"/>
  <c r="I102" i="24"/>
  <c r="H102" i="24"/>
  <c r="F102" i="24"/>
  <c r="E102" i="24"/>
  <c r="N101" i="24"/>
  <c r="O101" i="24" s="1"/>
  <c r="L101" i="24"/>
  <c r="K101" i="24"/>
  <c r="I101" i="24"/>
  <c r="H101" i="24"/>
  <c r="F101" i="24"/>
  <c r="E101" i="24"/>
  <c r="O100" i="24"/>
  <c r="N100" i="24"/>
  <c r="L100" i="24"/>
  <c r="K100" i="24"/>
  <c r="I100" i="24"/>
  <c r="H100" i="24"/>
  <c r="F100" i="24"/>
  <c r="E100" i="24"/>
  <c r="N99" i="24"/>
  <c r="O99" i="24" s="1"/>
  <c r="L99" i="24"/>
  <c r="K99" i="24"/>
  <c r="I99" i="24"/>
  <c r="H99" i="24"/>
  <c r="F99" i="24"/>
  <c r="E99" i="24"/>
  <c r="N98" i="24"/>
  <c r="O98" i="24" s="1"/>
  <c r="L98" i="24"/>
  <c r="L118" i="24" s="1"/>
  <c r="K98" i="24"/>
  <c r="K118" i="24" s="1"/>
  <c r="I98" i="24"/>
  <c r="I118" i="24" s="1"/>
  <c r="H98" i="24"/>
  <c r="H118" i="24" s="1"/>
  <c r="F98" i="24"/>
  <c r="F118" i="24" s="1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L90" i="24"/>
  <c r="K90" i="24"/>
  <c r="H90" i="24"/>
  <c r="I90" i="24" s="1"/>
  <c r="E90" i="24"/>
  <c r="F90" i="24" s="1"/>
  <c r="O89" i="24"/>
  <c r="N89" i="24"/>
  <c r="K89" i="24"/>
  <c r="L89" i="24" s="1"/>
  <c r="I89" i="24"/>
  <c r="H89" i="24"/>
  <c r="E89" i="24"/>
  <c r="N88" i="24"/>
  <c r="O88" i="24" s="1"/>
  <c r="L88" i="24"/>
  <c r="K88" i="24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L85" i="24"/>
  <c r="K85" i="24"/>
  <c r="I85" i="24"/>
  <c r="H85" i="24"/>
  <c r="E85" i="24"/>
  <c r="F85" i="24" s="1"/>
  <c r="N84" i="24"/>
  <c r="O84" i="24" s="1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L82" i="24"/>
  <c r="K82" i="24"/>
  <c r="H82" i="24"/>
  <c r="I82" i="24" s="1"/>
  <c r="E82" i="24"/>
  <c r="F82" i="24" s="1"/>
  <c r="O81" i="24"/>
  <c r="N81" i="24"/>
  <c r="K81" i="24"/>
  <c r="L81" i="24" s="1"/>
  <c r="I81" i="24"/>
  <c r="H81" i="24"/>
  <c r="E81" i="24"/>
  <c r="F81" i="24" s="1"/>
  <c r="N80" i="24"/>
  <c r="O80" i="24" s="1"/>
  <c r="K80" i="24"/>
  <c r="L80" i="24" s="1"/>
  <c r="I80" i="24"/>
  <c r="H80" i="24"/>
  <c r="E80" i="24"/>
  <c r="F80" i="24" s="1"/>
  <c r="N79" i="24"/>
  <c r="O79" i="24" s="1"/>
  <c r="L79" i="24"/>
  <c r="K79" i="24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I77" i="24"/>
  <c r="H77" i="24"/>
  <c r="E77" i="24"/>
  <c r="F77" i="24" s="1"/>
  <c r="O76" i="24"/>
  <c r="N76" i="24"/>
  <c r="K76" i="24"/>
  <c r="K91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L74" i="24"/>
  <c r="K74" i="24"/>
  <c r="H74" i="24"/>
  <c r="I74" i="24" s="1"/>
  <c r="E74" i="24"/>
  <c r="F74" i="24" s="1"/>
  <c r="N73" i="24"/>
  <c r="O73" i="24" s="1"/>
  <c r="K73" i="24"/>
  <c r="L73" i="24" s="1"/>
  <c r="I73" i="24"/>
  <c r="H73" i="24"/>
  <c r="E73" i="24"/>
  <c r="F73" i="24" s="1"/>
  <c r="N72" i="24"/>
  <c r="O72" i="24" s="1"/>
  <c r="L72" i="24"/>
  <c r="K72" i="24"/>
  <c r="I72" i="24"/>
  <c r="H72" i="24"/>
  <c r="E72" i="24"/>
  <c r="F72" i="24" s="1"/>
  <c r="N71" i="24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N63" i="24"/>
  <c r="O63" i="24" s="1"/>
  <c r="K63" i="24"/>
  <c r="L63" i="24" s="1"/>
  <c r="I63" i="24"/>
  <c r="H63" i="24"/>
  <c r="E63" i="24"/>
  <c r="F63" i="24" s="1"/>
  <c r="N62" i="24"/>
  <c r="O62" i="24" s="1"/>
  <c r="L62" i="24"/>
  <c r="K62" i="24"/>
  <c r="H62" i="24"/>
  <c r="I62" i="24" s="1"/>
  <c r="E62" i="24"/>
  <c r="N61" i="24"/>
  <c r="O61" i="24" s="1"/>
  <c r="K61" i="24"/>
  <c r="L61" i="24" s="1"/>
  <c r="I61" i="24"/>
  <c r="H61" i="24"/>
  <c r="E61" i="24"/>
  <c r="F61" i="24" s="1"/>
  <c r="N60" i="24"/>
  <c r="O60" i="24" s="1"/>
  <c r="K60" i="24"/>
  <c r="L60" i="24" s="1"/>
  <c r="H60" i="24"/>
  <c r="I60" i="24" s="1"/>
  <c r="E60" i="24"/>
  <c r="F60" i="24" s="1"/>
  <c r="N59" i="24"/>
  <c r="O59" i="24" s="1"/>
  <c r="L59" i="24"/>
  <c r="K59" i="24"/>
  <c r="I59" i="24"/>
  <c r="H59" i="24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I57" i="24"/>
  <c r="H57" i="24"/>
  <c r="E57" i="24"/>
  <c r="F57" i="24" s="1"/>
  <c r="N56" i="24"/>
  <c r="O56" i="24" s="1"/>
  <c r="L56" i="24"/>
  <c r="K56" i="24"/>
  <c r="H56" i="24"/>
  <c r="I56" i="24" s="1"/>
  <c r="E56" i="24"/>
  <c r="F56" i="24" s="1"/>
  <c r="O55" i="24"/>
  <c r="N55" i="24"/>
  <c r="K55" i="24"/>
  <c r="L55" i="24" s="1"/>
  <c r="I55" i="24"/>
  <c r="H55" i="24"/>
  <c r="E55" i="24"/>
  <c r="F55" i="24" s="1"/>
  <c r="N54" i="24"/>
  <c r="O54" i="24" s="1"/>
  <c r="L54" i="24"/>
  <c r="K54" i="24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N51" i="24"/>
  <c r="O51" i="24" s="1"/>
  <c r="L51" i="24"/>
  <c r="K51" i="24"/>
  <c r="I51" i="24"/>
  <c r="H51" i="24"/>
  <c r="E51" i="24"/>
  <c r="F51" i="24" s="1"/>
  <c r="N50" i="24"/>
  <c r="O50" i="24" s="1"/>
  <c r="K50" i="24"/>
  <c r="L50" i="24" s="1"/>
  <c r="H50" i="24"/>
  <c r="I50" i="24" s="1"/>
  <c r="E50" i="24"/>
  <c r="F50" i="24" s="1"/>
  <c r="N49" i="24"/>
  <c r="O49" i="24" s="1"/>
  <c r="L49" i="24"/>
  <c r="K49" i="24"/>
  <c r="I49" i="24"/>
  <c r="H49" i="24"/>
  <c r="E49" i="24"/>
  <c r="F49" i="24" s="1"/>
  <c r="N48" i="24"/>
  <c r="O48" i="24" s="1"/>
  <c r="L48" i="24"/>
  <c r="K48" i="24"/>
  <c r="H48" i="24"/>
  <c r="I48" i="24" s="1"/>
  <c r="E48" i="24"/>
  <c r="F48" i="24" s="1"/>
  <c r="N47" i="24"/>
  <c r="O47" i="24" s="1"/>
  <c r="K47" i="24"/>
  <c r="L47" i="24" s="1"/>
  <c r="I47" i="24"/>
  <c r="H47" i="24"/>
  <c r="E47" i="24"/>
  <c r="F47" i="24" s="1"/>
  <c r="N46" i="24"/>
  <c r="O46" i="24" s="1"/>
  <c r="L46" i="24"/>
  <c r="K46" i="24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K44" i="24"/>
  <c r="H44" i="24"/>
  <c r="H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F179" i="34" l="1"/>
  <c r="E172" i="34"/>
  <c r="F152" i="34"/>
  <c r="F172" i="34" s="1"/>
  <c r="E118" i="34"/>
  <c r="F118" i="34"/>
  <c r="E91" i="34"/>
  <c r="F71" i="34"/>
  <c r="F91" i="34" s="1"/>
  <c r="F145" i="34"/>
  <c r="E145" i="34"/>
  <c r="E64" i="34"/>
  <c r="F64" i="34"/>
  <c r="I179" i="34"/>
  <c r="H172" i="34"/>
  <c r="I152" i="34"/>
  <c r="I172" i="34" s="1"/>
  <c r="O179" i="34"/>
  <c r="O199" i="34" s="1"/>
  <c r="O152" i="34"/>
  <c r="O172" i="34" s="1"/>
  <c r="O145" i="34"/>
  <c r="N145" i="34"/>
  <c r="O98" i="34"/>
  <c r="O118" i="34" s="1"/>
  <c r="O91" i="34"/>
  <c r="O64" i="34"/>
  <c r="H118" i="34"/>
  <c r="I98" i="34"/>
  <c r="I118" i="34" s="1"/>
  <c r="H91" i="34"/>
  <c r="I91" i="34"/>
  <c r="H145" i="34"/>
  <c r="I125" i="34"/>
  <c r="I145" i="34" s="1"/>
  <c r="H64" i="34"/>
  <c r="I64" i="34"/>
  <c r="L172" i="34"/>
  <c r="L125" i="34"/>
  <c r="L145" i="34" s="1"/>
  <c r="L98" i="34"/>
  <c r="L118" i="34" s="1"/>
  <c r="L71" i="34"/>
  <c r="L91" i="34" s="1"/>
  <c r="L44" i="34"/>
  <c r="L64" i="34" s="1"/>
  <c r="N199" i="33"/>
  <c r="O179" i="33"/>
  <c r="O199" i="33" s="1"/>
  <c r="N172" i="33"/>
  <c r="O125" i="33"/>
  <c r="O145" i="33" s="1"/>
  <c r="N118" i="33"/>
  <c r="O98" i="33"/>
  <c r="O118" i="33" s="1"/>
  <c r="O71" i="33"/>
  <c r="O91" i="33" s="1"/>
  <c r="O64" i="33"/>
  <c r="N64" i="33"/>
  <c r="F37" i="34"/>
  <c r="E37" i="34"/>
  <c r="I37" i="34"/>
  <c r="N37" i="34"/>
  <c r="K37" i="34"/>
  <c r="O37" i="34"/>
  <c r="H37" i="34"/>
  <c r="L37" i="34"/>
  <c r="G9" i="34"/>
  <c r="G5" i="34"/>
  <c r="G7" i="34"/>
  <c r="G3" i="34"/>
  <c r="K199" i="33"/>
  <c r="L199" i="33"/>
  <c r="K172" i="33"/>
  <c r="L152" i="33"/>
  <c r="L172" i="33" s="1"/>
  <c r="K145" i="33"/>
  <c r="L145" i="33"/>
  <c r="L98" i="33"/>
  <c r="L118" i="33" s="1"/>
  <c r="K91" i="33"/>
  <c r="L71" i="33"/>
  <c r="L91" i="33" s="1"/>
  <c r="G7" i="33" s="1"/>
  <c r="L64" i="33"/>
  <c r="K64" i="33"/>
  <c r="I179" i="33"/>
  <c r="I199" i="33" s="1"/>
  <c r="I172" i="33"/>
  <c r="I125" i="33"/>
  <c r="I145" i="33" s="1"/>
  <c r="I98" i="33"/>
  <c r="I118" i="33" s="1"/>
  <c r="G3" i="33" s="1"/>
  <c r="I91" i="33"/>
  <c r="I44" i="33"/>
  <c r="I64" i="33" s="1"/>
  <c r="F152" i="33"/>
  <c r="F172" i="33" s="1"/>
  <c r="F125" i="33"/>
  <c r="F145" i="33" s="1"/>
  <c r="F98" i="33"/>
  <c r="F118" i="33" s="1"/>
  <c r="F91" i="33"/>
  <c r="F44" i="33"/>
  <c r="F64" i="33" s="1"/>
  <c r="N199" i="32"/>
  <c r="O179" i="32"/>
  <c r="O199" i="32" s="1"/>
  <c r="O152" i="32"/>
  <c r="O172" i="32" s="1"/>
  <c r="O145" i="32"/>
  <c r="N145" i="32"/>
  <c r="N118" i="32"/>
  <c r="O118" i="32"/>
  <c r="N91" i="32"/>
  <c r="O71" i="32"/>
  <c r="O91" i="32" s="1"/>
  <c r="N64" i="32"/>
  <c r="O44" i="32"/>
  <c r="O64" i="32" s="1"/>
  <c r="O172" i="33"/>
  <c r="G9" i="33"/>
  <c r="K37" i="33"/>
  <c r="O37" i="33"/>
  <c r="E37" i="33"/>
  <c r="F37" i="33"/>
  <c r="N37" i="33"/>
  <c r="I37" i="33"/>
  <c r="H37" i="33"/>
  <c r="L37" i="33"/>
  <c r="G5" i="33"/>
  <c r="K199" i="32"/>
  <c r="L179" i="32"/>
  <c r="L199" i="32" s="1"/>
  <c r="G9" i="32" s="1"/>
  <c r="K172" i="32"/>
  <c r="L152" i="32"/>
  <c r="L172" i="32" s="1"/>
  <c r="L145" i="32"/>
  <c r="K145" i="32"/>
  <c r="K118" i="32"/>
  <c r="L98" i="32"/>
  <c r="L118" i="32" s="1"/>
  <c r="L71" i="32"/>
  <c r="L91" i="32" s="1"/>
  <c r="K64" i="32"/>
  <c r="L64" i="32"/>
  <c r="I179" i="32"/>
  <c r="I199" i="32" s="1"/>
  <c r="I152" i="32"/>
  <c r="I172" i="32" s="1"/>
  <c r="I145" i="32"/>
  <c r="H118" i="32"/>
  <c r="I118" i="32"/>
  <c r="H91" i="32"/>
  <c r="I71" i="32"/>
  <c r="I91" i="32" s="1"/>
  <c r="H64" i="32"/>
  <c r="I44" i="32"/>
  <c r="I64" i="32" s="1"/>
  <c r="F125" i="32"/>
  <c r="F145" i="32" s="1"/>
  <c r="F98" i="32"/>
  <c r="F118" i="32" s="1"/>
  <c r="F71" i="32"/>
  <c r="F91" i="32" s="1"/>
  <c r="F44" i="32"/>
  <c r="F64" i="32" s="1"/>
  <c r="N172" i="31"/>
  <c r="N145" i="31"/>
  <c r="N91" i="31"/>
  <c r="N199" i="31"/>
  <c r="O199" i="31"/>
  <c r="O152" i="31"/>
  <c r="O172" i="31" s="1"/>
  <c r="O125" i="31"/>
  <c r="O145" i="31" s="1"/>
  <c r="N118" i="31"/>
  <c r="O98" i="31"/>
  <c r="O118" i="31" s="1"/>
  <c r="O71" i="31"/>
  <c r="O91" i="31" s="1"/>
  <c r="O64" i="31"/>
  <c r="N64" i="31"/>
  <c r="H37" i="32"/>
  <c r="L37" i="32"/>
  <c r="E37" i="32"/>
  <c r="I37" i="32"/>
  <c r="F37" i="32"/>
  <c r="N37" i="32"/>
  <c r="K37" i="32"/>
  <c r="O37" i="32"/>
  <c r="G3" i="32"/>
  <c r="G7" i="32"/>
  <c r="L179" i="31"/>
  <c r="L199" i="31" s="1"/>
  <c r="L172" i="31"/>
  <c r="K172" i="31"/>
  <c r="K145" i="31"/>
  <c r="K118" i="31"/>
  <c r="L98" i="31"/>
  <c r="L118" i="31" s="1"/>
  <c r="L91" i="31"/>
  <c r="K91" i="31"/>
  <c r="K64" i="31"/>
  <c r="L44" i="31"/>
  <c r="L64" i="31" s="1"/>
  <c r="I179" i="31"/>
  <c r="I199" i="31" s="1"/>
  <c r="I152" i="31"/>
  <c r="I172" i="31" s="1"/>
  <c r="I125" i="31"/>
  <c r="I145" i="31" s="1"/>
  <c r="I98" i="31"/>
  <c r="I118" i="31" s="1"/>
  <c r="G3" i="31" s="1"/>
  <c r="H91" i="31"/>
  <c r="I71" i="31"/>
  <c r="I91" i="31" s="1"/>
  <c r="I44" i="31"/>
  <c r="I64" i="31" s="1"/>
  <c r="F179" i="31"/>
  <c r="F199" i="31" s="1"/>
  <c r="F152" i="31"/>
  <c r="F172" i="31" s="1"/>
  <c r="F91" i="31"/>
  <c r="F64" i="31"/>
  <c r="O179" i="30"/>
  <c r="O199" i="30" s="1"/>
  <c r="G9" i="30" s="1"/>
  <c r="N172" i="30"/>
  <c r="O152" i="30"/>
  <c r="O172" i="30" s="1"/>
  <c r="O125" i="30"/>
  <c r="O145" i="30" s="1"/>
  <c r="O118" i="30"/>
  <c r="N118" i="30"/>
  <c r="O71" i="30"/>
  <c r="O91" i="30" s="1"/>
  <c r="O64" i="30"/>
  <c r="N64" i="30"/>
  <c r="E37" i="31"/>
  <c r="I37" i="31"/>
  <c r="K37" i="31"/>
  <c r="H37" i="31"/>
  <c r="F37" i="31"/>
  <c r="N37" i="31"/>
  <c r="L37" i="31"/>
  <c r="O37" i="31"/>
  <c r="G5" i="31"/>
  <c r="K199" i="30"/>
  <c r="L179" i="30"/>
  <c r="L199" i="30" s="1"/>
  <c r="K172" i="30"/>
  <c r="L152" i="30"/>
  <c r="L172" i="30" s="1"/>
  <c r="K145" i="30"/>
  <c r="L125" i="30"/>
  <c r="L145" i="30" s="1"/>
  <c r="K118" i="30"/>
  <c r="L98" i="30"/>
  <c r="L71" i="30"/>
  <c r="L91" i="30" s="1"/>
  <c r="L64" i="30"/>
  <c r="K64" i="30"/>
  <c r="G5" i="30" s="1"/>
  <c r="I179" i="30"/>
  <c r="I199" i="30" s="1"/>
  <c r="I152" i="30"/>
  <c r="I172" i="30" s="1"/>
  <c r="I125" i="30"/>
  <c r="I145" i="30" s="1"/>
  <c r="I98" i="30"/>
  <c r="I118" i="30" s="1"/>
  <c r="I71" i="30"/>
  <c r="I91" i="30" s="1"/>
  <c r="I44" i="30"/>
  <c r="I64" i="30" s="1"/>
  <c r="F199" i="30"/>
  <c r="F71" i="30"/>
  <c r="F91" i="30" s="1"/>
  <c r="F44" i="30"/>
  <c r="F64" i="30" s="1"/>
  <c r="O179" i="29"/>
  <c r="N172" i="29"/>
  <c r="O152" i="29"/>
  <c r="O172" i="29" s="1"/>
  <c r="O118" i="29"/>
  <c r="N118" i="29"/>
  <c r="N91" i="29"/>
  <c r="O71" i="29"/>
  <c r="O91" i="29" s="1"/>
  <c r="N64" i="29"/>
  <c r="O44" i="29"/>
  <c r="O64" i="29" s="1"/>
  <c r="K37" i="30"/>
  <c r="O37" i="30"/>
  <c r="L118" i="30"/>
  <c r="G3" i="30" s="1"/>
  <c r="F37" i="30"/>
  <c r="N37" i="30"/>
  <c r="E37" i="30"/>
  <c r="I37" i="30"/>
  <c r="H37" i="30"/>
  <c r="L37" i="30"/>
  <c r="G7" i="30"/>
  <c r="L199" i="29"/>
  <c r="K172" i="29"/>
  <c r="L152" i="29"/>
  <c r="L172" i="29" s="1"/>
  <c r="K118" i="29"/>
  <c r="L98" i="29"/>
  <c r="L118" i="29" s="1"/>
  <c r="G3" i="29" s="1"/>
  <c r="K91" i="29"/>
  <c r="L71" i="29"/>
  <c r="L91" i="29" s="1"/>
  <c r="K64" i="29"/>
  <c r="L44" i="29"/>
  <c r="L64" i="29" s="1"/>
  <c r="G5" i="29" s="1"/>
  <c r="I152" i="29"/>
  <c r="I172" i="29" s="1"/>
  <c r="I98" i="29"/>
  <c r="I118" i="29" s="1"/>
  <c r="I71" i="29"/>
  <c r="I91" i="29" s="1"/>
  <c r="I44" i="29"/>
  <c r="I64" i="29" s="1"/>
  <c r="F91" i="29"/>
  <c r="G7" i="29" s="1"/>
  <c r="N199" i="28"/>
  <c r="O199" i="28"/>
  <c r="N172" i="28"/>
  <c r="O152" i="28"/>
  <c r="O172" i="28" s="1"/>
  <c r="O145" i="28"/>
  <c r="N145" i="28"/>
  <c r="N118" i="28"/>
  <c r="O98" i="28"/>
  <c r="O118" i="28" s="1"/>
  <c r="N91" i="28"/>
  <c r="O71" i="28"/>
  <c r="O91" i="28" s="1"/>
  <c r="G7" i="28" s="1"/>
  <c r="O44" i="28"/>
  <c r="O64" i="28" s="1"/>
  <c r="O199" i="29"/>
  <c r="K37" i="29"/>
  <c r="O37" i="29"/>
  <c r="H37" i="29"/>
  <c r="L37" i="29"/>
  <c r="F37" i="29"/>
  <c r="N37" i="29"/>
  <c r="E37" i="29"/>
  <c r="I37" i="29"/>
  <c r="G9" i="29"/>
  <c r="H199" i="28"/>
  <c r="I199" i="28"/>
  <c r="H172" i="28"/>
  <c r="I152" i="28"/>
  <c r="I172" i="28" s="1"/>
  <c r="H145" i="28"/>
  <c r="I125" i="28"/>
  <c r="I145" i="28" s="1"/>
  <c r="H118" i="28"/>
  <c r="I118" i="28"/>
  <c r="H91" i="28"/>
  <c r="I71" i="28"/>
  <c r="I91" i="28" s="1"/>
  <c r="H64" i="28"/>
  <c r="I44" i="28"/>
  <c r="I64" i="28" s="1"/>
  <c r="L98" i="28"/>
  <c r="L118" i="28" s="1"/>
  <c r="K91" i="28"/>
  <c r="L64" i="28"/>
  <c r="K64" i="28"/>
  <c r="F98" i="28"/>
  <c r="F118" i="28" s="1"/>
  <c r="F71" i="28"/>
  <c r="F91" i="28" s="1"/>
  <c r="F44" i="28"/>
  <c r="F64" i="28" s="1"/>
  <c r="O152" i="27"/>
  <c r="O172" i="27" s="1"/>
  <c r="O125" i="27"/>
  <c r="O145" i="27" s="1"/>
  <c r="O98" i="27"/>
  <c r="O118" i="27" s="1"/>
  <c r="O71" i="27"/>
  <c r="O91" i="27" s="1"/>
  <c r="O64" i="27"/>
  <c r="N64" i="27"/>
  <c r="E37" i="28"/>
  <c r="I37" i="28"/>
  <c r="H37" i="28"/>
  <c r="L37" i="28"/>
  <c r="G3" i="28"/>
  <c r="F37" i="28"/>
  <c r="N37" i="28"/>
  <c r="K37" i="28"/>
  <c r="O37" i="28"/>
  <c r="G5" i="28"/>
  <c r="G9" i="28"/>
  <c r="K172" i="27"/>
  <c r="L152" i="27"/>
  <c r="L172" i="27" s="1"/>
  <c r="K64" i="27"/>
  <c r="L44" i="27"/>
  <c r="L64" i="27" s="1"/>
  <c r="G5" i="27" s="1"/>
  <c r="I152" i="27"/>
  <c r="I172" i="27" s="1"/>
  <c r="I44" i="27"/>
  <c r="I64" i="27" s="1"/>
  <c r="O179" i="26"/>
  <c r="O199" i="26" s="1"/>
  <c r="N172" i="26"/>
  <c r="O172" i="26"/>
  <c r="N145" i="26"/>
  <c r="O125" i="26"/>
  <c r="O145" i="26" s="1"/>
  <c r="O118" i="26"/>
  <c r="N118" i="26"/>
  <c r="G3" i="26" s="1"/>
  <c r="O91" i="26"/>
  <c r="N91" i="26"/>
  <c r="N64" i="26"/>
  <c r="O64" i="26"/>
  <c r="O37" i="27"/>
  <c r="K37" i="27"/>
  <c r="E37" i="27"/>
  <c r="I37" i="27"/>
  <c r="H37" i="27"/>
  <c r="L37" i="27"/>
  <c r="F37" i="27"/>
  <c r="N37" i="27"/>
  <c r="G7" i="27"/>
  <c r="G3" i="27"/>
  <c r="G9" i="27"/>
  <c r="K199" i="26"/>
  <c r="L179" i="26"/>
  <c r="L199" i="26" s="1"/>
  <c r="L152" i="26"/>
  <c r="L172" i="26" s="1"/>
  <c r="K64" i="26"/>
  <c r="E199" i="26"/>
  <c r="F199" i="26"/>
  <c r="E172" i="26"/>
  <c r="F172" i="26"/>
  <c r="E145" i="26"/>
  <c r="F125" i="26"/>
  <c r="F145" i="26" s="1"/>
  <c r="E118" i="26"/>
  <c r="F118" i="26"/>
  <c r="E91" i="26"/>
  <c r="F71" i="26"/>
  <c r="F91" i="26" s="1"/>
  <c r="E64" i="26"/>
  <c r="F64" i="26"/>
  <c r="K145" i="26"/>
  <c r="L125" i="26"/>
  <c r="L145" i="26" s="1"/>
  <c r="L118" i="26"/>
  <c r="K118" i="26"/>
  <c r="K91" i="26"/>
  <c r="L71" i="26"/>
  <c r="L91" i="26" s="1"/>
  <c r="L44" i="26"/>
  <c r="L64" i="26" s="1"/>
  <c r="G5" i="26" s="1"/>
  <c r="I125" i="26"/>
  <c r="I145" i="26" s="1"/>
  <c r="I118" i="26"/>
  <c r="I71" i="26"/>
  <c r="I91" i="26" s="1"/>
  <c r="N199" i="25"/>
  <c r="O179" i="25"/>
  <c r="O199" i="25" s="1"/>
  <c r="O172" i="25"/>
  <c r="N172" i="25"/>
  <c r="O145" i="25"/>
  <c r="N145" i="25"/>
  <c r="O98" i="25"/>
  <c r="O118" i="25" s="1"/>
  <c r="O91" i="25"/>
  <c r="N91" i="25"/>
  <c r="N64" i="25"/>
  <c r="O64" i="25"/>
  <c r="H37" i="26"/>
  <c r="L37" i="26"/>
  <c r="E37" i="26"/>
  <c r="I37" i="26"/>
  <c r="F37" i="26"/>
  <c r="N37" i="26"/>
  <c r="K37" i="26"/>
  <c r="O37" i="26"/>
  <c r="G7" i="26"/>
  <c r="G9" i="26"/>
  <c r="K199" i="25"/>
  <c r="L199" i="25"/>
  <c r="K172" i="25"/>
  <c r="L152" i="25"/>
  <c r="L172" i="25" s="1"/>
  <c r="L145" i="25"/>
  <c r="K118" i="25"/>
  <c r="L118" i="25"/>
  <c r="L71" i="25"/>
  <c r="L91" i="25" s="1"/>
  <c r="G7" i="25" s="1"/>
  <c r="K64" i="25"/>
  <c r="L44" i="25"/>
  <c r="L64" i="25" s="1"/>
  <c r="N199" i="24"/>
  <c r="O199" i="24"/>
  <c r="N172" i="24"/>
  <c r="O172" i="24"/>
  <c r="N145" i="24"/>
  <c r="O125" i="24"/>
  <c r="O145" i="24" s="1"/>
  <c r="N118" i="24"/>
  <c r="O118" i="24"/>
  <c r="N91" i="24"/>
  <c r="O71" i="24"/>
  <c r="O91" i="24" s="1"/>
  <c r="N64" i="24"/>
  <c r="O44" i="24"/>
  <c r="I179" i="25"/>
  <c r="I199" i="25" s="1"/>
  <c r="I152" i="25"/>
  <c r="I172" i="25" s="1"/>
  <c r="I145" i="25"/>
  <c r="H145" i="25"/>
  <c r="I118" i="25"/>
  <c r="H118" i="25"/>
  <c r="H64" i="25"/>
  <c r="I44" i="25"/>
  <c r="I64" i="25" s="1"/>
  <c r="F125" i="25"/>
  <c r="F145" i="25" s="1"/>
  <c r="F98" i="25"/>
  <c r="F118" i="25" s="1"/>
  <c r="F44" i="25"/>
  <c r="K37" i="25"/>
  <c r="O37" i="25"/>
  <c r="I37" i="25"/>
  <c r="L37" i="25"/>
  <c r="H37" i="25"/>
  <c r="F64" i="25"/>
  <c r="F37" i="25"/>
  <c r="N37" i="25"/>
  <c r="E37" i="25"/>
  <c r="G5" i="25"/>
  <c r="G3" i="25"/>
  <c r="L199" i="24"/>
  <c r="K199" i="24"/>
  <c r="L172" i="24"/>
  <c r="L125" i="24"/>
  <c r="L145" i="24" s="1"/>
  <c r="L76" i="24"/>
  <c r="K64" i="24"/>
  <c r="L44" i="24"/>
  <c r="I179" i="24"/>
  <c r="I199" i="24" s="1"/>
  <c r="I172" i="24"/>
  <c r="I71" i="24"/>
  <c r="I44" i="24"/>
  <c r="F172" i="24"/>
  <c r="F170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L64" i="24"/>
  <c r="L91" i="24"/>
  <c r="I64" i="24"/>
  <c r="O64" i="24"/>
  <c r="F62" i="24"/>
  <c r="I91" i="24"/>
  <c r="F89" i="24"/>
  <c r="E37" i="24"/>
  <c r="I37" i="24"/>
  <c r="F71" i="24"/>
  <c r="F91" i="24" s="1"/>
  <c r="F44" i="24"/>
  <c r="F64" i="24" s="1"/>
  <c r="F37" i="24"/>
  <c r="N37" i="24"/>
  <c r="K37" i="24"/>
  <c r="O37" i="24"/>
  <c r="H37" i="24"/>
  <c r="L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4" l="1"/>
  <c r="G5" i="32"/>
  <c r="G11" i="33"/>
  <c r="G9" i="31"/>
  <c r="G11" i="32"/>
  <c r="G7" i="31"/>
  <c r="G11" i="31"/>
  <c r="G11" i="30"/>
  <c r="G11" i="29"/>
  <c r="G11" i="28"/>
  <c r="G11" i="27"/>
  <c r="G9" i="25"/>
  <c r="G11" i="26"/>
  <c r="G3" i="24"/>
  <c r="G7" i="24"/>
  <c r="G11" i="25"/>
  <c r="G5" i="24"/>
  <c r="F199" i="24"/>
  <c r="G9" i="24" s="1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O195" i="9"/>
  <c r="F83" i="9"/>
  <c r="N269" i="9"/>
  <c r="N215" i="9"/>
  <c r="E79" i="9"/>
  <c r="F242" i="9"/>
  <c r="K35" i="3"/>
  <c r="C101" i="9"/>
  <c r="O159" i="9"/>
  <c r="I122" i="9"/>
  <c r="H241" i="9"/>
  <c r="K9" i="5"/>
  <c r="H27" i="9"/>
  <c r="O279" i="9"/>
  <c r="E217" i="9"/>
  <c r="H193" i="9"/>
  <c r="O66" i="9"/>
  <c r="I63" i="9"/>
  <c r="F50" i="9"/>
  <c r="L87" i="9"/>
  <c r="G68" i="3"/>
  <c r="O152" i="9"/>
  <c r="H39" i="9"/>
  <c r="O121" i="9"/>
  <c r="O217" i="9"/>
  <c r="I28" i="9"/>
  <c r="K259" i="9"/>
  <c r="O262" i="9"/>
  <c r="F47" i="9"/>
  <c r="G43" i="3"/>
  <c r="I150" i="9"/>
  <c r="C175" i="9"/>
  <c r="K278" i="9"/>
  <c r="K250" i="9"/>
  <c r="L78" i="9"/>
  <c r="E151" i="9"/>
  <c r="K68" i="3"/>
  <c r="N41" i="9"/>
  <c r="O42" i="3"/>
  <c r="O216" i="9"/>
  <c r="L242" i="9"/>
  <c r="I33" i="9"/>
  <c r="C280" i="9"/>
  <c r="E252" i="9"/>
  <c r="O82" i="9"/>
  <c r="K11" i="5"/>
  <c r="C159" i="9"/>
  <c r="L31" i="9"/>
  <c r="I270" i="9"/>
  <c r="I271" i="9"/>
  <c r="L160" i="9"/>
  <c r="E25" i="9"/>
  <c r="H253" i="9"/>
  <c r="N44" i="9"/>
  <c r="O123" i="9"/>
  <c r="K225" i="9"/>
  <c r="C276" i="9"/>
  <c r="C128" i="9"/>
  <c r="N137" i="9"/>
  <c r="O200" i="9"/>
  <c r="O41" i="3"/>
  <c r="N270" i="9"/>
  <c r="H34" i="9"/>
  <c r="C47" i="9"/>
  <c r="H156" i="9"/>
  <c r="F220" i="9"/>
  <c r="O162" i="9"/>
  <c r="I48" i="9"/>
  <c r="F178" i="9"/>
  <c r="O44" i="3"/>
  <c r="C198" i="9"/>
  <c r="K136" i="9"/>
  <c r="O224" i="9"/>
  <c r="C256" i="9"/>
  <c r="K274" i="9"/>
  <c r="O229" i="9"/>
  <c r="L143" i="9"/>
  <c r="N102" i="9"/>
  <c r="K75" i="9"/>
  <c r="E76" i="9"/>
  <c r="I222" i="9"/>
  <c r="I152" i="9"/>
  <c r="C166" i="9"/>
  <c r="I225" i="9"/>
  <c r="O164" i="9"/>
  <c r="I232" i="9"/>
  <c r="L127" i="9"/>
  <c r="O238" i="9"/>
  <c r="F267" i="9"/>
  <c r="L23" i="9"/>
  <c r="C86" i="9"/>
  <c r="N145" i="9"/>
  <c r="O106" i="9"/>
  <c r="N221" i="9"/>
  <c r="I155" i="9"/>
  <c r="I104" i="9"/>
  <c r="K198" i="9"/>
  <c r="H279" i="9"/>
  <c r="E161" i="9"/>
  <c r="K275" i="9"/>
  <c r="H107" i="9"/>
  <c r="K254" i="9"/>
  <c r="O65" i="9"/>
  <c r="O41" i="9"/>
  <c r="L200" i="9"/>
  <c r="N99" i="9"/>
  <c r="L109" i="9"/>
  <c r="F219" i="9"/>
  <c r="K70" i="9"/>
  <c r="H240" i="9"/>
  <c r="O105" i="9"/>
  <c r="I236" i="9"/>
  <c r="C66" i="9"/>
  <c r="F23" i="9"/>
  <c r="E267" i="9"/>
  <c r="I192" i="9"/>
  <c r="F277" i="9"/>
  <c r="C75" i="9"/>
  <c r="O38" i="9"/>
  <c r="N71" i="9"/>
  <c r="N119" i="9"/>
  <c r="L101" i="9"/>
  <c r="L154" i="9"/>
  <c r="N161" i="9"/>
  <c r="O101" i="9"/>
  <c r="E152" i="9"/>
  <c r="N274" i="9"/>
  <c r="H213" i="9"/>
  <c r="I106" i="9"/>
  <c r="K11" i="3"/>
  <c r="E40" i="9"/>
  <c r="L136" i="9"/>
  <c r="K232" i="9"/>
  <c r="C278" i="9"/>
  <c r="E127" i="9"/>
  <c r="N181" i="9"/>
  <c r="C219" i="9"/>
  <c r="E110" i="9"/>
  <c r="I215" i="9"/>
  <c r="O174" i="9"/>
  <c r="N115" i="9"/>
  <c r="K35" i="9"/>
  <c r="F29" i="9"/>
  <c r="I220" i="9"/>
  <c r="C140" i="9"/>
  <c r="O138" i="9"/>
  <c r="H76" i="9"/>
  <c r="O31" i="9"/>
  <c r="N196" i="9"/>
  <c r="H60" i="9"/>
  <c r="C177" i="9"/>
  <c r="L26" i="9"/>
  <c r="N40" i="9"/>
  <c r="F196" i="9"/>
  <c r="F226" i="9"/>
  <c r="F48" i="9"/>
  <c r="L256" i="9"/>
  <c r="N178" i="9"/>
  <c r="E221" i="9"/>
  <c r="C181" i="9"/>
  <c r="I49" i="9"/>
  <c r="E107" i="9"/>
  <c r="I153" i="9"/>
  <c r="L229" i="9"/>
  <c r="L163" i="9"/>
  <c r="H136" i="9"/>
  <c r="F213" i="9"/>
  <c r="I216" i="9"/>
  <c r="O150" i="9"/>
  <c r="K190" i="9"/>
  <c r="K66" i="3"/>
  <c r="O63" i="9"/>
  <c r="K76" i="9"/>
  <c r="E122" i="9"/>
  <c r="C251" i="9"/>
  <c r="I139" i="9"/>
  <c r="E123" i="9"/>
  <c r="C174" i="9"/>
  <c r="E99" i="9"/>
  <c r="K226" i="9"/>
  <c r="E98" i="9"/>
  <c r="O266" i="9"/>
  <c r="L269" i="9"/>
  <c r="H217" i="9"/>
  <c r="K45" i="3"/>
  <c r="F104" i="9"/>
  <c r="E137" i="9"/>
  <c r="O75" i="9"/>
  <c r="I127" i="9"/>
  <c r="H108" i="9"/>
  <c r="F140" i="9"/>
  <c r="K140" i="9"/>
  <c r="F256" i="9"/>
  <c r="K23" i="5"/>
  <c r="N201" i="9"/>
  <c r="O78" i="9"/>
  <c r="K10" i="5"/>
  <c r="O276" i="9"/>
  <c r="F188" i="9"/>
  <c r="N140" i="9"/>
  <c r="F33" i="9"/>
  <c r="O140" i="9"/>
  <c r="C102" i="9"/>
  <c r="N124" i="9"/>
  <c r="C273" i="9"/>
  <c r="O203" i="9"/>
  <c r="E60" i="9"/>
  <c r="H270" i="9"/>
  <c r="F257" i="9"/>
  <c r="L45" i="9"/>
  <c r="K115" i="9"/>
  <c r="N212" i="9"/>
  <c r="K264" i="9"/>
  <c r="O49" i="3"/>
  <c r="N120" i="9"/>
  <c r="H24" i="9"/>
  <c r="K61" i="3"/>
  <c r="E216" i="9"/>
  <c r="F222" i="9"/>
  <c r="O236" i="9"/>
  <c r="I82" i="9"/>
  <c r="F98" i="9"/>
  <c r="G62" i="3"/>
  <c r="K22" i="5"/>
  <c r="O126" i="9"/>
  <c r="N34" i="9"/>
  <c r="I38" i="9"/>
  <c r="K62" i="9"/>
  <c r="N160" i="9"/>
  <c r="H159" i="9"/>
  <c r="L107" i="9"/>
  <c r="C84" i="9"/>
  <c r="L102" i="9"/>
  <c r="I257" i="9"/>
  <c r="N263" i="9"/>
  <c r="I197" i="9"/>
  <c r="E80" i="9"/>
  <c r="H78" i="9"/>
  <c r="K228" i="9"/>
  <c r="H237" i="9"/>
  <c r="L156" i="9"/>
  <c r="N222" i="9"/>
  <c r="K150" i="9"/>
  <c r="H230" i="9"/>
  <c r="I89" i="9"/>
  <c r="E158" i="9"/>
  <c r="H127" i="9"/>
  <c r="O235" i="9"/>
  <c r="I25" i="9"/>
  <c r="I30" i="9"/>
  <c r="F176" i="9"/>
  <c r="G74" i="3"/>
  <c r="E272" i="9"/>
  <c r="K23" i="9"/>
  <c r="H75" i="9"/>
  <c r="I110" i="9"/>
  <c r="N241" i="9"/>
  <c r="H105" i="9"/>
  <c r="K65" i="3"/>
  <c r="E101" i="9"/>
  <c r="N42" i="9"/>
  <c r="E232" i="9"/>
  <c r="K191" i="9"/>
  <c r="H80" i="9"/>
  <c r="O255" i="9"/>
  <c r="E181" i="9"/>
  <c r="K270" i="9"/>
  <c r="L159" i="9"/>
  <c r="K257" i="9"/>
  <c r="K220" i="9"/>
  <c r="F38" i="9"/>
  <c r="L232" i="9"/>
  <c r="H31" i="9"/>
  <c r="L144" i="9"/>
  <c r="F255" i="9"/>
  <c r="L239" i="9"/>
  <c r="H140" i="9"/>
  <c r="O253" i="9"/>
  <c r="I50" i="9"/>
  <c r="L114" i="9"/>
  <c r="K49" i="9"/>
  <c r="N148" i="9"/>
  <c r="N179" i="9"/>
  <c r="H74" i="9"/>
  <c r="K181" i="9"/>
  <c r="K145" i="9"/>
  <c r="F143" i="9"/>
  <c r="O35" i="9"/>
  <c r="I276" i="9"/>
  <c r="L223" i="9"/>
  <c r="K277" i="9"/>
  <c r="O72" i="9"/>
  <c r="I235" i="9"/>
  <c r="O227" i="9"/>
  <c r="N273" i="9"/>
  <c r="H35" i="9"/>
  <c r="E148" i="9"/>
  <c r="I280" i="9"/>
  <c r="F147" i="9"/>
  <c r="L140" i="9"/>
  <c r="K252" i="9"/>
  <c r="I185" i="9"/>
  <c r="H181" i="9"/>
  <c r="E278" i="9"/>
  <c r="L38" i="9"/>
  <c r="H274" i="9"/>
  <c r="N227" i="9"/>
  <c r="I68" i="9"/>
  <c r="O89" i="9"/>
  <c r="L234" i="9"/>
  <c r="N242" i="9"/>
  <c r="E28" i="9"/>
  <c r="O116" i="9"/>
  <c r="N37" i="9"/>
  <c r="K216" i="9"/>
  <c r="N217" i="9"/>
  <c r="K32" i="3"/>
  <c r="I42" i="9"/>
  <c r="K100" i="9"/>
  <c r="L117" i="9"/>
  <c r="E265" i="9"/>
  <c r="K72" i="3"/>
  <c r="L141" i="9"/>
  <c r="N194" i="9"/>
  <c r="G33" i="3"/>
  <c r="E42" i="9"/>
  <c r="G45" i="3"/>
  <c r="E195" i="9"/>
  <c r="O155" i="9"/>
  <c r="F155" i="9"/>
  <c r="E279" i="9"/>
  <c r="I62" i="9"/>
  <c r="L44" i="9"/>
  <c r="F251" i="9"/>
  <c r="H126" i="9"/>
  <c r="E159" i="9"/>
  <c r="N49" i="9"/>
  <c r="L271" i="9"/>
  <c r="N88" i="9"/>
  <c r="O50" i="3"/>
  <c r="K251" i="9"/>
  <c r="N202" i="9"/>
  <c r="L147" i="9"/>
  <c r="L68" i="9"/>
  <c r="C83" i="9"/>
  <c r="K8" i="3"/>
  <c r="F65" i="9"/>
  <c r="F81" i="9"/>
  <c r="O73" i="9"/>
  <c r="L258" i="9"/>
  <c r="K15" i="5"/>
  <c r="O263" i="9"/>
  <c r="O63" i="3"/>
  <c r="I161" i="9"/>
  <c r="E213" i="9"/>
  <c r="H123" i="9"/>
  <c r="O61" i="9"/>
  <c r="E273" i="9"/>
  <c r="F122" i="9"/>
  <c r="K40" i="3"/>
  <c r="E73" i="9"/>
  <c r="C272" i="9"/>
  <c r="F116" i="9"/>
  <c r="H146" i="9"/>
  <c r="K231" i="9"/>
  <c r="H62" i="9"/>
  <c r="O146" i="9"/>
  <c r="K235" i="9"/>
  <c r="F254" i="9"/>
  <c r="H227" i="9"/>
  <c r="N72" i="9"/>
  <c r="H257" i="9"/>
  <c r="F102" i="9"/>
  <c r="K72" i="9"/>
  <c r="N155" i="9"/>
  <c r="L280" i="9"/>
  <c r="C113" i="9"/>
  <c r="I26" i="9"/>
  <c r="N114" i="9"/>
  <c r="K45" i="9"/>
  <c r="L104" i="9"/>
  <c r="K241" i="9"/>
  <c r="O194" i="9"/>
  <c r="K30" i="9"/>
  <c r="C254" i="9"/>
  <c r="K7" i="5"/>
  <c r="I182" i="9"/>
  <c r="E280" i="9"/>
  <c r="C253" i="9"/>
  <c r="H180" i="9"/>
  <c r="C118" i="9"/>
  <c r="N51" i="9"/>
  <c r="K276" i="9"/>
  <c r="N186" i="9"/>
  <c r="N147" i="9"/>
  <c r="L86" i="9"/>
  <c r="L157" i="9"/>
  <c r="K61" i="9"/>
  <c r="F185" i="9"/>
  <c r="L216" i="9"/>
  <c r="H182" i="9"/>
  <c r="C142" i="9"/>
  <c r="K37" i="3"/>
  <c r="O230" i="9"/>
  <c r="O260" i="9"/>
  <c r="F64" i="9"/>
  <c r="N180" i="9"/>
  <c r="F108" i="9"/>
  <c r="O233" i="9"/>
  <c r="I87" i="9"/>
  <c r="H41" i="9"/>
  <c r="F125" i="9"/>
  <c r="F223" i="9"/>
  <c r="E255" i="9"/>
  <c r="H187" i="9"/>
  <c r="N251" i="9"/>
  <c r="K13" i="5"/>
  <c r="K157" i="9"/>
  <c r="O109" i="9"/>
  <c r="L177" i="9"/>
  <c r="H201" i="9"/>
  <c r="L120" i="9"/>
  <c r="K63" i="9"/>
  <c r="E227" i="9"/>
  <c r="O261" i="9"/>
  <c r="K255" i="9"/>
  <c r="L152" i="9"/>
  <c r="N280" i="9"/>
  <c r="K18" i="5"/>
  <c r="N184" i="9"/>
  <c r="H154" i="9"/>
  <c r="G71" i="3"/>
  <c r="C202" i="9"/>
  <c r="N229" i="9"/>
  <c r="E219" i="9"/>
  <c r="I279" i="9"/>
  <c r="K260" i="9"/>
  <c r="F195" i="9"/>
  <c r="C48" i="9"/>
  <c r="H153" i="9"/>
  <c r="L237" i="9"/>
  <c r="N138" i="9"/>
  <c r="H68" i="9"/>
  <c r="E78" i="9"/>
  <c r="N45" i="9"/>
  <c r="O250" i="9"/>
  <c r="N223" i="9"/>
  <c r="L265" i="9"/>
  <c r="I219" i="9"/>
  <c r="K86" i="9"/>
  <c r="K202" i="9"/>
  <c r="L40" i="9"/>
  <c r="G70" i="3"/>
  <c r="C27" i="9"/>
  <c r="H89" i="9"/>
  <c r="I162" i="9"/>
  <c r="N70" i="9"/>
  <c r="E242" i="9"/>
  <c r="I81" i="9"/>
  <c r="N48" i="9"/>
  <c r="O189" i="9"/>
  <c r="L202" i="9"/>
  <c r="F86" i="9"/>
  <c r="E165" i="9"/>
  <c r="K9" i="3"/>
  <c r="K33" i="9"/>
  <c r="E33" i="9"/>
  <c r="C110" i="9"/>
  <c r="E139" i="9"/>
  <c r="L47" i="9"/>
  <c r="E218" i="9"/>
  <c r="F233" i="9"/>
  <c r="N29" i="9"/>
  <c r="O153" i="9"/>
  <c r="K271" i="9"/>
  <c r="E261" i="9"/>
  <c r="I145" i="9"/>
  <c r="I151" i="9"/>
  <c r="C225" i="9"/>
  <c r="I22" i="9"/>
  <c r="F118" i="9"/>
  <c r="E274" i="9"/>
  <c r="K32" i="9"/>
  <c r="E115" i="9"/>
  <c r="K77" i="9"/>
  <c r="F127" i="9"/>
  <c r="H82" i="9"/>
  <c r="C100" i="9"/>
  <c r="I78" i="9"/>
  <c r="K125" i="9"/>
  <c r="K87" i="9"/>
  <c r="L145" i="9"/>
  <c r="K143" i="9"/>
  <c r="K50" i="3"/>
  <c r="L267" i="9"/>
  <c r="K139" i="9"/>
  <c r="H175" i="9"/>
  <c r="L39" i="9"/>
  <c r="L73" i="9"/>
  <c r="O90" i="9"/>
  <c r="O104" i="9"/>
  <c r="O124" i="9"/>
  <c r="H52" i="9"/>
  <c r="N146" i="9"/>
  <c r="H192" i="9"/>
  <c r="L151" i="9"/>
  <c r="O88" i="9"/>
  <c r="F139" i="9"/>
  <c r="C165" i="9"/>
  <c r="K31" i="3"/>
  <c r="C73" i="9"/>
  <c r="O61" i="3"/>
  <c r="K102" i="9"/>
  <c r="K15" i="3"/>
  <c r="F200" i="9"/>
  <c r="N31" i="9"/>
  <c r="N84" i="9"/>
  <c r="L176" i="9"/>
  <c r="E68" i="9"/>
  <c r="N159" i="9"/>
  <c r="I202" i="9"/>
  <c r="N85" i="9"/>
  <c r="C154" i="9"/>
  <c r="H26" i="9"/>
  <c r="E177" i="9"/>
  <c r="I273" i="9"/>
  <c r="F197" i="9"/>
  <c r="E190" i="9"/>
  <c r="E147" i="9"/>
  <c r="C31" i="9"/>
  <c r="N176" i="9"/>
  <c r="L33" i="9"/>
  <c r="C60" i="9"/>
  <c r="O149" i="9"/>
  <c r="H116" i="9"/>
  <c r="I278" i="9"/>
  <c r="O215" i="9"/>
  <c r="F270" i="9"/>
  <c r="F43" i="9"/>
  <c r="O179" i="9"/>
  <c r="E47" i="9"/>
  <c r="C201" i="9"/>
  <c r="E43" i="9"/>
  <c r="F85" i="9"/>
  <c r="K265" i="9"/>
  <c r="F101" i="9"/>
  <c r="E156" i="9"/>
  <c r="K222" i="9"/>
  <c r="C116" i="9"/>
  <c r="O156" i="9"/>
  <c r="O118" i="9"/>
  <c r="H267" i="9"/>
  <c r="I258" i="9"/>
  <c r="E38" i="9"/>
  <c r="K267" i="9"/>
  <c r="C235" i="9"/>
  <c r="H117" i="9"/>
  <c r="I200" i="9"/>
  <c r="K6" i="5"/>
  <c r="C279" i="9"/>
  <c r="N108" i="9"/>
  <c r="H70" i="9"/>
  <c r="K36" i="9"/>
  <c r="N189" i="9"/>
  <c r="H22" i="9"/>
  <c r="L204" i="9"/>
  <c r="K83" i="9"/>
  <c r="N76" i="9"/>
  <c r="L24" i="9"/>
  <c r="N193" i="9"/>
  <c r="H158" i="9"/>
  <c r="K184" i="9"/>
  <c r="I267" i="9"/>
  <c r="N74" i="9"/>
  <c r="E191" i="9"/>
  <c r="C231" i="9"/>
  <c r="I165" i="9"/>
  <c r="C260" i="9"/>
  <c r="H104" i="9"/>
  <c r="N256" i="9"/>
  <c r="C22" i="9"/>
  <c r="H186" i="9"/>
  <c r="L182" i="9"/>
  <c r="C233" i="9"/>
  <c r="I34" i="9"/>
  <c r="H121" i="9"/>
  <c r="E231" i="9"/>
  <c r="O103" i="9"/>
  <c r="H269" i="9"/>
  <c r="N126" i="9"/>
  <c r="C182" i="9"/>
  <c r="C85" i="9"/>
  <c r="H203" i="9"/>
  <c r="F175" i="9"/>
  <c r="H198" i="9"/>
  <c r="C240" i="9"/>
  <c r="L201" i="9"/>
  <c r="K82" i="9"/>
  <c r="N112" i="9"/>
  <c r="O44" i="9"/>
  <c r="G50" i="3"/>
  <c r="K74" i="3"/>
  <c r="I121" i="9"/>
  <c r="L106" i="9"/>
  <c r="K63" i="3"/>
  <c r="C223" i="9"/>
  <c r="G35" i="3"/>
  <c r="E228" i="9"/>
  <c r="K6" i="3"/>
  <c r="F39" i="9"/>
  <c r="I75" i="9"/>
  <c r="N116" i="9"/>
  <c r="O257" i="9"/>
  <c r="N78" i="9"/>
  <c r="O119" i="9"/>
  <c r="K176" i="9"/>
  <c r="E82" i="9"/>
  <c r="H200" i="9"/>
  <c r="I166" i="9"/>
  <c r="F199" i="9"/>
  <c r="H278" i="9"/>
  <c r="G38" i="3"/>
  <c r="N111" i="9"/>
  <c r="H42" i="9"/>
  <c r="O35" i="3"/>
  <c r="L224" i="9"/>
  <c r="I41" i="9"/>
  <c r="N264" i="9"/>
  <c r="H185" i="9"/>
  <c r="H273" i="9"/>
  <c r="C270" i="9"/>
  <c r="N64" i="9"/>
  <c r="L225" i="9"/>
  <c r="L213" i="9"/>
  <c r="K44" i="9"/>
  <c r="L121" i="9"/>
  <c r="L128" i="9"/>
  <c r="N30" i="9"/>
  <c r="N23" i="9"/>
  <c r="O219" i="9"/>
  <c r="F186" i="9"/>
  <c r="C184" i="9"/>
  <c r="N250" i="9"/>
  <c r="K178" i="9"/>
  <c r="L61" i="9"/>
  <c r="E223" i="9"/>
  <c r="F121" i="9"/>
  <c r="C187" i="9"/>
  <c r="O198" i="9"/>
  <c r="C238" i="9"/>
  <c r="C234" i="9"/>
  <c r="N278" i="9"/>
  <c r="E275" i="9"/>
  <c r="O67" i="3"/>
  <c r="N218" i="9"/>
  <c r="I254" i="9"/>
  <c r="C80" i="9"/>
  <c r="H222" i="9"/>
  <c r="E119" i="9"/>
  <c r="F165" i="9"/>
  <c r="C143" i="9"/>
  <c r="N182" i="9"/>
  <c r="K263" i="9"/>
  <c r="E49" i="9"/>
  <c r="G32" i="3"/>
  <c r="N164" i="9"/>
  <c r="E237" i="9"/>
  <c r="I120" i="9"/>
  <c r="H188" i="9"/>
  <c r="E179" i="9"/>
  <c r="I109" i="9"/>
  <c r="H114" i="9"/>
  <c r="E188" i="9"/>
  <c r="O192" i="9"/>
  <c r="C158" i="9"/>
  <c r="F149" i="9"/>
  <c r="H163" i="9"/>
  <c r="E103" i="9"/>
  <c r="L66" i="9"/>
  <c r="L195" i="9"/>
  <c r="K20" i="3"/>
  <c r="N185" i="9"/>
  <c r="I103" i="9"/>
  <c r="L270" i="9"/>
  <c r="F150" i="9"/>
  <c r="N149" i="9"/>
  <c r="H33" i="9"/>
  <c r="I264" i="9"/>
  <c r="C155" i="9"/>
  <c r="H38" i="9"/>
  <c r="H118" i="9"/>
  <c r="F216" i="9"/>
  <c r="I101" i="9"/>
  <c r="K73" i="3"/>
  <c r="L69" i="9"/>
  <c r="G64" i="3"/>
  <c r="L180" i="9"/>
  <c r="K204" i="9"/>
  <c r="K85" i="9"/>
  <c r="I32" i="9"/>
  <c r="C157" i="9"/>
  <c r="L77" i="9"/>
  <c r="N236" i="9"/>
  <c r="H43" i="9"/>
  <c r="I261" i="9"/>
  <c r="I228" i="9"/>
  <c r="O177" i="9"/>
  <c r="C183" i="9"/>
  <c r="H194" i="9"/>
  <c r="N123" i="9"/>
  <c r="N24" i="9"/>
  <c r="C192" i="9"/>
  <c r="E35" i="9"/>
  <c r="I218" i="9"/>
  <c r="F192" i="9"/>
  <c r="O39" i="3"/>
  <c r="H109" i="9"/>
  <c r="H25" i="9"/>
  <c r="I115" i="9"/>
  <c r="O71" i="3"/>
  <c r="I113" i="9"/>
  <c r="L251" i="9"/>
  <c r="I234" i="9"/>
  <c r="H221" i="9"/>
  <c r="G67" i="3"/>
  <c r="G57" i="3"/>
  <c r="I183" i="9"/>
  <c r="C199" i="9"/>
  <c r="L262" i="9"/>
  <c r="N152" i="9"/>
  <c r="I239" i="9"/>
  <c r="O68" i="9"/>
  <c r="H218" i="9"/>
  <c r="C274" i="9"/>
  <c r="C232" i="9"/>
  <c r="C224" i="9"/>
  <c r="K13" i="3"/>
  <c r="I86" i="9"/>
  <c r="L25" i="9"/>
  <c r="I266" i="9"/>
  <c r="E254" i="9"/>
  <c r="G60" i="3"/>
  <c r="L88" i="9"/>
  <c r="I23" i="9"/>
  <c r="E65" i="9"/>
  <c r="E154" i="9"/>
  <c r="F113" i="9"/>
  <c r="K62" i="3"/>
  <c r="I188" i="9"/>
  <c r="O254" i="9"/>
  <c r="E212" i="9"/>
  <c r="N187" i="9"/>
  <c r="F260" i="9"/>
  <c r="H268" i="9"/>
  <c r="F198" i="9"/>
  <c r="L263" i="9"/>
  <c r="O275" i="9"/>
  <c r="H106" i="9"/>
  <c r="E120" i="9"/>
  <c r="N226" i="9"/>
  <c r="C122" i="9"/>
  <c r="L215" i="9"/>
  <c r="F88" i="9"/>
  <c r="K201" i="9"/>
  <c r="N109" i="9"/>
  <c r="H143" i="9"/>
  <c r="G47" i="3"/>
  <c r="L184" i="9"/>
  <c r="L279" i="9"/>
  <c r="H234" i="9"/>
  <c r="O71" i="9"/>
  <c r="F240" i="9"/>
  <c r="K144" i="9"/>
  <c r="F87" i="9"/>
  <c r="K67" i="3"/>
  <c r="I72" i="9"/>
  <c r="L111" i="9"/>
  <c r="C24" i="9"/>
  <c r="F154" i="9"/>
  <c r="E192" i="9"/>
  <c r="E215" i="9"/>
  <c r="O166" i="9"/>
  <c r="H235" i="9"/>
  <c r="L174" i="9"/>
  <c r="H165" i="9"/>
  <c r="F275" i="9"/>
  <c r="L35" i="9"/>
  <c r="E85" i="9"/>
  <c r="E124" i="9"/>
  <c r="E222" i="9"/>
  <c r="K230" i="9"/>
  <c r="C236" i="9"/>
  <c r="F160" i="9"/>
  <c r="O128" i="9"/>
  <c r="K104" i="9"/>
  <c r="K185" i="9"/>
  <c r="N82" i="9"/>
  <c r="K123" i="9"/>
  <c r="H195" i="9"/>
  <c r="L125" i="9"/>
  <c r="F138" i="9"/>
  <c r="O57" i="3"/>
  <c r="E199" i="9"/>
  <c r="L218" i="9"/>
  <c r="I137" i="9"/>
  <c r="O272" i="9"/>
  <c r="K126" i="9"/>
  <c r="K273" i="9"/>
  <c r="N122" i="9"/>
  <c r="F78" i="9"/>
  <c r="C121" i="9"/>
  <c r="K49" i="3"/>
  <c r="I144" i="9"/>
  <c r="C193" i="9"/>
  <c r="O259" i="9"/>
  <c r="C81" i="9"/>
  <c r="O111" i="9"/>
  <c r="N239" i="9"/>
  <c r="C69" i="9"/>
  <c r="F230" i="9"/>
  <c r="O222" i="9"/>
  <c r="H69" i="9"/>
  <c r="I190" i="9"/>
  <c r="I193" i="9"/>
  <c r="C218" i="9"/>
  <c r="H155" i="9"/>
  <c r="I112" i="9"/>
  <c r="I83" i="9"/>
  <c r="I116" i="9"/>
  <c r="C120" i="9"/>
  <c r="H145" i="9"/>
  <c r="F51" i="9"/>
  <c r="O37" i="3"/>
  <c r="N33" i="9"/>
  <c r="K8" i="5"/>
  <c r="L110" i="9"/>
  <c r="H110" i="9"/>
  <c r="I237" i="9"/>
  <c r="O25" i="9"/>
  <c r="F61" i="9"/>
  <c r="E125" i="9"/>
  <c r="N69" i="9"/>
  <c r="F32" i="9"/>
  <c r="L124" i="9"/>
  <c r="E67" i="9"/>
  <c r="I265" i="9"/>
  <c r="L62" i="9"/>
  <c r="L85" i="9"/>
  <c r="F262" i="9"/>
  <c r="I88" i="9"/>
  <c r="O148" i="9"/>
  <c r="H147" i="9"/>
  <c r="E176" i="9"/>
  <c r="L60" i="9"/>
  <c r="N231" i="9"/>
  <c r="F28" i="9"/>
  <c r="F103" i="9"/>
  <c r="C145" i="9"/>
  <c r="O184" i="9"/>
  <c r="F109" i="9"/>
  <c r="I259" i="9"/>
  <c r="E39" i="9"/>
  <c r="O163" i="9"/>
  <c r="F234" i="9"/>
  <c r="C237" i="9"/>
  <c r="E100" i="9"/>
  <c r="L278" i="9"/>
  <c r="H29" i="9"/>
  <c r="I203" i="9"/>
  <c r="L259" i="9"/>
  <c r="I213" i="9"/>
  <c r="E64" i="9"/>
  <c r="L52" i="9"/>
  <c r="H266" i="9"/>
  <c r="L79" i="9"/>
  <c r="I250" i="9"/>
  <c r="I79" i="9"/>
  <c r="K272" i="9"/>
  <c r="K262" i="9"/>
  <c r="E220" i="9"/>
  <c r="E112" i="9"/>
  <c r="E87" i="9"/>
  <c r="L22" i="9"/>
  <c r="N192" i="9"/>
  <c r="I221" i="9"/>
  <c r="K227" i="9"/>
  <c r="L192" i="9"/>
  <c r="O47" i="9"/>
  <c r="L122" i="9"/>
  <c r="F225" i="9"/>
  <c r="K183" i="9"/>
  <c r="I67" i="9"/>
  <c r="F266" i="9"/>
  <c r="F215" i="9"/>
  <c r="C126" i="9"/>
  <c r="I76" i="9"/>
  <c r="O99" i="9"/>
  <c r="O85" i="9"/>
  <c r="H125" i="9"/>
  <c r="O69" i="9"/>
  <c r="O27" i="9"/>
  <c r="K69" i="9"/>
  <c r="O201" i="9"/>
  <c r="H32" i="9"/>
  <c r="H179" i="9"/>
  <c r="N158" i="9"/>
  <c r="G36" i="3"/>
  <c r="C78" i="9"/>
  <c r="F75" i="9"/>
  <c r="O62" i="9"/>
  <c r="C72" i="9"/>
  <c r="L162" i="9"/>
  <c r="E253" i="9"/>
  <c r="K74" i="9"/>
  <c r="O176" i="9"/>
  <c r="K69" i="3"/>
  <c r="H115" i="9"/>
  <c r="O30" i="9"/>
  <c r="F26" i="9"/>
  <c r="F123" i="9"/>
  <c r="K279" i="9"/>
  <c r="F105" i="9"/>
  <c r="E276" i="9"/>
  <c r="L71" i="9"/>
  <c r="K21" i="5"/>
  <c r="N154" i="9"/>
  <c r="F37" i="9"/>
  <c r="G73" i="3"/>
  <c r="N32" i="9"/>
  <c r="N103" i="9"/>
  <c r="O42" i="9"/>
  <c r="F126" i="9"/>
  <c r="H197" i="9"/>
  <c r="E121" i="9"/>
  <c r="O239" i="9"/>
  <c r="I85" i="9"/>
  <c r="L138" i="9"/>
  <c r="N150" i="9"/>
  <c r="N200" i="9"/>
  <c r="F259" i="9"/>
  <c r="I136" i="9"/>
  <c r="C263" i="9"/>
  <c r="L197" i="9"/>
  <c r="H71" i="9"/>
  <c r="O185" i="9"/>
  <c r="H61" i="9"/>
  <c r="E194" i="9"/>
  <c r="H164" i="9"/>
  <c r="F268" i="9"/>
  <c r="K65" i="9"/>
  <c r="N234" i="9"/>
  <c r="K193" i="9"/>
  <c r="L230" i="9"/>
  <c r="F181" i="9"/>
  <c r="K195" i="9"/>
  <c r="O65" i="3"/>
  <c r="N271" i="9"/>
  <c r="L220" i="9"/>
  <c r="H88" i="9"/>
  <c r="K159" i="9"/>
  <c r="F221" i="9"/>
  <c r="C230" i="9"/>
  <c r="K114" i="9"/>
  <c r="O139" i="9"/>
  <c r="K47" i="3"/>
  <c r="K203" i="9"/>
  <c r="K121" i="9"/>
  <c r="O37" i="9"/>
  <c r="E88" i="9"/>
  <c r="N240" i="9"/>
  <c r="L203" i="9"/>
  <c r="G65" i="3"/>
  <c r="F115" i="9"/>
  <c r="F117" i="9"/>
  <c r="K269" i="9"/>
  <c r="K199" i="9"/>
  <c r="H44" i="9"/>
  <c r="K18" i="3"/>
  <c r="F278" i="9"/>
  <c r="N86" i="9"/>
  <c r="K38" i="9"/>
  <c r="G69" i="3"/>
  <c r="C179" i="9"/>
  <c r="K36" i="3"/>
  <c r="F142" i="9"/>
  <c r="F157" i="9"/>
  <c r="E30" i="9"/>
  <c r="L80" i="9"/>
  <c r="E31" i="9"/>
  <c r="E106" i="9"/>
  <c r="I269" i="9"/>
  <c r="C64" i="9"/>
  <c r="O199" i="9"/>
  <c r="F136" i="9"/>
  <c r="K52" i="9"/>
  <c r="I39" i="9"/>
  <c r="F148" i="9"/>
  <c r="I263" i="9"/>
  <c r="C146" i="9"/>
  <c r="I255" i="9"/>
  <c r="C108" i="9"/>
  <c r="I141" i="9"/>
  <c r="G72" i="3"/>
  <c r="C36" i="9"/>
  <c r="O221" i="9"/>
  <c r="O64" i="3"/>
  <c r="I77" i="9"/>
  <c r="C117" i="9"/>
  <c r="K7" i="3"/>
  <c r="K151" i="9"/>
  <c r="K60" i="9"/>
  <c r="F253" i="9"/>
  <c r="K212" i="9"/>
  <c r="E257" i="9"/>
  <c r="C189" i="9"/>
  <c r="N255" i="9"/>
  <c r="F46" i="9"/>
  <c r="L112" i="9"/>
  <c r="N65" i="9"/>
  <c r="E111" i="9"/>
  <c r="K223" i="9"/>
  <c r="F60" i="9"/>
  <c r="F258" i="9"/>
  <c r="O212" i="9"/>
  <c r="O137" i="9"/>
  <c r="H157" i="9"/>
  <c r="L217" i="9"/>
  <c r="N28" i="9"/>
  <c r="E37" i="9"/>
  <c r="H271" i="9"/>
  <c r="L82" i="9"/>
  <c r="E186" i="9"/>
  <c r="C82" i="9"/>
  <c r="N50" i="9"/>
  <c r="N66" i="9"/>
  <c r="H45" i="9"/>
  <c r="C241" i="9"/>
  <c r="E81" i="9"/>
  <c r="N142" i="9"/>
  <c r="C228" i="9"/>
  <c r="H124" i="9"/>
  <c r="I146" i="9"/>
  <c r="C257" i="9"/>
  <c r="L193" i="9"/>
  <c r="C149" i="9"/>
  <c r="L226" i="9"/>
  <c r="N110" i="9"/>
  <c r="H73" i="9"/>
  <c r="E84" i="9"/>
  <c r="K182" i="9"/>
  <c r="F24" i="9"/>
  <c r="N233" i="9"/>
  <c r="E128" i="9"/>
  <c r="O225" i="9"/>
  <c r="G40" i="3"/>
  <c r="N197" i="9"/>
  <c r="E175" i="9"/>
  <c r="C71" i="9"/>
  <c r="O265" i="9"/>
  <c r="L260" i="9"/>
  <c r="I47" i="9"/>
  <c r="K200" i="9"/>
  <c r="H90" i="9"/>
  <c r="E72" i="9"/>
  <c r="K215" i="9"/>
  <c r="C271" i="9"/>
  <c r="F235" i="9"/>
  <c r="H233" i="9"/>
  <c r="I148" i="9"/>
  <c r="L153" i="9"/>
  <c r="O228" i="9"/>
  <c r="C62" i="9"/>
  <c r="K24" i="3"/>
  <c r="N204" i="9"/>
  <c r="O87" i="9"/>
  <c r="I238" i="9"/>
  <c r="F77" i="9"/>
  <c r="O183" i="9"/>
  <c r="O264" i="9"/>
  <c r="H28" i="9"/>
  <c r="I51" i="9"/>
  <c r="I142" i="9"/>
  <c r="O271" i="9"/>
  <c r="F124" i="9"/>
  <c r="F73" i="9"/>
  <c r="O142" i="9"/>
  <c r="E259" i="9"/>
  <c r="O36" i="3"/>
  <c r="C127" i="9"/>
  <c r="E184" i="9"/>
  <c r="K238" i="9"/>
  <c r="K42" i="9"/>
  <c r="O136" i="9"/>
  <c r="H276" i="9"/>
  <c r="O144" i="9"/>
  <c r="H85" i="9"/>
  <c r="N162" i="9"/>
  <c r="E102" i="9"/>
  <c r="K34" i="9"/>
  <c r="O232" i="9"/>
  <c r="L51" i="9"/>
  <c r="K14" i="3"/>
  <c r="C41" i="9"/>
  <c r="C111" i="9"/>
  <c r="E26" i="9"/>
  <c r="I123" i="9"/>
  <c r="I31" i="9"/>
  <c r="H79" i="9"/>
  <c r="K38" i="3"/>
  <c r="I194" i="9"/>
  <c r="F156" i="9"/>
  <c r="C38" i="9"/>
  <c r="E260" i="9"/>
  <c r="I178" i="9"/>
  <c r="I158" i="9"/>
  <c r="C90" i="9"/>
  <c r="F84" i="9"/>
  <c r="K41" i="9"/>
  <c r="F74" i="9"/>
  <c r="L27" i="9"/>
  <c r="K224" i="9"/>
  <c r="C79" i="9"/>
  <c r="E264" i="9"/>
  <c r="E238" i="9"/>
  <c r="L142" i="9"/>
  <c r="K213" i="9"/>
  <c r="O47" i="3"/>
  <c r="F145" i="9"/>
  <c r="K71" i="3"/>
  <c r="E229" i="9"/>
  <c r="H23" i="9"/>
  <c r="L189" i="9"/>
  <c r="H84" i="9"/>
  <c r="C50" i="9"/>
  <c r="C74" i="9"/>
  <c r="E149" i="9"/>
  <c r="N67" i="9"/>
  <c r="C98" i="9"/>
  <c r="I105" i="9"/>
  <c r="K162" i="9"/>
  <c r="K58" i="3"/>
  <c r="E160" i="9"/>
  <c r="I157" i="9"/>
  <c r="F42" i="9"/>
  <c r="E230" i="9"/>
  <c r="N52" i="9"/>
  <c r="C162" i="9"/>
  <c r="F114" i="9"/>
  <c r="F228" i="9"/>
  <c r="K14" i="5"/>
  <c r="H148" i="9"/>
  <c r="H254" i="9"/>
  <c r="L48" i="9"/>
  <c r="L275" i="9"/>
  <c r="E258" i="9"/>
  <c r="F141" i="9"/>
  <c r="K165" i="9"/>
  <c r="C229" i="9"/>
  <c r="F22" i="9"/>
  <c r="H226" i="9"/>
  <c r="F112" i="9"/>
  <c r="L83" i="9"/>
  <c r="C226" i="9"/>
  <c r="K56" i="3"/>
  <c r="N87" i="9"/>
  <c r="C186" i="9"/>
  <c r="N62" i="9"/>
  <c r="O213" i="9"/>
  <c r="C26" i="9"/>
  <c r="F72" i="9"/>
  <c r="H141" i="9"/>
  <c r="H112" i="9"/>
  <c r="N225" i="9"/>
  <c r="L103" i="9"/>
  <c r="E204" i="9"/>
  <c r="O23" i="9"/>
  <c r="E105" i="9"/>
  <c r="O158" i="9"/>
  <c r="C30" i="9"/>
  <c r="O45" i="9"/>
  <c r="N128" i="9"/>
  <c r="F279" i="9"/>
  <c r="N177" i="9"/>
  <c r="K34" i="3"/>
  <c r="K40" i="9"/>
  <c r="H236" i="9"/>
  <c r="I84" i="9"/>
  <c r="I126" i="9"/>
  <c r="L198" i="9"/>
  <c r="I160" i="9"/>
  <c r="O191" i="9"/>
  <c r="O187" i="9"/>
  <c r="N191" i="9"/>
  <c r="O67" i="9"/>
  <c r="L123" i="9"/>
  <c r="K84" i="9"/>
  <c r="F190" i="9"/>
  <c r="C34" i="9"/>
  <c r="K48" i="3"/>
  <c r="C161" i="9"/>
  <c r="E203" i="9"/>
  <c r="H224" i="9"/>
  <c r="C190" i="9"/>
  <c r="E144" i="9"/>
  <c r="K110" i="9"/>
  <c r="K118" i="9"/>
  <c r="O70" i="3"/>
  <c r="I262" i="9"/>
  <c r="C141" i="9"/>
  <c r="E178" i="9"/>
  <c r="G41" i="3"/>
  <c r="C191" i="9"/>
  <c r="I260" i="9"/>
  <c r="E27" i="9"/>
  <c r="I159" i="9"/>
  <c r="F202" i="9"/>
  <c r="C203" i="9"/>
  <c r="E166" i="9"/>
  <c r="L100" i="9"/>
  <c r="E138" i="9"/>
  <c r="L272" i="9"/>
  <c r="L30" i="9"/>
  <c r="H216" i="9"/>
  <c r="E241" i="9"/>
  <c r="C123" i="9"/>
  <c r="N77" i="9"/>
  <c r="L274" i="9"/>
  <c r="O269" i="9"/>
  <c r="K180" i="9"/>
  <c r="C180" i="9"/>
  <c r="F100" i="9"/>
  <c r="K10" i="3"/>
  <c r="K108" i="9"/>
  <c r="K89" i="9"/>
  <c r="G75" i="3"/>
  <c r="F189" i="9"/>
  <c r="H151" i="9"/>
  <c r="F49" i="9"/>
  <c r="K25" i="5"/>
  <c r="F174" i="9"/>
  <c r="I99" i="9"/>
  <c r="L137" i="9"/>
  <c r="L98" i="9"/>
  <c r="N216" i="9"/>
  <c r="I196" i="9"/>
  <c r="F227" i="9"/>
  <c r="C42" i="9"/>
  <c r="H37" i="9"/>
  <c r="F183" i="9"/>
  <c r="K137" i="9"/>
  <c r="L161" i="9"/>
  <c r="N252" i="9"/>
  <c r="L196" i="9"/>
  <c r="H242" i="9"/>
  <c r="O81" i="9"/>
  <c r="I118" i="9"/>
  <c r="O58" i="3"/>
  <c r="N237" i="9"/>
  <c r="E235" i="9"/>
  <c r="F52" i="9"/>
  <c r="F25" i="9"/>
  <c r="C106" i="9"/>
  <c r="I125" i="9"/>
  <c r="O122" i="9"/>
  <c r="C275" i="9"/>
  <c r="C23" i="9"/>
  <c r="E113" i="9"/>
  <c r="F119" i="9"/>
  <c r="O46" i="3"/>
  <c r="H191" i="9"/>
  <c r="E145" i="9"/>
  <c r="C258" i="9"/>
  <c r="K19" i="3"/>
  <c r="N262" i="9"/>
  <c r="O197" i="9"/>
  <c r="E48" i="9"/>
  <c r="C43" i="9"/>
  <c r="K107" i="9"/>
  <c r="O76" i="9"/>
  <c r="H275" i="9"/>
  <c r="C242" i="9"/>
  <c r="C105" i="9"/>
  <c r="H264" i="9"/>
  <c r="F280" i="9"/>
  <c r="L43" i="9"/>
  <c r="K141" i="9"/>
  <c r="I36" i="9"/>
  <c r="F153" i="9"/>
  <c r="C261" i="9"/>
  <c r="E214" i="9"/>
  <c r="O268" i="9"/>
  <c r="O186" i="9"/>
  <c r="O52" i="9"/>
  <c r="K153" i="9"/>
  <c r="F237" i="9"/>
  <c r="H48" i="9"/>
  <c r="O45" i="3"/>
  <c r="E196" i="9"/>
  <c r="L28" i="9"/>
  <c r="C150" i="9"/>
  <c r="O127" i="9"/>
  <c r="O84" i="9"/>
  <c r="I35" i="9"/>
  <c r="F250" i="9"/>
  <c r="E239" i="9"/>
  <c r="O180" i="9"/>
  <c r="N265" i="9"/>
  <c r="K234" i="9"/>
  <c r="O24" i="9"/>
  <c r="K164" i="9"/>
  <c r="N60" i="9"/>
  <c r="O154" i="9"/>
  <c r="F263" i="9"/>
  <c r="H261" i="9"/>
  <c r="O50" i="9"/>
  <c r="H87" i="9"/>
  <c r="H72" i="9"/>
  <c r="O256" i="9"/>
  <c r="C25" i="9"/>
  <c r="K187" i="9"/>
  <c r="O237" i="9"/>
  <c r="O112" i="9"/>
  <c r="I187" i="9"/>
  <c r="E234" i="9"/>
  <c r="K12" i="3"/>
  <c r="H204" i="9"/>
  <c r="F82" i="9"/>
  <c r="K154" i="9"/>
  <c r="K111" i="9"/>
  <c r="H119" i="9"/>
  <c r="O196" i="9"/>
  <c r="L105" i="9"/>
  <c r="O75" i="3"/>
  <c r="C61" i="9"/>
  <c r="I181" i="9"/>
  <c r="K79" i="9"/>
  <c r="K64" i="9"/>
  <c r="O280" i="9"/>
  <c r="O72" i="3"/>
  <c r="C63" i="9"/>
  <c r="C112" i="9"/>
  <c r="H178" i="9"/>
  <c r="L277" i="9"/>
  <c r="E83" i="9"/>
  <c r="O175" i="9"/>
  <c r="F203" i="9"/>
  <c r="E251" i="9"/>
  <c r="C148" i="9"/>
  <c r="L155" i="9"/>
  <c r="E250" i="9"/>
  <c r="C153" i="9"/>
  <c r="K233" i="9"/>
  <c r="N79" i="9"/>
  <c r="K16" i="3"/>
  <c r="K138" i="9"/>
  <c r="E116" i="9"/>
  <c r="C259" i="9"/>
  <c r="K152" i="9"/>
  <c r="F41" i="9"/>
  <c r="N151" i="9"/>
  <c r="N153" i="9"/>
  <c r="C264" i="9"/>
  <c r="L238" i="9"/>
  <c r="I74" i="9"/>
  <c r="H103" i="9"/>
  <c r="F177" i="9"/>
  <c r="F89" i="9"/>
  <c r="E201" i="9"/>
  <c r="F252" i="9"/>
  <c r="K12" i="5"/>
  <c r="O110" i="9"/>
  <c r="K117" i="9"/>
  <c r="O242" i="9"/>
  <c r="H225" i="9"/>
  <c r="O60" i="3"/>
  <c r="N75" i="9"/>
  <c r="C151" i="9"/>
  <c r="O31" i="3"/>
  <c r="E141" i="9"/>
  <c r="K81" i="9"/>
  <c r="E34" i="9"/>
  <c r="E44" i="9"/>
  <c r="I175" i="9"/>
  <c r="O38" i="3"/>
  <c r="K120" i="9"/>
  <c r="O79" i="9"/>
  <c r="K26" i="9"/>
  <c r="K27" i="9"/>
  <c r="C40" i="9"/>
  <c r="O40" i="3"/>
  <c r="E256" i="9"/>
  <c r="K149" i="9"/>
  <c r="L250" i="9"/>
  <c r="F241" i="9"/>
  <c r="C265" i="9"/>
  <c r="N253" i="9"/>
  <c r="C136" i="9"/>
  <c r="K127" i="9"/>
  <c r="O100" i="9"/>
  <c r="E36" i="9"/>
  <c r="C137" i="9"/>
  <c r="N136" i="9"/>
  <c r="N117" i="9"/>
  <c r="E180" i="9"/>
  <c r="E140" i="9"/>
  <c r="L119" i="9"/>
  <c r="F212" i="9"/>
  <c r="H67" i="9"/>
  <c r="H150" i="9"/>
  <c r="O49" i="9"/>
  <c r="F276" i="9"/>
  <c r="L268" i="9"/>
  <c r="L188" i="9"/>
  <c r="L115" i="9"/>
  <c r="K142" i="9"/>
  <c r="C277" i="9"/>
  <c r="K60" i="3"/>
  <c r="C204" i="9"/>
  <c r="H239" i="9"/>
  <c r="K119" i="9"/>
  <c r="I100" i="9"/>
  <c r="F164" i="9"/>
  <c r="K98" i="9"/>
  <c r="O56" i="3"/>
  <c r="O36" i="9"/>
  <c r="L222" i="9"/>
  <c r="L253" i="9"/>
  <c r="I226" i="9"/>
  <c r="O43" i="3"/>
  <c r="N183" i="9"/>
  <c r="N232" i="9"/>
  <c r="N113" i="9"/>
  <c r="C160" i="9"/>
  <c r="K43" i="3"/>
  <c r="I256" i="9"/>
  <c r="I214" i="9"/>
  <c r="N175" i="9"/>
  <c r="F265" i="9"/>
  <c r="O74" i="9"/>
  <c r="O33" i="3"/>
  <c r="I156" i="9"/>
  <c r="E225" i="9"/>
  <c r="I223" i="9"/>
  <c r="L34" i="9"/>
  <c r="E77" i="9"/>
  <c r="N63" i="9"/>
  <c r="I37" i="9"/>
  <c r="F184" i="9"/>
  <c r="L231" i="9"/>
  <c r="E46" i="9"/>
  <c r="C77" i="9"/>
  <c r="K25" i="3"/>
  <c r="I128" i="9"/>
  <c r="K99" i="9"/>
  <c r="G56" i="3"/>
  <c r="H142" i="9"/>
  <c r="I143" i="9"/>
  <c r="K219" i="9"/>
  <c r="O114" i="9"/>
  <c r="G59" i="3"/>
  <c r="C152" i="9"/>
  <c r="F201" i="9"/>
  <c r="K101" i="9"/>
  <c r="O220" i="9"/>
  <c r="I102" i="9"/>
  <c r="I186" i="9"/>
  <c r="K237" i="9"/>
  <c r="E187" i="9"/>
  <c r="I191" i="9"/>
  <c r="L139" i="9"/>
  <c r="H176" i="9"/>
  <c r="O178" i="9"/>
  <c r="F238" i="9"/>
  <c r="O160" i="9"/>
  <c r="H122" i="9"/>
  <c r="L126" i="9"/>
  <c r="H161" i="9"/>
  <c r="E89" i="9"/>
  <c r="I253" i="9"/>
  <c r="E240" i="9"/>
  <c r="F66" i="9"/>
  <c r="F274" i="9"/>
  <c r="I229" i="9"/>
  <c r="L89" i="9"/>
  <c r="K221" i="9"/>
  <c r="L50" i="9"/>
  <c r="K280" i="9"/>
  <c r="K179" i="9"/>
  <c r="O66" i="3"/>
  <c r="C138" i="9"/>
  <c r="I52" i="9"/>
  <c r="E153" i="9"/>
  <c r="L221" i="9"/>
  <c r="C220" i="9"/>
  <c r="I60" i="9"/>
  <c r="F179" i="9"/>
  <c r="H40" i="9"/>
  <c r="I230" i="9"/>
  <c r="N268" i="9"/>
  <c r="H258" i="9"/>
  <c r="F31" i="9"/>
  <c r="I272" i="9"/>
  <c r="O60" i="9"/>
  <c r="O74" i="3"/>
  <c r="F163" i="9"/>
  <c r="E185" i="9"/>
  <c r="H139" i="9"/>
  <c r="F273" i="9"/>
  <c r="E104" i="9"/>
  <c r="H265" i="9"/>
  <c r="E263" i="9"/>
  <c r="O226" i="9"/>
  <c r="L149" i="9"/>
  <c r="I184" i="9"/>
  <c r="K23" i="3"/>
  <c r="I114" i="9"/>
  <c r="E109" i="9"/>
  <c r="N107" i="9"/>
  <c r="L273" i="9"/>
  <c r="C33" i="9"/>
  <c r="I138" i="9"/>
  <c r="N279" i="9"/>
  <c r="E271" i="9"/>
  <c r="I66" i="9"/>
  <c r="H100" i="9"/>
  <c r="I180" i="9"/>
  <c r="I217" i="9"/>
  <c r="I164" i="9"/>
  <c r="K33" i="3"/>
  <c r="H231" i="9"/>
  <c r="N22" i="9"/>
  <c r="O46" i="9"/>
  <c r="H256" i="9"/>
  <c r="F194" i="9"/>
  <c r="E86" i="9"/>
  <c r="F214" i="9"/>
  <c r="L252" i="9"/>
  <c r="L63" i="9"/>
  <c r="E52" i="9"/>
  <c r="H47" i="9"/>
  <c r="E45" i="9"/>
  <c r="L164" i="9"/>
  <c r="O274" i="9"/>
  <c r="N261" i="9"/>
  <c r="I233" i="9"/>
  <c r="L185" i="9"/>
  <c r="N254" i="9"/>
  <c r="E268" i="9"/>
  <c r="O39" i="9"/>
  <c r="F272" i="9"/>
  <c r="H251" i="9"/>
  <c r="C196" i="9"/>
  <c r="O161" i="9"/>
  <c r="I242" i="9"/>
  <c r="C197" i="9"/>
  <c r="C176" i="9"/>
  <c r="L264" i="9"/>
  <c r="L75" i="9"/>
  <c r="L227" i="9"/>
  <c r="O151" i="9"/>
  <c r="C35" i="9"/>
  <c r="O218" i="9"/>
  <c r="E114" i="9"/>
  <c r="N195" i="9"/>
  <c r="K46" i="3"/>
  <c r="H215" i="9"/>
  <c r="K50" i="9"/>
  <c r="N90" i="9"/>
  <c r="N235" i="9"/>
  <c r="I231" i="9"/>
  <c r="K64" i="3"/>
  <c r="F34" i="9"/>
  <c r="N38" i="9"/>
  <c r="O32" i="9"/>
  <c r="H272" i="9"/>
  <c r="K17" i="5"/>
  <c r="I70" i="9"/>
  <c r="O240" i="9"/>
  <c r="O147" i="9"/>
  <c r="C52" i="9"/>
  <c r="I119" i="9"/>
  <c r="K239" i="9"/>
  <c r="H36" i="9"/>
  <c r="I195" i="9"/>
  <c r="K25" i="9"/>
  <c r="K66" i="9"/>
  <c r="F35" i="9"/>
  <c r="O157" i="9"/>
  <c r="E157" i="9"/>
  <c r="K31" i="9"/>
  <c r="H113" i="9"/>
  <c r="E174" i="9"/>
  <c r="E71" i="9"/>
  <c r="K156" i="9"/>
  <c r="C119" i="9"/>
  <c r="K41" i="3"/>
  <c r="H260" i="9"/>
  <c r="C39" i="9"/>
  <c r="L116" i="9"/>
  <c r="F271" i="9"/>
  <c r="F110" i="9"/>
  <c r="E198" i="9"/>
  <c r="H30" i="9"/>
  <c r="F269" i="9"/>
  <c r="I268" i="9"/>
  <c r="H228" i="9"/>
  <c r="E269" i="9"/>
  <c r="O28" i="9"/>
  <c r="N127" i="9"/>
  <c r="H252" i="9"/>
  <c r="K147" i="9"/>
  <c r="N238" i="9"/>
  <c r="K43" i="9"/>
  <c r="K196" i="9"/>
  <c r="L183" i="9"/>
  <c r="H149" i="9"/>
  <c r="G37" i="3"/>
  <c r="N46" i="9"/>
  <c r="L49" i="9"/>
  <c r="N258" i="9"/>
  <c r="C239" i="9"/>
  <c r="K186" i="9"/>
  <c r="F80" i="9"/>
  <c r="E270" i="9"/>
  <c r="O98" i="9"/>
  <c r="C76" i="9"/>
  <c r="I251" i="9"/>
  <c r="F107" i="9"/>
  <c r="N36" i="9"/>
  <c r="F158" i="9"/>
  <c r="N260" i="9"/>
  <c r="F76" i="9"/>
  <c r="K42" i="3"/>
  <c r="E182" i="9"/>
  <c r="H174" i="9"/>
  <c r="L113" i="9"/>
  <c r="L212" i="9"/>
  <c r="C103" i="9"/>
  <c r="I45" i="9"/>
  <c r="I204" i="9"/>
  <c r="K88" i="9"/>
  <c r="K217" i="9"/>
  <c r="L255" i="9"/>
  <c r="K258" i="9"/>
  <c r="K51" i="9"/>
  <c r="G42" i="3"/>
  <c r="L233" i="9"/>
  <c r="K17" i="3"/>
  <c r="C227" i="9"/>
  <c r="F120" i="9"/>
  <c r="O234" i="9"/>
  <c r="K177" i="9"/>
  <c r="C267" i="9"/>
  <c r="N25" i="9"/>
  <c r="E162" i="9"/>
  <c r="O270" i="9"/>
  <c r="O22" i="9"/>
  <c r="L187" i="9"/>
  <c r="N83" i="9"/>
  <c r="I212" i="9"/>
  <c r="O273" i="9"/>
  <c r="I69" i="9"/>
  <c r="C109" i="9"/>
  <c r="I73" i="9"/>
  <c r="E150" i="9"/>
  <c r="K24" i="9"/>
  <c r="C222" i="9"/>
  <c r="K73" i="9"/>
  <c r="K256" i="9"/>
  <c r="K21" i="3"/>
  <c r="H46" i="9"/>
  <c r="C70" i="9"/>
  <c r="O115" i="9"/>
  <c r="F99" i="9"/>
  <c r="O277" i="9"/>
  <c r="N156" i="9"/>
  <c r="F236" i="9"/>
  <c r="O223" i="9"/>
  <c r="N43" i="9"/>
  <c r="E118" i="9"/>
  <c r="K59" i="3"/>
  <c r="E146" i="9"/>
  <c r="O145" i="9"/>
  <c r="I201" i="9"/>
  <c r="G44" i="3"/>
  <c r="O70" i="9"/>
  <c r="E183" i="9"/>
  <c r="E22" i="9"/>
  <c r="O51" i="9"/>
  <c r="N125" i="9"/>
  <c r="N228" i="9"/>
  <c r="C269" i="9"/>
  <c r="K103" i="9"/>
  <c r="H262" i="9"/>
  <c r="E189" i="9"/>
  <c r="C87" i="9"/>
  <c r="L90" i="9"/>
  <c r="K268" i="9"/>
  <c r="N199" i="9"/>
  <c r="K109" i="9"/>
  <c r="H51" i="9"/>
  <c r="G39" i="3"/>
  <c r="C216" i="9"/>
  <c r="L235" i="9"/>
  <c r="L261" i="9"/>
  <c r="C88" i="9"/>
  <c r="C114" i="9"/>
  <c r="H101" i="9"/>
  <c r="H199" i="9"/>
  <c r="O251" i="9"/>
  <c r="G31" i="3"/>
  <c r="F229" i="9"/>
  <c r="H214" i="9"/>
  <c r="H66" i="9"/>
  <c r="I174" i="9"/>
  <c r="O107" i="9"/>
  <c r="C213" i="9"/>
  <c r="O165" i="9"/>
  <c r="O204" i="9"/>
  <c r="E66" i="9"/>
  <c r="K70" i="3"/>
  <c r="F137" i="9"/>
  <c r="K19" i="5"/>
  <c r="C178" i="9"/>
  <c r="N61" i="9"/>
  <c r="K261" i="9"/>
  <c r="K240" i="9"/>
  <c r="H238" i="9"/>
  <c r="G63" i="3"/>
  <c r="E163" i="9"/>
  <c r="C185" i="9"/>
  <c r="L76" i="9"/>
  <c r="H280" i="9"/>
  <c r="C115" i="9"/>
  <c r="F68" i="9"/>
  <c r="I149" i="9"/>
  <c r="K22" i="9"/>
  <c r="K148" i="9"/>
  <c r="H65" i="9"/>
  <c r="O32" i="3"/>
  <c r="L70" i="9"/>
  <c r="C164" i="9"/>
  <c r="L191" i="9"/>
  <c r="N101" i="9"/>
  <c r="I277" i="9"/>
  <c r="E224" i="9"/>
  <c r="L74" i="9"/>
  <c r="H177" i="9"/>
  <c r="E277" i="9"/>
  <c r="F67" i="9"/>
  <c r="F159" i="9"/>
  <c r="C212" i="9"/>
  <c r="L181" i="9"/>
  <c r="O43" i="9"/>
  <c r="K46" i="9"/>
  <c r="K146" i="9"/>
  <c r="C89" i="9"/>
  <c r="O182" i="9"/>
  <c r="O252" i="9"/>
  <c r="F144" i="9"/>
  <c r="C49" i="9"/>
  <c r="N214" i="9"/>
  <c r="K39" i="9"/>
  <c r="L240" i="9"/>
  <c r="L67" i="9"/>
  <c r="K188" i="9"/>
  <c r="K39" i="3"/>
  <c r="F30" i="9"/>
  <c r="H250" i="9"/>
  <c r="N267" i="9"/>
  <c r="I176" i="9"/>
  <c r="E23" i="9"/>
  <c r="H128" i="9"/>
  <c r="K128" i="9"/>
  <c r="L175" i="9"/>
  <c r="I24" i="9"/>
  <c r="N100" i="9"/>
  <c r="K163" i="9"/>
  <c r="F146" i="9"/>
  <c r="C68" i="9"/>
  <c r="H83" i="9"/>
  <c r="F161" i="9"/>
  <c r="N157" i="9"/>
  <c r="F224" i="9"/>
  <c r="C99" i="9"/>
  <c r="F36" i="9"/>
  <c r="L118" i="9"/>
  <c r="K160" i="9"/>
  <c r="I29" i="9"/>
  <c r="F63" i="9"/>
  <c r="I227" i="9"/>
  <c r="L37" i="9"/>
  <c r="C215" i="9"/>
  <c r="K218" i="9"/>
  <c r="H77" i="9"/>
  <c r="H99" i="9"/>
  <c r="O258" i="9"/>
  <c r="O59" i="3"/>
  <c r="E75" i="9"/>
  <c r="O141" i="9"/>
  <c r="I274" i="9"/>
  <c r="F45" i="9"/>
  <c r="L146" i="9"/>
  <c r="C32" i="9"/>
  <c r="K113" i="9"/>
  <c r="C104" i="9"/>
  <c r="K78" i="9"/>
  <c r="F79" i="9"/>
  <c r="L150" i="9"/>
  <c r="G48" i="3"/>
  <c r="C195" i="9"/>
  <c r="K266" i="9"/>
  <c r="H219" i="9"/>
  <c r="E202" i="9"/>
  <c r="N166" i="9"/>
  <c r="H259" i="9"/>
  <c r="C268" i="9"/>
  <c r="K16" i="5"/>
  <c r="I252" i="9"/>
  <c r="L166" i="9"/>
  <c r="C200" i="9"/>
  <c r="N174" i="9"/>
  <c r="H196" i="9"/>
  <c r="F187" i="9"/>
  <c r="K37" i="9"/>
  <c r="O40" i="9"/>
  <c r="K112" i="9"/>
  <c r="C214" i="9"/>
  <c r="E29" i="9"/>
  <c r="O73" i="3"/>
  <c r="K124" i="9"/>
  <c r="O231" i="9"/>
  <c r="G49" i="3"/>
  <c r="C266" i="9"/>
  <c r="L186" i="9"/>
  <c r="N163" i="9"/>
  <c r="L254" i="9"/>
  <c r="H86" i="9"/>
  <c r="E200" i="9"/>
  <c r="E70" i="9"/>
  <c r="I65" i="9"/>
  <c r="N276" i="9"/>
  <c r="F71" i="9"/>
  <c r="I117" i="9"/>
  <c r="N39" i="9"/>
  <c r="I80" i="9"/>
  <c r="I240" i="9"/>
  <c r="C46" i="9"/>
  <c r="I71" i="9"/>
  <c r="E61" i="9"/>
  <c r="E62" i="9"/>
  <c r="F40" i="9"/>
  <c r="O143" i="9"/>
  <c r="O214" i="9"/>
  <c r="H50" i="9"/>
  <c r="C221" i="9"/>
  <c r="N26" i="9"/>
  <c r="E50" i="9"/>
  <c r="G66" i="3"/>
  <c r="E193" i="9"/>
  <c r="H64" i="9"/>
  <c r="F264" i="9"/>
  <c r="L108" i="9"/>
  <c r="C217" i="9"/>
  <c r="H189" i="9"/>
  <c r="F69" i="9"/>
  <c r="C255" i="9"/>
  <c r="K229" i="9"/>
  <c r="K214" i="9"/>
  <c r="E51" i="9"/>
  <c r="E74" i="9"/>
  <c r="O29" i="9"/>
  <c r="I61" i="9"/>
  <c r="K71" i="9"/>
  <c r="H202" i="9"/>
  <c r="L64" i="9"/>
  <c r="N275" i="9"/>
  <c r="C44" i="9"/>
  <c r="C65" i="9"/>
  <c r="N143" i="9"/>
  <c r="K122" i="9"/>
  <c r="H160" i="9"/>
  <c r="O193" i="9"/>
  <c r="L199" i="9"/>
  <c r="K67" i="9"/>
  <c r="L46" i="9"/>
  <c r="K57" i="3"/>
  <c r="L228" i="9"/>
  <c r="C250" i="9"/>
  <c r="K158" i="9"/>
  <c r="F261" i="9"/>
  <c r="N277" i="9"/>
  <c r="N106" i="9"/>
  <c r="O83" i="9"/>
  <c r="N73" i="9"/>
  <c r="I163" i="9"/>
  <c r="K253" i="9"/>
  <c r="O241" i="9"/>
  <c r="E142" i="9"/>
  <c r="K175" i="9"/>
  <c r="L81" i="9"/>
  <c r="E108" i="9"/>
  <c r="N139" i="9"/>
  <c r="E266" i="9"/>
  <c r="I107" i="9"/>
  <c r="K28" i="9"/>
  <c r="K161" i="9"/>
  <c r="H98" i="9"/>
  <c r="I154" i="9"/>
  <c r="I275" i="9"/>
  <c r="N213" i="9"/>
  <c r="K174" i="9"/>
  <c r="E136" i="9"/>
  <c r="O62" i="3"/>
  <c r="I179" i="9"/>
  <c r="H152" i="9"/>
  <c r="L158" i="9"/>
  <c r="K22" i="3"/>
  <c r="E117" i="9"/>
  <c r="O278" i="9"/>
  <c r="E41" i="9"/>
  <c r="N272" i="9"/>
  <c r="N144" i="9"/>
  <c r="E90" i="9"/>
  <c r="I177" i="9"/>
  <c r="E155" i="9"/>
  <c r="H138" i="9"/>
  <c r="H120" i="9"/>
  <c r="K80" i="9"/>
  <c r="F239" i="9"/>
  <c r="K236" i="9"/>
  <c r="H81" i="9"/>
  <c r="L276" i="9"/>
  <c r="C124" i="9"/>
  <c r="F162" i="9"/>
  <c r="F218" i="9"/>
  <c r="K192" i="9"/>
  <c r="O267" i="9"/>
  <c r="C252" i="9"/>
  <c r="O190" i="9"/>
  <c r="N81" i="9"/>
  <c r="H190" i="9"/>
  <c r="N198" i="9"/>
  <c r="O69" i="3"/>
  <c r="F151" i="9"/>
  <c r="F128" i="9"/>
  <c r="C37" i="9"/>
  <c r="N27" i="9"/>
  <c r="H144" i="9"/>
  <c r="F106" i="9"/>
  <c r="O48" i="9"/>
  <c r="O202" i="9"/>
  <c r="O181" i="9"/>
  <c r="H277" i="9"/>
  <c r="L219" i="9"/>
  <c r="N104" i="9"/>
  <c r="E24" i="9"/>
  <c r="H137" i="9"/>
  <c r="C125" i="9"/>
  <c r="N165" i="9"/>
  <c r="K90" i="9"/>
  <c r="K116" i="9"/>
  <c r="L36" i="9"/>
  <c r="E226" i="9"/>
  <c r="K155" i="9"/>
  <c r="O80" i="9"/>
  <c r="N47" i="9"/>
  <c r="O48" i="3"/>
  <c r="K189" i="9"/>
  <c r="N220" i="9"/>
  <c r="O86" i="9"/>
  <c r="F231" i="9"/>
  <c r="L84" i="9"/>
  <c r="C156" i="9"/>
  <c r="C29" i="9"/>
  <c r="N257" i="9"/>
  <c r="E262" i="9"/>
  <c r="I43" i="9"/>
  <c r="H255" i="9"/>
  <c r="H162" i="9"/>
  <c r="L194" i="9"/>
  <c r="O188" i="9"/>
  <c r="C262" i="9"/>
  <c r="I108" i="9"/>
  <c r="H263" i="9"/>
  <c r="F193" i="9"/>
  <c r="F70" i="9"/>
  <c r="I40" i="9"/>
  <c r="H166" i="9"/>
  <c r="E233" i="9"/>
  <c r="H111" i="9"/>
  <c r="F27" i="9"/>
  <c r="C107" i="9"/>
  <c r="O117" i="9"/>
  <c r="C45" i="9"/>
  <c r="K166" i="9"/>
  <c r="F217" i="9"/>
  <c r="I64" i="9"/>
  <c r="L266" i="9"/>
  <c r="K106" i="9"/>
  <c r="K44" i="3"/>
  <c r="G61" i="3"/>
  <c r="E32" i="9"/>
  <c r="I111" i="9"/>
  <c r="I90" i="9"/>
  <c r="C28" i="9"/>
  <c r="L179" i="9"/>
  <c r="H49" i="9"/>
  <c r="K20" i="5"/>
  <c r="L32" i="9"/>
  <c r="H223" i="9"/>
  <c r="E143" i="9"/>
  <c r="L241" i="9"/>
  <c r="I147" i="9"/>
  <c r="I27" i="9"/>
  <c r="C194" i="9"/>
  <c r="H232" i="9"/>
  <c r="F182" i="9"/>
  <c r="N188" i="9"/>
  <c r="L41" i="9"/>
  <c r="O26" i="9"/>
  <c r="I199" i="9"/>
  <c r="L99" i="9"/>
  <c r="O68" i="3"/>
  <c r="H229" i="9"/>
  <c r="K24" i="5"/>
  <c r="E197" i="9"/>
  <c r="E63" i="9"/>
  <c r="F232" i="9"/>
  <c r="L42" i="9"/>
  <c r="L257" i="9"/>
  <c r="K48" i="9"/>
  <c r="I224" i="9"/>
  <c r="N259" i="9"/>
  <c r="F90" i="9"/>
  <c r="I46" i="9"/>
  <c r="F180" i="9"/>
  <c r="O102" i="9"/>
  <c r="I189" i="9"/>
  <c r="I124" i="9"/>
  <c r="N89" i="9"/>
  <c r="N68" i="9"/>
  <c r="F166" i="9"/>
  <c r="O125" i="9"/>
  <c r="N80" i="9"/>
  <c r="G46" i="3"/>
  <c r="I98" i="9"/>
  <c r="H183" i="9"/>
  <c r="I44" i="9"/>
  <c r="O64" i="9"/>
  <c r="F44" i="9"/>
  <c r="I198" i="9"/>
  <c r="I241" i="9"/>
  <c r="O34" i="3"/>
  <c r="L214" i="9"/>
  <c r="N98" i="9"/>
  <c r="N35" i="9"/>
  <c r="C51" i="9"/>
  <c r="L65" i="9"/>
  <c r="C67" i="9"/>
  <c r="E69" i="9"/>
  <c r="K242" i="9"/>
  <c r="N118" i="9"/>
  <c r="C163" i="9"/>
  <c r="O34" i="9"/>
  <c r="N219" i="9"/>
  <c r="O113" i="9"/>
  <c r="K29" i="9"/>
  <c r="F62" i="9"/>
  <c r="G34" i="3"/>
  <c r="N121" i="9"/>
  <c r="C188" i="9"/>
  <c r="F204" i="9"/>
  <c r="N230" i="9"/>
  <c r="C144" i="9"/>
  <c r="L236" i="9"/>
  <c r="K47" i="9"/>
  <c r="L190" i="9"/>
  <c r="O77" i="9"/>
  <c r="F152" i="9"/>
  <c r="O120" i="9"/>
  <c r="C147" i="9"/>
  <c r="L29" i="9"/>
  <c r="N190" i="9"/>
  <c r="N224" i="9"/>
  <c r="L165" i="9"/>
  <c r="F111" i="9"/>
  <c r="K194" i="9"/>
  <c r="K75" i="3"/>
  <c r="K105" i="9"/>
  <c r="L178" i="9"/>
  <c r="I140" i="9"/>
  <c r="N266" i="9"/>
  <c r="N141" i="9"/>
  <c r="F191" i="9"/>
  <c r="K197" i="9"/>
  <c r="L72" i="9"/>
  <c r="O33" i="9"/>
  <c r="K68" i="9"/>
  <c r="E126" i="9"/>
  <c r="E164" i="9"/>
  <c r="N203" i="9"/>
  <c r="E236" i="9"/>
  <c r="N105" i="9"/>
  <c r="G58" i="3"/>
  <c r="H102" i="9"/>
  <c r="L148" i="9"/>
  <c r="C139" i="9"/>
  <c r="H212" i="9"/>
  <c r="H184" i="9"/>
  <c r="H63" i="9"/>
  <c r="H220" i="9"/>
  <c r="O108" i="9"/>
  <c r="D139" i="9" l="1"/>
  <c r="M139" i="9"/>
  <c r="G139" i="9"/>
  <c r="J139" i="9"/>
  <c r="H58" i="3"/>
  <c r="J58" i="3"/>
  <c r="I58" i="3"/>
  <c r="L75" i="3"/>
  <c r="M75" i="3"/>
  <c r="N75" i="3"/>
  <c r="D147" i="9"/>
  <c r="M147" i="9"/>
  <c r="J147" i="9"/>
  <c r="G147" i="9"/>
  <c r="G144" i="9"/>
  <c r="M144" i="9"/>
  <c r="J144" i="9"/>
  <c r="D144" i="9"/>
  <c r="D188" i="9"/>
  <c r="M188" i="9"/>
  <c r="G188" i="9"/>
  <c r="J188" i="9"/>
  <c r="I34" i="3"/>
  <c r="H34" i="3"/>
  <c r="J34" i="3"/>
  <c r="D163" i="9"/>
  <c r="M163" i="9"/>
  <c r="J163" i="9"/>
  <c r="G163" i="9"/>
  <c r="G67" i="9"/>
  <c r="M67" i="9"/>
  <c r="J67" i="9"/>
  <c r="D67" i="9"/>
  <c r="G51" i="9"/>
  <c r="M51" i="9"/>
  <c r="J51" i="9"/>
  <c r="D51" i="9"/>
  <c r="R34" i="3"/>
  <c r="P34" i="3"/>
  <c r="Q34" i="3"/>
  <c r="I130" i="9"/>
  <c r="H130" i="9" s="1"/>
  <c r="G6" i="9" s="1"/>
  <c r="J46" i="3"/>
  <c r="I46" i="3"/>
  <c r="H46" i="3"/>
  <c r="M24" i="5"/>
  <c r="N24" i="5"/>
  <c r="L24" i="5"/>
  <c r="Q68" i="3"/>
  <c r="R68" i="3"/>
  <c r="P68" i="3"/>
  <c r="D194" i="9"/>
  <c r="G194" i="9"/>
  <c r="J194" i="9"/>
  <c r="M194" i="9"/>
  <c r="M20" i="5"/>
  <c r="L20" i="5"/>
  <c r="N20" i="5"/>
  <c r="G28" i="9"/>
  <c r="D28" i="9"/>
  <c r="J28" i="9"/>
  <c r="M28" i="9"/>
  <c r="J61" i="3"/>
  <c r="H61" i="3"/>
  <c r="I61" i="3"/>
  <c r="N44" i="3"/>
  <c r="L44" i="3"/>
  <c r="M44" i="3"/>
  <c r="D45" i="9"/>
  <c r="M45" i="9"/>
  <c r="J45" i="9"/>
  <c r="G45" i="9"/>
  <c r="D107" i="9"/>
  <c r="G107" i="9"/>
  <c r="J107" i="9"/>
  <c r="M107" i="9"/>
  <c r="M262" i="9"/>
  <c r="J262" i="9"/>
  <c r="G262" i="9"/>
  <c r="D262" i="9"/>
  <c r="G29" i="9"/>
  <c r="M29" i="9"/>
  <c r="D29" i="9"/>
  <c r="J29" i="9"/>
  <c r="D156" i="9"/>
  <c r="M156" i="9"/>
  <c r="J156" i="9"/>
  <c r="G156" i="9"/>
  <c r="R48" i="3"/>
  <c r="Q48" i="3"/>
  <c r="P48" i="3"/>
  <c r="M125" i="9"/>
  <c r="J125" i="9"/>
  <c r="G125" i="9"/>
  <c r="D125" i="9"/>
  <c r="J37" i="9"/>
  <c r="M37" i="9"/>
  <c r="D37" i="9"/>
  <c r="G37" i="9"/>
  <c r="Q69" i="3"/>
  <c r="P69" i="3"/>
  <c r="R69" i="3"/>
  <c r="M252" i="9"/>
  <c r="G252" i="9"/>
  <c r="D252" i="9"/>
  <c r="J252" i="9"/>
  <c r="J124" i="9"/>
  <c r="M124" i="9"/>
  <c r="D124" i="9"/>
  <c r="G124" i="9"/>
  <c r="N22" i="3"/>
  <c r="L22" i="3"/>
  <c r="M22" i="3"/>
  <c r="R62" i="3"/>
  <c r="P62" i="3"/>
  <c r="Q62" i="3"/>
  <c r="J250" i="9"/>
  <c r="M250" i="9"/>
  <c r="G250" i="9"/>
  <c r="D250" i="9"/>
  <c r="C282" i="9"/>
  <c r="M57" i="3"/>
  <c r="L57" i="3"/>
  <c r="N57" i="3"/>
  <c r="G65" i="9"/>
  <c r="J65" i="9"/>
  <c r="D65" i="9"/>
  <c r="M65" i="9"/>
  <c r="G44" i="9"/>
  <c r="J44" i="9"/>
  <c r="M44" i="9"/>
  <c r="D44" i="9"/>
  <c r="G255" i="9"/>
  <c r="M255" i="9"/>
  <c r="J255" i="9"/>
  <c r="D255" i="9"/>
  <c r="D217" i="9"/>
  <c r="J217" i="9"/>
  <c r="M217" i="9"/>
  <c r="G217" i="9"/>
  <c r="J66" i="3"/>
  <c r="I66" i="3"/>
  <c r="H66" i="3"/>
  <c r="M221" i="9"/>
  <c r="G221" i="9"/>
  <c r="J221" i="9"/>
  <c r="D221" i="9"/>
  <c r="G46" i="9"/>
  <c r="D46" i="9"/>
  <c r="J46" i="9"/>
  <c r="M46" i="9"/>
  <c r="M266" i="9"/>
  <c r="G266" i="9"/>
  <c r="D266" i="9"/>
  <c r="J266" i="9"/>
  <c r="J49" i="3"/>
  <c r="I49" i="3"/>
  <c r="H49" i="3"/>
  <c r="Q73" i="3"/>
  <c r="R73" i="3"/>
  <c r="P73" i="3"/>
  <c r="G214" i="9"/>
  <c r="M214" i="9"/>
  <c r="D214" i="9"/>
  <c r="J214" i="9"/>
  <c r="M200" i="9"/>
  <c r="G200" i="9"/>
  <c r="D200" i="9"/>
  <c r="J200" i="9"/>
  <c r="L16" i="5"/>
  <c r="M16" i="5"/>
  <c r="N16" i="5"/>
  <c r="M268" i="9"/>
  <c r="G268" i="9"/>
  <c r="D268" i="9"/>
  <c r="J268" i="9"/>
  <c r="D195" i="9"/>
  <c r="M195" i="9"/>
  <c r="G195" i="9"/>
  <c r="J195" i="9"/>
  <c r="H48" i="3"/>
  <c r="I48" i="3"/>
  <c r="J48" i="3"/>
  <c r="M104" i="9"/>
  <c r="J104" i="9"/>
  <c r="D104" i="9"/>
  <c r="G104" i="9"/>
  <c r="M32" i="9"/>
  <c r="J32" i="9"/>
  <c r="D32" i="9"/>
  <c r="G32" i="9"/>
  <c r="P59" i="3"/>
  <c r="Q59" i="3"/>
  <c r="R59" i="3"/>
  <c r="J215" i="9"/>
  <c r="M215" i="9"/>
  <c r="G215" i="9"/>
  <c r="D215" i="9"/>
  <c r="G99" i="9"/>
  <c r="M99" i="9"/>
  <c r="D99" i="9"/>
  <c r="J99" i="9"/>
  <c r="J68" i="9"/>
  <c r="M68" i="9"/>
  <c r="G68" i="9"/>
  <c r="D68" i="9"/>
  <c r="N39" i="3"/>
  <c r="L39" i="3"/>
  <c r="M39" i="3"/>
  <c r="G49" i="9"/>
  <c r="M49" i="9"/>
  <c r="J49" i="9"/>
  <c r="D49" i="9"/>
  <c r="M89" i="9"/>
  <c r="G89" i="9"/>
  <c r="D89" i="9"/>
  <c r="J89" i="9"/>
  <c r="J212" i="9"/>
  <c r="C244" i="9"/>
  <c r="D212" i="9"/>
  <c r="G212" i="9"/>
  <c r="M212" i="9"/>
  <c r="G164" i="9"/>
  <c r="D164" i="9"/>
  <c r="M164" i="9"/>
  <c r="J164" i="9"/>
  <c r="Q32" i="3"/>
  <c r="R32" i="3"/>
  <c r="P32" i="3"/>
  <c r="G115" i="9"/>
  <c r="J115" i="9"/>
  <c r="M115" i="9"/>
  <c r="D115" i="9"/>
  <c r="D185" i="9"/>
  <c r="M185" i="9"/>
  <c r="G185" i="9"/>
  <c r="J185" i="9"/>
  <c r="J63" i="3"/>
  <c r="I63" i="3"/>
  <c r="H63" i="3"/>
  <c r="M178" i="9"/>
  <c r="D178" i="9"/>
  <c r="G178" i="9"/>
  <c r="J178" i="9"/>
  <c r="L19" i="5"/>
  <c r="N19" i="5"/>
  <c r="M19" i="5"/>
  <c r="M70" i="3"/>
  <c r="N70" i="3"/>
  <c r="L70" i="3"/>
  <c r="J213" i="9"/>
  <c r="G213" i="9"/>
  <c r="D213" i="9"/>
  <c r="M213" i="9"/>
  <c r="I206" i="9"/>
  <c r="H206" i="9" s="1"/>
  <c r="G8" i="9" s="1"/>
  <c r="J31" i="3"/>
  <c r="H31" i="3"/>
  <c r="I31" i="3"/>
  <c r="G114" i="9"/>
  <c r="M114" i="9"/>
  <c r="J114" i="9"/>
  <c r="D114" i="9"/>
  <c r="J88" i="9"/>
  <c r="D88" i="9"/>
  <c r="G88" i="9"/>
  <c r="M88" i="9"/>
  <c r="J216" i="9"/>
  <c r="M216" i="9"/>
  <c r="G216" i="9"/>
  <c r="D216" i="9"/>
  <c r="I39" i="3"/>
  <c r="H39" i="3"/>
  <c r="J39" i="3"/>
  <c r="D87" i="9"/>
  <c r="G87" i="9"/>
  <c r="J87" i="9"/>
  <c r="M87" i="9"/>
  <c r="D269" i="9"/>
  <c r="G269" i="9"/>
  <c r="M269" i="9"/>
  <c r="J269" i="9"/>
  <c r="H44" i="3"/>
  <c r="J44" i="3"/>
  <c r="I44" i="3"/>
  <c r="N59" i="3"/>
  <c r="L59" i="3"/>
  <c r="M59" i="3"/>
  <c r="M70" i="9"/>
  <c r="J70" i="9"/>
  <c r="D70" i="9"/>
  <c r="G70" i="9"/>
  <c r="L21" i="3"/>
  <c r="N21" i="3"/>
  <c r="M21" i="3"/>
  <c r="D222" i="9"/>
  <c r="M222" i="9"/>
  <c r="G222" i="9"/>
  <c r="J222" i="9"/>
  <c r="G109" i="9"/>
  <c r="M109" i="9"/>
  <c r="J109" i="9"/>
  <c r="D109" i="9"/>
  <c r="I244" i="9"/>
  <c r="H244" i="9" s="1"/>
  <c r="G10" i="9" s="1"/>
  <c r="O54" i="9"/>
  <c r="N54" i="9" s="1"/>
  <c r="M16" i="9" s="1"/>
  <c r="D267" i="9"/>
  <c r="J267" i="9"/>
  <c r="G267" i="9"/>
  <c r="M267" i="9"/>
  <c r="J227" i="9"/>
  <c r="D227" i="9"/>
  <c r="G227" i="9"/>
  <c r="M227" i="9"/>
  <c r="L17" i="3"/>
  <c r="N17" i="3"/>
  <c r="M17" i="3"/>
  <c r="I42" i="3"/>
  <c r="J42" i="3"/>
  <c r="H42" i="3"/>
  <c r="D103" i="9"/>
  <c r="M103" i="9"/>
  <c r="G103" i="9"/>
  <c r="J103" i="9"/>
  <c r="L244" i="9"/>
  <c r="K244" i="9" s="1"/>
  <c r="J10" i="9" s="1"/>
  <c r="M42" i="3"/>
  <c r="N42" i="3"/>
  <c r="L42" i="3"/>
  <c r="M76" i="9"/>
  <c r="G76" i="9"/>
  <c r="J76" i="9"/>
  <c r="D76" i="9"/>
  <c r="O130" i="9"/>
  <c r="N130" i="9" s="1"/>
  <c r="M6" i="9" s="1"/>
  <c r="D239" i="9"/>
  <c r="M239" i="9"/>
  <c r="G239" i="9"/>
  <c r="J239" i="9"/>
  <c r="H37" i="3"/>
  <c r="J37" i="3"/>
  <c r="I37" i="3"/>
  <c r="D39" i="9"/>
  <c r="M39" i="9"/>
  <c r="J39" i="9"/>
  <c r="G39" i="9"/>
  <c r="M41" i="3"/>
  <c r="N41" i="3"/>
  <c r="L41" i="3"/>
  <c r="M119" i="9"/>
  <c r="J119" i="9"/>
  <c r="G119" i="9"/>
  <c r="D119" i="9"/>
  <c r="G52" i="9"/>
  <c r="J52" i="9"/>
  <c r="D52" i="9"/>
  <c r="M52" i="9"/>
  <c r="M17" i="5"/>
  <c r="L17" i="5"/>
  <c r="N17" i="5"/>
  <c r="N64" i="3"/>
  <c r="M64" i="3"/>
  <c r="L64" i="3"/>
  <c r="L46" i="3"/>
  <c r="M46" i="3"/>
  <c r="N46" i="3"/>
  <c r="D35" i="9"/>
  <c r="J35" i="9"/>
  <c r="G35" i="9"/>
  <c r="M35" i="9"/>
  <c r="M176" i="9"/>
  <c r="D176" i="9"/>
  <c r="G176" i="9"/>
  <c r="J176" i="9"/>
  <c r="M197" i="9"/>
  <c r="J197" i="9"/>
  <c r="G197" i="9"/>
  <c r="D197" i="9"/>
  <c r="D196" i="9"/>
  <c r="G196" i="9"/>
  <c r="J196" i="9"/>
  <c r="M196" i="9"/>
  <c r="M33" i="3"/>
  <c r="N33" i="3"/>
  <c r="L33" i="3"/>
  <c r="M33" i="9"/>
  <c r="J33" i="9"/>
  <c r="G33" i="9"/>
  <c r="D33" i="9"/>
  <c r="N23" i="3"/>
  <c r="M23" i="3"/>
  <c r="L23" i="3"/>
  <c r="R74" i="3"/>
  <c r="Q74" i="3"/>
  <c r="P74" i="3"/>
  <c r="O92" i="9"/>
  <c r="N92" i="9" s="1"/>
  <c r="M4" i="9" s="1"/>
  <c r="I92" i="9"/>
  <c r="H92" i="9" s="1"/>
  <c r="G4" i="9" s="1"/>
  <c r="J220" i="9"/>
  <c r="D220" i="9"/>
  <c r="G220" i="9"/>
  <c r="M220" i="9"/>
  <c r="J138" i="9"/>
  <c r="M138" i="9"/>
  <c r="D138" i="9"/>
  <c r="G138" i="9"/>
  <c r="P66" i="3"/>
  <c r="R66" i="3"/>
  <c r="Q66" i="3"/>
  <c r="M152" i="9"/>
  <c r="D152" i="9"/>
  <c r="G152" i="9"/>
  <c r="J152" i="9"/>
  <c r="H59" i="3"/>
  <c r="I59" i="3"/>
  <c r="J59" i="3"/>
  <c r="J56" i="3"/>
  <c r="H56" i="3"/>
  <c r="I56" i="3"/>
  <c r="N25" i="3"/>
  <c r="L25" i="3"/>
  <c r="M25" i="3"/>
  <c r="J77" i="9"/>
  <c r="G77" i="9"/>
  <c r="D77" i="9"/>
  <c r="M77" i="9"/>
  <c r="P33" i="3"/>
  <c r="R33" i="3"/>
  <c r="Q33" i="3"/>
  <c r="L43" i="3"/>
  <c r="M43" i="3"/>
  <c r="N43" i="3"/>
  <c r="M160" i="9"/>
  <c r="D160" i="9"/>
  <c r="J160" i="9"/>
  <c r="G160" i="9"/>
  <c r="Q43" i="3"/>
  <c r="R43" i="3"/>
  <c r="P43" i="3"/>
  <c r="P56" i="3"/>
  <c r="R56" i="3"/>
  <c r="Q56" i="3"/>
  <c r="M204" i="9"/>
  <c r="D204" i="9"/>
  <c r="J204" i="9"/>
  <c r="G204" i="9"/>
  <c r="N60" i="3"/>
  <c r="M60" i="3"/>
  <c r="L60" i="3"/>
  <c r="M277" i="9"/>
  <c r="G277" i="9"/>
  <c r="D277" i="9"/>
  <c r="J277" i="9"/>
  <c r="F244" i="9"/>
  <c r="E244" i="9" s="1"/>
  <c r="D10" i="9" s="1"/>
  <c r="D137" i="9"/>
  <c r="M137" i="9"/>
  <c r="J137" i="9"/>
  <c r="G137" i="9"/>
  <c r="D136" i="9"/>
  <c r="J136" i="9"/>
  <c r="M136" i="9"/>
  <c r="C168" i="9"/>
  <c r="G136" i="9"/>
  <c r="G265" i="9"/>
  <c r="D265" i="9"/>
  <c r="J265" i="9"/>
  <c r="M265" i="9"/>
  <c r="L282" i="9"/>
  <c r="K282" i="9" s="1"/>
  <c r="J14" i="9" s="1"/>
  <c r="Q40" i="3"/>
  <c r="P40" i="3"/>
  <c r="R40" i="3"/>
  <c r="J40" i="9"/>
  <c r="M40" i="9"/>
  <c r="D40" i="9"/>
  <c r="G40" i="9"/>
  <c r="P38" i="3"/>
  <c r="R38" i="3"/>
  <c r="Q38" i="3"/>
  <c r="R31" i="3"/>
  <c r="Q31" i="3"/>
  <c r="P31" i="3"/>
  <c r="G151" i="9"/>
  <c r="M151" i="9"/>
  <c r="J151" i="9"/>
  <c r="D151" i="9"/>
  <c r="R60" i="3"/>
  <c r="P60" i="3"/>
  <c r="Q60" i="3"/>
  <c r="N12" i="5"/>
  <c r="M12" i="5"/>
  <c r="L12" i="5"/>
  <c r="J264" i="9"/>
  <c r="D264" i="9"/>
  <c r="G264" i="9"/>
  <c r="M264" i="9"/>
  <c r="D259" i="9"/>
  <c r="M259" i="9"/>
  <c r="G259" i="9"/>
  <c r="J259" i="9"/>
  <c r="M16" i="3"/>
  <c r="L16" i="3"/>
  <c r="N16" i="3"/>
  <c r="J153" i="9"/>
  <c r="G153" i="9"/>
  <c r="D153" i="9"/>
  <c r="M153" i="9"/>
  <c r="M148" i="9"/>
  <c r="G148" i="9"/>
  <c r="J148" i="9"/>
  <c r="D148" i="9"/>
  <c r="M112" i="9"/>
  <c r="G112" i="9"/>
  <c r="D112" i="9"/>
  <c r="J112" i="9"/>
  <c r="G63" i="9"/>
  <c r="M63" i="9"/>
  <c r="D63" i="9"/>
  <c r="J63" i="9"/>
  <c r="Q72" i="3"/>
  <c r="P72" i="3"/>
  <c r="R72" i="3"/>
  <c r="M61" i="9"/>
  <c r="G61" i="9"/>
  <c r="D61" i="9"/>
  <c r="J61" i="9"/>
  <c r="R75" i="3"/>
  <c r="P75" i="3"/>
  <c r="Q75" i="3"/>
  <c r="L12" i="3"/>
  <c r="M12" i="3"/>
  <c r="N12" i="3"/>
  <c r="G25" i="9"/>
  <c r="J25" i="9"/>
  <c r="D25" i="9"/>
  <c r="M25" i="9"/>
  <c r="F282" i="9"/>
  <c r="E282" i="9" s="1"/>
  <c r="D14" i="9" s="1"/>
  <c r="J150" i="9"/>
  <c r="D150" i="9"/>
  <c r="G150" i="9"/>
  <c r="M150" i="9"/>
  <c r="Q45" i="3"/>
  <c r="R45" i="3"/>
  <c r="P45" i="3"/>
  <c r="J261" i="9"/>
  <c r="D261" i="9"/>
  <c r="G261" i="9"/>
  <c r="M261" i="9"/>
  <c r="G105" i="9"/>
  <c r="J105" i="9"/>
  <c r="D105" i="9"/>
  <c r="M105" i="9"/>
  <c r="G242" i="9"/>
  <c r="M242" i="9"/>
  <c r="D242" i="9"/>
  <c r="J242" i="9"/>
  <c r="D43" i="9"/>
  <c r="J43" i="9"/>
  <c r="M43" i="9"/>
  <c r="G43" i="9"/>
  <c r="N19" i="3"/>
  <c r="L19" i="3"/>
  <c r="M19" i="3"/>
  <c r="G258" i="9"/>
  <c r="J258" i="9"/>
  <c r="M258" i="9"/>
  <c r="D258" i="9"/>
  <c r="P46" i="3"/>
  <c r="R46" i="3"/>
  <c r="Q46" i="3"/>
  <c r="G23" i="9"/>
  <c r="M23" i="9"/>
  <c r="D23" i="9"/>
  <c r="J23" i="9"/>
  <c r="D275" i="9"/>
  <c r="J275" i="9"/>
  <c r="G275" i="9"/>
  <c r="M275" i="9"/>
  <c r="J106" i="9"/>
  <c r="M106" i="9"/>
  <c r="G106" i="9"/>
  <c r="D106" i="9"/>
  <c r="P58" i="3"/>
  <c r="R58" i="3"/>
  <c r="Q58" i="3"/>
  <c r="G42" i="9"/>
  <c r="M42" i="9"/>
  <c r="J42" i="9"/>
  <c r="D42" i="9"/>
  <c r="L130" i="9"/>
  <c r="K130" i="9" s="1"/>
  <c r="J6" i="9" s="1"/>
  <c r="F206" i="9"/>
  <c r="E206" i="9" s="1"/>
  <c r="D8" i="9" s="1"/>
  <c r="N25" i="5"/>
  <c r="L25" i="5"/>
  <c r="M25" i="5"/>
  <c r="J75" i="3"/>
  <c r="I75" i="3"/>
  <c r="H75" i="3"/>
  <c r="N10" i="3"/>
  <c r="L10" i="3"/>
  <c r="M10" i="3"/>
  <c r="D180" i="9"/>
  <c r="J180" i="9"/>
  <c r="G180" i="9"/>
  <c r="M180" i="9"/>
  <c r="M123" i="9"/>
  <c r="J123" i="9"/>
  <c r="D123" i="9"/>
  <c r="G123" i="9"/>
  <c r="D203" i="9"/>
  <c r="G203" i="9"/>
  <c r="J203" i="9"/>
  <c r="M203" i="9"/>
  <c r="D191" i="9"/>
  <c r="J191" i="9"/>
  <c r="M191" i="9"/>
  <c r="G191" i="9"/>
  <c r="J41" i="3"/>
  <c r="I41" i="3"/>
  <c r="H41" i="3"/>
  <c r="J141" i="9"/>
  <c r="G141" i="9"/>
  <c r="D141" i="9"/>
  <c r="M141" i="9"/>
  <c r="Q70" i="3"/>
  <c r="R70" i="3"/>
  <c r="P70" i="3"/>
  <c r="J190" i="9"/>
  <c r="G190" i="9"/>
  <c r="M190" i="9"/>
  <c r="D190" i="9"/>
  <c r="M161" i="9"/>
  <c r="G161" i="9"/>
  <c r="J161" i="9"/>
  <c r="D161" i="9"/>
  <c r="M48" i="3"/>
  <c r="L48" i="3"/>
  <c r="N48" i="3"/>
  <c r="M34" i="9"/>
  <c r="J34" i="9"/>
  <c r="D34" i="9"/>
  <c r="G34" i="9"/>
  <c r="L34" i="3"/>
  <c r="M34" i="3"/>
  <c r="N34" i="3"/>
  <c r="M30" i="9"/>
  <c r="G30" i="9"/>
  <c r="D30" i="9"/>
  <c r="J30" i="9"/>
  <c r="D26" i="9"/>
  <c r="G26" i="9"/>
  <c r="J26" i="9"/>
  <c r="M26" i="9"/>
  <c r="D186" i="9"/>
  <c r="G186" i="9"/>
  <c r="J186" i="9"/>
  <c r="M186" i="9"/>
  <c r="L56" i="3"/>
  <c r="N56" i="3"/>
  <c r="M56" i="3"/>
  <c r="J226" i="9"/>
  <c r="G226" i="9"/>
  <c r="M226" i="9"/>
  <c r="D226" i="9"/>
  <c r="F54" i="9"/>
  <c r="J229" i="9"/>
  <c r="D229" i="9"/>
  <c r="M229" i="9"/>
  <c r="G229" i="9"/>
  <c r="M14" i="5"/>
  <c r="N14" i="5"/>
  <c r="L14" i="5"/>
  <c r="D162" i="9"/>
  <c r="G162" i="9"/>
  <c r="J162" i="9"/>
  <c r="M162" i="9"/>
  <c r="N58" i="3"/>
  <c r="L58" i="3"/>
  <c r="M58" i="3"/>
  <c r="G98" i="9"/>
  <c r="M98" i="9"/>
  <c r="D98" i="9"/>
  <c r="J98" i="9"/>
  <c r="C130" i="9"/>
  <c r="J74" i="9"/>
  <c r="G74" i="9"/>
  <c r="M74" i="9"/>
  <c r="D74" i="9"/>
  <c r="D50" i="9"/>
  <c r="J50" i="9"/>
  <c r="M50" i="9"/>
  <c r="G50" i="9"/>
  <c r="N71" i="3"/>
  <c r="M71" i="3"/>
  <c r="L71" i="3"/>
  <c r="Q47" i="3"/>
  <c r="P47" i="3"/>
  <c r="R47" i="3"/>
  <c r="D79" i="9"/>
  <c r="G79" i="9"/>
  <c r="M79" i="9"/>
  <c r="J79" i="9"/>
  <c r="D90" i="9"/>
  <c r="G90" i="9"/>
  <c r="J90" i="9"/>
  <c r="M90" i="9"/>
  <c r="G38" i="9"/>
  <c r="J38" i="9"/>
  <c r="M38" i="9"/>
  <c r="D38" i="9"/>
  <c r="N38" i="3"/>
  <c r="M38" i="3"/>
  <c r="L38" i="3"/>
  <c r="J111" i="9"/>
  <c r="D111" i="9"/>
  <c r="M111" i="9"/>
  <c r="G111" i="9"/>
  <c r="J41" i="9"/>
  <c r="M41" i="9"/>
  <c r="G41" i="9"/>
  <c r="D41" i="9"/>
  <c r="N14" i="3"/>
  <c r="L14" i="3"/>
  <c r="M14" i="3"/>
  <c r="O168" i="9"/>
  <c r="N168" i="9" s="1"/>
  <c r="M12" i="9" s="1"/>
  <c r="G127" i="9"/>
  <c r="J127" i="9"/>
  <c r="D127" i="9"/>
  <c r="M127" i="9"/>
  <c r="Q36" i="3"/>
  <c r="P36" i="3"/>
  <c r="R36" i="3"/>
  <c r="N24" i="3"/>
  <c r="M24" i="3"/>
  <c r="L24" i="3"/>
  <c r="J62" i="9"/>
  <c r="M62" i="9"/>
  <c r="D62" i="9"/>
  <c r="G62" i="9"/>
  <c r="M271" i="9"/>
  <c r="J271" i="9"/>
  <c r="G271" i="9"/>
  <c r="D271" i="9"/>
  <c r="D71" i="9"/>
  <c r="G71" i="9"/>
  <c r="M71" i="9"/>
  <c r="J71" i="9"/>
  <c r="J40" i="3"/>
  <c r="H40" i="3"/>
  <c r="I40" i="3"/>
  <c r="J149" i="9"/>
  <c r="G149" i="9"/>
  <c r="D149" i="9"/>
  <c r="M149" i="9"/>
  <c r="M257" i="9"/>
  <c r="G257" i="9"/>
  <c r="J257" i="9"/>
  <c r="D257" i="9"/>
  <c r="J228" i="9"/>
  <c r="D228" i="9"/>
  <c r="M228" i="9"/>
  <c r="G228" i="9"/>
  <c r="M241" i="9"/>
  <c r="G241" i="9"/>
  <c r="J241" i="9"/>
  <c r="D241" i="9"/>
  <c r="G82" i="9"/>
  <c r="M82" i="9"/>
  <c r="J82" i="9"/>
  <c r="D82" i="9"/>
  <c r="O244" i="9"/>
  <c r="N244" i="9" s="1"/>
  <c r="M10" i="9" s="1"/>
  <c r="F92" i="9"/>
  <c r="E92" i="9" s="1"/>
  <c r="D4" i="9" s="1"/>
  <c r="J189" i="9"/>
  <c r="G189" i="9"/>
  <c r="M189" i="9"/>
  <c r="D189" i="9"/>
  <c r="N7" i="3"/>
  <c r="L7" i="3"/>
  <c r="M7" i="3"/>
  <c r="J117" i="9"/>
  <c r="D117" i="9"/>
  <c r="G117" i="9"/>
  <c r="M117" i="9"/>
  <c r="R64" i="3"/>
  <c r="Q64" i="3"/>
  <c r="P64" i="3"/>
  <c r="M36" i="9"/>
  <c r="G36" i="9"/>
  <c r="J36" i="9"/>
  <c r="D36" i="9"/>
  <c r="I72" i="3"/>
  <c r="H72" i="3"/>
  <c r="J72" i="3"/>
  <c r="M108" i="9"/>
  <c r="J108" i="9"/>
  <c r="G108" i="9"/>
  <c r="D108" i="9"/>
  <c r="D146" i="9"/>
  <c r="G146" i="9"/>
  <c r="J146" i="9"/>
  <c r="M146" i="9"/>
  <c r="F168" i="9"/>
  <c r="E168" i="9" s="1"/>
  <c r="D12" i="9" s="1"/>
  <c r="J64" i="9"/>
  <c r="M64" i="9"/>
  <c r="D64" i="9"/>
  <c r="G64" i="9"/>
  <c r="N36" i="3"/>
  <c r="L36" i="3"/>
  <c r="M36" i="3"/>
  <c r="J179" i="9"/>
  <c r="G179" i="9"/>
  <c r="D179" i="9"/>
  <c r="M179" i="9"/>
  <c r="I69" i="3"/>
  <c r="H69" i="3"/>
  <c r="J69" i="3"/>
  <c r="M18" i="3"/>
  <c r="N18" i="3"/>
  <c r="L18" i="3"/>
  <c r="I65" i="3"/>
  <c r="H65" i="3"/>
  <c r="J65" i="3"/>
  <c r="L47" i="3"/>
  <c r="M47" i="3"/>
  <c r="N47" i="3"/>
  <c r="J230" i="9"/>
  <c r="G230" i="9"/>
  <c r="D230" i="9"/>
  <c r="M230" i="9"/>
  <c r="Q65" i="3"/>
  <c r="R65" i="3"/>
  <c r="P65" i="3"/>
  <c r="J263" i="9"/>
  <c r="G263" i="9"/>
  <c r="M263" i="9"/>
  <c r="D263" i="9"/>
  <c r="I168" i="9"/>
  <c r="H168" i="9" s="1"/>
  <c r="G12" i="9" s="1"/>
  <c r="H73" i="3"/>
  <c r="I73" i="3"/>
  <c r="J73" i="3"/>
  <c r="M21" i="5"/>
  <c r="L21" i="5"/>
  <c r="N21" i="5"/>
  <c r="N69" i="3"/>
  <c r="M69" i="3"/>
  <c r="L69" i="3"/>
  <c r="G72" i="9"/>
  <c r="M72" i="9"/>
  <c r="D72" i="9"/>
  <c r="J72" i="9"/>
  <c r="J78" i="9"/>
  <c r="G78" i="9"/>
  <c r="D78" i="9"/>
  <c r="M78" i="9"/>
  <c r="J36" i="3"/>
  <c r="H36" i="3"/>
  <c r="I36" i="3"/>
  <c r="G126" i="9"/>
  <c r="M126" i="9"/>
  <c r="D126" i="9"/>
  <c r="J126" i="9"/>
  <c r="L54" i="9"/>
  <c r="K54" i="9" s="1"/>
  <c r="J16" i="9" s="1"/>
  <c r="I282" i="9"/>
  <c r="H282" i="9" s="1"/>
  <c r="G14" i="9" s="1"/>
  <c r="J237" i="9"/>
  <c r="G237" i="9"/>
  <c r="D237" i="9"/>
  <c r="M237" i="9"/>
  <c r="J145" i="9"/>
  <c r="D145" i="9"/>
  <c r="G145" i="9"/>
  <c r="M145" i="9"/>
  <c r="L92" i="9"/>
  <c r="K92" i="9" s="1"/>
  <c r="J4" i="9" s="1"/>
  <c r="N8" i="5"/>
  <c r="M8" i="5"/>
  <c r="L8" i="5"/>
  <c r="R37" i="3"/>
  <c r="Q37" i="3"/>
  <c r="P37" i="3"/>
  <c r="J120" i="9"/>
  <c r="D120" i="9"/>
  <c r="G120" i="9"/>
  <c r="M120" i="9"/>
  <c r="J218" i="9"/>
  <c r="G218" i="9"/>
  <c r="D218" i="9"/>
  <c r="M218" i="9"/>
  <c r="M69" i="9"/>
  <c r="J69" i="9"/>
  <c r="G69" i="9"/>
  <c r="D69" i="9"/>
  <c r="D81" i="9"/>
  <c r="G81" i="9"/>
  <c r="J81" i="9"/>
  <c r="M81" i="9"/>
  <c r="G193" i="9"/>
  <c r="M193" i="9"/>
  <c r="J193" i="9"/>
  <c r="D193" i="9"/>
  <c r="N49" i="3"/>
  <c r="L49" i="3"/>
  <c r="M49" i="3"/>
  <c r="J121" i="9"/>
  <c r="M121" i="9"/>
  <c r="D121" i="9"/>
  <c r="G121" i="9"/>
  <c r="R57" i="3"/>
  <c r="P57" i="3"/>
  <c r="Q57" i="3"/>
  <c r="M236" i="9"/>
  <c r="G236" i="9"/>
  <c r="J236" i="9"/>
  <c r="D236" i="9"/>
  <c r="L206" i="9"/>
  <c r="K206" i="9" s="1"/>
  <c r="J8" i="9" s="1"/>
  <c r="M24" i="9"/>
  <c r="D24" i="9"/>
  <c r="G24" i="9"/>
  <c r="J24" i="9"/>
  <c r="N67" i="3"/>
  <c r="L67" i="3"/>
  <c r="M67" i="3"/>
  <c r="H47" i="3"/>
  <c r="I47" i="3"/>
  <c r="J47" i="3"/>
  <c r="G122" i="9"/>
  <c r="J122" i="9"/>
  <c r="D122" i="9"/>
  <c r="M122" i="9"/>
  <c r="N62" i="3"/>
  <c r="L62" i="3"/>
  <c r="M62" i="3"/>
  <c r="H60" i="3"/>
  <c r="J60" i="3"/>
  <c r="I60" i="3"/>
  <c r="N13" i="3"/>
  <c r="L13" i="3"/>
  <c r="M13" i="3"/>
  <c r="G224" i="9"/>
  <c r="J224" i="9"/>
  <c r="M224" i="9"/>
  <c r="D224" i="9"/>
  <c r="M232" i="9"/>
  <c r="J232" i="9"/>
  <c r="G232" i="9"/>
  <c r="D232" i="9"/>
  <c r="J274" i="9"/>
  <c r="G274" i="9"/>
  <c r="M274" i="9"/>
  <c r="D274" i="9"/>
  <c r="D199" i="9"/>
  <c r="G199" i="9"/>
  <c r="M199" i="9"/>
  <c r="J199" i="9"/>
  <c r="I57" i="3"/>
  <c r="H57" i="3"/>
  <c r="J57" i="3"/>
  <c r="H67" i="3"/>
  <c r="J67" i="3"/>
  <c r="I67" i="3"/>
  <c r="Q71" i="3"/>
  <c r="R71" i="3"/>
  <c r="P71" i="3"/>
  <c r="P39" i="3"/>
  <c r="R39" i="3"/>
  <c r="Q39" i="3"/>
  <c r="J192" i="9"/>
  <c r="G192" i="9"/>
  <c r="D192" i="9"/>
  <c r="M192" i="9"/>
  <c r="G183" i="9"/>
  <c r="J183" i="9"/>
  <c r="M183" i="9"/>
  <c r="D183" i="9"/>
  <c r="M157" i="9"/>
  <c r="G157" i="9"/>
  <c r="D157" i="9"/>
  <c r="J157" i="9"/>
  <c r="H64" i="3"/>
  <c r="I64" i="3"/>
  <c r="J64" i="3"/>
  <c r="N73" i="3"/>
  <c r="L73" i="3"/>
  <c r="M73" i="3"/>
  <c r="D155" i="9"/>
  <c r="M155" i="9"/>
  <c r="G155" i="9"/>
  <c r="J155" i="9"/>
  <c r="M20" i="3"/>
  <c r="L20" i="3"/>
  <c r="N20" i="3"/>
  <c r="G158" i="9"/>
  <c r="J158" i="9"/>
  <c r="D158" i="9"/>
  <c r="M158" i="9"/>
  <c r="H32" i="3"/>
  <c r="I32" i="3"/>
  <c r="J32" i="3"/>
  <c r="M143" i="9"/>
  <c r="D143" i="9"/>
  <c r="G143" i="9"/>
  <c r="J143" i="9"/>
  <c r="M80" i="9"/>
  <c r="G80" i="9"/>
  <c r="D80" i="9"/>
  <c r="J80" i="9"/>
  <c r="P67" i="3"/>
  <c r="Q67" i="3"/>
  <c r="R67" i="3"/>
  <c r="G234" i="9"/>
  <c r="J234" i="9"/>
  <c r="D234" i="9"/>
  <c r="M234" i="9"/>
  <c r="G238" i="9"/>
  <c r="J238" i="9"/>
  <c r="D238" i="9"/>
  <c r="M238" i="9"/>
  <c r="J187" i="9"/>
  <c r="G187" i="9"/>
  <c r="M187" i="9"/>
  <c r="D187" i="9"/>
  <c r="G184" i="9"/>
  <c r="J184" i="9"/>
  <c r="D184" i="9"/>
  <c r="M184" i="9"/>
  <c r="M270" i="9"/>
  <c r="D270" i="9"/>
  <c r="J270" i="9"/>
  <c r="G270" i="9"/>
  <c r="R35" i="3"/>
  <c r="P35" i="3"/>
  <c r="Q35" i="3"/>
  <c r="J38" i="3"/>
  <c r="I38" i="3"/>
  <c r="H38" i="3"/>
  <c r="N6" i="3"/>
  <c r="M6" i="3"/>
  <c r="L6" i="3"/>
  <c r="H35" i="3"/>
  <c r="I35" i="3"/>
  <c r="J35" i="3"/>
  <c r="J223" i="9"/>
  <c r="M223" i="9"/>
  <c r="G223" i="9"/>
  <c r="D223" i="9"/>
  <c r="N63" i="3"/>
  <c r="M63" i="3"/>
  <c r="L63" i="3"/>
  <c r="M74" i="3"/>
  <c r="N74" i="3"/>
  <c r="L74" i="3"/>
  <c r="H50" i="3"/>
  <c r="I50" i="3"/>
  <c r="J50" i="3"/>
  <c r="M240" i="9"/>
  <c r="D240" i="9"/>
  <c r="G240" i="9"/>
  <c r="J240" i="9"/>
  <c r="D85" i="9"/>
  <c r="M85" i="9"/>
  <c r="J85" i="9"/>
  <c r="G85" i="9"/>
  <c r="J182" i="9"/>
  <c r="M182" i="9"/>
  <c r="D182" i="9"/>
  <c r="G182" i="9"/>
  <c r="G233" i="9"/>
  <c r="M233" i="9"/>
  <c r="D233" i="9"/>
  <c r="J233" i="9"/>
  <c r="G22" i="9"/>
  <c r="D22" i="9"/>
  <c r="J22" i="9"/>
  <c r="C54" i="9"/>
  <c r="M22" i="9"/>
  <c r="D260" i="9"/>
  <c r="J260" i="9"/>
  <c r="M260" i="9"/>
  <c r="G260" i="9"/>
  <c r="G231" i="9"/>
  <c r="J231" i="9"/>
  <c r="M231" i="9"/>
  <c r="D231" i="9"/>
  <c r="J279" i="9"/>
  <c r="D279" i="9"/>
  <c r="M279" i="9"/>
  <c r="G279" i="9"/>
  <c r="N6" i="5"/>
  <c r="M6" i="5"/>
  <c r="L6" i="5"/>
  <c r="G235" i="9"/>
  <c r="D235" i="9"/>
  <c r="J235" i="9"/>
  <c r="M235" i="9"/>
  <c r="J116" i="9"/>
  <c r="G116" i="9"/>
  <c r="M116" i="9"/>
  <c r="D116" i="9"/>
  <c r="G201" i="9"/>
  <c r="D201" i="9"/>
  <c r="J201" i="9"/>
  <c r="M201" i="9"/>
  <c r="C92" i="9"/>
  <c r="M60" i="9"/>
  <c r="J60" i="9"/>
  <c r="D60" i="9"/>
  <c r="G60" i="9"/>
  <c r="D31" i="9"/>
  <c r="M31" i="9"/>
  <c r="J31" i="9"/>
  <c r="G31" i="9"/>
  <c r="J154" i="9"/>
  <c r="D154" i="9"/>
  <c r="G154" i="9"/>
  <c r="M154" i="9"/>
  <c r="M15" i="3"/>
  <c r="L15" i="3"/>
  <c r="N15" i="3"/>
  <c r="R61" i="3"/>
  <c r="Q61" i="3"/>
  <c r="P61" i="3"/>
  <c r="M73" i="9"/>
  <c r="G73" i="9"/>
  <c r="D73" i="9"/>
  <c r="J73" i="9"/>
  <c r="N31" i="3"/>
  <c r="M31" i="3"/>
  <c r="L31" i="3"/>
  <c r="J165" i="9"/>
  <c r="D165" i="9"/>
  <c r="M165" i="9"/>
  <c r="G165" i="9"/>
  <c r="L50" i="3"/>
  <c r="M50" i="3"/>
  <c r="N50" i="3"/>
  <c r="M100" i="9"/>
  <c r="G100" i="9"/>
  <c r="J100" i="9"/>
  <c r="D100" i="9"/>
  <c r="I54" i="9"/>
  <c r="H54" i="9" s="1"/>
  <c r="G16" i="9" s="1"/>
  <c r="D225" i="9"/>
  <c r="J225" i="9"/>
  <c r="G225" i="9"/>
  <c r="M225" i="9"/>
  <c r="J110" i="9"/>
  <c r="M110" i="9"/>
  <c r="D110" i="9"/>
  <c r="G110" i="9"/>
  <c r="L9" i="3"/>
  <c r="N9" i="3"/>
  <c r="M9" i="3"/>
  <c r="G27" i="9"/>
  <c r="J27" i="9"/>
  <c r="M27" i="9"/>
  <c r="D27" i="9"/>
  <c r="I70" i="3"/>
  <c r="H70" i="3"/>
  <c r="J70" i="3"/>
  <c r="O282" i="9"/>
  <c r="N282" i="9" s="1"/>
  <c r="M14" i="9" s="1"/>
  <c r="M48" i="9"/>
  <c r="D48" i="9"/>
  <c r="J48" i="9"/>
  <c r="G48" i="9"/>
  <c r="G202" i="9"/>
  <c r="J202" i="9"/>
  <c r="M202" i="9"/>
  <c r="D202" i="9"/>
  <c r="J71" i="3"/>
  <c r="H71" i="3"/>
  <c r="I71" i="3"/>
  <c r="L18" i="5"/>
  <c r="M18" i="5"/>
  <c r="N18" i="5"/>
  <c r="N13" i="5"/>
  <c r="M13" i="5"/>
  <c r="L13" i="5"/>
  <c r="L37" i="3"/>
  <c r="N37" i="3"/>
  <c r="M37" i="3"/>
  <c r="J142" i="9"/>
  <c r="M142" i="9"/>
  <c r="D142" i="9"/>
  <c r="G142" i="9"/>
  <c r="D118" i="9"/>
  <c r="M118" i="9"/>
  <c r="J118" i="9"/>
  <c r="G118" i="9"/>
  <c r="D253" i="9"/>
  <c r="J253" i="9"/>
  <c r="G253" i="9"/>
  <c r="M253" i="9"/>
  <c r="M7" i="5"/>
  <c r="N7" i="5"/>
  <c r="L7" i="5"/>
  <c r="J254" i="9"/>
  <c r="M254" i="9"/>
  <c r="D254" i="9"/>
  <c r="G254" i="9"/>
  <c r="D113" i="9"/>
  <c r="G113" i="9"/>
  <c r="M113" i="9"/>
  <c r="J113" i="9"/>
  <c r="J272" i="9"/>
  <c r="M272" i="9"/>
  <c r="G272" i="9"/>
  <c r="D272" i="9"/>
  <c r="L40" i="3"/>
  <c r="N40" i="3"/>
  <c r="M40" i="3"/>
  <c r="P63" i="3"/>
  <c r="R63" i="3"/>
  <c r="Q63" i="3"/>
  <c r="N15" i="5"/>
  <c r="M15" i="5"/>
  <c r="L15" i="5"/>
  <c r="N8" i="3"/>
  <c r="M8" i="3"/>
  <c r="L8" i="3"/>
  <c r="G83" i="9"/>
  <c r="D83" i="9"/>
  <c r="M83" i="9"/>
  <c r="J83" i="9"/>
  <c r="P50" i="3"/>
  <c r="Q50" i="3"/>
  <c r="R50" i="3"/>
  <c r="J45" i="3"/>
  <c r="I45" i="3"/>
  <c r="H45" i="3"/>
  <c r="H33" i="3"/>
  <c r="J33" i="3"/>
  <c r="I33" i="3"/>
  <c r="M72" i="3"/>
  <c r="N72" i="3"/>
  <c r="L72" i="3"/>
  <c r="L32" i="3"/>
  <c r="N32" i="3"/>
  <c r="M32" i="3"/>
  <c r="M65" i="3"/>
  <c r="L65" i="3"/>
  <c r="N65" i="3"/>
  <c r="J74" i="3"/>
  <c r="H74" i="3"/>
  <c r="I74" i="3"/>
  <c r="J84" i="9"/>
  <c r="G84" i="9"/>
  <c r="D84" i="9"/>
  <c r="M84" i="9"/>
  <c r="M22" i="5"/>
  <c r="N22" i="5"/>
  <c r="L22" i="5"/>
  <c r="I62" i="3"/>
  <c r="J62" i="3"/>
  <c r="H62" i="3"/>
  <c r="F130" i="9"/>
  <c r="E130" i="9" s="1"/>
  <c r="D6" i="9" s="1"/>
  <c r="N61" i="3"/>
  <c r="M61" i="3"/>
  <c r="L61" i="3"/>
  <c r="Q49" i="3"/>
  <c r="P49" i="3"/>
  <c r="R49" i="3"/>
  <c r="D273" i="9"/>
  <c r="G273" i="9"/>
  <c r="J273" i="9"/>
  <c r="M273" i="9"/>
  <c r="G102" i="9"/>
  <c r="J102" i="9"/>
  <c r="M102" i="9"/>
  <c r="D102" i="9"/>
  <c r="M10" i="5"/>
  <c r="L10" i="5"/>
  <c r="N10" i="5"/>
  <c r="L23" i="5"/>
  <c r="N23" i="5"/>
  <c r="M23" i="5"/>
  <c r="N45" i="3"/>
  <c r="L45" i="3"/>
  <c r="M45" i="3"/>
  <c r="C206" i="9"/>
  <c r="M174" i="9"/>
  <c r="D174" i="9"/>
  <c r="J174" i="9"/>
  <c r="G174" i="9"/>
  <c r="D251" i="9"/>
  <c r="J251" i="9"/>
  <c r="M251" i="9"/>
  <c r="G251" i="9"/>
  <c r="L66" i="3"/>
  <c r="M66" i="3"/>
  <c r="N66" i="3"/>
  <c r="J181" i="9"/>
  <c r="G181" i="9"/>
  <c r="M181" i="9"/>
  <c r="D181" i="9"/>
  <c r="D177" i="9"/>
  <c r="M177" i="9"/>
  <c r="J177" i="9"/>
  <c r="G177" i="9"/>
  <c r="D140" i="9"/>
  <c r="M140" i="9"/>
  <c r="G140" i="9"/>
  <c r="J140" i="9"/>
  <c r="O206" i="9"/>
  <c r="N206" i="9" s="1"/>
  <c r="M8" i="9" s="1"/>
  <c r="D219" i="9"/>
  <c r="J219" i="9"/>
  <c r="G219" i="9"/>
  <c r="M219" i="9"/>
  <c r="G278" i="9"/>
  <c r="D278" i="9"/>
  <c r="M278" i="9"/>
  <c r="J278" i="9"/>
  <c r="L168" i="9"/>
  <c r="K168" i="9" s="1"/>
  <c r="J12" i="9" s="1"/>
  <c r="N11" i="3"/>
  <c r="M11" i="3"/>
  <c r="L11" i="3"/>
  <c r="D75" i="9"/>
  <c r="J75" i="9"/>
  <c r="M75" i="9"/>
  <c r="G75" i="9"/>
  <c r="J66" i="9"/>
  <c r="G66" i="9"/>
  <c r="M66" i="9"/>
  <c r="D66" i="9"/>
  <c r="G86" i="9"/>
  <c r="J86" i="9"/>
  <c r="M86" i="9"/>
  <c r="D86" i="9"/>
  <c r="D166" i="9"/>
  <c r="J166" i="9"/>
  <c r="G166" i="9"/>
  <c r="M166" i="9"/>
  <c r="G256" i="9"/>
  <c r="J256" i="9"/>
  <c r="M256" i="9"/>
  <c r="D256" i="9"/>
  <c r="D198" i="9"/>
  <c r="M198" i="9"/>
  <c r="J198" i="9"/>
  <c r="G198" i="9"/>
  <c r="R44" i="3"/>
  <c r="P44" i="3"/>
  <c r="Q44" i="3"/>
  <c r="D47" i="9"/>
  <c r="G47" i="9"/>
  <c r="M47" i="9"/>
  <c r="J47" i="9"/>
  <c r="R41" i="3"/>
  <c r="Q41" i="3"/>
  <c r="P41" i="3"/>
  <c r="D128" i="9"/>
  <c r="J128" i="9"/>
  <c r="G128" i="9"/>
  <c r="M128" i="9"/>
  <c r="G276" i="9"/>
  <c r="J276" i="9"/>
  <c r="D276" i="9"/>
  <c r="M276" i="9"/>
  <c r="J159" i="9"/>
  <c r="D159" i="9"/>
  <c r="G159" i="9"/>
  <c r="M159" i="9"/>
  <c r="L11" i="5"/>
  <c r="N11" i="5"/>
  <c r="M11" i="5"/>
  <c r="J280" i="9"/>
  <c r="M280" i="9"/>
  <c r="G280" i="9"/>
  <c r="D280" i="9"/>
  <c r="P42" i="3"/>
  <c r="Q42" i="3"/>
  <c r="R42" i="3"/>
  <c r="M68" i="3"/>
  <c r="L68" i="3"/>
  <c r="N68" i="3"/>
  <c r="J175" i="9"/>
  <c r="D175" i="9"/>
  <c r="M175" i="9"/>
  <c r="G175" i="9"/>
  <c r="I43" i="3"/>
  <c r="J43" i="3"/>
  <c r="H43" i="3"/>
  <c r="I68" i="3"/>
  <c r="H68" i="3"/>
  <c r="J68" i="3"/>
  <c r="N9" i="5"/>
  <c r="L9" i="5"/>
  <c r="M9" i="5"/>
  <c r="J101" i="9"/>
  <c r="G101" i="9"/>
  <c r="M101" i="9"/>
  <c r="D101" i="9"/>
  <c r="N35" i="3"/>
  <c r="L35" i="3"/>
  <c r="M35" i="3"/>
  <c r="D92" i="9" l="1"/>
  <c r="G244" i="9"/>
  <c r="J282" i="9"/>
  <c r="G206" i="9"/>
  <c r="G130" i="9"/>
  <c r="J206" i="9"/>
  <c r="J92" i="9"/>
  <c r="J54" i="9"/>
  <c r="J130" i="9"/>
  <c r="M168" i="9"/>
  <c r="D244" i="9"/>
  <c r="D282" i="9"/>
  <c r="D206" i="9"/>
  <c r="M92" i="9"/>
  <c r="D54" i="9"/>
  <c r="D130" i="9"/>
  <c r="J168" i="9"/>
  <c r="G282" i="9"/>
  <c r="M206" i="9"/>
  <c r="G92" i="9"/>
  <c r="M54" i="9"/>
  <c r="G54" i="9"/>
  <c r="M130" i="9"/>
  <c r="E54" i="9"/>
  <c r="D16" i="9" s="1"/>
  <c r="B12" i="9" s="1"/>
  <c r="B8" i="9"/>
  <c r="G168" i="9"/>
  <c r="D168" i="9"/>
  <c r="M244" i="9"/>
  <c r="J244" i="9"/>
  <c r="M282" i="9"/>
  <c r="B16" i="9" l="1"/>
  <c r="B10" i="9"/>
  <c r="B9" i="9"/>
  <c r="B13" i="9"/>
  <c r="B5" i="9"/>
  <c r="B6" i="9"/>
  <c r="B7" i="9"/>
  <c r="B15" i="9"/>
  <c r="B14" i="9"/>
  <c r="B4" i="9"/>
  <c r="B3" i="9"/>
  <c r="B11" i="9"/>
</calcChain>
</file>

<file path=xl/sharedStrings.xml><?xml version="1.0" encoding="utf-8"?>
<sst xmlns="http://schemas.openxmlformats.org/spreadsheetml/2006/main" count="7359" uniqueCount="331">
  <si>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</si>
  <si>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</si>
  <si>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</si>
  <si>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</si>
  <si>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</si>
  <si>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</si>
  <si>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</si>
  <si>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</si>
  <si>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</si>
  <si>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</si>
  <si>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</si>
  <si>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</si>
  <si>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</si>
  <si>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</si>
  <si>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</si>
  <si>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</si>
  <si>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</si>
  <si>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</si>
  <si>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</si>
  <si>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</si>
  <si>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</si>
  <si>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</si>
  <si>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</si>
  <si>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</si>
  <si>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</si>
  <si>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</si>
  <si>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</si>
  <si>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</si>
  <si>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</si>
  <si>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</si>
  <si>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</si>
  <si>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</si>
  <si>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</si>
  <si>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</si>
  <si>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</si>
  <si>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</si>
  <si>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</si>
  <si>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</si>
  <si>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</si>
  <si>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</si>
  <si>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</si>
  <si>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</si>
  <si>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</si>
  <si>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</si>
  <si>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</si>
  <si>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</si>
  <si>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</si>
  <si>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</si>
  <si>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</si>
  <si>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</si>
  <si>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</si>
  <si>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</si>
  <si>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</si>
  <si>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</si>
  <si>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</si>
  <si>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</si>
  <si>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</si>
  <si>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</si>
  <si>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</si>
  <si>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</si>
  <si>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</si>
  <si>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</si>
  <si>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</si>
  <si>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</si>
  <si>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</si>
  <si>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</si>
  <si>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</si>
  <si>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</si>
  <si>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</si>
  <si>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</si>
  <si>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</si>
  <si>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</si>
  <si>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</si>
  <si>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</si>
  <si>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</si>
  <si>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</si>
  <si>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</si>
  <si>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</si>
  <si>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</si>
  <si>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</si>
  <si>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</si>
  <si>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</si>
  <si>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</si>
  <si>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</si>
  <si>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</si>
  <si>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</si>
  <si>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</si>
  <si>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</si>
  <si>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</si>
  <si>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</si>
  <si>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</si>
  <si>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</si>
  <si>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</si>
  <si>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</si>
  <si>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</si>
  <si>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</si>
  <si>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</si>
  <si>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</si>
  <si>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</si>
  <si>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</si>
  <si>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</si>
  <si>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</si>
  <si>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</si>
  <si>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</si>
  <si>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</si>
  <si>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</si>
  <si>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</si>
  <si>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</si>
  <si>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</si>
  <si>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</si>
  <si>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</si>
  <si>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</si>
  <si>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</si>
  <si>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</si>
  <si>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</si>
  <si>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</si>
  <si>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</si>
  <si>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</si>
  <si>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</si>
  <si>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</si>
  <si>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</si>
  <si>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</si>
  <si>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</si>
  <si>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</si>
  <si>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</si>
  <si>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</si>
  <si>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</si>
  <si>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</si>
  <si>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</si>
  <si>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</si>
  <si>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</si>
  <si>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</si>
  <si>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</si>
  <si>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</si>
  <si>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</si>
  <si>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</si>
  <si>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</si>
  <si>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</si>
  <si>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</si>
  <si>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</si>
  <si>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</si>
  <si>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</si>
  <si>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</si>
  <si>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</si>
  <si>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</si>
  <si>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</si>
  <si>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</si>
  <si>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</si>
  <si>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</si>
  <si>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</si>
  <si>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</si>
  <si>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</si>
  <si>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</si>
  <si>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</si>
  <si>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</si>
  <si>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</si>
  <si>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</si>
  <si>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</si>
  <si>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</si>
  <si>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</si>
  <si>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</si>
  <si>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</si>
  <si>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</si>
  <si>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</si>
  <si>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</si>
  <si>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</si>
  <si>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</si>
  <si>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</si>
  <si>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</si>
  <si>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</si>
  <si>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</si>
  <si>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</si>
  <si>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</si>
  <si>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</si>
  <si>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</si>
  <si>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</si>
  <si>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</si>
  <si>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</si>
  <si>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</si>
  <si>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</si>
  <si>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</si>
  <si>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</si>
  <si>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</si>
  <si>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</si>
  <si>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</si>
  <si>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</si>
  <si>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</si>
  <si>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</si>
  <si>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</si>
  <si>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</si>
  <si>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</si>
  <si>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</si>
  <si>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</si>
  <si>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</si>
  <si>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</si>
  <si>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</si>
  <si>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</si>
  <si>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</si>
  <si>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</si>
  <si>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</si>
  <si>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</si>
  <si>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</si>
  <si>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</si>
  <si>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</si>
  <si>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</si>
  <si>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</si>
  <si>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</si>
  <si>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</si>
  <si>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</si>
  <si>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</si>
  <si>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</si>
  <si>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</si>
  <si>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</si>
  <si>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</si>
  <si>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</si>
  <si>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</si>
  <si>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</si>
  <si>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</si>
  <si>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</si>
  <si>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</si>
  <si>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</si>
  <si>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</si>
  <si>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</si>
  <si>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</si>
  <si>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</si>
  <si>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</si>
  <si>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</si>
  <si>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</si>
  <si>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</si>
  <si>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</si>
  <si>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</si>
  <si>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</si>
  <si>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</si>
  <si>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</si>
  <si>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</si>
  <si>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</si>
  <si>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</si>
  <si>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</si>
  <si>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</si>
  <si>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</si>
  <si>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</si>
  <si>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</si>
  <si>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</si>
  <si>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</si>
  <si>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</si>
  <si>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</si>
  <si>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</si>
  <si>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</si>
  <si>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</si>
  <si>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</si>
  <si>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</si>
  <si>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</si>
  <si>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</si>
  <si>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</si>
  <si>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</si>
  <si>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</si>
  <si>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</si>
  <si>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</si>
  <si>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</si>
  <si>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</si>
  <si>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</si>
  <si>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</si>
  <si>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</si>
  <si>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</si>
  <si>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</si>
  <si>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</si>
  <si>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</si>
  <si>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</si>
  <si>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</si>
  <si>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</si>
  <si>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</si>
  <si>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</si>
  <si>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</si>
  <si>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</si>
  <si>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</si>
  <si>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</si>
  <si>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</si>
  <si>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</si>
  <si>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</si>
  <si>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</si>
  <si>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</si>
  <si>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</si>
  <si>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</si>
  <si>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</si>
  <si>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</si>
  <si>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</si>
  <si>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</si>
  <si>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</si>
  <si>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</si>
  <si>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</si>
  <si>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</si>
  <si>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</si>
  <si>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</si>
  <si>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</si>
  <si>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</si>
  <si>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</si>
  <si>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</si>
  <si>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</si>
  <si>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</si>
  <si>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</si>
  <si>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</si>
  <si>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</si>
  <si>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</si>
  <si>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</si>
  <si>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</si>
  <si>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</si>
  <si>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</si>
  <si>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</si>
  <si>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</si>
  <si>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</si>
  <si>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</si>
  <si>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</si>
  <si>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</si>
  <si>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</si>
  <si>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</si>
  <si>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</si>
  <si>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</si>
  <si>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</si>
  <si>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</si>
  <si>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</si>
  <si>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</si>
  <si>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</si>
  <si>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</si>
  <si>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</si>
  <si>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</si>
  <si>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</si>
  <si>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</si>
  <si>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</si>
  <si>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</si>
  <si>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</si>
  <si>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2021.08.17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</si>
</sst>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09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9" fontId="0" fillId="0" borderId="0" xfId="0" applyNumberFormat="1">
      <alignment vertical="center"/>
    </xf>
    <xf numFmtId="179" fontId="0" fillId="0" borderId="0" xfId="0" applyNumberFormat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673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80">
        <v>44287</v>
      </c>
      <c r="H1" s="281"/>
      <c r="I1" s="282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" t="s">
        <v>3</v>
      </c>
      <c r="B2" s="283" t="s">
        <v>4</v>
      </c>
      <c r="C2" s="284"/>
      <c r="D2" s="284"/>
      <c r="E2" s="284"/>
      <c r="F2" s="285"/>
      <c r="G2" s="277" t="s">
        <v>46</v>
      </c>
      <c r="H2" s="278"/>
      <c r="I2" s="279"/>
      <c r="J2" s="1" t="s">
        <v>3</v>
      </c>
      <c r="K2" s="283" t="s">
        <v>5</v>
      </c>
      <c r="L2" s="284"/>
      <c r="M2" s="284"/>
      <c r="N2" s="284"/>
      <c r="O2" s="285"/>
      <c r="Q2" s="2" t="s">
        <v>6</v>
      </c>
      <c r="R2" s="3">
        <v>0.375</v>
      </c>
    </row>
    <row r="3" spans="1:19" ht="17.25" customHeight="1" thickBot="1">
      <c r="A3" s="4" t="s">
        <v>7</v>
      </c>
      <c r="B3" s="274" t="s">
        <v>8</v>
      </c>
      <c r="C3" s="275"/>
      <c r="D3" s="275"/>
      <c r="E3" s="275"/>
      <c r="F3" s="276"/>
      <c r="G3" s="27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1"/>
      <c r="I3" s="272"/>
      <c r="J3" s="4" t="s">
        <v>7</v>
      </c>
      <c r="K3" s="274" t="s">
        <v>9</v>
      </c>
      <c r="L3" s="275"/>
      <c r="M3" s="275"/>
      <c r="N3" s="275"/>
      <c r="O3" s="27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74" t="s">
        <v>12</v>
      </c>
      <c r="C4" s="275"/>
      <c r="D4" s="275"/>
      <c r="E4" s="275"/>
      <c r="F4" s="276"/>
      <c r="G4" s="277" t="s">
        <v>44</v>
      </c>
      <c r="H4" s="278"/>
      <c r="I4" s="279"/>
      <c r="J4" s="4" t="s">
        <v>11</v>
      </c>
      <c r="K4" s="274" t="s">
        <v>13</v>
      </c>
      <c r="L4" s="275"/>
      <c r="M4" s="275"/>
      <c r="N4" s="275"/>
      <c r="O4" s="276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74" t="s">
        <v>16</v>
      </c>
      <c r="C5" s="275"/>
      <c r="D5" s="275"/>
      <c r="E5" s="275"/>
      <c r="F5" s="276"/>
      <c r="G5" s="27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1"/>
      <c r="I5" s="272"/>
      <c r="J5" s="4" t="s">
        <v>15</v>
      </c>
      <c r="K5" s="274" t="s">
        <v>17</v>
      </c>
      <c r="L5" s="275"/>
      <c r="M5" s="275"/>
      <c r="N5" s="275"/>
      <c r="O5" s="276"/>
    </row>
    <row r="6" spans="1:19">
      <c r="A6" s="4" t="s">
        <v>18</v>
      </c>
      <c r="B6" s="274" t="s">
        <v>19</v>
      </c>
      <c r="C6" s="275"/>
      <c r="D6" s="275"/>
      <c r="E6" s="275"/>
      <c r="F6" s="276"/>
      <c r="G6" s="277" t="s">
        <v>45</v>
      </c>
      <c r="H6" s="278"/>
      <c r="I6" s="279"/>
      <c r="J6" s="4" t="s">
        <v>18</v>
      </c>
      <c r="K6" s="274" t="s">
        <v>20</v>
      </c>
      <c r="L6" s="275"/>
      <c r="M6" s="275"/>
      <c r="N6" s="275"/>
      <c r="O6" s="276"/>
    </row>
    <row r="7" spans="1:19" ht="17.25" thickBot="1">
      <c r="A7" s="4" t="s">
        <v>21</v>
      </c>
      <c r="B7" s="274" t="s">
        <v>22</v>
      </c>
      <c r="C7" s="275"/>
      <c r="D7" s="275"/>
      <c r="E7" s="275"/>
      <c r="F7" s="276"/>
      <c r="G7" s="27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1"/>
      <c r="I7" s="272"/>
      <c r="J7" s="4" t="s">
        <v>21</v>
      </c>
      <c r="K7" s="274" t="s">
        <v>23</v>
      </c>
      <c r="L7" s="275"/>
      <c r="M7" s="275"/>
      <c r="N7" s="275"/>
      <c r="O7" s="276"/>
    </row>
    <row r="8" spans="1:19" ht="17.25" thickBot="1">
      <c r="A8" s="4" t="s">
        <v>24</v>
      </c>
      <c r="B8" s="274" t="s">
        <v>25</v>
      </c>
      <c r="C8" s="275"/>
      <c r="D8" s="275"/>
      <c r="E8" s="275"/>
      <c r="F8" s="276"/>
      <c r="G8" s="277" t="s">
        <v>255</v>
      </c>
      <c r="H8" s="278"/>
      <c r="I8" s="279"/>
      <c r="J8" s="4" t="s">
        <v>24</v>
      </c>
      <c r="K8" s="274" t="s">
        <v>26</v>
      </c>
      <c r="L8" s="275"/>
      <c r="M8" s="275"/>
      <c r="N8" s="275"/>
      <c r="O8" s="276"/>
      <c r="Q8" s="249" t="s">
        <v>27</v>
      </c>
      <c r="R8" s="251"/>
    </row>
    <row r="9" spans="1:19" ht="17.25" thickBot="1">
      <c r="A9" s="4" t="s">
        <v>28</v>
      </c>
      <c r="B9" s="274"/>
      <c r="C9" s="275"/>
      <c r="D9" s="275"/>
      <c r="E9" s="275"/>
      <c r="F9" s="276"/>
      <c r="G9" s="27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1"/>
      <c r="I9" s="272"/>
      <c r="J9" s="4" t="s">
        <v>28</v>
      </c>
      <c r="K9" s="274" t="s">
        <v>263</v>
      </c>
      <c r="L9" s="275"/>
      <c r="M9" s="275"/>
      <c r="N9" s="275"/>
      <c r="O9" s="276"/>
      <c r="Q9" s="2" t="s">
        <v>29</v>
      </c>
      <c r="R9" s="6">
        <v>10</v>
      </c>
    </row>
    <row r="10" spans="1:19">
      <c r="A10" s="4" t="s">
        <v>30</v>
      </c>
      <c r="B10" s="274"/>
      <c r="C10" s="275"/>
      <c r="D10" s="275"/>
      <c r="E10" s="275"/>
      <c r="F10" s="276"/>
      <c r="G10" s="277" t="s">
        <v>47</v>
      </c>
      <c r="H10" s="278"/>
      <c r="I10" s="279"/>
      <c r="J10" s="4" t="s">
        <v>30</v>
      </c>
      <c r="K10" s="274"/>
      <c r="L10" s="275"/>
      <c r="M10" s="275"/>
      <c r="N10" s="275"/>
      <c r="O10" s="276"/>
      <c r="Q10" s="2" t="s">
        <v>31</v>
      </c>
      <c r="R10" s="6">
        <v>100</v>
      </c>
    </row>
    <row r="11" spans="1:19" ht="17.25" thickBot="1">
      <c r="A11" s="7" t="s">
        <v>32</v>
      </c>
      <c r="B11" s="267"/>
      <c r="C11" s="268"/>
      <c r="D11" s="268"/>
      <c r="E11" s="268"/>
      <c r="F11" s="269"/>
      <c r="G11" s="27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1"/>
      <c r="I11" s="272"/>
      <c r="J11" s="7" t="s">
        <v>32</v>
      </c>
      <c r="K11" s="267"/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48"/>
      <c r="R13" s="248"/>
      <c r="S13" s="248"/>
    </row>
    <row r="14" spans="1:19" ht="17.25" customHeight="1" thickBot="1">
      <c r="A14" s="111" t="s">
        <v>35</v>
      </c>
      <c r="B14" s="249" t="s">
        <v>36</v>
      </c>
      <c r="C14" s="251"/>
      <c r="D14" s="249" t="s">
        <v>37</v>
      </c>
      <c r="E14" s="250"/>
      <c r="F14" s="251"/>
      <c r="G14" s="252">
        <f>_xlfn.IFNA(VLOOKUP(B14, 현재가테이블!$B$2:$D$200, 2, FALSE), "-")</f>
        <v>54440000</v>
      </c>
      <c r="H14" s="253"/>
      <c r="I14" s="254"/>
      <c r="J14" s="249" t="s">
        <v>38</v>
      </c>
      <c r="K14" s="250"/>
      <c r="L14" s="251"/>
      <c r="M14" s="255">
        <f>_xlfn.IFNA(VLOOKUP(B14, 현재가테이블!$B$2:$D$200, 3, FALSE), "-")</f>
        <v>1.07123628E-2</v>
      </c>
      <c r="N14" s="256"/>
      <c r="O14" s="257"/>
      <c r="Q14" s="248"/>
      <c r="R14" s="248"/>
      <c r="S14" s="248"/>
    </row>
    <row r="15" spans="1:19" ht="17.25" customHeight="1" thickBot="1">
      <c r="A15" s="273" t="s">
        <v>39</v>
      </c>
      <c r="B15" s="265" t="str">
        <f>TEXT($G$1, "[$-ko-KR]yyyy-mm-dd(ddd) ") &amp; "오전 00:00"</f>
        <v>2021-04-01(목) 오전 00:00</v>
      </c>
      <c r="C15" s="266"/>
      <c r="D15" s="262" t="str">
        <f>TEXT($G$1, "[$-ko-KR]yyyy-mm-dd(ddd) ") &amp; "오후 14:00"</f>
        <v>2021-04-01(목) 오후 14:00</v>
      </c>
      <c r="E15" s="263"/>
      <c r="F15" s="264"/>
      <c r="G15" s="262" t="str">
        <f>TEXT($G$1, "[$-ko-KR]yyyy-mm-dd(ddd) ") &amp; "오후 19:00"</f>
        <v>2021-04-01(목) 오후 19:00</v>
      </c>
      <c r="H15" s="263"/>
      <c r="I15" s="264"/>
      <c r="J15" s="262" t="str">
        <f>TEXT($G$1, "[$-ko-KR]yyyy-mm-dd(ddd) ") &amp; "오후 21:00"</f>
        <v>2021-04-01(목) 오후 21:00</v>
      </c>
      <c r="K15" s="263"/>
      <c r="L15" s="264"/>
      <c r="M15" s="262" t="str">
        <f>TEXT($G$1+1, "[$-ko-KR]yyyy-mm-dd(ddd) ") &amp; "오전 00:00"</f>
        <v>2021-04-02(금) 오전 00:00</v>
      </c>
      <c r="N15" s="263"/>
      <c r="O15" s="264"/>
      <c r="Q15" s="248"/>
      <c r="R15" s="248"/>
      <c r="S15" s="248"/>
    </row>
    <row r="16" spans="1:19" ht="17.25" customHeight="1" thickBot="1">
      <c r="A16" s="27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8"/>
      <c r="R17" s="248"/>
      <c r="S17" s="248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8"/>
      <c r="R18" s="248"/>
      <c r="S18" s="248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8"/>
      <c r="R19" s="238"/>
      <c r="S19" s="238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8"/>
      <c r="R20" s="238"/>
      <c r="S20" s="238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8"/>
      <c r="R21" s="238"/>
      <c r="S21" s="238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8"/>
      <c r="R22" s="238"/>
      <c r="S22" s="23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8"/>
      <c r="R23" s="238"/>
      <c r="S23" s="23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8"/>
      <c r="R24" s="238"/>
      <c r="S24" s="23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9"/>
      <c r="R26" s="240"/>
      <c r="S26" s="24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2"/>
      <c r="R27" s="243"/>
      <c r="S27" s="24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5"/>
      <c r="R28" s="246"/>
      <c r="S28" s="24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8"/>
      <c r="R29" s="238"/>
      <c r="S29" s="23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8"/>
      <c r="R30" s="248"/>
      <c r="S30" s="24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8"/>
      <c r="R31" s="248"/>
      <c r="S31" s="24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8"/>
      <c r="R32" s="238"/>
      <c r="S32" s="23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7"/>
      <c r="R35" s="228"/>
      <c r="S35" s="22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0"/>
      <c r="R36" s="231"/>
      <c r="S36" s="232"/>
    </row>
    <row r="37" spans="1:19" ht="17.25" customHeight="1" thickBot="1">
      <c r="A37" s="26" t="s">
        <v>42</v>
      </c>
      <c r="B37" s="236">
        <v>300000</v>
      </c>
      <c r="C37" s="237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33"/>
      <c r="R37" s="234"/>
      <c r="S37" s="23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48"/>
      <c r="R40" s="248"/>
      <c r="S40" s="248"/>
    </row>
    <row r="41" spans="1:19" ht="17.25" customHeight="1" thickBot="1">
      <c r="A41" s="111" t="s">
        <v>267</v>
      </c>
      <c r="B41" s="249" t="s">
        <v>49</v>
      </c>
      <c r="C41" s="251"/>
      <c r="D41" s="249" t="s">
        <v>58</v>
      </c>
      <c r="E41" s="250"/>
      <c r="F41" s="251"/>
      <c r="G41" s="252">
        <f>_xlfn.IFNA(VLOOKUP(B41, 현재가테이블!$B$2:$D$200, 2, FALSE), "-")</f>
        <v>54440000</v>
      </c>
      <c r="H41" s="253"/>
      <c r="I41" s="254"/>
      <c r="J41" s="249" t="s">
        <v>59</v>
      </c>
      <c r="K41" s="250"/>
      <c r="L41" s="251"/>
      <c r="M41" s="255">
        <f>_xlfn.IFNA(VLOOKUP(B41, 현재가테이블!$B$2:$D$200, 3, FALSE), "-")</f>
        <v>1.07123628E-2</v>
      </c>
      <c r="N41" s="256"/>
      <c r="O41" s="257"/>
      <c r="Q41" s="248"/>
      <c r="R41" s="248"/>
      <c r="S41" s="248"/>
    </row>
    <row r="42" spans="1:19" ht="17.25" customHeight="1" thickBot="1">
      <c r="A42" s="258" t="s">
        <v>55</v>
      </c>
      <c r="B42" s="260" t="str">
        <f>TEXT($G$1, "[$-ko-KR]yyyy-mm-dd(ddd) ") &amp; "오전 00:00"</f>
        <v>2021-04-01(목) 오전 00:00</v>
      </c>
      <c r="C42" s="261"/>
      <c r="D42" s="262" t="str">
        <f>TEXT($G$1, "[$-ko-KR]yyyy-mm-dd(ddd) ") &amp; "오후 14:00"</f>
        <v>2021-04-01(목) 오후 14:00</v>
      </c>
      <c r="E42" s="263"/>
      <c r="F42" s="264"/>
      <c r="G42" s="262" t="str">
        <f>TEXT($G$1, "[$-ko-KR]yyyy-mm-dd(ddd) ") &amp; "오후 19:00"</f>
        <v>2021-04-01(목) 오후 19:00</v>
      </c>
      <c r="H42" s="263"/>
      <c r="I42" s="264"/>
      <c r="J42" s="262" t="str">
        <f>TEXT($G$1, "[$-ko-KR]yyyy-mm-dd(ddd) ") &amp; "오후 21:00"</f>
        <v>2021-04-01(목) 오후 21:00</v>
      </c>
      <c r="K42" s="263"/>
      <c r="L42" s="264"/>
      <c r="M42" s="262" t="str">
        <f>TEXT($G$1+1, "[$-ko-KR]yyyy-mm-dd(ddd) ") &amp; "오전 00:00"</f>
        <v>2021-04-02(금) 오전 00:00</v>
      </c>
      <c r="N42" s="263"/>
      <c r="O42" s="264"/>
      <c r="Q42" s="248"/>
      <c r="R42" s="248"/>
      <c r="S42" s="248"/>
    </row>
    <row r="43" spans="1:19" ht="17.25" customHeight="1" thickBot="1">
      <c r="A43" s="259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8"/>
      <c r="R43" s="238"/>
      <c r="S43" s="238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8"/>
      <c r="R44" s="248"/>
      <c r="S44" s="248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8"/>
      <c r="R45" s="248"/>
      <c r="S45" s="248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8"/>
      <c r="R46" s="238"/>
      <c r="S46" s="238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8"/>
      <c r="R47" s="238"/>
      <c r="S47" s="238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8"/>
      <c r="R48" s="238"/>
      <c r="S48" s="238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8"/>
      <c r="R49" s="238"/>
      <c r="S49" s="238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8"/>
      <c r="R50" s="238"/>
      <c r="S50" s="238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8"/>
      <c r="R51" s="238"/>
      <c r="S51" s="238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39"/>
      <c r="R53" s="240"/>
      <c r="S53" s="241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2"/>
      <c r="R54" s="243"/>
      <c r="S54" s="244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5"/>
      <c r="R55" s="246"/>
      <c r="S55" s="247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8"/>
      <c r="R56" s="238"/>
      <c r="S56" s="238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8"/>
      <c r="R57" s="248"/>
      <c r="S57" s="248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8"/>
      <c r="R58" s="248"/>
      <c r="S58" s="248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8"/>
      <c r="R59" s="238"/>
      <c r="S59" s="238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8"/>
      <c r="R60" s="238"/>
      <c r="S60" s="238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8"/>
      <c r="R61" s="238"/>
      <c r="S61" s="238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7"/>
      <c r="R62" s="228"/>
      <c r="S62" s="229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0"/>
      <c r="R63" s="231"/>
      <c r="S63" s="232"/>
    </row>
    <row r="64" spans="1:19" ht="17.25" customHeight="1" thickBot="1">
      <c r="A64" s="26" t="s">
        <v>270</v>
      </c>
      <c r="B64" s="236">
        <f>$B$37</f>
        <v>300000</v>
      </c>
      <c r="C64" s="237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33"/>
      <c r="R64" s="234"/>
      <c r="S64" s="23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48"/>
      <c r="R67" s="248"/>
      <c r="S67" s="248"/>
    </row>
    <row r="68" spans="1:19" ht="17.25" thickBot="1">
      <c r="A68" s="111" t="s">
        <v>267</v>
      </c>
      <c r="B68" s="249" t="s">
        <v>49</v>
      </c>
      <c r="C68" s="251"/>
      <c r="D68" s="249" t="s">
        <v>58</v>
      </c>
      <c r="E68" s="250"/>
      <c r="F68" s="251"/>
      <c r="G68" s="252">
        <f>_xlfn.IFNA(VLOOKUP(B68, 현재가테이블!$B$2:$D$200, 2, FALSE), "-")</f>
        <v>54440000</v>
      </c>
      <c r="H68" s="253"/>
      <c r="I68" s="254"/>
      <c r="J68" s="249" t="s">
        <v>59</v>
      </c>
      <c r="K68" s="250"/>
      <c r="L68" s="251"/>
      <c r="M68" s="255">
        <f>_xlfn.IFNA(VLOOKUP(B68, 현재가테이블!$B$2:$D$200, 3, FALSE), "-")</f>
        <v>1.07123628E-2</v>
      </c>
      <c r="N68" s="256"/>
      <c r="O68" s="257"/>
      <c r="Q68" s="248"/>
      <c r="R68" s="248"/>
      <c r="S68" s="248"/>
    </row>
    <row r="69" spans="1:19" ht="17.25" thickBot="1">
      <c r="A69" s="258" t="s">
        <v>55</v>
      </c>
      <c r="B69" s="260" t="str">
        <f>TEXT($G$1, "[$-ko-KR]yyyy-mm-dd(ddd) ") &amp; "오전 00:00"</f>
        <v>2021-04-01(목) 오전 00:00</v>
      </c>
      <c r="C69" s="261"/>
      <c r="D69" s="262" t="str">
        <f>TEXT($G$1, "[$-ko-KR]yyyy-mm-dd(ddd) ") &amp; "오후 14:00"</f>
        <v>2021-04-01(목) 오후 14:00</v>
      </c>
      <c r="E69" s="263"/>
      <c r="F69" s="264"/>
      <c r="G69" s="262" t="str">
        <f>TEXT($G$1, "[$-ko-KR]yyyy-mm-dd(ddd) ") &amp; "오후 19:00"</f>
        <v>2021-04-01(목) 오후 19:00</v>
      </c>
      <c r="H69" s="263"/>
      <c r="I69" s="264"/>
      <c r="J69" s="262" t="str">
        <f>TEXT($G$1, "[$-ko-KR]yyyy-mm-dd(ddd) ") &amp; "오후 21:00"</f>
        <v>2021-04-01(목) 오후 21:00</v>
      </c>
      <c r="K69" s="263"/>
      <c r="L69" s="264"/>
      <c r="M69" s="262" t="str">
        <f>TEXT($G$1+1, "[$-ko-KR]yyyy-mm-dd(ddd) ") &amp; "오전 00:00"</f>
        <v>2021-04-02(금) 오전 00:00</v>
      </c>
      <c r="N69" s="263"/>
      <c r="O69" s="264"/>
      <c r="Q69" s="248"/>
      <c r="R69" s="248"/>
      <c r="S69" s="248"/>
    </row>
    <row r="70" spans="1:19" ht="17.25" thickBot="1">
      <c r="A70" s="259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8"/>
      <c r="R70" s="238"/>
      <c r="S70" s="238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8"/>
      <c r="R71" s="248"/>
      <c r="S71" s="248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8"/>
      <c r="R72" s="248"/>
      <c r="S72" s="248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8"/>
      <c r="R73" s="238"/>
      <c r="S73" s="238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8"/>
      <c r="R74" s="238"/>
      <c r="S74" s="238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8"/>
      <c r="R75" s="238"/>
      <c r="S75" s="238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8"/>
      <c r="R76" s="238"/>
      <c r="S76" s="238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8"/>
      <c r="R77" s="238"/>
      <c r="S77" s="238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8"/>
      <c r="R78" s="238"/>
      <c r="S78" s="238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39"/>
      <c r="R80" s="240"/>
      <c r="S80" s="241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2"/>
      <c r="R81" s="243"/>
      <c r="S81" s="244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5"/>
      <c r="R82" s="246"/>
      <c r="S82" s="247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8"/>
      <c r="R83" s="238"/>
      <c r="S83" s="238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8"/>
      <c r="R84" s="248"/>
      <c r="S84" s="248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8"/>
      <c r="R85" s="248"/>
      <c r="S85" s="248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8"/>
      <c r="R86" s="238"/>
      <c r="S86" s="238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8"/>
      <c r="R87" s="238"/>
      <c r="S87" s="238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8"/>
      <c r="R88" s="238"/>
      <c r="S88" s="238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7"/>
      <c r="R89" s="228"/>
      <c r="S89" s="229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0"/>
      <c r="R90" s="231"/>
      <c r="S90" s="232"/>
    </row>
    <row r="91" spans="1:19" ht="17.25" thickBot="1">
      <c r="A91" s="26" t="s">
        <v>270</v>
      </c>
      <c r="B91" s="236">
        <f>$B$37</f>
        <v>300000</v>
      </c>
      <c r="C91" s="237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33"/>
      <c r="R91" s="234"/>
      <c r="S91" s="23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48"/>
      <c r="R94" s="248"/>
      <c r="S94" s="248"/>
    </row>
    <row r="95" spans="1:19" ht="17.25" thickBot="1">
      <c r="A95" s="111" t="s">
        <v>267</v>
      </c>
      <c r="B95" s="249" t="s">
        <v>49</v>
      </c>
      <c r="C95" s="251"/>
      <c r="D95" s="249" t="s">
        <v>58</v>
      </c>
      <c r="E95" s="250"/>
      <c r="F95" s="251"/>
      <c r="G95" s="252">
        <f>_xlfn.IFNA(VLOOKUP(B95, 현재가테이블!$B$2:$D$200, 2, FALSE), "-")</f>
        <v>54440000</v>
      </c>
      <c r="H95" s="253"/>
      <c r="I95" s="254"/>
      <c r="J95" s="249" t="s">
        <v>59</v>
      </c>
      <c r="K95" s="250"/>
      <c r="L95" s="251"/>
      <c r="M95" s="255">
        <f>_xlfn.IFNA(VLOOKUP(B95, 현재가테이블!$B$2:$D$200, 3, FALSE), "-")</f>
        <v>1.07123628E-2</v>
      </c>
      <c r="N95" s="256"/>
      <c r="O95" s="257"/>
      <c r="Q95" s="248"/>
      <c r="R95" s="248"/>
      <c r="S95" s="248"/>
    </row>
    <row r="96" spans="1:19" ht="17.25" thickBot="1">
      <c r="A96" s="258" t="s">
        <v>55</v>
      </c>
      <c r="B96" s="260" t="str">
        <f>TEXT($G$1, "[$-ko-KR]yyyy-mm-dd(ddd) ") &amp; "오전 00:00"</f>
        <v>2021-04-01(목) 오전 00:00</v>
      </c>
      <c r="C96" s="261"/>
      <c r="D96" s="262" t="str">
        <f>TEXT($G$1, "[$-ko-KR]yyyy-mm-dd(ddd) ") &amp; "오후 14:00"</f>
        <v>2021-04-01(목) 오후 14:00</v>
      </c>
      <c r="E96" s="263"/>
      <c r="F96" s="264"/>
      <c r="G96" s="262" t="str">
        <f>TEXT($G$1, "[$-ko-KR]yyyy-mm-dd(ddd) ") &amp; "오후 19:00"</f>
        <v>2021-04-01(목) 오후 19:00</v>
      </c>
      <c r="H96" s="263"/>
      <c r="I96" s="264"/>
      <c r="J96" s="262" t="str">
        <f>TEXT($G$1, "[$-ko-KR]yyyy-mm-dd(ddd) ") &amp; "오후 21:00"</f>
        <v>2021-04-01(목) 오후 21:00</v>
      </c>
      <c r="K96" s="263"/>
      <c r="L96" s="264"/>
      <c r="M96" s="262" t="str">
        <f>TEXT($G$1+1, "[$-ko-KR]yyyy-mm-dd(ddd) ") &amp; "오전 00:00"</f>
        <v>2021-04-02(금) 오전 00:00</v>
      </c>
      <c r="N96" s="263"/>
      <c r="O96" s="264"/>
      <c r="Q96" s="248"/>
      <c r="R96" s="248"/>
      <c r="S96" s="248"/>
    </row>
    <row r="97" spans="1:19" ht="17.25" thickBot="1">
      <c r="A97" s="259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8"/>
      <c r="R97" s="238"/>
      <c r="S97" s="238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8"/>
      <c r="R98" s="248"/>
      <c r="S98" s="248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8"/>
      <c r="R99" s="248"/>
      <c r="S99" s="248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8"/>
      <c r="R100" s="238"/>
      <c r="S100" s="238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8"/>
      <c r="R101" s="238"/>
      <c r="S101" s="238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8"/>
      <c r="R102" s="238"/>
      <c r="S102" s="238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8"/>
      <c r="R103" s="238"/>
      <c r="S103" s="238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8"/>
      <c r="R104" s="238"/>
      <c r="S104" s="238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8"/>
      <c r="R105" s="238"/>
      <c r="S105" s="238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39"/>
      <c r="R107" s="240"/>
      <c r="S107" s="241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2"/>
      <c r="R108" s="243"/>
      <c r="S108" s="244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5"/>
      <c r="R109" s="246"/>
      <c r="S109" s="247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8"/>
      <c r="R110" s="238"/>
      <c r="S110" s="238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8"/>
      <c r="R111" s="248"/>
      <c r="S111" s="248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8"/>
      <c r="R112" s="248"/>
      <c r="S112" s="248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8"/>
      <c r="R113" s="238"/>
      <c r="S113" s="238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8"/>
      <c r="R114" s="238"/>
      <c r="S114" s="238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8"/>
      <c r="R115" s="238"/>
      <c r="S115" s="238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7"/>
      <c r="R116" s="228"/>
      <c r="S116" s="229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0"/>
      <c r="R117" s="231"/>
      <c r="S117" s="232"/>
    </row>
    <row r="118" spans="1:19" ht="17.25" thickBot="1">
      <c r="A118" s="26" t="s">
        <v>270</v>
      </c>
      <c r="B118" s="236">
        <f>$B$37</f>
        <v>300000</v>
      </c>
      <c r="C118" s="237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33"/>
      <c r="R118" s="234"/>
      <c r="S118" s="23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48"/>
      <c r="R121" s="248"/>
      <c r="S121" s="248"/>
    </row>
    <row r="122" spans="1:19" ht="17.25" thickBot="1">
      <c r="A122" s="111" t="s">
        <v>267</v>
      </c>
      <c r="B122" s="249" t="s">
        <v>49</v>
      </c>
      <c r="C122" s="251"/>
      <c r="D122" s="249" t="s">
        <v>58</v>
      </c>
      <c r="E122" s="250"/>
      <c r="F122" s="251"/>
      <c r="G122" s="252">
        <f>_xlfn.IFNA(VLOOKUP(B122, 현재가테이블!$B$2:$D$200, 2, FALSE), "-")</f>
        <v>54440000</v>
      </c>
      <c r="H122" s="253"/>
      <c r="I122" s="254"/>
      <c r="J122" s="249" t="s">
        <v>59</v>
      </c>
      <c r="K122" s="250"/>
      <c r="L122" s="251"/>
      <c r="M122" s="255">
        <f>_xlfn.IFNA(VLOOKUP(B122, 현재가테이블!$B$2:$D$200, 3, FALSE), "-")</f>
        <v>1.07123628E-2</v>
      </c>
      <c r="N122" s="256"/>
      <c r="O122" s="257"/>
      <c r="Q122" s="248"/>
      <c r="R122" s="248"/>
      <c r="S122" s="248"/>
    </row>
    <row r="123" spans="1:19" ht="17.25" thickBot="1">
      <c r="A123" s="258" t="s">
        <v>55</v>
      </c>
      <c r="B123" s="260" t="str">
        <f>TEXT($G$1, "[$-ko-KR]yyyy-mm-dd(ddd) ") &amp; "오전 00:00"</f>
        <v>2021-04-01(목) 오전 00:00</v>
      </c>
      <c r="C123" s="261"/>
      <c r="D123" s="262" t="str">
        <f>TEXT($G$1, "[$-ko-KR]yyyy-mm-dd(ddd) ") &amp; "오후 14:00"</f>
        <v>2021-04-01(목) 오후 14:00</v>
      </c>
      <c r="E123" s="263"/>
      <c r="F123" s="264"/>
      <c r="G123" s="262" t="str">
        <f>TEXT($G$1, "[$-ko-KR]yyyy-mm-dd(ddd) ") &amp; "오후 19:00"</f>
        <v>2021-04-01(목) 오후 19:00</v>
      </c>
      <c r="H123" s="263"/>
      <c r="I123" s="264"/>
      <c r="J123" s="262" t="str">
        <f>TEXT($G$1, "[$-ko-KR]yyyy-mm-dd(ddd) ") &amp; "오후 21:00"</f>
        <v>2021-04-01(목) 오후 21:00</v>
      </c>
      <c r="K123" s="263"/>
      <c r="L123" s="264"/>
      <c r="M123" s="262" t="str">
        <f>TEXT($G$1+1, "[$-ko-KR]yyyy-mm-dd(ddd) ") &amp; "오전 00:00"</f>
        <v>2021-04-02(금) 오전 00:00</v>
      </c>
      <c r="N123" s="263"/>
      <c r="O123" s="264"/>
      <c r="Q123" s="248"/>
      <c r="R123" s="248"/>
      <c r="S123" s="248"/>
    </row>
    <row r="124" spans="1:19" ht="17.25" thickBot="1">
      <c r="A124" s="259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8"/>
      <c r="R124" s="238"/>
      <c r="S124" s="238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8"/>
      <c r="R125" s="248"/>
      <c r="S125" s="248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8"/>
      <c r="R126" s="248"/>
      <c r="S126" s="248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8"/>
      <c r="R127" s="238"/>
      <c r="S127" s="238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8"/>
      <c r="R128" s="238"/>
      <c r="S128" s="238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8"/>
      <c r="R129" s="238"/>
      <c r="S129" s="238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8"/>
      <c r="R130" s="238"/>
      <c r="S130" s="238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8"/>
      <c r="R131" s="238"/>
      <c r="S131" s="238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8"/>
      <c r="R132" s="238"/>
      <c r="S132" s="238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39"/>
      <c r="R134" s="240"/>
      <c r="S134" s="241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2"/>
      <c r="R135" s="243"/>
      <c r="S135" s="244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5"/>
      <c r="R136" s="246"/>
      <c r="S136" s="247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8"/>
      <c r="R137" s="238"/>
      <c r="S137" s="238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8"/>
      <c r="R138" s="248"/>
      <c r="S138" s="248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8"/>
      <c r="R139" s="248"/>
      <c r="S139" s="248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8"/>
      <c r="R140" s="238"/>
      <c r="S140" s="238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8"/>
      <c r="R141" s="238"/>
      <c r="S141" s="238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8"/>
      <c r="R142" s="238"/>
      <c r="S142" s="238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7"/>
      <c r="R143" s="228"/>
      <c r="S143" s="229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0"/>
      <c r="R144" s="231"/>
      <c r="S144" s="232"/>
    </row>
    <row r="145" spans="1:19" ht="17.25" thickBot="1">
      <c r="A145" s="26" t="s">
        <v>270</v>
      </c>
      <c r="B145" s="236">
        <f>$B$37</f>
        <v>300000</v>
      </c>
      <c r="C145" s="237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33"/>
      <c r="R145" s="234"/>
      <c r="S145" s="23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48"/>
      <c r="R148" s="248"/>
      <c r="S148" s="248"/>
    </row>
    <row r="149" spans="1:19" ht="17.25" thickBot="1">
      <c r="A149" s="111" t="s">
        <v>267</v>
      </c>
      <c r="B149" s="249" t="s">
        <v>49</v>
      </c>
      <c r="C149" s="251"/>
      <c r="D149" s="249" t="s">
        <v>58</v>
      </c>
      <c r="E149" s="250"/>
      <c r="F149" s="251"/>
      <c r="G149" s="252">
        <f>_xlfn.IFNA(VLOOKUP(B149, 현재가테이블!$B$2:$D$200, 2, FALSE), "-")</f>
        <v>54440000</v>
      </c>
      <c r="H149" s="253"/>
      <c r="I149" s="254"/>
      <c r="J149" s="249" t="s">
        <v>59</v>
      </c>
      <c r="K149" s="250"/>
      <c r="L149" s="251"/>
      <c r="M149" s="255">
        <f>_xlfn.IFNA(VLOOKUP(B149, 현재가테이블!$B$2:$D$200, 3, FALSE), "-")</f>
        <v>1.07123628E-2</v>
      </c>
      <c r="N149" s="256"/>
      <c r="O149" s="257"/>
      <c r="Q149" s="248"/>
      <c r="R149" s="248"/>
      <c r="S149" s="248"/>
    </row>
    <row r="150" spans="1:19" ht="17.25" thickBot="1">
      <c r="A150" s="258" t="s">
        <v>55</v>
      </c>
      <c r="B150" s="260" t="str">
        <f>TEXT($G$1, "[$-ko-KR]yyyy-mm-dd(ddd) ") &amp; "오전 00:00"</f>
        <v>2021-04-01(목) 오전 00:00</v>
      </c>
      <c r="C150" s="261"/>
      <c r="D150" s="262" t="str">
        <f>TEXT($G$1, "[$-ko-KR]yyyy-mm-dd(ddd) ") &amp; "오후 14:00"</f>
        <v>2021-04-01(목) 오후 14:00</v>
      </c>
      <c r="E150" s="263"/>
      <c r="F150" s="264"/>
      <c r="G150" s="262" t="str">
        <f>TEXT($G$1, "[$-ko-KR]yyyy-mm-dd(ddd) ") &amp; "오후 19:00"</f>
        <v>2021-04-01(목) 오후 19:00</v>
      </c>
      <c r="H150" s="263"/>
      <c r="I150" s="264"/>
      <c r="J150" s="262" t="str">
        <f>TEXT($G$1, "[$-ko-KR]yyyy-mm-dd(ddd) ") &amp; "오후 21:00"</f>
        <v>2021-04-01(목) 오후 21:00</v>
      </c>
      <c r="K150" s="263"/>
      <c r="L150" s="264"/>
      <c r="M150" s="262" t="str">
        <f>TEXT($G$1+1, "[$-ko-KR]yyyy-mm-dd(ddd) ") &amp; "오전 00:00"</f>
        <v>2021-04-02(금) 오전 00:00</v>
      </c>
      <c r="N150" s="263"/>
      <c r="O150" s="264"/>
      <c r="Q150" s="248"/>
      <c r="R150" s="248"/>
      <c r="S150" s="248"/>
    </row>
    <row r="151" spans="1:19" ht="17.25" thickBot="1">
      <c r="A151" s="259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8"/>
      <c r="R151" s="238"/>
      <c r="S151" s="238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8"/>
      <c r="R152" s="248"/>
      <c r="S152" s="248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8"/>
      <c r="R153" s="248"/>
      <c r="S153" s="248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8"/>
      <c r="R154" s="238"/>
      <c r="S154" s="238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8"/>
      <c r="R155" s="238"/>
      <c r="S155" s="238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8"/>
      <c r="R156" s="238"/>
      <c r="S156" s="238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8"/>
      <c r="R157" s="238"/>
      <c r="S157" s="238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8"/>
      <c r="R158" s="238"/>
      <c r="S158" s="238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8"/>
      <c r="R159" s="238"/>
      <c r="S159" s="238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39"/>
      <c r="R161" s="240"/>
      <c r="S161" s="241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2"/>
      <c r="R162" s="243"/>
      <c r="S162" s="244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5"/>
      <c r="R163" s="246"/>
      <c r="S163" s="247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8"/>
      <c r="R164" s="238"/>
      <c r="S164" s="238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8"/>
      <c r="R165" s="248"/>
      <c r="S165" s="248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8"/>
      <c r="R166" s="248"/>
      <c r="S166" s="248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8"/>
      <c r="R167" s="238"/>
      <c r="S167" s="238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8"/>
      <c r="R168" s="238"/>
      <c r="S168" s="238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8"/>
      <c r="R169" s="238"/>
      <c r="S169" s="238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7"/>
      <c r="R170" s="228"/>
      <c r="S170" s="229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0"/>
      <c r="R171" s="231"/>
      <c r="S171" s="232"/>
    </row>
    <row r="172" spans="1:19" ht="17.25" thickBot="1">
      <c r="A172" s="26" t="s">
        <v>270</v>
      </c>
      <c r="B172" s="236">
        <f>$B$37</f>
        <v>300000</v>
      </c>
      <c r="C172" s="237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33"/>
      <c r="R172" s="234"/>
      <c r="S172" s="23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48"/>
      <c r="R175" s="248"/>
      <c r="S175" s="248"/>
    </row>
    <row r="176" spans="1:19" ht="17.25" thickBot="1">
      <c r="A176" s="111" t="s">
        <v>267</v>
      </c>
      <c r="B176" s="249" t="s">
        <v>49</v>
      </c>
      <c r="C176" s="251"/>
      <c r="D176" s="249" t="s">
        <v>58</v>
      </c>
      <c r="E176" s="250"/>
      <c r="F176" s="251"/>
      <c r="G176" s="252">
        <f>_xlfn.IFNA(VLOOKUP(B176, 현재가테이블!$B$2:$D$200, 2, FALSE), "-")</f>
        <v>54440000</v>
      </c>
      <c r="H176" s="253"/>
      <c r="I176" s="254"/>
      <c r="J176" s="249" t="s">
        <v>59</v>
      </c>
      <c r="K176" s="250"/>
      <c r="L176" s="251"/>
      <c r="M176" s="255">
        <f>_xlfn.IFNA(VLOOKUP(B176, 현재가테이블!$B$2:$D$200, 3, FALSE), "-")</f>
        <v>1.07123628E-2</v>
      </c>
      <c r="N176" s="256"/>
      <c r="O176" s="257"/>
      <c r="Q176" s="248"/>
      <c r="R176" s="248"/>
      <c r="S176" s="248"/>
    </row>
    <row r="177" spans="1:19" ht="17.25" thickBot="1">
      <c r="A177" s="258" t="s">
        <v>55</v>
      </c>
      <c r="B177" s="260" t="str">
        <f>TEXT($G$1, "[$-ko-KR]yyyy-mm-dd(ddd) ") &amp; "오전 00:00"</f>
        <v>2021-04-01(목) 오전 00:00</v>
      </c>
      <c r="C177" s="261"/>
      <c r="D177" s="262" t="str">
        <f>TEXT($G$1, "[$-ko-KR]yyyy-mm-dd(ddd) ") &amp; "오후 14:00"</f>
        <v>2021-04-01(목) 오후 14:00</v>
      </c>
      <c r="E177" s="263"/>
      <c r="F177" s="264"/>
      <c r="G177" s="262" t="str">
        <f>TEXT($G$1, "[$-ko-KR]yyyy-mm-dd(ddd) ") &amp; "오후 19:00"</f>
        <v>2021-04-01(목) 오후 19:00</v>
      </c>
      <c r="H177" s="263"/>
      <c r="I177" s="264"/>
      <c r="J177" s="262" t="str">
        <f>TEXT($G$1, "[$-ko-KR]yyyy-mm-dd(ddd) ") &amp; "오후 21:00"</f>
        <v>2021-04-01(목) 오후 21:00</v>
      </c>
      <c r="K177" s="263"/>
      <c r="L177" s="264"/>
      <c r="M177" s="262" t="str">
        <f>TEXT($G$1+1, "[$-ko-KR]yyyy-mm-dd(ddd) ") &amp; "오전 00:00"</f>
        <v>2021-04-02(금) 오전 00:00</v>
      </c>
      <c r="N177" s="263"/>
      <c r="O177" s="264"/>
      <c r="Q177" s="248"/>
      <c r="R177" s="248"/>
      <c r="S177" s="248"/>
    </row>
    <row r="178" spans="1:19" ht="17.25" thickBot="1">
      <c r="A178" s="259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8"/>
      <c r="R178" s="238"/>
      <c r="S178" s="238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8"/>
      <c r="R179" s="248"/>
      <c r="S179" s="248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8"/>
      <c r="R180" s="248"/>
      <c r="S180" s="248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8"/>
      <c r="R181" s="238"/>
      <c r="S181" s="238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8"/>
      <c r="R182" s="238"/>
      <c r="S182" s="238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8"/>
      <c r="R183" s="238"/>
      <c r="S183" s="238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8"/>
      <c r="R184" s="238"/>
      <c r="S184" s="238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8"/>
      <c r="R185" s="238"/>
      <c r="S185" s="238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8"/>
      <c r="R186" s="238"/>
      <c r="S186" s="238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39"/>
      <c r="R188" s="240"/>
      <c r="S188" s="241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2"/>
      <c r="R189" s="243"/>
      <c r="S189" s="244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5"/>
      <c r="R190" s="246"/>
      <c r="S190" s="247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8"/>
      <c r="R191" s="238"/>
      <c r="S191" s="238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8"/>
      <c r="R192" s="248"/>
      <c r="S192" s="248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8"/>
      <c r="R193" s="248"/>
      <c r="S193" s="248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8"/>
      <c r="R194" s="238"/>
      <c r="S194" s="238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8"/>
      <c r="R195" s="238"/>
      <c r="S195" s="238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8"/>
      <c r="R196" s="238"/>
      <c r="S196" s="238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7"/>
      <c r="R197" s="228"/>
      <c r="S197" s="229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0"/>
      <c r="R198" s="231"/>
      <c r="S198" s="232"/>
    </row>
    <row r="199" spans="1:19" ht="17.25" thickBot="1">
      <c r="A199" s="26" t="s">
        <v>270</v>
      </c>
      <c r="B199" s="236">
        <f>$B$37</f>
        <v>300000</v>
      </c>
      <c r="C199" s="237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33"/>
      <c r="R199" s="234"/>
      <c r="S199" s="23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67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7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7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6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6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6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6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6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66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66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662" priority="157">
      <formula>AND($N17 &gt; 0, ISNUMBER($N17))</formula>
    </cfRule>
    <cfRule type="expression" dxfId="3661" priority="158">
      <formula>AND($N17 = 0 * ISNUMBER($N17))</formula>
    </cfRule>
    <cfRule type="expression" dxfId="3660" priority="159">
      <formula>AND($N17 &lt; 0, ISNUMBER($N17))</formula>
    </cfRule>
  </conditionalFormatting>
  <conditionalFormatting sqref="A17:F36">
    <cfRule type="expression" dxfId="3659" priority="166">
      <formula>AND($E17 &gt; 0, ISNUMBER($E17))</formula>
    </cfRule>
    <cfRule type="expression" dxfId="3658" priority="167">
      <formula>AND($E17 = 0 * ISNUMBER($E17))</formula>
    </cfRule>
    <cfRule type="expression" dxfId="3657" priority="168">
      <formula>AND($E17 &lt; 0, ISNUMBER($E17))</formula>
    </cfRule>
  </conditionalFormatting>
  <conditionalFormatting sqref="A17:C36 G17:I36">
    <cfRule type="expression" dxfId="3656" priority="163">
      <formula>AND($H17 &gt; 0, ISNUMBER($H17))</formula>
    </cfRule>
    <cfRule type="expression" dxfId="3655" priority="164">
      <formula>AND($H17 = 0 * ISNUMBER($H17))</formula>
    </cfRule>
    <cfRule type="expression" dxfId="3654" priority="165">
      <formula>AND($H17 &lt; 0, ISNUMBER($H17))</formula>
    </cfRule>
  </conditionalFormatting>
  <conditionalFormatting sqref="A17:C36 J17:L36">
    <cfRule type="expression" dxfId="3653" priority="160">
      <formula>AND($K17 &gt; 0, ISNUMBER($K17))</formula>
    </cfRule>
    <cfRule type="expression" dxfId="3652" priority="161">
      <formula>AND($K17 = 0 * ISNUMBER($K17))</formula>
    </cfRule>
    <cfRule type="expression" dxfId="3651" priority="162">
      <formula>AND($K17 &lt; 0, ISNUMBER($K17))</formula>
    </cfRule>
  </conditionalFormatting>
  <conditionalFormatting sqref="D15:F16 E37:F37">
    <cfRule type="expression" dxfId="3650" priority="154">
      <formula>$E$37 &gt; 0</formula>
    </cfRule>
    <cfRule type="expression" dxfId="3649" priority="155">
      <formula>$E$37 = 0</formula>
    </cfRule>
    <cfRule type="expression" dxfId="3648" priority="156">
      <formula>$E$37 &lt; 0</formula>
    </cfRule>
  </conditionalFormatting>
  <conditionalFormatting sqref="G15:I16 H37:I37">
    <cfRule type="expression" dxfId="3647" priority="151">
      <formula>$H$37 &gt; 0</formula>
    </cfRule>
    <cfRule type="expression" dxfId="3646" priority="152">
      <formula>$H$37 = 0</formula>
    </cfRule>
    <cfRule type="expression" dxfId="3645" priority="153">
      <formula>$H$37 &lt; 0</formula>
    </cfRule>
  </conditionalFormatting>
  <conditionalFormatting sqref="J15:L16 K37:L37">
    <cfRule type="expression" dxfId="3644" priority="148">
      <formula>$K$37 &gt; 0</formula>
    </cfRule>
    <cfRule type="expression" dxfId="3643" priority="149">
      <formula>$K$37 = 0</formula>
    </cfRule>
    <cfRule type="expression" dxfId="3642" priority="150">
      <formula>$K$37 &lt; 0</formula>
    </cfRule>
  </conditionalFormatting>
  <conditionalFormatting sqref="M15:O16 N37:O37">
    <cfRule type="expression" dxfId="3641" priority="145">
      <formula>$N$37 &gt; 0</formula>
    </cfRule>
    <cfRule type="expression" dxfId="3640" priority="146">
      <formula>$N$37 = 0</formula>
    </cfRule>
    <cfRule type="expression" dxfId="3639" priority="147">
      <formula>$N$37 &lt; 0</formula>
    </cfRule>
  </conditionalFormatting>
  <conditionalFormatting sqref="A44:C63 M44:O63">
    <cfRule type="expression" dxfId="3638" priority="133">
      <formula>AND($N44 &gt; 0, ISNUMBER($N44))</formula>
    </cfRule>
    <cfRule type="expression" dxfId="3637" priority="134">
      <formula>AND($N44 = 0 * ISNUMBER($N44))</formula>
    </cfRule>
    <cfRule type="expression" dxfId="3636" priority="135">
      <formula>AND($N44 &lt; 0, ISNUMBER($N44))</formula>
    </cfRule>
  </conditionalFormatting>
  <conditionalFormatting sqref="A44:F63">
    <cfRule type="expression" dxfId="3635" priority="142">
      <formula>AND($E44 &gt; 0, ISNUMBER($E44))</formula>
    </cfRule>
    <cfRule type="expression" dxfId="3634" priority="143">
      <formula>AND($E44 = 0 * ISNUMBER($E44))</formula>
    </cfRule>
    <cfRule type="expression" dxfId="3633" priority="144">
      <formula>AND($E44 &lt; 0, ISNUMBER($E44))</formula>
    </cfRule>
  </conditionalFormatting>
  <conditionalFormatting sqref="A44:C63 G44:I63">
    <cfRule type="expression" dxfId="3632" priority="139">
      <formula>AND($H44 &gt; 0, ISNUMBER($H44))</formula>
    </cfRule>
    <cfRule type="expression" dxfId="3631" priority="140">
      <formula>AND($H44 = 0 * ISNUMBER($H44))</formula>
    </cfRule>
    <cfRule type="expression" dxfId="3630" priority="141">
      <formula>AND($H44 &lt; 0, ISNUMBER($H44))</formula>
    </cfRule>
  </conditionalFormatting>
  <conditionalFormatting sqref="A44:C63 J44:L63">
    <cfRule type="expression" dxfId="3629" priority="136">
      <formula>AND($K44 &gt; 0, ISNUMBER($K44))</formula>
    </cfRule>
    <cfRule type="expression" dxfId="3628" priority="137">
      <formula>AND($K44 = 0 * ISNUMBER($K44))</formula>
    </cfRule>
    <cfRule type="expression" dxfId="3627" priority="138">
      <formula>AND($K44 &lt; 0, ISNUMBER($K44))</formula>
    </cfRule>
  </conditionalFormatting>
  <conditionalFormatting sqref="D42:F43 E64:F64">
    <cfRule type="expression" dxfId="3626" priority="130">
      <formula>$E$64 &gt; 0</formula>
    </cfRule>
    <cfRule type="expression" dxfId="3625" priority="131">
      <formula>$E$64 = 0</formula>
    </cfRule>
    <cfRule type="expression" dxfId="3624" priority="132">
      <formula>$E$64 &lt; 0</formula>
    </cfRule>
  </conditionalFormatting>
  <conditionalFormatting sqref="G42:I43 H64:I64">
    <cfRule type="expression" dxfId="3623" priority="127">
      <formula>$H$64 &gt; 0</formula>
    </cfRule>
    <cfRule type="expression" dxfId="3622" priority="128">
      <formula>$H$64 = 0</formula>
    </cfRule>
    <cfRule type="expression" dxfId="3621" priority="129">
      <formula>$H$64 &lt; 0</formula>
    </cfRule>
  </conditionalFormatting>
  <conditionalFormatting sqref="J42:L43 K64:L64">
    <cfRule type="expression" dxfId="3620" priority="124">
      <formula>$K$64 &gt; 0</formula>
    </cfRule>
    <cfRule type="expression" dxfId="3619" priority="125">
      <formula>$K$64 = 0</formula>
    </cfRule>
    <cfRule type="expression" dxfId="3618" priority="126">
      <formula>$K$64 &lt; 0</formula>
    </cfRule>
  </conditionalFormatting>
  <conditionalFormatting sqref="M42:O43 N64:O64">
    <cfRule type="expression" dxfId="3617" priority="121">
      <formula>$N$64 &gt; 0</formula>
    </cfRule>
    <cfRule type="expression" dxfId="3616" priority="122">
      <formula>$N$64 = 0</formula>
    </cfRule>
    <cfRule type="expression" dxfId="3615" priority="123">
      <formula>$N$64 &lt; 0</formula>
    </cfRule>
  </conditionalFormatting>
  <conditionalFormatting sqref="A71:C90 M71:O90">
    <cfRule type="expression" dxfId="3614" priority="109">
      <formula>AND($N71 &gt; 0, ISNUMBER($N71))</formula>
    </cfRule>
    <cfRule type="expression" dxfId="3613" priority="110">
      <formula>AND($N71 = 0 * ISNUMBER($N71))</formula>
    </cfRule>
    <cfRule type="expression" dxfId="3612" priority="111">
      <formula>AND($N71 &lt; 0, ISNUMBER($N71))</formula>
    </cfRule>
  </conditionalFormatting>
  <conditionalFormatting sqref="A71:F90">
    <cfRule type="expression" dxfId="3611" priority="118">
      <formula>AND($E71 &gt; 0, ISNUMBER($E71))</formula>
    </cfRule>
    <cfRule type="expression" dxfId="3610" priority="119">
      <formula>AND($E71 = 0 * ISNUMBER($E71))</formula>
    </cfRule>
    <cfRule type="expression" dxfId="3609" priority="120">
      <formula>AND($E71 &lt; 0, ISNUMBER($E71))</formula>
    </cfRule>
  </conditionalFormatting>
  <conditionalFormatting sqref="A71:C90 G71:I90">
    <cfRule type="expression" dxfId="3608" priority="115">
      <formula>AND($H71 &gt; 0, ISNUMBER($H71))</formula>
    </cfRule>
    <cfRule type="expression" dxfId="3607" priority="116">
      <formula>AND($H71 = 0 * ISNUMBER($H71))</formula>
    </cfRule>
    <cfRule type="expression" dxfId="3606" priority="117">
      <formula>AND($H71 &lt; 0, ISNUMBER($H71))</formula>
    </cfRule>
  </conditionalFormatting>
  <conditionalFormatting sqref="A71:C90 J71:L90">
    <cfRule type="expression" dxfId="3605" priority="112">
      <formula>AND($K71 &gt; 0, ISNUMBER($K71))</formula>
    </cfRule>
    <cfRule type="expression" dxfId="3604" priority="113">
      <formula>AND($K71 = 0 * ISNUMBER($K71))</formula>
    </cfRule>
    <cfRule type="expression" dxfId="3603" priority="114">
      <formula>AND($K71 &lt; 0, ISNUMBER($K71))</formula>
    </cfRule>
  </conditionalFormatting>
  <conditionalFormatting sqref="D69:F70 E91:F91">
    <cfRule type="expression" dxfId="3602" priority="106">
      <formula>$E$91 &gt; 0</formula>
    </cfRule>
    <cfRule type="expression" dxfId="3601" priority="107">
      <formula>$E$91 = 0</formula>
    </cfRule>
    <cfRule type="expression" dxfId="3600" priority="108">
      <formula>$E$91 &lt; 0</formula>
    </cfRule>
  </conditionalFormatting>
  <conditionalFormatting sqref="G69:I70 H91:I91">
    <cfRule type="expression" dxfId="3599" priority="103">
      <formula>$H$91 &gt; 0</formula>
    </cfRule>
    <cfRule type="expression" dxfId="3598" priority="104">
      <formula>$H$91 = 0</formula>
    </cfRule>
    <cfRule type="expression" dxfId="3597" priority="105">
      <formula>$H$91 &lt; 0</formula>
    </cfRule>
  </conditionalFormatting>
  <conditionalFormatting sqref="J69:L70 K91:L91">
    <cfRule type="expression" dxfId="3596" priority="100">
      <formula>$K$91 &gt; 0</formula>
    </cfRule>
    <cfRule type="expression" dxfId="3595" priority="101">
      <formula>$K$91 = 0</formula>
    </cfRule>
    <cfRule type="expression" dxfId="3594" priority="102">
      <formula>$K$91 &lt; 0</formula>
    </cfRule>
  </conditionalFormatting>
  <conditionalFormatting sqref="M69:O70 N91:O91">
    <cfRule type="expression" dxfId="3593" priority="97">
      <formula>$N$91 &gt; 0</formula>
    </cfRule>
    <cfRule type="expression" dxfId="3592" priority="98">
      <formula>$N$91 = 0</formula>
    </cfRule>
    <cfRule type="expression" dxfId="3591" priority="99">
      <formula>$N$91 &lt; 0</formula>
    </cfRule>
  </conditionalFormatting>
  <conditionalFormatting sqref="A98:C117 M98:O117">
    <cfRule type="expression" dxfId="3590" priority="85">
      <formula>AND($N98 &gt; 0, ISNUMBER($N98))</formula>
    </cfRule>
    <cfRule type="expression" dxfId="3589" priority="86">
      <formula>AND($N98 = 0 * ISNUMBER($N98))</formula>
    </cfRule>
    <cfRule type="expression" dxfId="3588" priority="87">
      <formula>AND($N98 &lt; 0, ISNUMBER($N98))</formula>
    </cfRule>
  </conditionalFormatting>
  <conditionalFormatting sqref="A98:F117">
    <cfRule type="expression" dxfId="3587" priority="94">
      <formula>AND($E98 &gt; 0, ISNUMBER($E98))</formula>
    </cfRule>
    <cfRule type="expression" dxfId="3586" priority="95">
      <formula>AND($E98 = 0 * ISNUMBER($E98))</formula>
    </cfRule>
    <cfRule type="expression" dxfId="3585" priority="96">
      <formula>AND($E98 &lt; 0, ISNUMBER($E98))</formula>
    </cfRule>
  </conditionalFormatting>
  <conditionalFormatting sqref="A98:C117 G98:I117">
    <cfRule type="expression" dxfId="3584" priority="91">
      <formula>AND($H98 &gt; 0, ISNUMBER($H98))</formula>
    </cfRule>
    <cfRule type="expression" dxfId="3583" priority="92">
      <formula>AND($H98 = 0 * ISNUMBER($H98))</formula>
    </cfRule>
    <cfRule type="expression" dxfId="3582" priority="93">
      <formula>AND($H98 &lt; 0, ISNUMBER($H98))</formula>
    </cfRule>
  </conditionalFormatting>
  <conditionalFormatting sqref="A98:C117 J98:L117">
    <cfRule type="expression" dxfId="3581" priority="88">
      <formula>AND($K98 &gt; 0, ISNUMBER($K98))</formula>
    </cfRule>
    <cfRule type="expression" dxfId="3580" priority="89">
      <formula>AND($K98 = 0 * ISNUMBER($K98))</formula>
    </cfRule>
    <cfRule type="expression" dxfId="3579" priority="90">
      <formula>AND($K98 &lt; 0, ISNUMBER($K98))</formula>
    </cfRule>
  </conditionalFormatting>
  <conditionalFormatting sqref="D96:F97 E118:F118">
    <cfRule type="expression" dxfId="3578" priority="82">
      <formula>$E$118 &gt; 0</formula>
    </cfRule>
    <cfRule type="expression" dxfId="3577" priority="83">
      <formula>$E$118 = 0</formula>
    </cfRule>
    <cfRule type="expression" dxfId="3576" priority="84">
      <formula>$E$118 &lt; 0</formula>
    </cfRule>
  </conditionalFormatting>
  <conditionalFormatting sqref="G96:I97 H118:I118">
    <cfRule type="expression" dxfId="3575" priority="79">
      <formula>$H$118 &gt; 0</formula>
    </cfRule>
    <cfRule type="expression" dxfId="3574" priority="80">
      <formula>$H$118 = 0</formula>
    </cfRule>
    <cfRule type="expression" dxfId="3573" priority="81">
      <formula>$H$118 &lt; 0</formula>
    </cfRule>
  </conditionalFormatting>
  <conditionalFormatting sqref="J96:L97 K118:L118">
    <cfRule type="expression" dxfId="3572" priority="76">
      <formula>$K$118 &gt; 0</formula>
    </cfRule>
    <cfRule type="expression" dxfId="3571" priority="77">
      <formula>$K$118 = 0</formula>
    </cfRule>
    <cfRule type="expression" dxfId="3570" priority="78">
      <formula>$K$118 &lt; 0</formula>
    </cfRule>
  </conditionalFormatting>
  <conditionalFormatting sqref="M96:O97 N118:O118">
    <cfRule type="expression" dxfId="3569" priority="73">
      <formula>$N$118 &gt; 0</formula>
    </cfRule>
    <cfRule type="expression" dxfId="3568" priority="74">
      <formula>$N$118 = 0</formula>
    </cfRule>
    <cfRule type="expression" dxfId="3567" priority="75">
      <formula>$N$118 &lt; 0</formula>
    </cfRule>
  </conditionalFormatting>
  <conditionalFormatting sqref="A125:C144 M125:O144">
    <cfRule type="expression" dxfId="3566" priority="61">
      <formula>AND($N125 &gt; 0, ISNUMBER($N125))</formula>
    </cfRule>
    <cfRule type="expression" dxfId="3565" priority="62">
      <formula>AND($N125 = 0 * ISNUMBER($N125))</formula>
    </cfRule>
    <cfRule type="expression" dxfId="3564" priority="63">
      <formula>AND($N125 &lt; 0, ISNUMBER($N125))</formula>
    </cfRule>
  </conditionalFormatting>
  <conditionalFormatting sqref="A125:F144">
    <cfRule type="expression" dxfId="3563" priority="70">
      <formula>AND($E125 &gt; 0, ISNUMBER($E125))</formula>
    </cfRule>
    <cfRule type="expression" dxfId="3562" priority="71">
      <formula>AND($E125 = 0 * ISNUMBER($E125))</formula>
    </cfRule>
    <cfRule type="expression" dxfId="3561" priority="72">
      <formula>AND($E125 &lt; 0, ISNUMBER($E125))</formula>
    </cfRule>
  </conditionalFormatting>
  <conditionalFormatting sqref="A125:C144 G125:I144">
    <cfRule type="expression" dxfId="3560" priority="67">
      <formula>AND($H125 &gt; 0, ISNUMBER($H125))</formula>
    </cfRule>
    <cfRule type="expression" dxfId="3559" priority="68">
      <formula>AND($H125 = 0 * ISNUMBER($H125))</formula>
    </cfRule>
    <cfRule type="expression" dxfId="3558" priority="69">
      <formula>AND($H125 &lt; 0, ISNUMBER($H125))</formula>
    </cfRule>
  </conditionalFormatting>
  <conditionalFormatting sqref="A125:C144 J125:L144">
    <cfRule type="expression" dxfId="3557" priority="64">
      <formula>AND($K125 &gt; 0, ISNUMBER($K125))</formula>
    </cfRule>
    <cfRule type="expression" dxfId="3556" priority="65">
      <formula>AND($K125 = 0 * ISNUMBER($K125))</formula>
    </cfRule>
    <cfRule type="expression" dxfId="3555" priority="66">
      <formula>AND($K125 &lt; 0, ISNUMBER($K125))</formula>
    </cfRule>
  </conditionalFormatting>
  <conditionalFormatting sqref="D123:F124 E145:F145">
    <cfRule type="expression" dxfId="3554" priority="58">
      <formula>$E$145 &gt; 0</formula>
    </cfRule>
    <cfRule type="expression" dxfId="3553" priority="59">
      <formula>$E$145 = 0</formula>
    </cfRule>
    <cfRule type="expression" dxfId="3552" priority="60">
      <formula>$E$145 &lt; 0</formula>
    </cfRule>
  </conditionalFormatting>
  <conditionalFormatting sqref="G123:I124 H145:I145">
    <cfRule type="expression" dxfId="3551" priority="55">
      <formula>$H$145 &gt; 0</formula>
    </cfRule>
    <cfRule type="expression" dxfId="3550" priority="56">
      <formula>$H$145 = 0</formula>
    </cfRule>
    <cfRule type="expression" dxfId="3549" priority="57">
      <formula>$H$145 &lt; 0</formula>
    </cfRule>
  </conditionalFormatting>
  <conditionalFormatting sqref="J123:L124 K145:L145">
    <cfRule type="expression" dxfId="3548" priority="52">
      <formula>$K$145 &gt; 0</formula>
    </cfRule>
    <cfRule type="expression" dxfId="3547" priority="53">
      <formula>$K$145 = 0</formula>
    </cfRule>
    <cfRule type="expression" dxfId="3546" priority="54">
      <formula>$K$145 &lt; 0</formula>
    </cfRule>
  </conditionalFormatting>
  <conditionalFormatting sqref="M123:O124 N145:O145">
    <cfRule type="expression" dxfId="3545" priority="49">
      <formula>$N$145 &gt; 0</formula>
    </cfRule>
    <cfRule type="expression" dxfId="3544" priority="50">
      <formula>$N$145 = 0</formula>
    </cfRule>
    <cfRule type="expression" dxfId="3543" priority="51">
      <formula>$N$145 &lt; 0</formula>
    </cfRule>
  </conditionalFormatting>
  <conditionalFormatting sqref="A152:C171 M152:O171">
    <cfRule type="expression" dxfId="3542" priority="37">
      <formula>AND($N152 &gt; 0, ISNUMBER($N152))</formula>
    </cfRule>
    <cfRule type="expression" dxfId="3541" priority="38">
      <formula>AND($N152 = 0 * ISNUMBER($N152))</formula>
    </cfRule>
    <cfRule type="expression" dxfId="3540" priority="39">
      <formula>AND($N152 &lt; 0, ISNUMBER($N152))</formula>
    </cfRule>
  </conditionalFormatting>
  <conditionalFormatting sqref="A152:F171">
    <cfRule type="expression" dxfId="3539" priority="46">
      <formula>AND($E152 &gt; 0, ISNUMBER($E152))</formula>
    </cfRule>
    <cfRule type="expression" dxfId="3538" priority="47">
      <formula>AND($E152 = 0 * ISNUMBER($E152))</formula>
    </cfRule>
    <cfRule type="expression" dxfId="3537" priority="48">
      <formula>AND($E152 &lt; 0, ISNUMBER($E152))</formula>
    </cfRule>
  </conditionalFormatting>
  <conditionalFormatting sqref="A152:C171 G152:I171">
    <cfRule type="expression" dxfId="3536" priority="43">
      <formula>AND($H152 &gt; 0, ISNUMBER($H152))</formula>
    </cfRule>
    <cfRule type="expression" dxfId="3535" priority="44">
      <formula>AND($H152 = 0 * ISNUMBER($H152))</formula>
    </cfRule>
    <cfRule type="expression" dxfId="3534" priority="45">
      <formula>AND($H152 &lt; 0, ISNUMBER($H152))</formula>
    </cfRule>
  </conditionalFormatting>
  <conditionalFormatting sqref="A152:C171 J152:L171">
    <cfRule type="expression" dxfId="3533" priority="40">
      <formula>AND($K152 &gt; 0, ISNUMBER($K152))</formula>
    </cfRule>
    <cfRule type="expression" dxfId="3532" priority="41">
      <formula>AND($K152 = 0 * ISNUMBER($K152))</formula>
    </cfRule>
    <cfRule type="expression" dxfId="3531" priority="42">
      <formula>AND($K152 &lt; 0, ISNUMBER($K152))</formula>
    </cfRule>
  </conditionalFormatting>
  <conditionalFormatting sqref="D150:F151 E172:F172">
    <cfRule type="expression" dxfId="3530" priority="34">
      <formula>$E$172 &gt; 0</formula>
    </cfRule>
    <cfRule type="expression" dxfId="3529" priority="35">
      <formula>$E$172 = 0</formula>
    </cfRule>
    <cfRule type="expression" dxfId="3528" priority="36">
      <formula>$E$172 &lt; 0</formula>
    </cfRule>
  </conditionalFormatting>
  <conditionalFormatting sqref="G150:I151 H172:I172">
    <cfRule type="expression" dxfId="3527" priority="31">
      <formula>$H$172 &gt; 0</formula>
    </cfRule>
    <cfRule type="expression" dxfId="3526" priority="32">
      <formula>$H$172 = 0</formula>
    </cfRule>
    <cfRule type="expression" dxfId="3525" priority="33">
      <formula>$H$172 &lt; 0</formula>
    </cfRule>
  </conditionalFormatting>
  <conditionalFormatting sqref="J150:L151 K172:L172">
    <cfRule type="expression" dxfId="3524" priority="28">
      <formula>$K$172 &gt; 0</formula>
    </cfRule>
    <cfRule type="expression" dxfId="3523" priority="29">
      <formula>$K$172 = 0</formula>
    </cfRule>
    <cfRule type="expression" dxfId="3522" priority="30">
      <formula>$K$172 &lt; 0</formula>
    </cfRule>
  </conditionalFormatting>
  <conditionalFormatting sqref="M150:O151 N172:O172">
    <cfRule type="expression" dxfId="3521" priority="25">
      <formula>$N$172 &gt; 0</formula>
    </cfRule>
    <cfRule type="expression" dxfId="3520" priority="26">
      <formula>$N$172 = 0</formula>
    </cfRule>
    <cfRule type="expression" dxfId="3519" priority="27">
      <formula>$N$172 &lt; 0</formula>
    </cfRule>
  </conditionalFormatting>
  <conditionalFormatting sqref="A179:C198 M179:O198">
    <cfRule type="expression" dxfId="3518" priority="13">
      <formula>AND($N179 &gt; 0, ISNUMBER($N179))</formula>
    </cfRule>
    <cfRule type="expression" dxfId="3517" priority="14">
      <formula>AND($N179 = 0 * ISNUMBER($N179))</formula>
    </cfRule>
    <cfRule type="expression" dxfId="3516" priority="15">
      <formula>AND($N179 &lt; 0, ISNUMBER($N179))</formula>
    </cfRule>
  </conditionalFormatting>
  <conditionalFormatting sqref="A179:F198">
    <cfRule type="expression" dxfId="3515" priority="22">
      <formula>AND($E179 &gt; 0, ISNUMBER($E179))</formula>
    </cfRule>
    <cfRule type="expression" dxfId="3514" priority="23">
      <formula>AND($E179 = 0 * ISNUMBER($E179))</formula>
    </cfRule>
    <cfRule type="expression" dxfId="3513" priority="24">
      <formula>AND($E179 &lt; 0, ISNUMBER($E179))</formula>
    </cfRule>
  </conditionalFormatting>
  <conditionalFormatting sqref="A179:C198 G179:I198">
    <cfRule type="expression" dxfId="3512" priority="19">
      <formula>AND($H179 &gt; 0, ISNUMBER($H179))</formula>
    </cfRule>
    <cfRule type="expression" dxfId="3511" priority="20">
      <formula>AND($H179 = 0 * ISNUMBER($H179))</formula>
    </cfRule>
    <cfRule type="expression" dxfId="3510" priority="21">
      <formula>AND($H179 &lt; 0, ISNUMBER($H179))</formula>
    </cfRule>
  </conditionalFormatting>
  <conditionalFormatting sqref="A179:C198 J179:L198">
    <cfRule type="expression" dxfId="3509" priority="16">
      <formula>AND($K179 &gt; 0, ISNUMBER($K179))</formula>
    </cfRule>
    <cfRule type="expression" dxfId="3508" priority="17">
      <formula>AND($K179 = 0 * ISNUMBER($K179))</formula>
    </cfRule>
    <cfRule type="expression" dxfId="3507" priority="18">
      <formula>AND($K179 &lt; 0, ISNUMBER($K179))</formula>
    </cfRule>
  </conditionalFormatting>
  <conditionalFormatting sqref="D177:F178 E199:F199">
    <cfRule type="expression" dxfId="3506" priority="10">
      <formula>$E$199 &gt; 0</formula>
    </cfRule>
    <cfRule type="expression" dxfId="3505" priority="11">
      <formula>$E$199 = 0</formula>
    </cfRule>
    <cfRule type="expression" dxfId="3504" priority="12">
      <formula>$E$199 &lt; 0</formula>
    </cfRule>
  </conditionalFormatting>
  <conditionalFormatting sqref="G177:I178 H199:I199">
    <cfRule type="expression" dxfId="3503" priority="7">
      <formula>$H$199 &gt; 0</formula>
    </cfRule>
    <cfRule type="expression" dxfId="3502" priority="8">
      <formula>$H$199 = 0</formula>
    </cfRule>
    <cfRule type="expression" dxfId="3501" priority="9">
      <formula>$H$199 &lt; 0</formula>
    </cfRule>
  </conditionalFormatting>
  <conditionalFormatting sqref="J177:L178 K199:L199">
    <cfRule type="expression" dxfId="3500" priority="4">
      <formula>$K$199 &gt; 0</formula>
    </cfRule>
    <cfRule type="expression" dxfId="3499" priority="5">
      <formula>$K$199 = 0</formula>
    </cfRule>
    <cfRule type="expression" dxfId="3498" priority="6">
      <formula>$K$199 &lt; 0</formula>
    </cfRule>
  </conditionalFormatting>
  <conditionalFormatting sqref="M177:O178 N199:O199">
    <cfRule type="expression" dxfId="3497" priority="1">
      <formula>$N$199 &gt; 0</formula>
    </cfRule>
    <cfRule type="expression" dxfId="3496" priority="2">
      <formula>$N$199 = 0</formula>
    </cfRule>
    <cfRule type="expression" dxfId="349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80">
        <v>44409</v>
      </c>
      <c r="H1" s="281"/>
      <c r="I1" s="282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83" t="s">
        <v>8</v>
      </c>
      <c r="C2" s="284"/>
      <c r="D2" s="284"/>
      <c r="E2" s="284"/>
      <c r="F2" s="285"/>
      <c r="G2" s="277" t="s">
        <v>46</v>
      </c>
      <c r="H2" s="278"/>
      <c r="I2" s="279"/>
      <c r="J2" s="1" t="s">
        <v>3</v>
      </c>
      <c r="K2" s="283" t="s">
        <v>320</v>
      </c>
      <c r="L2" s="284"/>
      <c r="M2" s="284"/>
      <c r="N2" s="284"/>
      <c r="O2" s="285"/>
      <c r="Q2" s="2" t="s">
        <v>6</v>
      </c>
      <c r="R2" s="3">
        <v>0.375</v>
      </c>
    </row>
    <row r="3" spans="1:19" ht="17.25" customHeight="1" thickBot="1">
      <c r="A3" s="118" t="s">
        <v>7</v>
      </c>
      <c r="B3" s="274" t="s">
        <v>328</v>
      </c>
      <c r="C3" s="275"/>
      <c r="D3" s="275"/>
      <c r="E3" s="275"/>
      <c r="F3" s="276"/>
      <c r="G3" s="27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1"/>
      <c r="I3" s="272"/>
      <c r="J3" s="4" t="s">
        <v>7</v>
      </c>
      <c r="K3" s="274" t="s">
        <v>321</v>
      </c>
      <c r="L3" s="275"/>
      <c r="M3" s="275"/>
      <c r="N3" s="275"/>
      <c r="O3" s="27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4" t="s">
        <v>16</v>
      </c>
      <c r="C4" s="275"/>
      <c r="D4" s="275"/>
      <c r="E4" s="275"/>
      <c r="F4" s="276"/>
      <c r="G4" s="277" t="s">
        <v>44</v>
      </c>
      <c r="H4" s="278"/>
      <c r="I4" s="279"/>
      <c r="J4" s="4" t="s">
        <v>11</v>
      </c>
      <c r="K4" s="274" t="s">
        <v>322</v>
      </c>
      <c r="L4" s="275"/>
      <c r="M4" s="275"/>
      <c r="N4" s="275"/>
      <c r="O4" s="27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4" t="s">
        <v>319</v>
      </c>
      <c r="C5" s="275"/>
      <c r="D5" s="275"/>
      <c r="E5" s="275"/>
      <c r="F5" s="276"/>
      <c r="G5" s="27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1"/>
      <c r="I5" s="272"/>
      <c r="J5" s="4" t="s">
        <v>15</v>
      </c>
      <c r="K5" s="274" t="s">
        <v>323</v>
      </c>
      <c r="L5" s="275"/>
      <c r="M5" s="275"/>
      <c r="N5" s="275"/>
      <c r="O5" s="276"/>
    </row>
    <row r="6" spans="1:19">
      <c r="A6" s="118" t="s">
        <v>18</v>
      </c>
      <c r="B6" s="274"/>
      <c r="C6" s="275"/>
      <c r="D6" s="275"/>
      <c r="E6" s="275"/>
      <c r="F6" s="276"/>
      <c r="G6" s="277" t="s">
        <v>45</v>
      </c>
      <c r="H6" s="278"/>
      <c r="I6" s="279"/>
      <c r="J6" s="4" t="s">
        <v>18</v>
      </c>
      <c r="K6" s="274" t="s">
        <v>324</v>
      </c>
      <c r="L6" s="275"/>
      <c r="M6" s="275"/>
      <c r="N6" s="275"/>
      <c r="O6" s="276"/>
    </row>
    <row r="7" spans="1:19" ht="17.25" thickBot="1">
      <c r="A7" s="118" t="s">
        <v>21</v>
      </c>
      <c r="B7" s="274"/>
      <c r="C7" s="275"/>
      <c r="D7" s="275"/>
      <c r="E7" s="275"/>
      <c r="F7" s="276"/>
      <c r="G7" s="27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1"/>
      <c r="I7" s="272"/>
      <c r="J7" s="4" t="s">
        <v>21</v>
      </c>
      <c r="K7" s="274" t="s">
        <v>325</v>
      </c>
      <c r="L7" s="275"/>
      <c r="M7" s="275"/>
      <c r="N7" s="275"/>
      <c r="O7" s="276"/>
    </row>
    <row r="8" spans="1:19" ht="17.25" thickBot="1">
      <c r="A8" s="118" t="s">
        <v>24</v>
      </c>
      <c r="B8" s="274"/>
      <c r="C8" s="275"/>
      <c r="D8" s="275"/>
      <c r="E8" s="275"/>
      <c r="F8" s="276"/>
      <c r="G8" s="277" t="s">
        <v>255</v>
      </c>
      <c r="H8" s="278"/>
      <c r="I8" s="279"/>
      <c r="J8" s="4" t="s">
        <v>24</v>
      </c>
      <c r="K8" s="274"/>
      <c r="L8" s="275"/>
      <c r="M8" s="275"/>
      <c r="N8" s="275"/>
      <c r="O8" s="276"/>
      <c r="Q8" s="249" t="s">
        <v>27</v>
      </c>
      <c r="R8" s="251"/>
    </row>
    <row r="9" spans="1:19" ht="17.25" thickBot="1">
      <c r="A9" s="118" t="s">
        <v>28</v>
      </c>
      <c r="B9" s="274"/>
      <c r="C9" s="275"/>
      <c r="D9" s="275"/>
      <c r="E9" s="275"/>
      <c r="F9" s="276"/>
      <c r="G9" s="27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1"/>
      <c r="I9" s="272"/>
      <c r="J9" s="4" t="s">
        <v>28</v>
      </c>
      <c r="K9" s="274"/>
      <c r="L9" s="275"/>
      <c r="M9" s="275"/>
      <c r="N9" s="275"/>
      <c r="O9" s="276"/>
      <c r="Q9" s="2" t="s">
        <v>29</v>
      </c>
      <c r="R9" s="6">
        <v>10</v>
      </c>
    </row>
    <row r="10" spans="1:19">
      <c r="A10" s="118" t="s">
        <v>30</v>
      </c>
      <c r="B10" s="274"/>
      <c r="C10" s="275"/>
      <c r="D10" s="275"/>
      <c r="E10" s="275"/>
      <c r="F10" s="276"/>
      <c r="G10" s="277" t="s">
        <v>47</v>
      </c>
      <c r="H10" s="278"/>
      <c r="I10" s="279"/>
      <c r="J10" s="4" t="s">
        <v>30</v>
      </c>
      <c r="K10" s="274" t="s">
        <v>326</v>
      </c>
      <c r="L10" s="275"/>
      <c r="M10" s="275"/>
      <c r="N10" s="275"/>
      <c r="O10" s="276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7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1"/>
      <c r="I11" s="272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48"/>
      <c r="R13" s="248"/>
      <c r="S13" s="248"/>
    </row>
    <row r="14" spans="1:19" ht="17.25" customHeight="1" thickBot="1">
      <c r="A14" s="116" t="s">
        <v>35</v>
      </c>
      <c r="B14" s="249" t="s">
        <v>36</v>
      </c>
      <c r="C14" s="251"/>
      <c r="D14" s="249" t="s">
        <v>37</v>
      </c>
      <c r="E14" s="250"/>
      <c r="F14" s="251"/>
      <c r="G14" s="252">
        <f>_xlfn.IFNA(VLOOKUP(B14, 현재가테이블!$B$2:$D$200, 2, FALSE), "-")</f>
        <v>54440000</v>
      </c>
      <c r="H14" s="253"/>
      <c r="I14" s="254"/>
      <c r="J14" s="249" t="s">
        <v>38</v>
      </c>
      <c r="K14" s="250"/>
      <c r="L14" s="251"/>
      <c r="M14" s="255">
        <f>_xlfn.IFNA(VLOOKUP(B14, 현재가테이블!$B$2:$D$200, 3, FALSE), "-")</f>
        <v>1.07123628E-2</v>
      </c>
      <c r="N14" s="256"/>
      <c r="O14" s="257"/>
      <c r="Q14" s="248"/>
      <c r="R14" s="248"/>
      <c r="S14" s="248"/>
    </row>
    <row r="15" spans="1:19" ht="17.25" customHeight="1" thickBot="1">
      <c r="A15" s="286" t="s">
        <v>39</v>
      </c>
      <c r="B15" s="287" t="str">
        <f>TEXT($G$1, "[$-ko-KR]yyyy-mm-dd(ddd) ") &amp; "오전 00:00"</f>
        <v>2021-08-01(일) 오전 00:00</v>
      </c>
      <c r="C15" s="288"/>
      <c r="D15" s="262" t="str">
        <f>TEXT($G$1, "[$-ko-KR]yyyy-mm-dd(ddd) ") &amp; "오후 14:00"</f>
        <v>2021-08-01(일) 오후 14:00</v>
      </c>
      <c r="E15" s="263"/>
      <c r="F15" s="264"/>
      <c r="G15" s="262" t="str">
        <f>TEXT($G$1, "[$-ko-KR]yyyy-mm-dd(ddd) ") &amp; "오후 19:00"</f>
        <v>2021-08-01(일) 오후 19:00</v>
      </c>
      <c r="H15" s="263"/>
      <c r="I15" s="264"/>
      <c r="J15" s="262" t="str">
        <f>TEXT($G$1, "[$-ko-KR]yyyy-mm-dd(ddd) ") &amp; "오후 21:00"</f>
        <v>2021-08-01(일) 오후 21:00</v>
      </c>
      <c r="K15" s="263"/>
      <c r="L15" s="264"/>
      <c r="M15" s="262" t="str">
        <f>TEXT($G$1+1, "[$-ko-KR]yyyy-mm-dd(ddd) ") &amp; "오전 00:00"</f>
        <v>2021-08-02(월) 오전 00:00</v>
      </c>
      <c r="N15" s="263"/>
      <c r="O15" s="264"/>
      <c r="Q15" s="248"/>
      <c r="R15" s="248"/>
      <c r="S15" s="248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8"/>
      <c r="R17" s="248"/>
      <c r="S17" s="24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8"/>
      <c r="R18" s="248"/>
      <c r="S18" s="24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8"/>
      <c r="R19" s="238"/>
      <c r="S19" s="23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8"/>
      <c r="R20" s="238"/>
      <c r="S20" s="23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8"/>
      <c r="R21" s="238"/>
      <c r="S21" s="23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8"/>
      <c r="R22" s="238"/>
      <c r="S22" s="23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8"/>
      <c r="R23" s="238"/>
      <c r="S23" s="23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8"/>
      <c r="R24" s="238"/>
      <c r="S24" s="23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9"/>
      <c r="R26" s="240"/>
      <c r="S26" s="24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2"/>
      <c r="R27" s="243"/>
      <c r="S27" s="24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5"/>
      <c r="R28" s="246"/>
      <c r="S28" s="24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8"/>
      <c r="R29" s="238"/>
      <c r="S29" s="23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8"/>
      <c r="R30" s="248"/>
      <c r="S30" s="24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8"/>
      <c r="R31" s="248"/>
      <c r="S31" s="24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8"/>
      <c r="R32" s="238"/>
      <c r="S32" s="23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7"/>
      <c r="R35" s="228"/>
      <c r="S35" s="22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0"/>
      <c r="R36" s="231"/>
      <c r="S36" s="232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3"/>
      <c r="R37" s="234"/>
      <c r="S37" s="23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48"/>
      <c r="R40" s="248"/>
      <c r="S40" s="248"/>
    </row>
    <row r="41" spans="1:19" ht="17.25" customHeight="1" thickBot="1">
      <c r="A41" s="116" t="s">
        <v>267</v>
      </c>
      <c r="B41" s="249" t="s">
        <v>49</v>
      </c>
      <c r="C41" s="251"/>
      <c r="D41" s="249" t="s">
        <v>58</v>
      </c>
      <c r="E41" s="250"/>
      <c r="F41" s="251"/>
      <c r="G41" s="252">
        <f>_xlfn.IFNA(VLOOKUP(B41, 현재가테이블!$B$2:$D$200, 2, FALSE), "-")</f>
        <v>54440000</v>
      </c>
      <c r="H41" s="253"/>
      <c r="I41" s="254"/>
      <c r="J41" s="249" t="s">
        <v>59</v>
      </c>
      <c r="K41" s="250"/>
      <c r="L41" s="251"/>
      <c r="M41" s="255">
        <f>_xlfn.IFNA(VLOOKUP(B41, 현재가테이블!$B$2:$D$200, 3, FALSE), "-")</f>
        <v>1.07123628E-2</v>
      </c>
      <c r="N41" s="256"/>
      <c r="O41" s="257"/>
      <c r="Q41" s="248"/>
      <c r="R41" s="248"/>
      <c r="S41" s="248"/>
    </row>
    <row r="42" spans="1:19" ht="17.25" customHeight="1" thickBot="1">
      <c r="A42" s="293" t="s">
        <v>55</v>
      </c>
      <c r="B42" s="289" t="str">
        <f>TEXT($G$1, "[$-ko-KR]yyyy-mm-dd(ddd) ") &amp; "오전 00:00"</f>
        <v>2021-08-01(일) 오전 00:00</v>
      </c>
      <c r="C42" s="290"/>
      <c r="D42" s="262" t="str">
        <f>TEXT($G$1, "[$-ko-KR]yyyy-mm-dd(ddd) ") &amp; "오후 14:00"</f>
        <v>2021-08-01(일) 오후 14:00</v>
      </c>
      <c r="E42" s="263"/>
      <c r="F42" s="264"/>
      <c r="G42" s="262" t="str">
        <f>TEXT($G$1, "[$-ko-KR]yyyy-mm-dd(ddd) ") &amp; "오후 19:00"</f>
        <v>2021-08-01(일) 오후 19:00</v>
      </c>
      <c r="H42" s="263"/>
      <c r="I42" s="264"/>
      <c r="J42" s="262" t="str">
        <f>TEXT($G$1, "[$-ko-KR]yyyy-mm-dd(ddd) ") &amp; "오후 21:00"</f>
        <v>2021-08-01(일) 오후 21:00</v>
      </c>
      <c r="K42" s="263"/>
      <c r="L42" s="264"/>
      <c r="M42" s="262" t="str">
        <f>TEXT($G$1+1, "[$-ko-KR]yyyy-mm-dd(ddd) ") &amp; "오전 00:00"</f>
        <v>2021-08-02(월) 오전 00:00</v>
      </c>
      <c r="N42" s="263"/>
      <c r="O42" s="264"/>
      <c r="Q42" s="248"/>
      <c r="R42" s="248"/>
      <c r="S42" s="248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8"/>
      <c r="R43" s="238"/>
      <c r="S43" s="238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8"/>
      <c r="R44" s="248"/>
      <c r="S44" s="248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8"/>
      <c r="R45" s="248"/>
      <c r="S45" s="248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8"/>
      <c r="R46" s="238"/>
      <c r="S46" s="238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8"/>
      <c r="R47" s="238"/>
      <c r="S47" s="238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8"/>
      <c r="R48" s="238"/>
      <c r="S48" s="238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8"/>
      <c r="R49" s="238"/>
      <c r="S49" s="238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8"/>
      <c r="R50" s="238"/>
      <c r="S50" s="238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8"/>
      <c r="R51" s="238"/>
      <c r="S51" s="238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39"/>
      <c r="R53" s="240"/>
      <c r="S53" s="241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2"/>
      <c r="R54" s="243"/>
      <c r="S54" s="244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5"/>
      <c r="R55" s="246"/>
      <c r="S55" s="247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8"/>
      <c r="R56" s="238"/>
      <c r="S56" s="238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8"/>
      <c r="R57" s="248"/>
      <c r="S57" s="248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8"/>
      <c r="R58" s="248"/>
      <c r="S58" s="248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8"/>
      <c r="R59" s="238"/>
      <c r="S59" s="238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8"/>
      <c r="R60" s="238"/>
      <c r="S60" s="238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8"/>
      <c r="R61" s="238"/>
      <c r="S61" s="238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7"/>
      <c r="R62" s="228"/>
      <c r="S62" s="229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0"/>
      <c r="R63" s="231"/>
      <c r="S63" s="232"/>
    </row>
    <row r="64" spans="1:19" ht="17.25" customHeight="1" thickBot="1">
      <c r="A64" s="132" t="s">
        <v>270</v>
      </c>
      <c r="B64" s="291">
        <f>$B$37</f>
        <v>100000</v>
      </c>
      <c r="C64" s="292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33"/>
      <c r="R64" s="234"/>
      <c r="S64" s="23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48"/>
      <c r="R67" s="248"/>
      <c r="S67" s="248"/>
    </row>
    <row r="68" spans="1:19" ht="17.25" thickBot="1">
      <c r="A68" s="116" t="s">
        <v>267</v>
      </c>
      <c r="B68" s="249" t="s">
        <v>49</v>
      </c>
      <c r="C68" s="251"/>
      <c r="D68" s="249" t="s">
        <v>58</v>
      </c>
      <c r="E68" s="250"/>
      <c r="F68" s="251"/>
      <c r="G68" s="252">
        <f>_xlfn.IFNA(VLOOKUP(B68, 현재가테이블!$B$2:$D$200, 2, FALSE), "-")</f>
        <v>54440000</v>
      </c>
      <c r="H68" s="253"/>
      <c r="I68" s="254"/>
      <c r="J68" s="249" t="s">
        <v>59</v>
      </c>
      <c r="K68" s="250"/>
      <c r="L68" s="251"/>
      <c r="M68" s="255">
        <f>_xlfn.IFNA(VLOOKUP(B68, 현재가테이블!$B$2:$D$200, 3, FALSE), "-")</f>
        <v>1.07123628E-2</v>
      </c>
      <c r="N68" s="256"/>
      <c r="O68" s="257"/>
      <c r="Q68" s="248"/>
      <c r="R68" s="248"/>
      <c r="S68" s="248"/>
    </row>
    <row r="69" spans="1:19" ht="17.25" thickBot="1">
      <c r="A69" s="293" t="s">
        <v>55</v>
      </c>
      <c r="B69" s="289" t="str">
        <f>TEXT($G$1, "[$-ko-KR]yyyy-mm-dd(ddd) ") &amp; "오전 00:00"</f>
        <v>2021-08-01(일) 오전 00:00</v>
      </c>
      <c r="C69" s="290"/>
      <c r="D69" s="262" t="str">
        <f>TEXT($G$1, "[$-ko-KR]yyyy-mm-dd(ddd) ") &amp; "오후 14:00"</f>
        <v>2021-08-01(일) 오후 14:00</v>
      </c>
      <c r="E69" s="263"/>
      <c r="F69" s="264"/>
      <c r="G69" s="262" t="str">
        <f>TEXT($G$1, "[$-ko-KR]yyyy-mm-dd(ddd) ") &amp; "오후 19:00"</f>
        <v>2021-08-01(일) 오후 19:00</v>
      </c>
      <c r="H69" s="263"/>
      <c r="I69" s="264"/>
      <c r="J69" s="262" t="str">
        <f>TEXT($G$1, "[$-ko-KR]yyyy-mm-dd(ddd) ") &amp; "오후 21:00"</f>
        <v>2021-08-01(일) 오후 21:00</v>
      </c>
      <c r="K69" s="263"/>
      <c r="L69" s="264"/>
      <c r="M69" s="262" t="str">
        <f>TEXT($G$1+1, "[$-ko-KR]yyyy-mm-dd(ddd) ") &amp; "오전 00:00"</f>
        <v>2021-08-02(월) 오전 00:00</v>
      </c>
      <c r="N69" s="263"/>
      <c r="O69" s="264"/>
      <c r="Q69" s="248"/>
      <c r="R69" s="248"/>
      <c r="S69" s="248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8"/>
      <c r="R70" s="238"/>
      <c r="S70" s="238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8"/>
      <c r="R71" s="248"/>
      <c r="S71" s="248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8"/>
      <c r="R72" s="248"/>
      <c r="S72" s="248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8"/>
      <c r="R73" s="238"/>
      <c r="S73" s="238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8"/>
      <c r="R74" s="238"/>
      <c r="S74" s="238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8"/>
      <c r="R75" s="238"/>
      <c r="S75" s="238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8"/>
      <c r="R76" s="238"/>
      <c r="S76" s="238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8"/>
      <c r="R77" s="238"/>
      <c r="S77" s="238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8"/>
      <c r="R78" s="238"/>
      <c r="S78" s="238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39"/>
      <c r="R80" s="240"/>
      <c r="S80" s="241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2"/>
      <c r="R81" s="243"/>
      <c r="S81" s="244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5"/>
      <c r="R82" s="246"/>
      <c r="S82" s="247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8"/>
      <c r="R83" s="238"/>
      <c r="S83" s="238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8"/>
      <c r="R84" s="248"/>
      <c r="S84" s="248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8"/>
      <c r="R85" s="248"/>
      <c r="S85" s="248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8"/>
      <c r="R86" s="238"/>
      <c r="S86" s="238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8"/>
      <c r="R87" s="238"/>
      <c r="S87" s="238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8"/>
      <c r="R88" s="238"/>
      <c r="S88" s="238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7"/>
      <c r="R89" s="228"/>
      <c r="S89" s="229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0"/>
      <c r="R90" s="231"/>
      <c r="S90" s="232"/>
    </row>
    <row r="91" spans="1:19" ht="17.25" thickBot="1">
      <c r="A91" s="132" t="s">
        <v>270</v>
      </c>
      <c r="B91" s="291">
        <f>$B$37</f>
        <v>100000</v>
      </c>
      <c r="C91" s="292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33"/>
      <c r="R91" s="234"/>
      <c r="S91" s="23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48"/>
      <c r="R94" s="248"/>
      <c r="S94" s="248"/>
    </row>
    <row r="95" spans="1:19" ht="17.25" thickBot="1">
      <c r="A95" s="116" t="s">
        <v>267</v>
      </c>
      <c r="B95" s="249" t="s">
        <v>49</v>
      </c>
      <c r="C95" s="251"/>
      <c r="D95" s="249" t="s">
        <v>58</v>
      </c>
      <c r="E95" s="250"/>
      <c r="F95" s="251"/>
      <c r="G95" s="252">
        <f>_xlfn.IFNA(VLOOKUP(B95, 현재가테이블!$B$2:$D$200, 2, FALSE), "-")</f>
        <v>54440000</v>
      </c>
      <c r="H95" s="253"/>
      <c r="I95" s="254"/>
      <c r="J95" s="249" t="s">
        <v>59</v>
      </c>
      <c r="K95" s="250"/>
      <c r="L95" s="251"/>
      <c r="M95" s="255">
        <f>_xlfn.IFNA(VLOOKUP(B95, 현재가테이블!$B$2:$D$200, 3, FALSE), "-")</f>
        <v>1.07123628E-2</v>
      </c>
      <c r="N95" s="256"/>
      <c r="O95" s="257"/>
      <c r="Q95" s="248"/>
      <c r="R95" s="248"/>
      <c r="S95" s="248"/>
    </row>
    <row r="96" spans="1:19" ht="17.25" thickBot="1">
      <c r="A96" s="293" t="s">
        <v>55</v>
      </c>
      <c r="B96" s="289" t="str">
        <f>TEXT($G$1, "[$-ko-KR]yyyy-mm-dd(ddd) ") &amp; "오전 00:00"</f>
        <v>2021-08-01(일) 오전 00:00</v>
      </c>
      <c r="C96" s="290"/>
      <c r="D96" s="262" t="str">
        <f>TEXT($G$1, "[$-ko-KR]yyyy-mm-dd(ddd) ") &amp; "오후 14:00"</f>
        <v>2021-08-01(일) 오후 14:00</v>
      </c>
      <c r="E96" s="263"/>
      <c r="F96" s="264"/>
      <c r="G96" s="262" t="str">
        <f>TEXT($G$1, "[$-ko-KR]yyyy-mm-dd(ddd) ") &amp; "오후 19:00"</f>
        <v>2021-08-01(일) 오후 19:00</v>
      </c>
      <c r="H96" s="263"/>
      <c r="I96" s="264"/>
      <c r="J96" s="262" t="str">
        <f>TEXT($G$1, "[$-ko-KR]yyyy-mm-dd(ddd) ") &amp; "오후 21:00"</f>
        <v>2021-08-01(일) 오후 21:00</v>
      </c>
      <c r="K96" s="263"/>
      <c r="L96" s="264"/>
      <c r="M96" s="262" t="str">
        <f>TEXT($G$1+1, "[$-ko-KR]yyyy-mm-dd(ddd) ") &amp; "오전 00:00"</f>
        <v>2021-08-02(월) 오전 00:00</v>
      </c>
      <c r="N96" s="263"/>
      <c r="O96" s="264"/>
      <c r="Q96" s="248"/>
      <c r="R96" s="248"/>
      <c r="S96" s="248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8"/>
      <c r="R97" s="238"/>
      <c r="S97" s="238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8"/>
      <c r="R98" s="248"/>
      <c r="S98" s="248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8"/>
      <c r="R99" s="248"/>
      <c r="S99" s="248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8"/>
      <c r="R100" s="238"/>
      <c r="S100" s="238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8"/>
      <c r="R101" s="238"/>
      <c r="S101" s="238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8"/>
      <c r="R102" s="238"/>
      <c r="S102" s="238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8"/>
      <c r="R103" s="238"/>
      <c r="S103" s="238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8"/>
      <c r="R104" s="238"/>
      <c r="S104" s="238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8"/>
      <c r="R105" s="238"/>
      <c r="S105" s="238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39"/>
      <c r="R107" s="240"/>
      <c r="S107" s="241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2"/>
      <c r="R108" s="243"/>
      <c r="S108" s="244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5"/>
      <c r="R109" s="246"/>
      <c r="S109" s="247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8"/>
      <c r="R110" s="238"/>
      <c r="S110" s="238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8"/>
      <c r="R111" s="248"/>
      <c r="S111" s="248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8"/>
      <c r="R112" s="248"/>
      <c r="S112" s="248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8"/>
      <c r="R113" s="238"/>
      <c r="S113" s="238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8"/>
      <c r="R114" s="238"/>
      <c r="S114" s="238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8"/>
      <c r="R115" s="238"/>
      <c r="S115" s="238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7"/>
      <c r="R116" s="228"/>
      <c r="S116" s="229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0"/>
      <c r="R117" s="231"/>
      <c r="S117" s="232"/>
    </row>
    <row r="118" spans="1:19" ht="17.25" thickBot="1">
      <c r="A118" s="132" t="s">
        <v>270</v>
      </c>
      <c r="B118" s="291">
        <f>$B$37</f>
        <v>100000</v>
      </c>
      <c r="C118" s="292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33"/>
      <c r="R118" s="234"/>
      <c r="S118" s="23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48"/>
      <c r="R121" s="248"/>
      <c r="S121" s="248"/>
    </row>
    <row r="122" spans="1:19" ht="17.25" thickBot="1">
      <c r="A122" s="116" t="s">
        <v>267</v>
      </c>
      <c r="B122" s="249" t="s">
        <v>49</v>
      </c>
      <c r="C122" s="251"/>
      <c r="D122" s="249" t="s">
        <v>58</v>
      </c>
      <c r="E122" s="250"/>
      <c r="F122" s="251"/>
      <c r="G122" s="252">
        <f>_xlfn.IFNA(VLOOKUP(B122, 현재가테이블!$B$2:$D$200, 2, FALSE), "-")</f>
        <v>54440000</v>
      </c>
      <c r="H122" s="253"/>
      <c r="I122" s="254"/>
      <c r="J122" s="249" t="s">
        <v>59</v>
      </c>
      <c r="K122" s="250"/>
      <c r="L122" s="251"/>
      <c r="M122" s="255">
        <f>_xlfn.IFNA(VLOOKUP(B122, 현재가테이블!$B$2:$D$200, 3, FALSE), "-")</f>
        <v>1.07123628E-2</v>
      </c>
      <c r="N122" s="256"/>
      <c r="O122" s="257"/>
      <c r="Q122" s="248"/>
      <c r="R122" s="248"/>
      <c r="S122" s="248"/>
    </row>
    <row r="123" spans="1:19" ht="17.25" thickBot="1">
      <c r="A123" s="293" t="s">
        <v>55</v>
      </c>
      <c r="B123" s="289" t="str">
        <f>TEXT($G$1, "[$-ko-KR]yyyy-mm-dd(ddd) ") &amp; "오전 00:00"</f>
        <v>2021-08-01(일) 오전 00:00</v>
      </c>
      <c r="C123" s="290"/>
      <c r="D123" s="262" t="str">
        <f>TEXT($G$1, "[$-ko-KR]yyyy-mm-dd(ddd) ") &amp; "오후 14:00"</f>
        <v>2021-08-01(일) 오후 14:00</v>
      </c>
      <c r="E123" s="263"/>
      <c r="F123" s="264"/>
      <c r="G123" s="262" t="str">
        <f>TEXT($G$1, "[$-ko-KR]yyyy-mm-dd(ddd) ") &amp; "오후 19:00"</f>
        <v>2021-08-01(일) 오후 19:00</v>
      </c>
      <c r="H123" s="263"/>
      <c r="I123" s="264"/>
      <c r="J123" s="262" t="str">
        <f>TEXT($G$1, "[$-ko-KR]yyyy-mm-dd(ddd) ") &amp; "오후 21:00"</f>
        <v>2021-08-01(일) 오후 21:00</v>
      </c>
      <c r="K123" s="263"/>
      <c r="L123" s="264"/>
      <c r="M123" s="262" t="str">
        <f>TEXT($G$1+1, "[$-ko-KR]yyyy-mm-dd(ddd) ") &amp; "오전 00:00"</f>
        <v>2021-08-02(월) 오전 00:00</v>
      </c>
      <c r="N123" s="263"/>
      <c r="O123" s="264"/>
      <c r="Q123" s="248"/>
      <c r="R123" s="248"/>
      <c r="S123" s="248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8"/>
      <c r="R124" s="238"/>
      <c r="S124" s="238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8"/>
      <c r="R125" s="248"/>
      <c r="S125" s="248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8"/>
      <c r="R126" s="248"/>
      <c r="S126" s="248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8"/>
      <c r="R127" s="238"/>
      <c r="S127" s="238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8"/>
      <c r="R128" s="238"/>
      <c r="S128" s="238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8"/>
      <c r="R129" s="238"/>
      <c r="S129" s="238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8"/>
      <c r="R130" s="238"/>
      <c r="S130" s="238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8"/>
      <c r="R131" s="238"/>
      <c r="S131" s="238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8"/>
      <c r="R132" s="238"/>
      <c r="S132" s="238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39"/>
      <c r="R134" s="240"/>
      <c r="S134" s="241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2"/>
      <c r="R135" s="243"/>
      <c r="S135" s="244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5"/>
      <c r="R136" s="246"/>
      <c r="S136" s="247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8"/>
      <c r="R137" s="238"/>
      <c r="S137" s="238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8"/>
      <c r="R138" s="248"/>
      <c r="S138" s="248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8"/>
      <c r="R139" s="248"/>
      <c r="S139" s="248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8"/>
      <c r="R140" s="238"/>
      <c r="S140" s="238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8"/>
      <c r="R141" s="238"/>
      <c r="S141" s="238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8"/>
      <c r="R142" s="238"/>
      <c r="S142" s="238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7"/>
      <c r="R143" s="228"/>
      <c r="S143" s="229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0"/>
      <c r="R144" s="231"/>
      <c r="S144" s="232"/>
    </row>
    <row r="145" spans="1:19" ht="17.25" thickBot="1">
      <c r="A145" s="132" t="s">
        <v>270</v>
      </c>
      <c r="B145" s="291">
        <f>$B$37</f>
        <v>100000</v>
      </c>
      <c r="C145" s="292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33"/>
      <c r="R145" s="234"/>
      <c r="S145" s="23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48"/>
      <c r="R148" s="248"/>
      <c r="S148" s="248"/>
    </row>
    <row r="149" spans="1:19" ht="17.25" thickBot="1">
      <c r="A149" s="116" t="s">
        <v>267</v>
      </c>
      <c r="B149" s="249" t="s">
        <v>49</v>
      </c>
      <c r="C149" s="251"/>
      <c r="D149" s="249" t="s">
        <v>58</v>
      </c>
      <c r="E149" s="250"/>
      <c r="F149" s="251"/>
      <c r="G149" s="252">
        <f>_xlfn.IFNA(VLOOKUP(B149, 현재가테이블!$B$2:$D$200, 2, FALSE), "-")</f>
        <v>54440000</v>
      </c>
      <c r="H149" s="253"/>
      <c r="I149" s="254"/>
      <c r="J149" s="249" t="s">
        <v>59</v>
      </c>
      <c r="K149" s="250"/>
      <c r="L149" s="251"/>
      <c r="M149" s="255">
        <f>_xlfn.IFNA(VLOOKUP(B149, 현재가테이블!$B$2:$D$200, 3, FALSE), "-")</f>
        <v>1.07123628E-2</v>
      </c>
      <c r="N149" s="256"/>
      <c r="O149" s="257"/>
      <c r="Q149" s="248"/>
      <c r="R149" s="248"/>
      <c r="S149" s="248"/>
    </row>
    <row r="150" spans="1:19" ht="17.25" thickBot="1">
      <c r="A150" s="293" t="s">
        <v>55</v>
      </c>
      <c r="B150" s="289" t="str">
        <f>TEXT($G$1, "[$-ko-KR]yyyy-mm-dd(ddd) ") &amp; "오전 00:00"</f>
        <v>2021-08-01(일) 오전 00:00</v>
      </c>
      <c r="C150" s="290"/>
      <c r="D150" s="262" t="str">
        <f>TEXT($G$1, "[$-ko-KR]yyyy-mm-dd(ddd) ") &amp; "오후 14:00"</f>
        <v>2021-08-01(일) 오후 14:00</v>
      </c>
      <c r="E150" s="263"/>
      <c r="F150" s="264"/>
      <c r="G150" s="262" t="str">
        <f>TEXT($G$1, "[$-ko-KR]yyyy-mm-dd(ddd) ") &amp; "오후 19:00"</f>
        <v>2021-08-01(일) 오후 19:00</v>
      </c>
      <c r="H150" s="263"/>
      <c r="I150" s="264"/>
      <c r="J150" s="262" t="str">
        <f>TEXT($G$1, "[$-ko-KR]yyyy-mm-dd(ddd) ") &amp; "오후 21:00"</f>
        <v>2021-08-01(일) 오후 21:00</v>
      </c>
      <c r="K150" s="263"/>
      <c r="L150" s="264"/>
      <c r="M150" s="262" t="str">
        <f>TEXT($G$1+1, "[$-ko-KR]yyyy-mm-dd(ddd) ") &amp; "오전 00:00"</f>
        <v>2021-08-02(월) 오전 00:00</v>
      </c>
      <c r="N150" s="263"/>
      <c r="O150" s="264"/>
      <c r="Q150" s="248"/>
      <c r="R150" s="248"/>
      <c r="S150" s="248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8"/>
      <c r="R151" s="238"/>
      <c r="S151" s="238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8"/>
      <c r="R152" s="248"/>
      <c r="S152" s="248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8"/>
      <c r="R153" s="248"/>
      <c r="S153" s="248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8"/>
      <c r="R154" s="238"/>
      <c r="S154" s="238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8"/>
      <c r="R155" s="238"/>
      <c r="S155" s="238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8"/>
      <c r="R156" s="238"/>
      <c r="S156" s="238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8"/>
      <c r="R157" s="238"/>
      <c r="S157" s="238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8"/>
      <c r="R158" s="238"/>
      <c r="S158" s="238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8"/>
      <c r="R159" s="238"/>
      <c r="S159" s="238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39"/>
      <c r="R161" s="240"/>
      <c r="S161" s="241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2"/>
      <c r="R162" s="243"/>
      <c r="S162" s="244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5"/>
      <c r="R163" s="246"/>
      <c r="S163" s="247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8"/>
      <c r="R164" s="238"/>
      <c r="S164" s="238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8"/>
      <c r="R165" s="248"/>
      <c r="S165" s="248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8"/>
      <c r="R166" s="248"/>
      <c r="S166" s="248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8"/>
      <c r="R167" s="238"/>
      <c r="S167" s="238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8"/>
      <c r="R168" s="238"/>
      <c r="S168" s="238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8"/>
      <c r="R169" s="238"/>
      <c r="S169" s="238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7"/>
      <c r="R170" s="228"/>
      <c r="S170" s="229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0"/>
      <c r="R171" s="231"/>
      <c r="S171" s="232"/>
    </row>
    <row r="172" spans="1:19" ht="17.25" thickBot="1">
      <c r="A172" s="132" t="s">
        <v>270</v>
      </c>
      <c r="B172" s="291">
        <f>$B$37</f>
        <v>100000</v>
      </c>
      <c r="C172" s="292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33"/>
      <c r="R172" s="234"/>
      <c r="S172" s="23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48"/>
      <c r="R175" s="248"/>
      <c r="S175" s="248"/>
    </row>
    <row r="176" spans="1:19" ht="17.25" thickBot="1">
      <c r="A176" s="116" t="s">
        <v>267</v>
      </c>
      <c r="B176" s="249" t="s">
        <v>49</v>
      </c>
      <c r="C176" s="251"/>
      <c r="D176" s="249" t="s">
        <v>58</v>
      </c>
      <c r="E176" s="250"/>
      <c r="F176" s="251"/>
      <c r="G176" s="252">
        <f>_xlfn.IFNA(VLOOKUP(B176, 현재가테이블!$B$2:$D$200, 2, FALSE), "-")</f>
        <v>54440000</v>
      </c>
      <c r="H176" s="253"/>
      <c r="I176" s="254"/>
      <c r="J176" s="249" t="s">
        <v>59</v>
      </c>
      <c r="K176" s="250"/>
      <c r="L176" s="251"/>
      <c r="M176" s="255">
        <f>_xlfn.IFNA(VLOOKUP(B176, 현재가테이블!$B$2:$D$200, 3, FALSE), "-")</f>
        <v>1.07123628E-2</v>
      </c>
      <c r="N176" s="256"/>
      <c r="O176" s="257"/>
      <c r="Q176" s="248"/>
      <c r="R176" s="248"/>
      <c r="S176" s="248"/>
    </row>
    <row r="177" spans="1:19" ht="17.25" thickBot="1">
      <c r="A177" s="293" t="s">
        <v>55</v>
      </c>
      <c r="B177" s="289" t="str">
        <f>TEXT($G$1, "[$-ko-KR]yyyy-mm-dd(ddd) ") &amp; "오전 00:00"</f>
        <v>2021-08-01(일) 오전 00:00</v>
      </c>
      <c r="C177" s="290"/>
      <c r="D177" s="262" t="str">
        <f>TEXT($G$1, "[$-ko-KR]yyyy-mm-dd(ddd) ") &amp; "오후 14:00"</f>
        <v>2021-08-01(일) 오후 14:00</v>
      </c>
      <c r="E177" s="263"/>
      <c r="F177" s="264"/>
      <c r="G177" s="262" t="str">
        <f>TEXT($G$1, "[$-ko-KR]yyyy-mm-dd(ddd) ") &amp; "오후 19:00"</f>
        <v>2021-08-01(일) 오후 19:00</v>
      </c>
      <c r="H177" s="263"/>
      <c r="I177" s="264"/>
      <c r="J177" s="262" t="str">
        <f>TEXT($G$1, "[$-ko-KR]yyyy-mm-dd(ddd) ") &amp; "오후 21:00"</f>
        <v>2021-08-01(일) 오후 21:00</v>
      </c>
      <c r="K177" s="263"/>
      <c r="L177" s="264"/>
      <c r="M177" s="262" t="str">
        <f>TEXT($G$1+1, "[$-ko-KR]yyyy-mm-dd(ddd) ") &amp; "오전 00:00"</f>
        <v>2021-08-02(월) 오전 00:00</v>
      </c>
      <c r="N177" s="263"/>
      <c r="O177" s="264"/>
      <c r="Q177" s="248"/>
      <c r="R177" s="248"/>
      <c r="S177" s="248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8"/>
      <c r="R178" s="238"/>
      <c r="S178" s="238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8"/>
      <c r="R179" s="248"/>
      <c r="S179" s="248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8"/>
      <c r="R180" s="248"/>
      <c r="S180" s="248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8"/>
      <c r="R181" s="238"/>
      <c r="S181" s="238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8"/>
      <c r="R182" s="238"/>
      <c r="S182" s="238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8"/>
      <c r="R183" s="238"/>
      <c r="S183" s="238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8"/>
      <c r="R184" s="238"/>
      <c r="S184" s="238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8"/>
      <c r="R185" s="238"/>
      <c r="S185" s="238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8"/>
      <c r="R186" s="238"/>
      <c r="S186" s="238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39"/>
      <c r="R188" s="240"/>
      <c r="S188" s="241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2"/>
      <c r="R189" s="243"/>
      <c r="S189" s="244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5"/>
      <c r="R190" s="246"/>
      <c r="S190" s="247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8"/>
      <c r="R191" s="238"/>
      <c r="S191" s="238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8"/>
      <c r="R192" s="248"/>
      <c r="S192" s="248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8"/>
      <c r="R193" s="248"/>
      <c r="S193" s="248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8"/>
      <c r="R194" s="238"/>
      <c r="S194" s="238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8"/>
      <c r="R195" s="238"/>
      <c r="S195" s="238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8"/>
      <c r="R196" s="238"/>
      <c r="S196" s="238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7"/>
      <c r="R197" s="228"/>
      <c r="S197" s="229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0"/>
      <c r="R198" s="231"/>
      <c r="S198" s="232"/>
    </row>
    <row r="199" spans="1:19" ht="17.25" thickBot="1">
      <c r="A199" s="132" t="s">
        <v>270</v>
      </c>
      <c r="B199" s="291">
        <f>$B$37</f>
        <v>100000</v>
      </c>
      <c r="C199" s="292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33"/>
      <c r="R199" s="234"/>
      <c r="S199" s="235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3494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493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492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491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490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489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88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7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86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85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84" priority="289">
      <formula>AND($N17 &gt; 0, ISNUMBER($N17))</formula>
    </cfRule>
    <cfRule type="expression" dxfId="3483" priority="290">
      <formula>AND($N17 = 0 * ISNUMBER($N17))</formula>
    </cfRule>
    <cfRule type="expression" dxfId="3482" priority="291">
      <formula>AND($N17 &lt; 0, ISNUMBER($N17))</formula>
    </cfRule>
  </conditionalFormatting>
  <conditionalFormatting sqref="A17:C36 D17:F36">
    <cfRule type="expression" dxfId="3481" priority="298">
      <formula>AND($E17 &gt; 0, ISNUMBER($E17))</formula>
    </cfRule>
    <cfRule type="expression" dxfId="3480" priority="299">
      <formula>AND($E17 = 0 * ISNUMBER($E17))</formula>
    </cfRule>
    <cfRule type="expression" dxfId="3479" priority="300">
      <formula>AND($E17 &lt; 0, ISNUMBER($E17))</formula>
    </cfRule>
  </conditionalFormatting>
  <conditionalFormatting sqref="A17:C36 G17:I36">
    <cfRule type="expression" dxfId="3478" priority="295">
      <formula>AND($H17 &gt; 0, ISNUMBER($H17))</formula>
    </cfRule>
    <cfRule type="expression" dxfId="3477" priority="296">
      <formula>AND($H17 = 0 * ISNUMBER($H17))</formula>
    </cfRule>
    <cfRule type="expression" dxfId="3476" priority="297">
      <formula>AND($H17 &lt; 0, ISNUMBER($H17))</formula>
    </cfRule>
  </conditionalFormatting>
  <conditionalFormatting sqref="A17:C36 J17:L36">
    <cfRule type="expression" dxfId="3475" priority="292">
      <formula>AND($K17 &gt; 0, ISNUMBER($K17))</formula>
    </cfRule>
    <cfRule type="expression" dxfId="3474" priority="293">
      <formula>AND($K17 = 0 * ISNUMBER($K17))</formula>
    </cfRule>
    <cfRule type="expression" dxfId="3473" priority="294">
      <formula>AND($K17 &lt; 0, ISNUMBER($K17))</formula>
    </cfRule>
  </conditionalFormatting>
  <conditionalFormatting sqref="D15:F16 E37:F37">
    <cfRule type="expression" dxfId="3472" priority="286">
      <formula>$E$37 &gt; 0</formula>
    </cfRule>
    <cfRule type="expression" dxfId="3471" priority="287">
      <formula>$E$37 = 0</formula>
    </cfRule>
    <cfRule type="expression" dxfId="3470" priority="288">
      <formula>$E$37 &lt; 0</formula>
    </cfRule>
  </conditionalFormatting>
  <conditionalFormatting sqref="G15:I16 H37:I37">
    <cfRule type="expression" dxfId="3469" priority="283">
      <formula>$H$37 &gt; 0</formula>
    </cfRule>
    <cfRule type="expression" dxfId="3468" priority="284">
      <formula>$H$37 = 0</formula>
    </cfRule>
    <cfRule type="expression" dxfId="3467" priority="285">
      <formula>$H$37 &lt; 0</formula>
    </cfRule>
  </conditionalFormatting>
  <conditionalFormatting sqref="J15:L16 K37:L37">
    <cfRule type="expression" dxfId="3466" priority="280">
      <formula>$K$37 &gt; 0</formula>
    </cfRule>
    <cfRule type="expression" dxfId="3465" priority="281">
      <formula>$K$37 = 0</formula>
    </cfRule>
    <cfRule type="expression" dxfId="3464" priority="282">
      <formula>$K$37 &lt; 0</formula>
    </cfRule>
  </conditionalFormatting>
  <conditionalFormatting sqref="M15:O16 N37:O37">
    <cfRule type="expression" dxfId="3463" priority="277">
      <formula>$N$37 &gt; 0</formula>
    </cfRule>
    <cfRule type="expression" dxfId="3462" priority="278">
      <formula>$N$37 = 0</formula>
    </cfRule>
    <cfRule type="expression" dxfId="3461" priority="279">
      <formula>$N$37 &lt; 0</formula>
    </cfRule>
  </conditionalFormatting>
  <conditionalFormatting sqref="A44:C63 M44:O63">
    <cfRule type="expression" dxfId="3460" priority="265">
      <formula>AND($N44 &gt; 0, ISNUMBER($N44))</formula>
    </cfRule>
    <cfRule type="expression" dxfId="3459" priority="266">
      <formula>AND($N44 = 0 * ISNUMBER($N44))</formula>
    </cfRule>
    <cfRule type="expression" dxfId="3458" priority="267">
      <formula>AND($N44 &lt; 0, ISNUMBER($N44))</formula>
    </cfRule>
  </conditionalFormatting>
  <conditionalFormatting sqref="A44:F63">
    <cfRule type="expression" dxfId="3457" priority="274">
      <formula>AND($E44 &gt; 0, ISNUMBER($E44))</formula>
    </cfRule>
    <cfRule type="expression" dxfId="3456" priority="275">
      <formula>AND($E44 = 0 * ISNUMBER($E44))</formula>
    </cfRule>
    <cfRule type="expression" dxfId="3455" priority="276">
      <formula>AND($E44 &lt; 0, ISNUMBER($E44))</formula>
    </cfRule>
  </conditionalFormatting>
  <conditionalFormatting sqref="A44:C63 G44:I63">
    <cfRule type="expression" dxfId="3454" priority="271">
      <formula>AND($H44 &gt; 0, ISNUMBER($H44))</formula>
    </cfRule>
    <cfRule type="expression" dxfId="3453" priority="272">
      <formula>AND($H44 = 0 * ISNUMBER($H44))</formula>
    </cfRule>
    <cfRule type="expression" dxfId="3452" priority="273">
      <formula>AND($H44 &lt; 0, ISNUMBER($H44))</formula>
    </cfRule>
  </conditionalFormatting>
  <conditionalFormatting sqref="A44:C63 J44:L63">
    <cfRule type="expression" dxfId="3451" priority="268">
      <formula>AND($K44 &gt; 0, ISNUMBER($K44))</formula>
    </cfRule>
    <cfRule type="expression" dxfId="3450" priority="269">
      <formula>AND($K44 = 0 * ISNUMBER($K44))</formula>
    </cfRule>
    <cfRule type="expression" dxfId="3449" priority="270">
      <formula>AND($K44 &lt; 0, ISNUMBER($K44))</formula>
    </cfRule>
  </conditionalFormatting>
  <conditionalFormatting sqref="D42:F43 E64:F64">
    <cfRule type="expression" dxfId="3448" priority="262">
      <formula>$E$64 &gt; 0</formula>
    </cfRule>
    <cfRule type="expression" dxfId="3447" priority="263">
      <formula>$E$64 = 0</formula>
    </cfRule>
    <cfRule type="expression" dxfId="3446" priority="264">
      <formula>$E$64 &lt; 0</formula>
    </cfRule>
  </conditionalFormatting>
  <conditionalFormatting sqref="G42:I43 H64:I64">
    <cfRule type="expression" dxfId="3445" priority="259">
      <formula>$H$64 &gt; 0</formula>
    </cfRule>
    <cfRule type="expression" dxfId="3444" priority="260">
      <formula>$H$64 = 0</formula>
    </cfRule>
    <cfRule type="expression" dxfId="3443" priority="261">
      <formula>$H$64 &lt; 0</formula>
    </cfRule>
  </conditionalFormatting>
  <conditionalFormatting sqref="J42:L43 K64:L64">
    <cfRule type="expression" dxfId="3442" priority="256">
      <formula>$K$64 &gt; 0</formula>
    </cfRule>
    <cfRule type="expression" dxfId="3441" priority="257">
      <formula>$K$64 = 0</formula>
    </cfRule>
    <cfRule type="expression" dxfId="3440" priority="258">
      <formula>$K$64 &lt; 0</formula>
    </cfRule>
  </conditionalFormatting>
  <conditionalFormatting sqref="M42:O43 N64:O64">
    <cfRule type="expression" dxfId="3439" priority="253">
      <formula>$N$64 &gt; 0</formula>
    </cfRule>
    <cfRule type="expression" dxfId="3438" priority="254">
      <formula>$N$64 = 0</formula>
    </cfRule>
    <cfRule type="expression" dxfId="3437" priority="255">
      <formula>$N$64 &lt; 0</formula>
    </cfRule>
  </conditionalFormatting>
  <conditionalFormatting sqref="A71:C90 M71:O90">
    <cfRule type="expression" dxfId="3436" priority="109">
      <formula>AND($N71 &gt; 0, ISNUMBER($N71))</formula>
    </cfRule>
    <cfRule type="expression" dxfId="3435" priority="110">
      <formula>AND($N71 = 0 * ISNUMBER($N71))</formula>
    </cfRule>
    <cfRule type="expression" dxfId="3434" priority="111">
      <formula>AND($N71 &lt; 0, ISNUMBER($N71))</formula>
    </cfRule>
  </conditionalFormatting>
  <conditionalFormatting sqref="A71:F90">
    <cfRule type="expression" dxfId="3433" priority="118">
      <formula>AND($E71 &gt; 0, ISNUMBER($E71))</formula>
    </cfRule>
    <cfRule type="expression" dxfId="3432" priority="119">
      <formula>AND($E71 = 0 * ISNUMBER($E71))</formula>
    </cfRule>
    <cfRule type="expression" dxfId="3431" priority="120">
      <formula>AND($E71 &lt; 0, ISNUMBER($E71))</formula>
    </cfRule>
  </conditionalFormatting>
  <conditionalFormatting sqref="A71:C90 G71:I90">
    <cfRule type="expression" dxfId="3430" priority="115">
      <formula>AND($H71 &gt; 0, ISNUMBER($H71))</formula>
    </cfRule>
    <cfRule type="expression" dxfId="3429" priority="116">
      <formula>AND($H71 = 0 * ISNUMBER($H71))</formula>
    </cfRule>
    <cfRule type="expression" dxfId="3428" priority="117">
      <formula>AND($H71 &lt; 0, ISNUMBER($H71))</formula>
    </cfRule>
  </conditionalFormatting>
  <conditionalFormatting sqref="A71:C90 J71:L90">
    <cfRule type="expression" dxfId="3427" priority="112">
      <formula>AND($K71 &gt; 0, ISNUMBER($K71))</formula>
    </cfRule>
    <cfRule type="expression" dxfId="3426" priority="113">
      <formula>AND($K71 = 0 * ISNUMBER($K71))</formula>
    </cfRule>
    <cfRule type="expression" dxfId="3425" priority="114">
      <formula>AND($K71 &lt; 0, ISNUMBER($K71))</formula>
    </cfRule>
  </conditionalFormatting>
  <conditionalFormatting sqref="D69:F70 E91:F91">
    <cfRule type="expression" dxfId="3424" priority="106">
      <formula>$E$91 &gt; 0</formula>
    </cfRule>
    <cfRule type="expression" dxfId="3423" priority="107">
      <formula>$E$91 = 0</formula>
    </cfRule>
    <cfRule type="expression" dxfId="3422" priority="108">
      <formula>$E$91 &lt; 0</formula>
    </cfRule>
  </conditionalFormatting>
  <conditionalFormatting sqref="G69:I70 H91:I91">
    <cfRule type="expression" dxfId="3421" priority="103">
      <formula>$H$91 &gt; 0</formula>
    </cfRule>
    <cfRule type="expression" dxfId="3420" priority="104">
      <formula>$H$91 = 0</formula>
    </cfRule>
    <cfRule type="expression" dxfId="3419" priority="105">
      <formula>$H$91 &lt; 0</formula>
    </cfRule>
  </conditionalFormatting>
  <conditionalFormatting sqref="J69:L70 K91:L91">
    <cfRule type="expression" dxfId="3418" priority="100">
      <formula>$K$91 &gt; 0</formula>
    </cfRule>
    <cfRule type="expression" dxfId="3417" priority="101">
      <formula>$K$91 = 0</formula>
    </cfRule>
    <cfRule type="expression" dxfId="3416" priority="102">
      <formula>$K$91 &lt; 0</formula>
    </cfRule>
  </conditionalFormatting>
  <conditionalFormatting sqref="M69:O70 N91:O91">
    <cfRule type="expression" dxfId="3415" priority="97">
      <formula>$N$91 &gt; 0</formula>
    </cfRule>
    <cfRule type="expression" dxfId="3414" priority="98">
      <formula>$N$91 = 0</formula>
    </cfRule>
    <cfRule type="expression" dxfId="3413" priority="99">
      <formula>$N$91 &lt; 0</formula>
    </cfRule>
  </conditionalFormatting>
  <conditionalFormatting sqref="A98:C117 M98:O117">
    <cfRule type="expression" dxfId="3412" priority="85">
      <formula>AND($N98 &gt; 0, ISNUMBER($N98))</formula>
    </cfRule>
    <cfRule type="expression" dxfId="3411" priority="86">
      <formula>AND($N98 = 0 * ISNUMBER($N98))</formula>
    </cfRule>
    <cfRule type="expression" dxfId="3410" priority="87">
      <formula>AND($N98 &lt; 0, ISNUMBER($N98))</formula>
    </cfRule>
  </conditionalFormatting>
  <conditionalFormatting sqref="A98:F117">
    <cfRule type="expression" dxfId="3409" priority="94">
      <formula>AND($E98 &gt; 0, ISNUMBER($E98))</formula>
    </cfRule>
    <cfRule type="expression" dxfId="3408" priority="95">
      <formula>AND($E98 = 0 * ISNUMBER($E98))</formula>
    </cfRule>
    <cfRule type="expression" dxfId="3407" priority="96">
      <formula>AND($E98 &lt; 0, ISNUMBER($E98))</formula>
    </cfRule>
  </conditionalFormatting>
  <conditionalFormatting sqref="A98:C117 G98:I117">
    <cfRule type="expression" dxfId="3406" priority="91">
      <formula>AND($H98 &gt; 0, ISNUMBER($H98))</formula>
    </cfRule>
    <cfRule type="expression" dxfId="3405" priority="92">
      <formula>AND($H98 = 0 * ISNUMBER($H98))</formula>
    </cfRule>
    <cfRule type="expression" dxfId="3404" priority="93">
      <formula>AND($H98 &lt; 0, ISNUMBER($H98))</formula>
    </cfRule>
  </conditionalFormatting>
  <conditionalFormatting sqref="A98:C117 J98:L117">
    <cfRule type="expression" dxfId="3403" priority="88">
      <formula>AND($K98 &gt; 0, ISNUMBER($K98))</formula>
    </cfRule>
    <cfRule type="expression" dxfId="3402" priority="89">
      <formula>AND($K98 = 0 * ISNUMBER($K98))</formula>
    </cfRule>
    <cfRule type="expression" dxfId="3401" priority="90">
      <formula>AND($K98 &lt; 0, ISNUMBER($K98))</formula>
    </cfRule>
  </conditionalFormatting>
  <conditionalFormatting sqref="D96:F97 E118:F118">
    <cfRule type="expression" dxfId="3400" priority="82">
      <formula>$E$118 &gt; 0</formula>
    </cfRule>
    <cfRule type="expression" dxfId="3399" priority="83">
      <formula>$E$118 = 0</formula>
    </cfRule>
    <cfRule type="expression" dxfId="3398" priority="84">
      <formula>$E$118 &lt; 0</formula>
    </cfRule>
  </conditionalFormatting>
  <conditionalFormatting sqref="G96:I97 H118:I118">
    <cfRule type="expression" dxfId="3397" priority="79">
      <formula>$H$118 &gt; 0</formula>
    </cfRule>
    <cfRule type="expression" dxfId="3396" priority="80">
      <formula>$H$118 = 0</formula>
    </cfRule>
    <cfRule type="expression" dxfId="3395" priority="81">
      <formula>$H$118 &lt; 0</formula>
    </cfRule>
  </conditionalFormatting>
  <conditionalFormatting sqref="J96:L97 K118:L118">
    <cfRule type="expression" dxfId="3394" priority="76">
      <formula>$K$118 &gt; 0</formula>
    </cfRule>
    <cfRule type="expression" dxfId="3393" priority="77">
      <formula>$K$118 = 0</formula>
    </cfRule>
    <cfRule type="expression" dxfId="3392" priority="78">
      <formula>$K$118 &lt; 0</formula>
    </cfRule>
  </conditionalFormatting>
  <conditionalFormatting sqref="M96:O97 N118:O118">
    <cfRule type="expression" dxfId="3391" priority="73">
      <formula>$N$118 &gt; 0</formula>
    </cfRule>
    <cfRule type="expression" dxfId="3390" priority="74">
      <formula>$N$118 = 0</formula>
    </cfRule>
    <cfRule type="expression" dxfId="3389" priority="75">
      <formula>$N$118 &lt; 0</formula>
    </cfRule>
  </conditionalFormatting>
  <conditionalFormatting sqref="A125:C144 M125:O144">
    <cfRule type="expression" dxfId="3388" priority="61">
      <formula>AND($N125 &gt; 0, ISNUMBER($N125))</formula>
    </cfRule>
    <cfRule type="expression" dxfId="3387" priority="62">
      <formula>AND($N125 = 0 * ISNUMBER($N125))</formula>
    </cfRule>
    <cfRule type="expression" dxfId="3386" priority="63">
      <formula>AND($N125 &lt; 0, ISNUMBER($N125))</formula>
    </cfRule>
  </conditionalFormatting>
  <conditionalFormatting sqref="A125:F144">
    <cfRule type="expression" dxfId="3385" priority="70">
      <formula>AND($E125 &gt; 0, ISNUMBER($E125))</formula>
    </cfRule>
    <cfRule type="expression" dxfId="3384" priority="71">
      <formula>AND($E125 = 0 * ISNUMBER($E125))</formula>
    </cfRule>
    <cfRule type="expression" dxfId="3383" priority="72">
      <formula>AND($E125 &lt; 0, ISNUMBER($E125))</formula>
    </cfRule>
  </conditionalFormatting>
  <conditionalFormatting sqref="A125:C144 G125:I144">
    <cfRule type="expression" dxfId="3382" priority="67">
      <formula>AND($H125 &gt; 0, ISNUMBER($H125))</formula>
    </cfRule>
    <cfRule type="expression" dxfId="3381" priority="68">
      <formula>AND($H125 = 0 * ISNUMBER($H125))</formula>
    </cfRule>
    <cfRule type="expression" dxfId="3380" priority="69">
      <formula>AND($H125 &lt; 0, ISNUMBER($H125))</formula>
    </cfRule>
  </conditionalFormatting>
  <conditionalFormatting sqref="A125:C144 J125:L144">
    <cfRule type="expression" dxfId="3379" priority="64">
      <formula>AND($K125 &gt; 0, ISNUMBER($K125))</formula>
    </cfRule>
    <cfRule type="expression" dxfId="3378" priority="65">
      <formula>AND($K125 = 0 * ISNUMBER($K125))</formula>
    </cfRule>
    <cfRule type="expression" dxfId="3377" priority="66">
      <formula>AND($K125 &lt; 0, ISNUMBER($K125))</formula>
    </cfRule>
  </conditionalFormatting>
  <conditionalFormatting sqref="D123:F124 E145:F145">
    <cfRule type="expression" dxfId="3376" priority="58">
      <formula>$E$145 &gt; 0</formula>
    </cfRule>
    <cfRule type="expression" dxfId="3375" priority="59">
      <formula>$E$145 = 0</formula>
    </cfRule>
    <cfRule type="expression" dxfId="3374" priority="60">
      <formula>$E$145 &lt; 0</formula>
    </cfRule>
  </conditionalFormatting>
  <conditionalFormatting sqref="G123:I124 H145:I145">
    <cfRule type="expression" dxfId="3373" priority="55">
      <formula>$H$145 &gt; 0</formula>
    </cfRule>
    <cfRule type="expression" dxfId="3372" priority="56">
      <formula>$H$145 = 0</formula>
    </cfRule>
    <cfRule type="expression" dxfId="3371" priority="57">
      <formula>$H$145 &lt; 0</formula>
    </cfRule>
  </conditionalFormatting>
  <conditionalFormatting sqref="J123:L124 K145:L145">
    <cfRule type="expression" dxfId="3370" priority="52">
      <formula>$K$145 &gt; 0</formula>
    </cfRule>
    <cfRule type="expression" dxfId="3369" priority="53">
      <formula>$K$145 = 0</formula>
    </cfRule>
    <cfRule type="expression" dxfId="3368" priority="54">
      <formula>$K$145 &lt; 0</formula>
    </cfRule>
  </conditionalFormatting>
  <conditionalFormatting sqref="M123:O124 N145:O145">
    <cfRule type="expression" dxfId="3367" priority="49">
      <formula>$N$145 &gt; 0</formula>
    </cfRule>
    <cfRule type="expression" dxfId="3366" priority="50">
      <formula>$N$145 = 0</formula>
    </cfRule>
    <cfRule type="expression" dxfId="3365" priority="51">
      <formula>$N$145 &lt; 0</formula>
    </cfRule>
  </conditionalFormatting>
  <conditionalFormatting sqref="A152:C171 M152:O171">
    <cfRule type="expression" dxfId="3364" priority="37">
      <formula>AND($N152 &gt; 0, ISNUMBER($N152))</formula>
    </cfRule>
    <cfRule type="expression" dxfId="3363" priority="38">
      <formula>AND($N152 = 0 * ISNUMBER($N152))</formula>
    </cfRule>
    <cfRule type="expression" dxfId="3362" priority="39">
      <formula>AND($N152 &lt; 0, ISNUMBER($N152))</formula>
    </cfRule>
  </conditionalFormatting>
  <conditionalFormatting sqref="A152:F171">
    <cfRule type="expression" dxfId="3361" priority="46">
      <formula>AND($E152 &gt; 0, ISNUMBER($E152))</formula>
    </cfRule>
    <cfRule type="expression" dxfId="3360" priority="47">
      <formula>AND($E152 = 0 * ISNUMBER($E152))</formula>
    </cfRule>
    <cfRule type="expression" dxfId="3359" priority="48">
      <formula>AND($E152 &lt; 0, ISNUMBER($E152))</formula>
    </cfRule>
  </conditionalFormatting>
  <conditionalFormatting sqref="A152:C171 G152:I171">
    <cfRule type="expression" dxfId="3358" priority="43">
      <formula>AND($H152 &gt; 0, ISNUMBER($H152))</formula>
    </cfRule>
    <cfRule type="expression" dxfId="3357" priority="44">
      <formula>AND($H152 = 0 * ISNUMBER($H152))</formula>
    </cfRule>
    <cfRule type="expression" dxfId="3356" priority="45">
      <formula>AND($H152 &lt; 0, ISNUMBER($H152))</formula>
    </cfRule>
  </conditionalFormatting>
  <conditionalFormatting sqref="A152:C171 J152:L171">
    <cfRule type="expression" dxfId="3355" priority="40">
      <formula>AND($K152 &gt; 0, ISNUMBER($K152))</formula>
    </cfRule>
    <cfRule type="expression" dxfId="3354" priority="41">
      <formula>AND($K152 = 0 * ISNUMBER($K152))</formula>
    </cfRule>
    <cfRule type="expression" dxfId="3353" priority="42">
      <formula>AND($K152 &lt; 0, ISNUMBER($K152))</formula>
    </cfRule>
  </conditionalFormatting>
  <conditionalFormatting sqref="D150:F151 E172:F172">
    <cfRule type="expression" dxfId="3352" priority="34">
      <formula>$E$172 &gt; 0</formula>
    </cfRule>
    <cfRule type="expression" dxfId="3351" priority="35">
      <formula>$E$172 = 0</formula>
    </cfRule>
    <cfRule type="expression" dxfId="3350" priority="36">
      <formula>$E$172 &lt; 0</formula>
    </cfRule>
  </conditionalFormatting>
  <conditionalFormatting sqref="G150:I151 H172:I172">
    <cfRule type="expression" dxfId="3349" priority="31">
      <formula>$H$172 &gt; 0</formula>
    </cfRule>
    <cfRule type="expression" dxfId="3348" priority="32">
      <formula>$H$172 = 0</formula>
    </cfRule>
    <cfRule type="expression" dxfId="3347" priority="33">
      <formula>$H$172 &lt; 0</formula>
    </cfRule>
  </conditionalFormatting>
  <conditionalFormatting sqref="J150:L151 K172:L172">
    <cfRule type="expression" dxfId="3346" priority="28">
      <formula>$K$172 &gt; 0</formula>
    </cfRule>
    <cfRule type="expression" dxfId="3345" priority="29">
      <formula>$K$172 = 0</formula>
    </cfRule>
    <cfRule type="expression" dxfId="3344" priority="30">
      <formula>$K$172 &lt; 0</formula>
    </cfRule>
  </conditionalFormatting>
  <conditionalFormatting sqref="M150:O151 N172:O172">
    <cfRule type="expression" dxfId="3343" priority="25">
      <formula>$N$172 &gt; 0</formula>
    </cfRule>
    <cfRule type="expression" dxfId="3342" priority="26">
      <formula>$N$172 = 0</formula>
    </cfRule>
    <cfRule type="expression" dxfId="3341" priority="27">
      <formula>$N$172 &lt; 0</formula>
    </cfRule>
  </conditionalFormatting>
  <conditionalFormatting sqref="A179:C198 M179:O198">
    <cfRule type="expression" dxfId="3340" priority="13">
      <formula>AND($N179 &gt; 0, ISNUMBER($N179))</formula>
    </cfRule>
    <cfRule type="expression" dxfId="3339" priority="14">
      <formula>AND($N179 = 0 * ISNUMBER($N179))</formula>
    </cfRule>
    <cfRule type="expression" dxfId="3338" priority="15">
      <formula>AND($N179 &lt; 0, ISNUMBER($N179))</formula>
    </cfRule>
  </conditionalFormatting>
  <conditionalFormatting sqref="A179:F198">
    <cfRule type="expression" dxfId="3337" priority="22">
      <formula>AND($E179 &gt; 0, ISNUMBER($E179))</formula>
    </cfRule>
    <cfRule type="expression" dxfId="3336" priority="23">
      <formula>AND($E179 = 0 * ISNUMBER($E179))</formula>
    </cfRule>
    <cfRule type="expression" dxfId="3335" priority="24">
      <formula>AND($E179 &lt; 0, ISNUMBER($E179))</formula>
    </cfRule>
  </conditionalFormatting>
  <conditionalFormatting sqref="A179:C198 G179:I198">
    <cfRule type="expression" dxfId="3334" priority="19">
      <formula>AND($H179 &gt; 0, ISNUMBER($H179))</formula>
    </cfRule>
    <cfRule type="expression" dxfId="3333" priority="20">
      <formula>AND($H179 = 0 * ISNUMBER($H179))</formula>
    </cfRule>
    <cfRule type="expression" dxfId="3332" priority="21">
      <formula>AND($H179 &lt; 0, ISNUMBER($H179))</formula>
    </cfRule>
  </conditionalFormatting>
  <conditionalFormatting sqref="A179:C198 J179:L198">
    <cfRule type="expression" dxfId="3331" priority="16">
      <formula>AND($K179 &gt; 0, ISNUMBER($K179))</formula>
    </cfRule>
    <cfRule type="expression" dxfId="3330" priority="17">
      <formula>AND($K179 = 0 * ISNUMBER($K179))</formula>
    </cfRule>
    <cfRule type="expression" dxfId="3329" priority="18">
      <formula>AND($K179 &lt; 0, ISNUMBER($K179))</formula>
    </cfRule>
  </conditionalFormatting>
  <conditionalFormatting sqref="D177:F178 E199:F199">
    <cfRule type="expression" dxfId="3328" priority="10">
      <formula>$E$199 &gt; 0</formula>
    </cfRule>
    <cfRule type="expression" dxfId="3327" priority="11">
      <formula>$E$199 = 0</formula>
    </cfRule>
    <cfRule type="expression" dxfId="3326" priority="12">
      <formula>$E$199 &lt; 0</formula>
    </cfRule>
  </conditionalFormatting>
  <conditionalFormatting sqref="G177:I178 H199:I199">
    <cfRule type="expression" dxfId="3325" priority="7">
      <formula>$H$199 &gt; 0</formula>
    </cfRule>
    <cfRule type="expression" dxfId="3324" priority="8">
      <formula>$H$199 = 0</formula>
    </cfRule>
    <cfRule type="expression" dxfId="3323" priority="9">
      <formula>$H$199 &lt; 0</formula>
    </cfRule>
  </conditionalFormatting>
  <conditionalFormatting sqref="J177:L178 K199:L199">
    <cfRule type="expression" dxfId="3322" priority="4">
      <formula>$K$199 &gt; 0</formula>
    </cfRule>
    <cfRule type="expression" dxfId="3321" priority="5">
      <formula>$K$199 = 0</formula>
    </cfRule>
    <cfRule type="expression" dxfId="3320" priority="6">
      <formula>$K$199 &lt; 0</formula>
    </cfRule>
  </conditionalFormatting>
  <conditionalFormatting sqref="M177:O178 N199:O199">
    <cfRule type="expression" dxfId="3319" priority="1">
      <formula>$N$199 &gt; 0</formula>
    </cfRule>
    <cfRule type="expression" dxfId="3318" priority="2">
      <formula>$N$199 = 0</formula>
    </cfRule>
    <cfRule type="expression" dxfId="331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213</v>
      </c>
      <c r="B2" s="11" t="s">
        <v>214</v>
      </c>
      <c r="C2" s="205">
        <v>1300</v>
      </c>
      <c r="D2" s="34">
        <v>0.1926605505</v>
      </c>
      <c r="E2" s="93">
        <v>409165313.27896601</v>
      </c>
      <c r="F2" s="35"/>
      <c r="G2" s="54"/>
      <c r="H2" s="35"/>
      <c r="I2" s="35"/>
    </row>
    <row r="3" spans="1:18" ht="17.25" thickBot="1">
      <c r="A3" s="40" t="s">
        <v>153</v>
      </c>
      <c r="B3" s="11" t="s">
        <v>154</v>
      </c>
      <c r="C3" s="205">
        <v>91150</v>
      </c>
      <c r="D3" s="34">
        <v>0.1714432592</v>
      </c>
      <c r="E3" s="93">
        <v>8907991.9141977597</v>
      </c>
      <c r="F3" s="35"/>
      <c r="G3" s="293" t="s">
        <v>260</v>
      </c>
      <c r="H3" s="305" t="s">
        <v>330</v>
      </c>
      <c r="I3" s="305"/>
      <c r="K3" s="249" t="s">
        <v>34</v>
      </c>
      <c r="L3" s="250"/>
      <c r="M3" s="250"/>
      <c r="N3" s="251"/>
      <c r="O3" s="249" t="s">
        <v>262</v>
      </c>
      <c r="P3" s="250"/>
      <c r="Q3" s="250"/>
      <c r="R3" s="251"/>
    </row>
    <row r="4" spans="1:18" ht="17.25" thickBot="1">
      <c r="A4" s="40" t="s">
        <v>115</v>
      </c>
      <c r="B4" s="11" t="s">
        <v>116</v>
      </c>
      <c r="C4" s="205">
        <v>8110</v>
      </c>
      <c r="D4" s="34">
        <v>8.1333333300000005E-2</v>
      </c>
      <c r="E4" s="93">
        <v>9988332.6130075492</v>
      </c>
      <c r="F4" s="35"/>
      <c r="G4" s="294"/>
      <c r="H4" s="306"/>
      <c r="I4" s="306"/>
      <c r="K4" s="286" t="s">
        <v>55</v>
      </c>
      <c r="L4" s="302">
        <f ca="1">NOW()</f>
        <v>44425.876754282406</v>
      </c>
      <c r="M4" s="303"/>
      <c r="N4" s="304"/>
      <c r="O4" s="301" t="s">
        <v>55</v>
      </c>
      <c r="P4" s="302">
        <f ca="1">NOW()</f>
        <v>44425.876754282406</v>
      </c>
      <c r="Q4" s="303"/>
      <c r="R4" s="304"/>
    </row>
    <row r="5" spans="1:18" ht="17.25" thickBot="1">
      <c r="A5" s="40" t="s">
        <v>73</v>
      </c>
      <c r="B5" s="11" t="s">
        <v>74</v>
      </c>
      <c r="C5" s="205">
        <v>19840</v>
      </c>
      <c r="D5" s="34">
        <v>7.0118662400000004E-2</v>
      </c>
      <c r="E5" s="93">
        <v>844497.49216453999</v>
      </c>
      <c r="F5" s="35"/>
      <c r="K5" s="294"/>
      <c r="L5" s="36" t="s">
        <v>58</v>
      </c>
      <c r="M5" s="73" t="s">
        <v>59</v>
      </c>
      <c r="N5" s="69" t="s">
        <v>264</v>
      </c>
      <c r="O5" s="294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133</v>
      </c>
      <c r="B6" s="11" t="s">
        <v>134</v>
      </c>
      <c r="C6" s="205">
        <v>30570</v>
      </c>
      <c r="D6" s="34">
        <v>6.7388268200000004E-2</v>
      </c>
      <c r="E6" s="93">
        <v>6167422.5797209898</v>
      </c>
      <c r="F6" s="35"/>
      <c r="G6" s="249" t="s">
        <v>52</v>
      </c>
      <c r="H6" s="250"/>
      <c r="I6" s="251"/>
      <c r="K6" s="55" t="str">
        <f ca="1">IFERROR(OFFSET(INDIRECT($H$3 &amp; "!A17"), 0, 0), "")</f>
        <v>스톰엑스</v>
      </c>
      <c r="L6" s="38">
        <f t="shared" ref="L6:L24" ca="1" si="0">_xlfn.IFNA(VLOOKUP(K6, $B$2:$E$200, 2, FALSE), "")</f>
        <v>38</v>
      </c>
      <c r="M6" s="76">
        <f t="shared" ref="M6:M25" ca="1" si="1">_xlfn.IFNA(VLOOKUP(K6, $B$2:$E$200, 3, FALSE), "")</f>
        <v>4.68319559E-2</v>
      </c>
      <c r="N6" s="85">
        <f ca="1">_xlfn.IFNA(VLOOKUP(K6, $B$2:$E$200, 4, FALSE), "")</f>
        <v>398918105.0253678</v>
      </c>
      <c r="O6" s="46" t="str">
        <f>INDEX($A$2:$D$200, MATCH(LARGE($D$2:$D$200, 1), $D$2:$D$200, 0), 2)</f>
        <v>플레이댑</v>
      </c>
      <c r="P6" s="38">
        <f t="shared" ref="P6:P25" si="2">_xlfn.IFNA(VLOOKUP(O6, $B$2:$D$200, 2, FALSE), "")</f>
        <v>1300</v>
      </c>
      <c r="Q6" s="76">
        <f t="shared" ref="Q6:Q25" si="3">_xlfn.IFNA(VLOOKUP(O6, $B$2:$D$200, 3, FALSE), "")</f>
        <v>0.1926605505</v>
      </c>
      <c r="R6" s="85">
        <f>_xlfn.IFNA(VLOOKUP(O6, $B$2:$E$200, 4, FALSE), "")</f>
        <v>409165313.27896601</v>
      </c>
    </row>
    <row r="7" spans="1:18">
      <c r="A7" s="40" t="s">
        <v>75</v>
      </c>
      <c r="B7" s="11" t="s">
        <v>76</v>
      </c>
      <c r="C7" s="205">
        <v>34840</v>
      </c>
      <c r="D7" s="34">
        <v>6.1547836699999997E-2</v>
      </c>
      <c r="E7" s="93">
        <v>1394767.55923611</v>
      </c>
      <c r="F7" s="35"/>
      <c r="G7" s="277" t="s">
        <v>36</v>
      </c>
      <c r="H7" s="278"/>
      <c r="I7" s="279"/>
      <c r="K7" s="56" t="str">
        <f ca="1">IFERROR(OFFSET(INDIRECT($H$3 &amp; "!A17"), 1, 0), "")</f>
        <v>저스트</v>
      </c>
      <c r="L7" s="39">
        <f t="shared" ca="1" si="0"/>
        <v>84.5</v>
      </c>
      <c r="M7" s="77">
        <f t="shared" ca="1" si="1"/>
        <v>2.3724791999999999E-3</v>
      </c>
      <c r="N7" s="86">
        <f t="shared" ref="N7:N25" ca="1" si="4">_xlfn.IFNA(VLOOKUP(K7, $B$2:$E$200, 4, FALSE), "")</f>
        <v>126385910.64919059</v>
      </c>
      <c r="O7" s="47" t="str">
        <f>INDEX($A$2:$D$200, MATCH(LARGE($D$2:$D$200, 2), $D$2:$D$200, 0), 2)</f>
        <v>엑시인피니티</v>
      </c>
      <c r="P7" s="39">
        <f t="shared" si="2"/>
        <v>91150</v>
      </c>
      <c r="Q7" s="77">
        <f t="shared" si="3"/>
        <v>0.1714432592</v>
      </c>
      <c r="R7" s="86">
        <f t="shared" ref="R7:R25" si="5">_xlfn.IFNA(VLOOKUP(O7, $B$2:$E$200, 4, FALSE), "")</f>
        <v>8907991.9141977597</v>
      </c>
    </row>
    <row r="8" spans="1:18" ht="17.25" thickBot="1">
      <c r="A8" s="40" t="s">
        <v>223</v>
      </c>
      <c r="B8" s="11" t="s">
        <v>224</v>
      </c>
      <c r="C8" s="205">
        <v>5465</v>
      </c>
      <c r="D8" s="34">
        <v>5.4001928599999999E-2</v>
      </c>
      <c r="E8" s="93">
        <v>19210382.769587561</v>
      </c>
      <c r="F8" s="35"/>
      <c r="G8" s="270"/>
      <c r="H8" s="271"/>
      <c r="I8" s="272"/>
      <c r="K8" s="56" t="str">
        <f ca="1">IFERROR(OFFSET(INDIRECT($H$3 &amp; "!A17"), 2, 0), "")</f>
        <v>리퍼리움</v>
      </c>
      <c r="L8" s="39">
        <f t="shared" ca="1" si="0"/>
        <v>16.100000000000001</v>
      </c>
      <c r="M8" s="77">
        <f t="shared" ca="1" si="1"/>
        <v>-3.0120481899999999E-2</v>
      </c>
      <c r="N8" s="86">
        <f t="shared" ca="1" si="4"/>
        <v>638680967.04828489</v>
      </c>
      <c r="O8" s="47" t="str">
        <f>INDEX($A$2:$D$200, MATCH(LARGE($D$2:$D$200, 3), $D$2:$D$200, 0), 2)</f>
        <v>카바</v>
      </c>
      <c r="P8" s="39">
        <f t="shared" si="2"/>
        <v>8110</v>
      </c>
      <c r="Q8" s="77">
        <f t="shared" si="3"/>
        <v>8.1333333300000005E-2</v>
      </c>
      <c r="R8" s="86">
        <f t="shared" si="5"/>
        <v>9988332.6130075492</v>
      </c>
    </row>
    <row r="9" spans="1:18" ht="17.25" thickBot="1">
      <c r="A9" s="40" t="s">
        <v>113</v>
      </c>
      <c r="B9" s="11" t="s">
        <v>114</v>
      </c>
      <c r="C9" s="205">
        <v>781</v>
      </c>
      <c r="D9" s="34">
        <v>4.8322147699999998E-2</v>
      </c>
      <c r="E9" s="93">
        <v>97203063.595957831</v>
      </c>
      <c r="F9" s="35"/>
      <c r="G9" s="9" t="s">
        <v>38</v>
      </c>
      <c r="H9" s="250" t="s">
        <v>37</v>
      </c>
      <c r="I9" s="251"/>
      <c r="K9" s="56" t="str">
        <f ca="1">IFERROR(OFFSET(INDIRECT($H$3 &amp; "!A17"), 3, 0), "")</f>
        <v>시아코인</v>
      </c>
      <c r="L9" s="39">
        <f t="shared" ca="1" si="0"/>
        <v>22.9</v>
      </c>
      <c r="M9" s="77">
        <f t="shared" ca="1" si="1"/>
        <v>0</v>
      </c>
      <c r="N9" s="86">
        <f t="shared" ca="1" si="4"/>
        <v>552886581.18044651</v>
      </c>
      <c r="O9" s="47" t="str">
        <f>INDEX($A$2:$D$200, MATCH(LARGE($D$2:$D$200, 4), $D$2:$D$200, 0), 2)</f>
        <v>코스모스</v>
      </c>
      <c r="P9" s="39">
        <f t="shared" si="2"/>
        <v>19840</v>
      </c>
      <c r="Q9" s="77">
        <f t="shared" si="3"/>
        <v>7.0118662400000004E-2</v>
      </c>
      <c r="R9" s="86">
        <f t="shared" si="5"/>
        <v>844497.49216453999</v>
      </c>
    </row>
    <row r="10" spans="1:18">
      <c r="A10" s="40" t="s">
        <v>121</v>
      </c>
      <c r="B10" s="11" t="s">
        <v>122</v>
      </c>
      <c r="C10" s="205">
        <v>38</v>
      </c>
      <c r="D10" s="34">
        <v>4.68319559E-2</v>
      </c>
      <c r="E10" s="93">
        <v>398918105.0253678</v>
      </c>
      <c r="F10" s="35"/>
      <c r="G10" s="295">
        <f>_xlfn.IFNA(VLOOKUP(G7, $B$2:$D$200, 3, FALSE), "-")</f>
        <v>1.07123628E-2</v>
      </c>
      <c r="H10" s="297">
        <f>_xlfn.IFNA(VLOOKUP(G7, $B$2:$D$200, 2, FALSE), "-")</f>
        <v>54440000</v>
      </c>
      <c r="I10" s="298"/>
      <c r="K10" s="58" t="str">
        <f ca="1">IFERROR(OFFSET(INDIRECT($H$3 &amp; "!A17"), 4, 0), "")</f>
        <v>아이오에스티</v>
      </c>
      <c r="L10" s="44">
        <f t="shared" ca="1" si="0"/>
        <v>38.299999999999997</v>
      </c>
      <c r="M10" s="78">
        <f t="shared" ca="1" si="1"/>
        <v>7.8947367999999997E-3</v>
      </c>
      <c r="N10" s="90">
        <f t="shared" ca="1" si="4"/>
        <v>88737895.314869255</v>
      </c>
      <c r="O10" s="47" t="str">
        <f>INDEX($A$2:$D$200, MATCH(LARGE($D$2:$D$200, 5), $D$2:$D$200, 0), 2)</f>
        <v>폴카닷</v>
      </c>
      <c r="P10" s="39">
        <f t="shared" si="2"/>
        <v>30570</v>
      </c>
      <c r="Q10" s="77">
        <f t="shared" si="3"/>
        <v>6.7388268200000004E-2</v>
      </c>
      <c r="R10" s="90">
        <f t="shared" si="5"/>
        <v>6167422.5797209898</v>
      </c>
    </row>
    <row r="11" spans="1:18" ht="17.25" thickBot="1">
      <c r="A11" s="40" t="s">
        <v>129</v>
      </c>
      <c r="B11" s="11" t="s">
        <v>130</v>
      </c>
      <c r="C11" s="205">
        <v>120</v>
      </c>
      <c r="D11" s="34">
        <v>4.3478260900000003E-2</v>
      </c>
      <c r="E11" s="93">
        <v>285575746.14461941</v>
      </c>
      <c r="F11" s="35"/>
      <c r="G11" s="296"/>
      <c r="H11" s="299"/>
      <c r="I11" s="300"/>
      <c r="K11" s="56" t="str">
        <f ca="1">IFERROR(OFFSET(INDIRECT($H$3 &amp; "!A17"), 5, 0), "")</f>
        <v>비트토렌트</v>
      </c>
      <c r="L11" s="39">
        <f t="shared" ca="1" si="0"/>
        <v>5.37</v>
      </c>
      <c r="M11" s="77">
        <f t="shared" ca="1" si="1"/>
        <v>-3.7105750999999998E-3</v>
      </c>
      <c r="N11" s="99">
        <f t="shared" ca="1" si="4"/>
        <v>20624984185.88496</v>
      </c>
      <c r="O11" s="49" t="str">
        <f>INDEX($A$2:$D$200, MATCH(LARGE($D$2:$D$200, 6), $D$2:$D$200, 0), 2)</f>
        <v>체인링크</v>
      </c>
      <c r="P11" s="45">
        <f t="shared" si="2"/>
        <v>34840</v>
      </c>
      <c r="Q11" s="80">
        <f t="shared" si="3"/>
        <v>6.1547836699999997E-2</v>
      </c>
      <c r="R11" s="99">
        <f t="shared" si="5"/>
        <v>1394767.55923611</v>
      </c>
    </row>
    <row r="12" spans="1:18" ht="17.25" thickBot="1">
      <c r="A12" s="40" t="s">
        <v>197</v>
      </c>
      <c r="B12" s="11" t="s">
        <v>198</v>
      </c>
      <c r="C12" s="205">
        <v>28040</v>
      </c>
      <c r="D12" s="34">
        <v>4.2766827799999997E-2</v>
      </c>
      <c r="E12" s="93">
        <v>4742114.8557266695</v>
      </c>
      <c r="F12" s="35"/>
      <c r="K12" s="56" t="str">
        <f ca="1">IFERROR(OFFSET(INDIRECT($H$3 &amp; "!A17"), 6, 0), "")</f>
        <v>메인프레임</v>
      </c>
      <c r="L12" s="39">
        <f t="shared" ca="1" si="0"/>
        <v>14.7</v>
      </c>
      <c r="M12" s="77">
        <f t="shared" ca="1" si="1"/>
        <v>2.7972027999999999E-2</v>
      </c>
      <c r="N12" s="86">
        <f t="shared" ca="1" si="4"/>
        <v>695827726.570665</v>
      </c>
      <c r="O12" s="47" t="str">
        <f>INDEX($A$2:$D$200, MATCH(LARGE($D$2:$D$200, 7), $D$2:$D$200, 0), 2)</f>
        <v>리스크</v>
      </c>
      <c r="P12" s="39">
        <f t="shared" si="2"/>
        <v>5465</v>
      </c>
      <c r="Q12" s="77">
        <f t="shared" si="3"/>
        <v>5.4001928599999999E-2</v>
      </c>
      <c r="R12" s="86">
        <f t="shared" si="5"/>
        <v>19210382.769587561</v>
      </c>
    </row>
    <row r="13" spans="1:18" ht="17.25" thickBot="1">
      <c r="A13" s="40" t="s">
        <v>169</v>
      </c>
      <c r="B13" s="11" t="s">
        <v>170</v>
      </c>
      <c r="C13" s="205">
        <v>33220</v>
      </c>
      <c r="D13" s="34">
        <v>3.5859058300000003E-2</v>
      </c>
      <c r="E13" s="93">
        <v>1885953.2207249</v>
      </c>
      <c r="F13" s="35"/>
      <c r="G13" s="249" t="s">
        <v>70</v>
      </c>
      <c r="H13" s="250"/>
      <c r="I13" s="251"/>
      <c r="K13" s="56" t="str">
        <f ca="1">IFERROR(OFFSET(INDIRECT($H$3 &amp; "!A17"), 7, 0), "")</f>
        <v>메디블록</v>
      </c>
      <c r="L13" s="39">
        <f t="shared" ca="1" si="0"/>
        <v>94</v>
      </c>
      <c r="M13" s="77">
        <f t="shared" ca="1" si="1"/>
        <v>-7.3917634999999997E-3</v>
      </c>
      <c r="N13" s="86">
        <f t="shared" ca="1" si="4"/>
        <v>375533090.30857718</v>
      </c>
      <c r="O13" s="47" t="str">
        <f>INDEX($A$2:$D$200, MATCH(LARGE($D$2:$D$200, 8), $D$2:$D$200, 0), 2)</f>
        <v>샌드박스</v>
      </c>
      <c r="P13" s="39">
        <f t="shared" si="2"/>
        <v>781</v>
      </c>
      <c r="Q13" s="77">
        <f t="shared" si="3"/>
        <v>4.8322147699999998E-2</v>
      </c>
      <c r="R13" s="86">
        <f t="shared" si="5"/>
        <v>97203063.595957831</v>
      </c>
    </row>
    <row r="14" spans="1:18">
      <c r="A14" s="40" t="s">
        <v>155</v>
      </c>
      <c r="B14" s="11" t="s">
        <v>156</v>
      </c>
      <c r="C14" s="205">
        <v>1965</v>
      </c>
      <c r="D14" s="34">
        <v>3.1496062999999998E-2</v>
      </c>
      <c r="E14" s="93">
        <v>7915835.5647288999</v>
      </c>
      <c r="F14" s="35"/>
      <c r="G14" s="277" t="s">
        <v>36</v>
      </c>
      <c r="H14" s="278"/>
      <c r="I14" s="279"/>
      <c r="K14" s="56" t="str">
        <f ca="1">IFERROR(OFFSET(INDIRECT($H$3 &amp; "!A17"), 8, 0), "")</f>
        <v>썬더토큰</v>
      </c>
      <c r="L14" s="39">
        <f t="shared" ca="1" si="0"/>
        <v>13</v>
      </c>
      <c r="M14" s="77">
        <f t="shared" ca="1" si="1"/>
        <v>-1.51515152E-2</v>
      </c>
      <c r="N14" s="86">
        <f t="shared" ca="1" si="4"/>
        <v>370083912.70668685</v>
      </c>
      <c r="O14" s="47" t="str">
        <f>INDEX($A$2:$D$200, MATCH(LARGE($D$2:$D$200, 9), $D$2:$D$200, 0), 2)</f>
        <v>스톰엑스</v>
      </c>
      <c r="P14" s="39">
        <f t="shared" si="2"/>
        <v>38</v>
      </c>
      <c r="Q14" s="77">
        <f t="shared" si="3"/>
        <v>4.68319559E-2</v>
      </c>
      <c r="R14" s="86">
        <f t="shared" si="5"/>
        <v>398918105.0253678</v>
      </c>
    </row>
    <row r="15" spans="1:18" ht="17.25" thickBot="1">
      <c r="A15" s="40" t="s">
        <v>103</v>
      </c>
      <c r="B15" s="11" t="s">
        <v>104</v>
      </c>
      <c r="C15" s="205">
        <v>1245</v>
      </c>
      <c r="D15" s="34">
        <v>2.89256198E-2</v>
      </c>
      <c r="E15" s="93">
        <v>4063421.5867728498</v>
      </c>
      <c r="F15" s="35"/>
      <c r="G15" s="270"/>
      <c r="H15" s="271"/>
      <c r="I15" s="272"/>
      <c r="K15" s="57" t="str">
        <f ca="1">IFERROR(OFFSET(INDIRECT($H$3 &amp; "!A17"), 9, 0), "")</f>
        <v>썸씽</v>
      </c>
      <c r="L15" s="37">
        <f t="shared" ca="1" si="0"/>
        <v>75.8</v>
      </c>
      <c r="M15" s="79">
        <f t="shared" ca="1" si="1"/>
        <v>-1.55844156E-2</v>
      </c>
      <c r="N15" s="87">
        <f t="shared" ca="1" si="4"/>
        <v>128990701.97258215</v>
      </c>
      <c r="O15" s="48" t="str">
        <f>INDEX($A$2:$D$200, MATCH(LARGE($D$2:$D$200, 10), $D$2:$D$200, 0), 2)</f>
        <v>오브스</v>
      </c>
      <c r="P15" s="37">
        <f t="shared" si="2"/>
        <v>120</v>
      </c>
      <c r="Q15" s="79">
        <f t="shared" si="3"/>
        <v>4.3478260900000003E-2</v>
      </c>
      <c r="R15" s="87">
        <f t="shared" si="5"/>
        <v>285575746.14461941</v>
      </c>
    </row>
    <row r="16" spans="1:18" ht="17.25" thickBot="1">
      <c r="A16" s="40" t="s">
        <v>207</v>
      </c>
      <c r="B16" s="11" t="s">
        <v>208</v>
      </c>
      <c r="C16" s="205">
        <v>14.7</v>
      </c>
      <c r="D16" s="34">
        <v>2.7972027999999999E-2</v>
      </c>
      <c r="E16" s="93">
        <v>695827726.570665</v>
      </c>
      <c r="F16" s="35"/>
      <c r="G16" s="9" t="s">
        <v>38</v>
      </c>
      <c r="H16" s="250" t="s">
        <v>37</v>
      </c>
      <c r="I16" s="251"/>
      <c r="K16" s="55" t="str">
        <f ca="1">IFERROR(OFFSET(INDIRECT($H$3 &amp; "!A17"), 10, 0), "")</f>
        <v>에브리피디아</v>
      </c>
      <c r="L16" s="38">
        <f t="shared" ca="1" si="0"/>
        <v>17.5</v>
      </c>
      <c r="M16" s="76">
        <f t="shared" ca="1" si="1"/>
        <v>-1.68539326E-2</v>
      </c>
      <c r="N16" s="85">
        <f t="shared" ca="1" si="4"/>
        <v>309373834.6824562</v>
      </c>
      <c r="O16" s="46" t="str">
        <f>INDEX($A$2:$D$200, MATCH(LARGE($D$2:$D$200, 11), $D$2:$D$200, 0), 2)</f>
        <v>플로우</v>
      </c>
      <c r="P16" s="38">
        <f t="shared" si="2"/>
        <v>28040</v>
      </c>
      <c r="Q16" s="76">
        <f t="shared" si="3"/>
        <v>4.2766827799999997E-2</v>
      </c>
      <c r="R16" s="85">
        <f t="shared" si="5"/>
        <v>4742114.8557266695</v>
      </c>
    </row>
    <row r="17" spans="1:18">
      <c r="A17" s="40" t="s">
        <v>127</v>
      </c>
      <c r="B17" s="11" t="s">
        <v>128</v>
      </c>
      <c r="C17" s="205">
        <v>155</v>
      </c>
      <c r="D17" s="34">
        <v>2.6490066199999999E-2</v>
      </c>
      <c r="E17" s="93">
        <v>507274593.76152164</v>
      </c>
      <c r="F17" s="35"/>
      <c r="G17" s="295">
        <f>_xlfn.IFNA(VLOOKUP(G14, $B$2:$D$200, 3, FALSE), "-")</f>
        <v>1.07123628E-2</v>
      </c>
      <c r="H17" s="297">
        <f>_xlfn.IFNA(VLOOKUP(G14, $B$2:$D$200, 2, FALSE), "-")</f>
        <v>54440000</v>
      </c>
      <c r="I17" s="298"/>
      <c r="K17" s="56" t="str">
        <f ca="1">IFERROR(OFFSET(INDIRECT($H$3 &amp; "!A17"), 11, 0), "")</f>
        <v>에스티피</v>
      </c>
      <c r="L17" s="39">
        <f t="shared" ca="1" si="0"/>
        <v>75</v>
      </c>
      <c r="M17" s="77">
        <f t="shared" ca="1" si="1"/>
        <v>-1.9607843100000001E-2</v>
      </c>
      <c r="N17" s="86">
        <f t="shared" ca="1" si="4"/>
        <v>107388847.14890809</v>
      </c>
      <c r="O17" s="47" t="str">
        <f>INDEX($A$2:$D$200, MATCH(LARGE($D$2:$D$200, 12), $D$2:$D$200, 0), 2)</f>
        <v>어거</v>
      </c>
      <c r="P17" s="39">
        <f t="shared" si="2"/>
        <v>33220</v>
      </c>
      <c r="Q17" s="77">
        <f t="shared" si="3"/>
        <v>3.5859058300000003E-2</v>
      </c>
      <c r="R17" s="86">
        <f t="shared" si="5"/>
        <v>1885953.2207249</v>
      </c>
    </row>
    <row r="18" spans="1:18" ht="17.25" thickBot="1">
      <c r="A18" s="40" t="s">
        <v>95</v>
      </c>
      <c r="B18" s="11" t="s">
        <v>96</v>
      </c>
      <c r="C18" s="205">
        <v>4380</v>
      </c>
      <c r="D18" s="34">
        <v>2.5761124100000001E-2</v>
      </c>
      <c r="E18" s="93">
        <v>3124068.7351899198</v>
      </c>
      <c r="F18" s="35"/>
      <c r="G18" s="296"/>
      <c r="H18" s="299"/>
      <c r="I18" s="300"/>
      <c r="K18" s="56" t="str">
        <f ca="1">IFERROR(OFFSET(INDIRECT($H$3 &amp; "!A17"), 12, 0), "")</f>
        <v>쿼크체인</v>
      </c>
      <c r="L18" s="39">
        <f t="shared" ca="1" si="0"/>
        <v>24.7</v>
      </c>
      <c r="M18" s="77">
        <f t="shared" ca="1" si="1"/>
        <v>0</v>
      </c>
      <c r="N18" s="86">
        <f t="shared" ca="1" si="4"/>
        <v>419241826.15921867</v>
      </c>
      <c r="O18" s="47" t="str">
        <f>INDEX($A$2:$D$200, MATCH(LARGE($D$2:$D$200, 13), $D$2:$D$200, 0), 2)</f>
        <v>엔진코인</v>
      </c>
      <c r="P18" s="39">
        <f t="shared" si="2"/>
        <v>1965</v>
      </c>
      <c r="Q18" s="77">
        <f t="shared" si="3"/>
        <v>3.1496062999999998E-2</v>
      </c>
      <c r="R18" s="86">
        <f t="shared" si="5"/>
        <v>7915835.5647288999</v>
      </c>
    </row>
    <row r="19" spans="1:18" ht="17.25" thickBot="1">
      <c r="A19" s="40" t="s">
        <v>111</v>
      </c>
      <c r="B19" s="11" t="s">
        <v>112</v>
      </c>
      <c r="C19" s="205">
        <v>9170</v>
      </c>
      <c r="D19" s="34">
        <v>2.5153717200000002E-2</v>
      </c>
      <c r="E19" s="93">
        <v>1803704.36904777</v>
      </c>
      <c r="F19" s="35"/>
      <c r="K19" s="56" t="str">
        <f ca="1">IFERROR(OFFSET(INDIRECT($H$3 &amp; "!A17"), 13, 0), "")</f>
        <v>무비블록</v>
      </c>
      <c r="L19" s="39">
        <f t="shared" ca="1" si="0"/>
        <v>11.5</v>
      </c>
      <c r="M19" s="77">
        <f t="shared" ca="1" si="1"/>
        <v>-2.54237288E-2</v>
      </c>
      <c r="N19" s="86">
        <f t="shared" ca="1" si="4"/>
        <v>803761591.83898485</v>
      </c>
      <c r="O19" s="47" t="str">
        <f>INDEX($A$2:$D$200, MATCH(LARGE($D$2:$D$200, 14), $D$2:$D$200, 0), 2)</f>
        <v>제로엑스</v>
      </c>
      <c r="P19" s="39">
        <f t="shared" si="2"/>
        <v>1245</v>
      </c>
      <c r="Q19" s="77">
        <f t="shared" si="3"/>
        <v>2.89256198E-2</v>
      </c>
      <c r="R19" s="86">
        <f t="shared" si="5"/>
        <v>4063421.5867728498</v>
      </c>
    </row>
    <row r="20" spans="1:18" ht="17.25" thickBot="1">
      <c r="A20" s="40" t="s">
        <v>93</v>
      </c>
      <c r="B20" s="11" t="s">
        <v>94</v>
      </c>
      <c r="C20" s="205">
        <v>3785000</v>
      </c>
      <c r="D20" s="34">
        <v>2.4357239499999999E-2</v>
      </c>
      <c r="E20" s="93">
        <v>50358.843847880002</v>
      </c>
      <c r="F20" s="35"/>
      <c r="G20" s="249" t="s">
        <v>256</v>
      </c>
      <c r="H20" s="250"/>
      <c r="I20" s="251"/>
      <c r="K20" s="58" t="str">
        <f ca="1">IFERROR(OFFSET(INDIRECT($H$3 &amp; "!A17"), 14, 0), "")</f>
        <v>엠블</v>
      </c>
      <c r="L20" s="44">
        <f t="shared" ca="1" si="0"/>
        <v>19.600000000000001</v>
      </c>
      <c r="M20" s="78">
        <f t="shared" ca="1" si="1"/>
        <v>-5.0761421000000001E-3</v>
      </c>
      <c r="N20" s="90">
        <f t="shared" ca="1" si="4"/>
        <v>514784029.95514017</v>
      </c>
      <c r="O20" s="47" t="str">
        <f>INDEX($A$2:$D$200, MATCH(LARGE($D$2:$D$200, 15), $D$2:$D$200, 0), 2)</f>
        <v>메인프레임</v>
      </c>
      <c r="P20" s="39">
        <f t="shared" si="2"/>
        <v>14.7</v>
      </c>
      <c r="Q20" s="77">
        <f t="shared" si="3"/>
        <v>2.7972027999999999E-2</v>
      </c>
      <c r="R20" s="90">
        <f t="shared" si="5"/>
        <v>695827726.570665</v>
      </c>
    </row>
    <row r="21" spans="1:18">
      <c r="A21" s="40" t="s">
        <v>265</v>
      </c>
      <c r="B21" s="11" t="s">
        <v>266</v>
      </c>
      <c r="C21" s="205">
        <v>385</v>
      </c>
      <c r="D21" s="34">
        <v>2.3936170199999999E-2</v>
      </c>
      <c r="E21" s="93">
        <v>2359790137.260066</v>
      </c>
      <c r="F21" s="35"/>
      <c r="G21" s="277" t="s">
        <v>36</v>
      </c>
      <c r="H21" s="278"/>
      <c r="I21" s="279"/>
      <c r="K21" s="56" t="str">
        <f ca="1">IFERROR(OFFSET(INDIRECT($H$3 &amp; "!A17"), 15, 0), "")</f>
        <v>캐리프로토콜</v>
      </c>
      <c r="L21" s="39">
        <f t="shared" ca="1" si="0"/>
        <v>13.2</v>
      </c>
      <c r="M21" s="77">
        <f t="shared" ca="1" si="1"/>
        <v>-3.6496350400000002E-2</v>
      </c>
      <c r="N21" s="99">
        <f t="shared" ca="1" si="4"/>
        <v>936889626.36343789</v>
      </c>
      <c r="O21" s="49" t="str">
        <f>INDEX($A$2:$D$200, MATCH(LARGE($D$2:$D$200, 16), $D$2:$D$200, 0), 2)</f>
        <v>비체인</v>
      </c>
      <c r="P21" s="45">
        <f t="shared" si="2"/>
        <v>155</v>
      </c>
      <c r="Q21" s="80">
        <f t="shared" si="3"/>
        <v>2.6490066199999999E-2</v>
      </c>
      <c r="R21" s="99">
        <f t="shared" si="5"/>
        <v>507274593.76152164</v>
      </c>
    </row>
    <row r="22" spans="1:18" ht="17.25" thickBot="1">
      <c r="A22" s="40" t="s">
        <v>53</v>
      </c>
      <c r="B22" s="11" t="s">
        <v>54</v>
      </c>
      <c r="C22" s="205">
        <v>291</v>
      </c>
      <c r="D22" s="34">
        <v>2.10526316E-2</v>
      </c>
      <c r="E22" s="93">
        <v>21384928.67250707</v>
      </c>
      <c r="F22" s="35"/>
      <c r="G22" s="270"/>
      <c r="H22" s="271"/>
      <c r="I22" s="272"/>
      <c r="K22" s="56" t="str">
        <f ca="1">IFERROR(OFFSET(INDIRECT($H$3 &amp; "!A17"), 16, 0), "")</f>
        <v>아하토큰</v>
      </c>
      <c r="L22" s="39">
        <f t="shared" ca="1" si="0"/>
        <v>12.7</v>
      </c>
      <c r="M22" s="77">
        <f t="shared" ca="1" si="1"/>
        <v>-1.5503876E-2</v>
      </c>
      <c r="N22" s="86">
        <f t="shared" ca="1" si="4"/>
        <v>310133541.0642851</v>
      </c>
      <c r="O22" s="47" t="str">
        <f>INDEX($A$2:$D$200, MATCH(LARGE($D$2:$D$200, 17), $D$2:$D$200, 0), 2)</f>
        <v>테조스</v>
      </c>
      <c r="P22" s="39">
        <f t="shared" si="2"/>
        <v>4380</v>
      </c>
      <c r="Q22" s="77">
        <f t="shared" si="3"/>
        <v>2.5761124100000001E-2</v>
      </c>
      <c r="R22" s="86">
        <f t="shared" si="5"/>
        <v>3124068.7351899198</v>
      </c>
    </row>
    <row r="23" spans="1:18" ht="17.25" thickBot="1">
      <c r="A23" s="40" t="s">
        <v>157</v>
      </c>
      <c r="B23" s="11" t="s">
        <v>158</v>
      </c>
      <c r="C23" s="205">
        <v>28120</v>
      </c>
      <c r="D23" s="34">
        <v>1.9949220199999999E-2</v>
      </c>
      <c r="E23" s="93">
        <v>2929930.0627301298</v>
      </c>
      <c r="F23" s="35"/>
      <c r="G23" s="9" t="s">
        <v>38</v>
      </c>
      <c r="H23" s="250" t="s">
        <v>37</v>
      </c>
      <c r="I23" s="25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쎄타토큰</v>
      </c>
      <c r="P23" s="39">
        <f t="shared" si="2"/>
        <v>9170</v>
      </c>
      <c r="Q23" s="77">
        <f t="shared" si="3"/>
        <v>2.5153717200000002E-2</v>
      </c>
      <c r="R23" s="86">
        <f t="shared" si="5"/>
        <v>1803704.36904777</v>
      </c>
    </row>
    <row r="24" spans="1:18">
      <c r="A24" s="40" t="s">
        <v>179</v>
      </c>
      <c r="B24" s="11" t="s">
        <v>180</v>
      </c>
      <c r="C24" s="205">
        <v>15870</v>
      </c>
      <c r="D24" s="34">
        <v>1.99228792E-2</v>
      </c>
      <c r="E24" s="93">
        <v>5820103.2482251301</v>
      </c>
      <c r="F24" s="35"/>
      <c r="G24" s="295">
        <f>_xlfn.IFNA(VLOOKUP(G21, $B$2:$D$200, 3, FALSE), "-")</f>
        <v>1.07123628E-2</v>
      </c>
      <c r="H24" s="297">
        <f>_xlfn.IFNA(VLOOKUP(G21, $B$2:$D$200, 2, FALSE), "-")</f>
        <v>54440000</v>
      </c>
      <c r="I24" s="298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이더리움</v>
      </c>
      <c r="P24" s="39">
        <f t="shared" si="2"/>
        <v>3785000</v>
      </c>
      <c r="Q24" s="77">
        <f t="shared" si="3"/>
        <v>2.4357239499999999E-2</v>
      </c>
      <c r="R24" s="86">
        <f t="shared" si="5"/>
        <v>50358.843847880002</v>
      </c>
    </row>
    <row r="25" spans="1:18" ht="17.25" thickBot="1">
      <c r="A25" s="40" t="s">
        <v>125</v>
      </c>
      <c r="B25" s="11" t="s">
        <v>126</v>
      </c>
      <c r="C25" s="205">
        <v>212750</v>
      </c>
      <c r="D25" s="34">
        <v>1.8917624500000001E-2</v>
      </c>
      <c r="E25" s="93">
        <v>92435.152597649998</v>
      </c>
      <c r="F25" s="35"/>
      <c r="G25" s="296"/>
      <c r="H25" s="299"/>
      <c r="I25" s="300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도지코인</v>
      </c>
      <c r="P25" s="37">
        <f t="shared" si="2"/>
        <v>385</v>
      </c>
      <c r="Q25" s="79">
        <f t="shared" si="3"/>
        <v>2.3936170199999999E-2</v>
      </c>
      <c r="R25" s="87">
        <f t="shared" si="5"/>
        <v>2359790137.260066</v>
      </c>
    </row>
    <row r="26" spans="1:18">
      <c r="A26" s="40" t="s">
        <v>143</v>
      </c>
      <c r="B26" s="11" t="s">
        <v>144</v>
      </c>
      <c r="C26" s="205">
        <v>121</v>
      </c>
      <c r="D26" s="34">
        <v>1.6806722699999999E-2</v>
      </c>
      <c r="E26" s="93">
        <v>92088634.072336927</v>
      </c>
      <c r="F26" s="35"/>
    </row>
    <row r="27" spans="1:18" ht="17.25" thickBot="1">
      <c r="A27" s="40" t="s">
        <v>68</v>
      </c>
      <c r="B27" s="11" t="s">
        <v>69</v>
      </c>
      <c r="C27" s="205">
        <v>8145</v>
      </c>
      <c r="D27" s="34">
        <v>1.55860349E-2</v>
      </c>
      <c r="E27" s="93">
        <v>29108075.250099149</v>
      </c>
      <c r="F27" s="35"/>
    </row>
    <row r="28" spans="1:18" ht="17.25" thickBot="1">
      <c r="A28" s="40" t="s">
        <v>145</v>
      </c>
      <c r="B28" s="11" t="s">
        <v>146</v>
      </c>
      <c r="C28" s="205">
        <v>3880</v>
      </c>
      <c r="D28" s="34">
        <v>1.4379085E-2</v>
      </c>
      <c r="E28" s="93">
        <v>2460482.4236687701</v>
      </c>
      <c r="F28" s="35"/>
      <c r="G28" s="249" t="s">
        <v>46</v>
      </c>
      <c r="H28" s="250"/>
      <c r="I28" s="250"/>
      <c r="J28" s="251"/>
      <c r="K28" s="249" t="s">
        <v>44</v>
      </c>
      <c r="L28" s="250"/>
      <c r="M28" s="250"/>
      <c r="N28" s="251"/>
      <c r="O28" s="249" t="s">
        <v>45</v>
      </c>
      <c r="P28" s="250"/>
      <c r="Q28" s="250"/>
      <c r="R28" s="251"/>
    </row>
    <row r="29" spans="1:18" ht="17.25" thickBot="1">
      <c r="A29" s="40" t="s">
        <v>139</v>
      </c>
      <c r="B29" s="11" t="s">
        <v>140</v>
      </c>
      <c r="C29" s="205">
        <v>6720</v>
      </c>
      <c r="D29" s="34">
        <v>1.35746606E-2</v>
      </c>
      <c r="E29" s="93">
        <v>3541915.6772921002</v>
      </c>
      <c r="F29" s="35"/>
      <c r="G29" s="286" t="s">
        <v>55</v>
      </c>
      <c r="H29" s="302">
        <f ca="1">NOW()</f>
        <v>44425.876754282406</v>
      </c>
      <c r="I29" s="303"/>
      <c r="J29" s="304"/>
      <c r="K29" s="301" t="s">
        <v>55</v>
      </c>
      <c r="L29" s="302">
        <f ca="1">NOW()</f>
        <v>44425.876754282406</v>
      </c>
      <c r="M29" s="303"/>
      <c r="N29" s="304"/>
      <c r="O29" s="301" t="s">
        <v>55</v>
      </c>
      <c r="P29" s="302">
        <f ca="1">NOW()</f>
        <v>44425.876754282406</v>
      </c>
      <c r="Q29" s="303"/>
      <c r="R29" s="304"/>
    </row>
    <row r="30" spans="1:18" ht="17.25" thickBot="1">
      <c r="A30" s="40" t="s">
        <v>135</v>
      </c>
      <c r="B30" s="11" t="s">
        <v>136</v>
      </c>
      <c r="C30" s="205">
        <v>2285</v>
      </c>
      <c r="D30" s="34">
        <v>1.33037694E-2</v>
      </c>
      <c r="E30" s="93">
        <v>6052463.1292740498</v>
      </c>
      <c r="F30" s="35"/>
      <c r="G30" s="294"/>
      <c r="H30" s="36" t="s">
        <v>58</v>
      </c>
      <c r="I30" s="73" t="s">
        <v>59</v>
      </c>
      <c r="J30" s="69" t="s">
        <v>264</v>
      </c>
      <c r="K30" s="294"/>
      <c r="L30" s="36" t="s">
        <v>58</v>
      </c>
      <c r="M30" s="73" t="s">
        <v>59</v>
      </c>
      <c r="N30" s="69" t="s">
        <v>264</v>
      </c>
      <c r="O30" s="294"/>
      <c r="P30" s="36" t="s">
        <v>58</v>
      </c>
      <c r="Q30" s="73" t="s">
        <v>59</v>
      </c>
      <c r="R30" s="69" t="s">
        <v>264</v>
      </c>
    </row>
    <row r="31" spans="1:18">
      <c r="A31" s="40" t="s">
        <v>117</v>
      </c>
      <c r="B31" s="11" t="s">
        <v>118</v>
      </c>
      <c r="C31" s="205">
        <v>176</v>
      </c>
      <c r="D31" s="34">
        <v>1.14942529E-2</v>
      </c>
      <c r="E31" s="93">
        <v>23192463.031254869</v>
      </c>
      <c r="F31" s="35"/>
      <c r="G31" s="55" t="str">
        <f ca="1">IFERROR(OFFSET(INDIRECT($H$3 &amp; "!A98"), 0, 0), "")</f>
        <v>세럼</v>
      </c>
      <c r="H31" s="38">
        <f t="shared" ref="H31:H50" ca="1" si="7">_xlfn.IFNA(VLOOKUP(G31, $B$2:$D$200, 2, FALSE), "")</f>
        <v>8145</v>
      </c>
      <c r="I31" s="76">
        <f t="shared" ref="I31:I50" ca="1" si="8">_xlfn.IFNA(VLOOKUP(G31, $B$2:$D$200, 3, FALSE), "")</f>
        <v>1.55860349E-2</v>
      </c>
      <c r="J31" s="85">
        <f ca="1">_xlfn.IFNA(VLOOKUP(G31, $B$2:$E$200, 4, FALSE), "")</f>
        <v>29108075.250099149</v>
      </c>
      <c r="K31" s="55" t="str">
        <f ca="1">IFERROR(OFFSET(INDIRECT($H$3 &amp; "!A44"), 0, 0), "")</f>
        <v>스톰엑스</v>
      </c>
      <c r="L31" s="38">
        <f t="shared" ref="L31:L50" ca="1" si="9">_xlfn.IFNA(VLOOKUP(K31, $B$2:$D$200, 2, FALSE), "")</f>
        <v>38</v>
      </c>
      <c r="M31" s="76">
        <f t="shared" ref="M31:M50" ca="1" si="10">_xlfn.IFNA(VLOOKUP(K31, $B$2:$D$200, 3, FALSE), "")</f>
        <v>4.68319559E-2</v>
      </c>
      <c r="N31" s="85">
        <f ca="1">_xlfn.IFNA(VLOOKUP(K31, $B$2:$E$200, 4, FALSE), "")</f>
        <v>398918105.0253678</v>
      </c>
      <c r="O31" s="55" t="str">
        <f ca="1">IFERROR(OFFSET(INDIRECT($H$3 &amp; "!A71"), 0, 0), "")</f>
        <v>쎄타퓨엘</v>
      </c>
      <c r="P31" s="38">
        <f t="shared" ref="P31:P50" ca="1" si="11">_xlfn.IFNA(VLOOKUP(O31, $B$2:$D$200, 2, FALSE), "")</f>
        <v>416</v>
      </c>
      <c r="Q31" s="76">
        <f t="shared" ref="Q31:Q50" ca="1" si="12">_xlfn.IFNA(VLOOKUP(O31, $B$2:$D$200, 3, FALSE), "")</f>
        <v>-9.5238094999999991E-3</v>
      </c>
      <c r="R31" s="85">
        <f ca="1">_xlfn.IFNA(VLOOKUP(O31, $B$2:$E$200, 4, FALSE), "")</f>
        <v>131990321.52644677</v>
      </c>
    </row>
    <row r="32" spans="1:18">
      <c r="A32" s="40" t="s">
        <v>50</v>
      </c>
      <c r="B32" s="11" t="s">
        <v>51</v>
      </c>
      <c r="C32" s="205">
        <v>441</v>
      </c>
      <c r="D32" s="34">
        <v>1.14678899E-2</v>
      </c>
      <c r="E32" s="93">
        <v>95996112.483269498</v>
      </c>
      <c r="F32" s="35"/>
      <c r="G32" s="56" t="str">
        <f ca="1">IFERROR(OFFSET(INDIRECT($H$3 &amp; "!A98"), 1, 0), "")</f>
        <v>스택스</v>
      </c>
      <c r="H32" s="39">
        <f t="shared" ca="1" si="7"/>
        <v>1755</v>
      </c>
      <c r="I32" s="77">
        <f t="shared" ca="1" si="8"/>
        <v>-5.6657223999999999E-3</v>
      </c>
      <c r="J32" s="86">
        <f t="shared" ref="J32:J50" ca="1" si="13">_xlfn.IFNA(VLOOKUP(G32, $B$2:$E$200, 4, FALSE), "")</f>
        <v>13384924.40965814</v>
      </c>
      <c r="K32" s="56" t="str">
        <f ca="1">IFERROR(OFFSET(INDIRECT($H$3 &amp; "!A44"), 1, 0), "")</f>
        <v>저스트</v>
      </c>
      <c r="L32" s="39">
        <f t="shared" ca="1" si="9"/>
        <v>84.5</v>
      </c>
      <c r="M32" s="77">
        <f t="shared" ca="1" si="10"/>
        <v>2.3724791999999999E-3</v>
      </c>
      <c r="N32" s="86">
        <f t="shared" ref="N32:N50" ca="1" si="14">_xlfn.IFNA(VLOOKUP(K32, $B$2:$E$200, 4, FALSE), "")</f>
        <v>126385910.64919059</v>
      </c>
      <c r="O32" s="56" t="str">
        <f ca="1">IFERROR(OFFSET(INDIRECT($H$3 &amp; "!A71"), 1, 0), "")</f>
        <v>엘프</v>
      </c>
      <c r="P32" s="39">
        <f t="shared" ca="1" si="11"/>
        <v>355</v>
      </c>
      <c r="Q32" s="77">
        <f t="shared" ca="1" si="12"/>
        <v>2.8248587999999998E-3</v>
      </c>
      <c r="R32" s="86">
        <f t="shared" ref="R32:R50" ca="1" si="15">_xlfn.IFNA(VLOOKUP(O32, $B$2:$E$200, 4, FALSE), "")</f>
        <v>141655288.78666303</v>
      </c>
    </row>
    <row r="33" spans="1:18">
      <c r="A33" s="40" t="s">
        <v>79</v>
      </c>
      <c r="B33" s="11" t="s">
        <v>80</v>
      </c>
      <c r="C33" s="205">
        <v>931</v>
      </c>
      <c r="D33" s="34">
        <v>1.08577633E-2</v>
      </c>
      <c r="E33" s="93">
        <v>5823448.1812787196</v>
      </c>
      <c r="F33" s="35"/>
      <c r="G33" s="56" t="str">
        <f ca="1">IFERROR(OFFSET(INDIRECT($H$3 &amp; "!A98"), 2, 0), "")</f>
        <v>아이콘</v>
      </c>
      <c r="H33" s="39">
        <f t="shared" ca="1" si="7"/>
        <v>1510</v>
      </c>
      <c r="I33" s="77">
        <f t="shared" ca="1" si="8"/>
        <v>1.0033444799999999E-2</v>
      </c>
      <c r="J33" s="86">
        <f t="shared" ca="1" si="13"/>
        <v>7849878.4849293698</v>
      </c>
      <c r="K33" s="56" t="str">
        <f ca="1">IFERROR(OFFSET(INDIRECT($H$3 &amp; "!A44"), 2, 0), "")</f>
        <v>리퍼리움</v>
      </c>
      <c r="L33" s="39">
        <f t="shared" ca="1" si="9"/>
        <v>16.100000000000001</v>
      </c>
      <c r="M33" s="77">
        <f t="shared" ca="1" si="10"/>
        <v>-3.0120481899999999E-2</v>
      </c>
      <c r="N33" s="86">
        <f t="shared" ca="1" si="14"/>
        <v>638680967.04828489</v>
      </c>
      <c r="O33" s="56" t="str">
        <f ca="1">IFERROR(OFFSET(INDIRECT($H$3 &amp; "!A71"), 2, 0), "")</f>
        <v>룸네트워크</v>
      </c>
      <c r="P33" s="39">
        <f t="shared" ca="1" si="11"/>
        <v>117</v>
      </c>
      <c r="Q33" s="77">
        <f t="shared" ca="1" si="12"/>
        <v>-8.4745762999999998E-3</v>
      </c>
      <c r="R33" s="86">
        <f t="shared" ca="1" si="15"/>
        <v>195847194.37556615</v>
      </c>
    </row>
    <row r="34" spans="1:18">
      <c r="A34" s="40" t="s">
        <v>48</v>
      </c>
      <c r="B34" s="11" t="s">
        <v>49</v>
      </c>
      <c r="C34" s="205">
        <v>54440000</v>
      </c>
      <c r="D34" s="34">
        <v>1.07123628E-2</v>
      </c>
      <c r="E34" s="93">
        <v>5186.9944760400003</v>
      </c>
      <c r="F34" s="35"/>
      <c r="G34" s="56" t="str">
        <f ca="1">IFERROR(OFFSET(INDIRECT($H$3 &amp; "!A98"), 3, 0), "")</f>
        <v>쎄타토큰</v>
      </c>
      <c r="H34" s="39">
        <f t="shared" ca="1" si="7"/>
        <v>9170</v>
      </c>
      <c r="I34" s="77">
        <f t="shared" ca="1" si="8"/>
        <v>2.5153717200000002E-2</v>
      </c>
      <c r="J34" s="86">
        <f t="shared" ca="1" si="13"/>
        <v>1803704.36904777</v>
      </c>
      <c r="K34" s="56" t="str">
        <f ca="1">IFERROR(OFFSET(INDIRECT($H$3 &amp; "!A44"), 3, 0), "")</f>
        <v>시아코인</v>
      </c>
      <c r="L34" s="39">
        <f t="shared" ca="1" si="9"/>
        <v>22.9</v>
      </c>
      <c r="M34" s="77">
        <f t="shared" ca="1" si="10"/>
        <v>0</v>
      </c>
      <c r="N34" s="86">
        <f t="shared" ca="1" si="14"/>
        <v>552886581.18044651</v>
      </c>
      <c r="O34" s="56" t="str">
        <f ca="1">IFERROR(OFFSET(INDIRECT($H$3 &amp; "!A71"), 3, 0), "")</f>
        <v>샌드박스</v>
      </c>
      <c r="P34" s="39">
        <f t="shared" ca="1" si="11"/>
        <v>781</v>
      </c>
      <c r="Q34" s="77">
        <f t="shared" ca="1" si="12"/>
        <v>4.8322147699999998E-2</v>
      </c>
      <c r="R34" s="86">
        <f t="shared" ca="1" si="15"/>
        <v>97203063.595957831</v>
      </c>
    </row>
    <row r="35" spans="1:18">
      <c r="A35" s="40" t="s">
        <v>77</v>
      </c>
      <c r="B35" s="11" t="s">
        <v>78</v>
      </c>
      <c r="C35" s="205">
        <v>798200</v>
      </c>
      <c r="D35" s="34">
        <v>1.05076592E-2</v>
      </c>
      <c r="E35" s="93">
        <v>44761.298988360002</v>
      </c>
      <c r="F35" s="35"/>
      <c r="G35" s="58" t="str">
        <f ca="1">IFERROR(OFFSET(INDIRECT($H$3 &amp; "!A98"), 4, 0), "")</f>
        <v>체인링크</v>
      </c>
      <c r="H35" s="44">
        <f t="shared" ca="1" si="7"/>
        <v>34840</v>
      </c>
      <c r="I35" s="78">
        <f t="shared" ca="1" si="8"/>
        <v>6.1547836699999997E-2</v>
      </c>
      <c r="J35" s="90">
        <f t="shared" ca="1" si="13"/>
        <v>1394767.55923611</v>
      </c>
      <c r="K35" s="58" t="str">
        <f ca="1">IFERROR(OFFSET(INDIRECT($H$3 &amp; "!A44"), 4, 0), "")</f>
        <v>아이오에스티</v>
      </c>
      <c r="L35" s="44">
        <f t="shared" ca="1" si="9"/>
        <v>38.299999999999997</v>
      </c>
      <c r="M35" s="78">
        <f t="shared" ca="1" si="10"/>
        <v>7.8947367999999997E-3</v>
      </c>
      <c r="N35" s="90">
        <f t="shared" ca="1" si="14"/>
        <v>88737895.314869255</v>
      </c>
      <c r="O35" s="58" t="str">
        <f ca="1">IFERROR(OFFSET(INDIRECT($H$3 &amp; "!A71"), 4, 0), "")</f>
        <v>질리카</v>
      </c>
      <c r="P35" s="44">
        <f t="shared" ca="1" si="11"/>
        <v>127</v>
      </c>
      <c r="Q35" s="78">
        <f t="shared" ca="1" si="12"/>
        <v>7.9365079000000005E-3</v>
      </c>
      <c r="R35" s="90">
        <f t="shared" ca="1" si="15"/>
        <v>77275210.053176835</v>
      </c>
    </row>
    <row r="36" spans="1:18">
      <c r="A36" s="40" t="s">
        <v>60</v>
      </c>
      <c r="B36" s="11" t="s">
        <v>61</v>
      </c>
      <c r="C36" s="205">
        <v>1005</v>
      </c>
      <c r="D36" s="34">
        <v>1.00502513E-2</v>
      </c>
      <c r="E36" s="93">
        <v>28930661.49702955</v>
      </c>
      <c r="F36" s="35"/>
      <c r="G36" s="56" t="str">
        <f ca="1">IFERROR(OFFSET(INDIRECT($H$3 &amp; "!A98"), 5, 0), "")</f>
        <v>폴카닷</v>
      </c>
      <c r="H36" s="39">
        <f t="shared" ca="1" si="7"/>
        <v>30570</v>
      </c>
      <c r="I36" s="77">
        <f t="shared" ca="1" si="8"/>
        <v>6.7388268200000004E-2</v>
      </c>
      <c r="J36" s="99">
        <f t="shared" ca="1" si="13"/>
        <v>6167422.5797209898</v>
      </c>
      <c r="K36" s="56" t="str">
        <f ca="1">IFERROR(OFFSET(INDIRECT($H$3 &amp; "!A44"), 5, 0), "")</f>
        <v>비트토렌트</v>
      </c>
      <c r="L36" s="39">
        <f t="shared" ca="1" si="9"/>
        <v>5.37</v>
      </c>
      <c r="M36" s="77">
        <f t="shared" ca="1" si="10"/>
        <v>-3.7105750999999998E-3</v>
      </c>
      <c r="N36" s="99">
        <f t="shared" ca="1" si="14"/>
        <v>20624984185.88496</v>
      </c>
      <c r="O36" s="56" t="str">
        <f ca="1">IFERROR(OFFSET(INDIRECT($H$3 &amp; "!A71"), 5, 0), "")</f>
        <v>하이브</v>
      </c>
      <c r="P36" s="39">
        <f t="shared" ca="1" si="11"/>
        <v>566</v>
      </c>
      <c r="Q36" s="77">
        <f t="shared" ca="1" si="12"/>
        <v>-2.2452504299999999E-2</v>
      </c>
      <c r="R36" s="99">
        <f t="shared" ca="1" si="15"/>
        <v>18495870.748648919</v>
      </c>
    </row>
    <row r="37" spans="1:18">
      <c r="A37" s="40" t="s">
        <v>107</v>
      </c>
      <c r="B37" s="11" t="s">
        <v>108</v>
      </c>
      <c r="C37" s="205">
        <v>1510</v>
      </c>
      <c r="D37" s="34">
        <v>1.0033444799999999E-2</v>
      </c>
      <c r="E37" s="93">
        <v>7849878.4849293698</v>
      </c>
      <c r="F37" s="35"/>
      <c r="G37" s="56" t="str">
        <f ca="1">IFERROR(OFFSET(INDIRECT($H$3 &amp; "!A98"), 6, 0), "")</f>
        <v>스톰엑스</v>
      </c>
      <c r="H37" s="39">
        <f t="shared" ca="1" si="7"/>
        <v>38</v>
      </c>
      <c r="I37" s="77">
        <f t="shared" ca="1" si="8"/>
        <v>4.68319559E-2</v>
      </c>
      <c r="J37" s="86">
        <f t="shared" ca="1" si="13"/>
        <v>398918105.0253678</v>
      </c>
      <c r="K37" s="56" t="str">
        <f ca="1">IFERROR(OFFSET(INDIRECT($H$3 &amp; "!A44"), 6, 0), "")</f>
        <v>메인프레임</v>
      </c>
      <c r="L37" s="39">
        <f t="shared" ca="1" si="9"/>
        <v>14.7</v>
      </c>
      <c r="M37" s="77">
        <f t="shared" ca="1" si="10"/>
        <v>2.7972027999999999E-2</v>
      </c>
      <c r="N37" s="86">
        <f t="shared" ca="1" si="14"/>
        <v>695827726.570665</v>
      </c>
      <c r="O37" s="56" t="str">
        <f ca="1">IFERROR(OFFSET(INDIRECT($H$3 &amp; "!A71"), 6, 0), "")</f>
        <v>골렘</v>
      </c>
      <c r="P37" s="39">
        <f t="shared" ca="1" si="11"/>
        <v>514</v>
      </c>
      <c r="Q37" s="77">
        <f t="shared" ca="1" si="12"/>
        <v>-2.8355387499999999E-2</v>
      </c>
      <c r="R37" s="86">
        <f t="shared" ca="1" si="15"/>
        <v>20953569.203128651</v>
      </c>
    </row>
    <row r="38" spans="1:18">
      <c r="A38" s="40" t="s">
        <v>159</v>
      </c>
      <c r="B38" s="11" t="s">
        <v>160</v>
      </c>
      <c r="C38" s="205">
        <v>1565</v>
      </c>
      <c r="D38" s="34">
        <v>9.6774193999999997E-3</v>
      </c>
      <c r="E38" s="93">
        <v>2859962.6822275701</v>
      </c>
      <c r="F38" s="35"/>
      <c r="G38" s="56" t="str">
        <f ca="1">IFERROR(OFFSET(INDIRECT($H$3 &amp; "!A98"), 7, 0), "")</f>
        <v>쎄타퓨엘</v>
      </c>
      <c r="H38" s="39">
        <f t="shared" ca="1" si="7"/>
        <v>416</v>
      </c>
      <c r="I38" s="77">
        <f t="shared" ca="1" si="8"/>
        <v>-9.5238094999999991E-3</v>
      </c>
      <c r="J38" s="86">
        <f t="shared" ca="1" si="13"/>
        <v>131990321.52644677</v>
      </c>
      <c r="K38" s="56" t="str">
        <f ca="1">IFERROR(OFFSET(INDIRECT($H$3 &amp; "!A44"), 7, 0), "")</f>
        <v>메디블록</v>
      </c>
      <c r="L38" s="39">
        <f t="shared" ca="1" si="9"/>
        <v>94</v>
      </c>
      <c r="M38" s="77">
        <f t="shared" ca="1" si="10"/>
        <v>-7.3917634999999997E-3</v>
      </c>
      <c r="N38" s="86">
        <f t="shared" ca="1" si="14"/>
        <v>375533090.30857718</v>
      </c>
      <c r="O38" s="56" t="str">
        <f ca="1">IFERROR(OFFSET(INDIRECT($H$3 &amp; "!A71"), 7, 0), "")</f>
        <v>스테이터스네트워크토큰</v>
      </c>
      <c r="P38" s="39">
        <f t="shared" ca="1" si="11"/>
        <v>116</v>
      </c>
      <c r="Q38" s="77">
        <f t="shared" ca="1" si="12"/>
        <v>-1.6949152499999998E-2</v>
      </c>
      <c r="R38" s="86">
        <f t="shared" ca="1" si="15"/>
        <v>137357541.59985518</v>
      </c>
    </row>
    <row r="39" spans="1:18">
      <c r="A39" s="40" t="s">
        <v>151</v>
      </c>
      <c r="B39" s="11" t="s">
        <v>152</v>
      </c>
      <c r="C39" s="205">
        <v>106</v>
      </c>
      <c r="D39" s="34">
        <v>9.5238094999999991E-3</v>
      </c>
      <c r="E39" s="93">
        <v>327663162.97299767</v>
      </c>
      <c r="F39" s="35"/>
      <c r="G39" s="56" t="str">
        <f ca="1">IFERROR(OFFSET(INDIRECT($H$3 &amp; "!A98"), 8, 0), "")</f>
        <v>펀디엑스</v>
      </c>
      <c r="H39" s="39">
        <f t="shared" ca="1" si="7"/>
        <v>2135</v>
      </c>
      <c r="I39" s="77">
        <f t="shared" ca="1" si="8"/>
        <v>-2.7334851899999998E-2</v>
      </c>
      <c r="J39" s="86">
        <f t="shared" ca="1" si="13"/>
        <v>8616182.0837109908</v>
      </c>
      <c r="K39" s="56" t="str">
        <f ca="1">IFERROR(OFFSET(INDIRECT($H$3 &amp; "!A44"), 8, 0), "")</f>
        <v>썬더토큰</v>
      </c>
      <c r="L39" s="39">
        <f t="shared" ca="1" si="9"/>
        <v>13</v>
      </c>
      <c r="M39" s="77">
        <f t="shared" ca="1" si="10"/>
        <v>-1.51515152E-2</v>
      </c>
      <c r="N39" s="86">
        <f t="shared" ca="1" si="14"/>
        <v>370083912.70668685</v>
      </c>
      <c r="O39" s="56" t="str">
        <f ca="1">IFERROR(OFFSET(INDIRECT($H$3 &amp; "!A71"), 8, 0), "")</f>
        <v>트론</v>
      </c>
      <c r="P39" s="39">
        <f t="shared" ca="1" si="11"/>
        <v>106</v>
      </c>
      <c r="Q39" s="77">
        <f t="shared" ca="1" si="12"/>
        <v>9.5238094999999991E-3</v>
      </c>
      <c r="R39" s="86">
        <f t="shared" ca="1" si="15"/>
        <v>327663162.97299767</v>
      </c>
    </row>
    <row r="40" spans="1:18" ht="17.25" thickBot="1">
      <c r="A40" s="40" t="s">
        <v>131</v>
      </c>
      <c r="B40" s="11" t="s">
        <v>132</v>
      </c>
      <c r="C40" s="205">
        <v>127</v>
      </c>
      <c r="D40" s="34">
        <v>7.9365079000000005E-3</v>
      </c>
      <c r="E40" s="93">
        <v>77275210.053176835</v>
      </c>
      <c r="F40" s="35"/>
      <c r="G40" s="57" t="str">
        <f ca="1">IFERROR(OFFSET(INDIRECT($H$3 &amp; "!A98"), 9, 0), "")</f>
        <v>리스크</v>
      </c>
      <c r="H40" s="37">
        <f t="shared" ca="1" si="7"/>
        <v>5465</v>
      </c>
      <c r="I40" s="79">
        <f t="shared" ca="1" si="8"/>
        <v>5.4001928599999999E-2</v>
      </c>
      <c r="J40" s="87">
        <f t="shared" ca="1" si="13"/>
        <v>19210382.769587561</v>
      </c>
      <c r="K40" s="57" t="str">
        <f ca="1">IFERROR(OFFSET(INDIRECT($H$3 &amp; "!A44"), 9, 0), "")</f>
        <v>썸씽</v>
      </c>
      <c r="L40" s="37">
        <f t="shared" ca="1" si="9"/>
        <v>75.8</v>
      </c>
      <c r="M40" s="79">
        <f t="shared" ca="1" si="10"/>
        <v>-1.55844156E-2</v>
      </c>
      <c r="N40" s="87">
        <f t="shared" ca="1" si="14"/>
        <v>128990701.97258215</v>
      </c>
      <c r="O40" s="57" t="str">
        <f ca="1">IFERROR(OFFSET(INDIRECT($H$3 &amp; "!A71"), 9, 0), "")</f>
        <v>헤데라해시그래프</v>
      </c>
      <c r="P40" s="37">
        <f t="shared" ca="1" si="11"/>
        <v>291</v>
      </c>
      <c r="Q40" s="79">
        <f t="shared" ca="1" si="12"/>
        <v>2.10526316E-2</v>
      </c>
      <c r="R40" s="87">
        <f t="shared" ca="1" si="15"/>
        <v>21384928.67250707</v>
      </c>
    </row>
    <row r="41" spans="1:18">
      <c r="A41" s="40" t="s">
        <v>64</v>
      </c>
      <c r="B41" s="11" t="s">
        <v>65</v>
      </c>
      <c r="C41" s="205">
        <v>38.299999999999997</v>
      </c>
      <c r="D41" s="34">
        <v>7.8947367999999997E-3</v>
      </c>
      <c r="E41" s="93">
        <v>88737895.314869255</v>
      </c>
      <c r="F41" s="35"/>
      <c r="G41" s="59" t="str">
        <f ca="1">IFERROR(OFFSET(INDIRECT($H$3 &amp; "!A98"), 10, 0), "")</f>
        <v>던프로토콜</v>
      </c>
      <c r="H41" s="38">
        <f t="shared" ca="1" si="7"/>
        <v>4810</v>
      </c>
      <c r="I41" s="76">
        <f t="shared" ca="1" si="8"/>
        <v>-6.1983471000000004E-3</v>
      </c>
      <c r="J41" s="85">
        <f t="shared" ca="1" si="13"/>
        <v>14471273.61360893</v>
      </c>
      <c r="K41" s="55" t="str">
        <f ca="1">IFERROR(OFFSET(INDIRECT($H$3 &amp; "!A44"), 10, 0), "")</f>
        <v>에브리피디아</v>
      </c>
      <c r="L41" s="38">
        <f t="shared" ca="1" si="9"/>
        <v>17.5</v>
      </c>
      <c r="M41" s="76">
        <f t="shared" ca="1" si="10"/>
        <v>-1.68539326E-2</v>
      </c>
      <c r="N41" s="85">
        <f t="shared" ca="1" si="14"/>
        <v>309373834.6824562</v>
      </c>
      <c r="O41" s="55" t="str">
        <f ca="1">IFERROR(OFFSET(INDIRECT($H$3 &amp; "!A71"), 10, 0), "")</f>
        <v>폴리매쓰</v>
      </c>
      <c r="P41" s="38">
        <f t="shared" ca="1" si="11"/>
        <v>359</v>
      </c>
      <c r="Q41" s="76">
        <f t="shared" ca="1" si="12"/>
        <v>-1.64383562E-2</v>
      </c>
      <c r="R41" s="85">
        <f t="shared" ca="1" si="15"/>
        <v>8736992.6889521405</v>
      </c>
    </row>
    <row r="42" spans="1:18">
      <c r="A42" s="40" t="s">
        <v>89</v>
      </c>
      <c r="B42" s="11" t="s">
        <v>90</v>
      </c>
      <c r="C42" s="205">
        <v>1405</v>
      </c>
      <c r="D42" s="34">
        <v>7.1684588000000002E-3</v>
      </c>
      <c r="E42" s="93">
        <v>433805355.45578516</v>
      </c>
      <c r="F42" s="35"/>
      <c r="G42" s="56" t="str">
        <f ca="1">IFERROR(OFFSET(INDIRECT($H$3 &amp; "!A98"), 11, 0), "")</f>
        <v>비트코인캐시에이비씨</v>
      </c>
      <c r="H42" s="39">
        <f t="shared" ca="1" si="7"/>
        <v>66080</v>
      </c>
      <c r="I42" s="77">
        <f t="shared" ca="1" si="8"/>
        <v>1.5156108E-3</v>
      </c>
      <c r="J42" s="86">
        <f t="shared" ca="1" si="13"/>
        <v>598657.96540704998</v>
      </c>
      <c r="K42" s="56" t="str">
        <f ca="1">IFERROR(OFFSET(INDIRECT($H$3 &amp; "!A44"), 11, 0), "")</f>
        <v>에스티피</v>
      </c>
      <c r="L42" s="39">
        <f t="shared" ca="1" si="9"/>
        <v>75</v>
      </c>
      <c r="M42" s="77">
        <f t="shared" ca="1" si="10"/>
        <v>-1.9607843100000001E-2</v>
      </c>
      <c r="N42" s="86">
        <f t="shared" ca="1" si="14"/>
        <v>107388847.14890809</v>
      </c>
      <c r="O42" s="56" t="str">
        <f ca="1">IFERROR(OFFSET(INDIRECT($H$3 &amp; "!A71"), 11, 0), "")</f>
        <v>크립토닷컴체인</v>
      </c>
      <c r="P42" s="39">
        <f t="shared" ca="1" si="11"/>
        <v>176</v>
      </c>
      <c r="Q42" s="77">
        <f t="shared" ca="1" si="12"/>
        <v>1.14942529E-2</v>
      </c>
      <c r="R42" s="86">
        <f t="shared" ca="1" si="15"/>
        <v>23192463.031254869</v>
      </c>
    </row>
    <row r="43" spans="1:18">
      <c r="A43" s="40" t="s">
        <v>99</v>
      </c>
      <c r="B43" s="11" t="s">
        <v>100</v>
      </c>
      <c r="C43" s="205">
        <v>82070</v>
      </c>
      <c r="D43" s="34">
        <v>6.8703226999999997E-3</v>
      </c>
      <c r="E43" s="93">
        <v>4619671.0604240699</v>
      </c>
      <c r="F43" s="35"/>
      <c r="G43" s="56" t="str">
        <f ca="1">IFERROR(OFFSET(INDIRECT($H$3 &amp; "!A98"), 12, 0), "")</f>
        <v>엘프</v>
      </c>
      <c r="H43" s="39">
        <f t="shared" ca="1" si="7"/>
        <v>355</v>
      </c>
      <c r="I43" s="77">
        <f t="shared" ca="1" si="8"/>
        <v>2.8248587999999998E-3</v>
      </c>
      <c r="J43" s="86">
        <f t="shared" ca="1" si="13"/>
        <v>141655288.78666303</v>
      </c>
      <c r="K43" s="56" t="str">
        <f ca="1">IFERROR(OFFSET(INDIRECT($H$3 &amp; "!A44"), 12, 0), "")</f>
        <v>쿼크체인</v>
      </c>
      <c r="L43" s="39">
        <f t="shared" ca="1" si="9"/>
        <v>24.7</v>
      </c>
      <c r="M43" s="77">
        <f t="shared" ca="1" si="10"/>
        <v>0</v>
      </c>
      <c r="N43" s="86">
        <f t="shared" ca="1" si="14"/>
        <v>419241826.15921867</v>
      </c>
      <c r="O43" s="56" t="str">
        <f ca="1">IFERROR(OFFSET(INDIRECT($H$3 &amp; "!A71"), 12, 0), "")</f>
        <v>넴</v>
      </c>
      <c r="P43" s="39">
        <f t="shared" ca="1" si="11"/>
        <v>250</v>
      </c>
      <c r="Q43" s="77">
        <f t="shared" ca="1" si="12"/>
        <v>-7.9365079000000005E-3</v>
      </c>
      <c r="R43" s="86">
        <f t="shared" ca="1" si="15"/>
        <v>117011477.66642934</v>
      </c>
    </row>
    <row r="44" spans="1:18">
      <c r="A44" s="40" t="s">
        <v>91</v>
      </c>
      <c r="B44" s="11" t="s">
        <v>92</v>
      </c>
      <c r="C44" s="205">
        <v>78800</v>
      </c>
      <c r="D44" s="34">
        <v>6.6428206E-3</v>
      </c>
      <c r="E44" s="93">
        <v>607817.72416622995</v>
      </c>
      <c r="F44" s="35"/>
      <c r="G44" s="56" t="str">
        <f ca="1">IFERROR(OFFSET(INDIRECT($H$3 &amp; "!A98"), 13, 0), "")</f>
        <v>스토리지</v>
      </c>
      <c r="H44" s="39">
        <f t="shared" ca="1" si="7"/>
        <v>1565</v>
      </c>
      <c r="I44" s="77">
        <f t="shared" ca="1" si="8"/>
        <v>9.6774193999999997E-3</v>
      </c>
      <c r="J44" s="86">
        <f t="shared" ca="1" si="13"/>
        <v>2859962.6822275701</v>
      </c>
      <c r="K44" s="56" t="str">
        <f ca="1">IFERROR(OFFSET(INDIRECT($H$3 &amp; "!A44"), 13, 0), "")</f>
        <v>무비블록</v>
      </c>
      <c r="L44" s="39">
        <f t="shared" ca="1" si="9"/>
        <v>11.5</v>
      </c>
      <c r="M44" s="77">
        <f t="shared" ca="1" si="10"/>
        <v>-2.54237288E-2</v>
      </c>
      <c r="N44" s="86">
        <f t="shared" ca="1" si="14"/>
        <v>803761591.83898485</v>
      </c>
      <c r="O44" s="56" t="str">
        <f ca="1">IFERROR(OFFSET(INDIRECT($H$3 &amp; "!A71"), 13, 0), "")</f>
        <v>시빅</v>
      </c>
      <c r="P44" s="39">
        <f t="shared" ca="1" si="11"/>
        <v>397</v>
      </c>
      <c r="Q44" s="77">
        <f t="shared" ca="1" si="12"/>
        <v>0</v>
      </c>
      <c r="R44" s="86">
        <f t="shared" ca="1" si="15"/>
        <v>32469453.349211462</v>
      </c>
    </row>
    <row r="45" spans="1:18">
      <c r="A45" s="40" t="s">
        <v>87</v>
      </c>
      <c r="B45" s="11" t="s">
        <v>88</v>
      </c>
      <c r="C45" s="205">
        <v>205950</v>
      </c>
      <c r="D45" s="34">
        <v>3.4104750000000001E-3</v>
      </c>
      <c r="E45" s="93">
        <v>45553.903683529999</v>
      </c>
      <c r="F45" s="35"/>
      <c r="G45" s="58" t="str">
        <f ca="1">IFERROR(OFFSET(INDIRECT($H$3 &amp; "!A98"), 14, 0), "")</f>
        <v>그로스톨코인</v>
      </c>
      <c r="H45" s="44">
        <f t="shared" ca="1" si="7"/>
        <v>1050</v>
      </c>
      <c r="I45" s="78">
        <f t="shared" ca="1" si="8"/>
        <v>-9.4339622999999994E-3</v>
      </c>
      <c r="J45" s="90">
        <f t="shared" ca="1" si="13"/>
        <v>6985439.6447159098</v>
      </c>
      <c r="K45" s="58" t="str">
        <f ca="1">IFERROR(OFFSET(INDIRECT($H$3 &amp; "!A44"), 14, 0), "")</f>
        <v>엠블</v>
      </c>
      <c r="L45" s="44">
        <f t="shared" ca="1" si="9"/>
        <v>19.600000000000001</v>
      </c>
      <c r="M45" s="78">
        <f t="shared" ca="1" si="10"/>
        <v>-5.0761421000000001E-3</v>
      </c>
      <c r="N45" s="90">
        <f t="shared" ca="1" si="14"/>
        <v>514784029.95514017</v>
      </c>
      <c r="O45" s="58" t="str">
        <f ca="1">IFERROR(OFFSET(INDIRECT($H$3 &amp; "!A71"), 14, 0), "")</f>
        <v>아더</v>
      </c>
      <c r="P45" s="44">
        <f t="shared" ca="1" si="11"/>
        <v>325</v>
      </c>
      <c r="Q45" s="78">
        <f t="shared" ca="1" si="12"/>
        <v>-2.4024024000000001E-2</v>
      </c>
      <c r="R45" s="90">
        <f t="shared" ca="1" si="15"/>
        <v>25870055.426407829</v>
      </c>
    </row>
    <row r="46" spans="1:18">
      <c r="A46" s="40" t="s">
        <v>163</v>
      </c>
      <c r="B46" s="11" t="s">
        <v>164</v>
      </c>
      <c r="C46" s="205">
        <v>355</v>
      </c>
      <c r="D46" s="34">
        <v>2.8248587999999998E-3</v>
      </c>
      <c r="E46" s="93">
        <v>141655288.78666303</v>
      </c>
      <c r="F46" s="35"/>
      <c r="G46" s="56" t="str">
        <f ca="1">IFERROR(OFFSET(INDIRECT($H$3 &amp; "!A98"), 15, 0), "")</f>
        <v>룸네트워크</v>
      </c>
      <c r="H46" s="39">
        <f t="shared" ca="1" si="7"/>
        <v>117</v>
      </c>
      <c r="I46" s="77">
        <f t="shared" ca="1" si="8"/>
        <v>-8.4745762999999998E-3</v>
      </c>
      <c r="J46" s="99">
        <f t="shared" ca="1" si="13"/>
        <v>195847194.37556615</v>
      </c>
      <c r="K46" s="56" t="str">
        <f ca="1">IFERROR(OFFSET(INDIRECT($H$3 &amp; "!A44"), 15, 0), "")</f>
        <v>캐리프로토콜</v>
      </c>
      <c r="L46" s="39">
        <f t="shared" ca="1" si="9"/>
        <v>13.2</v>
      </c>
      <c r="M46" s="77">
        <f t="shared" ca="1" si="10"/>
        <v>-3.6496350400000002E-2</v>
      </c>
      <c r="N46" s="99">
        <f t="shared" ca="1" si="14"/>
        <v>936889626.36343789</v>
      </c>
      <c r="O46" s="56" t="str">
        <f ca="1">IFERROR(OFFSET(INDIRECT($H$3 &amp; "!A71"), 15, 0), "")</f>
        <v>칠리즈</v>
      </c>
      <c r="P46" s="39">
        <f t="shared" ca="1" si="11"/>
        <v>420</v>
      </c>
      <c r="Q46" s="77">
        <f t="shared" ca="1" si="12"/>
        <v>2.3866348000000002E-3</v>
      </c>
      <c r="R46" s="99">
        <f t="shared" ca="1" si="15"/>
        <v>47060772.21958711</v>
      </c>
    </row>
    <row r="47" spans="1:18">
      <c r="A47" s="40" t="s">
        <v>85</v>
      </c>
      <c r="B47" s="11" t="s">
        <v>86</v>
      </c>
      <c r="C47" s="205">
        <v>420</v>
      </c>
      <c r="D47" s="34">
        <v>2.3866348000000002E-3</v>
      </c>
      <c r="E47" s="93">
        <v>47060772.21958711</v>
      </c>
      <c r="F47" s="35"/>
      <c r="G47" s="56" t="str">
        <f ca="1">IFERROR(OFFSET(INDIRECT($H$3 &amp; "!A98"), 16, 0), "")</f>
        <v>저스트</v>
      </c>
      <c r="H47" s="39">
        <f t="shared" ca="1" si="7"/>
        <v>84.5</v>
      </c>
      <c r="I47" s="77">
        <f t="shared" ca="1" si="8"/>
        <v>2.3724791999999999E-3</v>
      </c>
      <c r="J47" s="86">
        <f t="shared" ca="1" si="13"/>
        <v>126385910.64919059</v>
      </c>
      <c r="K47" s="56" t="str">
        <f ca="1">IFERROR(OFFSET(INDIRECT($H$3 &amp; "!A44"), 16, 0), "")</f>
        <v>아하토큰</v>
      </c>
      <c r="L47" s="39">
        <f t="shared" ca="1" si="9"/>
        <v>12.7</v>
      </c>
      <c r="M47" s="77">
        <f t="shared" ca="1" si="10"/>
        <v>-1.5503876E-2</v>
      </c>
      <c r="N47" s="86">
        <f t="shared" ca="1" si="14"/>
        <v>310133541.0642851</v>
      </c>
      <c r="O47" s="56" t="str">
        <f ca="1">IFERROR(OFFSET(INDIRECT($H$3 &amp; "!A71"), 16, 0), "")</f>
        <v>스팀</v>
      </c>
      <c r="P47" s="39">
        <f t="shared" ca="1" si="11"/>
        <v>674</v>
      </c>
      <c r="Q47" s="77">
        <f t="shared" ca="1" si="12"/>
        <v>-1.8922853E-2</v>
      </c>
      <c r="R47" s="86">
        <f t="shared" ca="1" si="15"/>
        <v>8882365.4194218591</v>
      </c>
    </row>
    <row r="48" spans="1:18">
      <c r="A48" s="40" t="s">
        <v>249</v>
      </c>
      <c r="B48" s="11" t="s">
        <v>250</v>
      </c>
      <c r="C48" s="205">
        <v>84.5</v>
      </c>
      <c r="D48" s="34">
        <v>2.3724791999999999E-3</v>
      </c>
      <c r="E48" s="93">
        <v>126385910.64919059</v>
      </c>
      <c r="F48" s="35"/>
      <c r="G48" s="56" t="str">
        <f ca="1">IFERROR(OFFSET(INDIRECT($H$3 &amp; "!A98"), 17, 0), "")</f>
        <v>리퍼리움</v>
      </c>
      <c r="H48" s="39">
        <f t="shared" ca="1" si="7"/>
        <v>16.100000000000001</v>
      </c>
      <c r="I48" s="77">
        <f t="shared" ca="1" si="8"/>
        <v>-3.0120481899999999E-2</v>
      </c>
      <c r="J48" s="86">
        <f t="shared" ca="1" si="13"/>
        <v>638680967.04828489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스텔라루멘</v>
      </c>
      <c r="P48" s="39">
        <f t="shared" ca="1" si="11"/>
        <v>441</v>
      </c>
      <c r="Q48" s="77">
        <f t="shared" ca="1" si="12"/>
        <v>1.14678899E-2</v>
      </c>
      <c r="R48" s="86">
        <f t="shared" ca="1" si="15"/>
        <v>95996112.483269498</v>
      </c>
    </row>
    <row r="49" spans="1:18">
      <c r="A49" s="40" t="s">
        <v>81</v>
      </c>
      <c r="B49" s="11" t="s">
        <v>82</v>
      </c>
      <c r="C49" s="205">
        <v>2435</v>
      </c>
      <c r="D49" s="34">
        <v>2.0576131999999999E-3</v>
      </c>
      <c r="E49" s="93">
        <v>48980896.37508183</v>
      </c>
      <c r="F49" s="35"/>
      <c r="G49" s="56" t="str">
        <f ca="1">IFERROR(OFFSET(INDIRECT($H$3 &amp; "!A98"), 18, 0), "")</f>
        <v>샌드박스</v>
      </c>
      <c r="H49" s="39">
        <f t="shared" ca="1" si="7"/>
        <v>781</v>
      </c>
      <c r="I49" s="77">
        <f t="shared" ca="1" si="8"/>
        <v>4.8322147699999998E-2</v>
      </c>
      <c r="J49" s="86">
        <f t="shared" ca="1" si="13"/>
        <v>97203063.595957831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앵커</v>
      </c>
      <c r="P49" s="39">
        <f t="shared" ca="1" si="11"/>
        <v>121</v>
      </c>
      <c r="Q49" s="77">
        <f t="shared" ca="1" si="12"/>
        <v>1.6806722699999999E-2</v>
      </c>
      <c r="R49" s="86">
        <f t="shared" ca="1" si="15"/>
        <v>92088634.072336927</v>
      </c>
    </row>
    <row r="50" spans="1:18" ht="17.25" thickBot="1">
      <c r="A50" s="40" t="s">
        <v>83</v>
      </c>
      <c r="B50" s="11" t="s">
        <v>84</v>
      </c>
      <c r="C50" s="205">
        <v>6485</v>
      </c>
      <c r="D50" s="34">
        <v>1.5444015000000001E-3</v>
      </c>
      <c r="E50" s="93">
        <v>34759134.45115076</v>
      </c>
      <c r="F50" s="35"/>
      <c r="G50" s="57" t="str">
        <f ca="1">IFERROR(OFFSET(INDIRECT($H$3 &amp; "!A98"), 19, 0), "")</f>
        <v>오미세고</v>
      </c>
      <c r="H50" s="37">
        <f t="shared" ca="1" si="7"/>
        <v>6720</v>
      </c>
      <c r="I50" s="79">
        <f t="shared" ca="1" si="8"/>
        <v>1.35746606E-2</v>
      </c>
      <c r="J50" s="87">
        <f t="shared" ca="1" si="13"/>
        <v>3541915.6772921002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아르고</v>
      </c>
      <c r="P50" s="37">
        <f t="shared" ca="1" si="11"/>
        <v>241</v>
      </c>
      <c r="Q50" s="79">
        <f t="shared" ca="1" si="12"/>
        <v>-1.63265306E-2</v>
      </c>
      <c r="R50" s="87">
        <f t="shared" ca="1" si="15"/>
        <v>28406123.20697185</v>
      </c>
    </row>
    <row r="51" spans="1:18">
      <c r="A51" s="40" t="s">
        <v>105</v>
      </c>
      <c r="B51" s="11" t="s">
        <v>106</v>
      </c>
      <c r="C51" s="205">
        <v>66080</v>
      </c>
      <c r="D51" s="34">
        <v>1.5156108E-3</v>
      </c>
      <c r="E51" s="93">
        <v>598657.96540704998</v>
      </c>
      <c r="F51" s="35"/>
    </row>
    <row r="52" spans="1:18" ht="17.25" thickBot="1">
      <c r="A52" s="40" t="s">
        <v>62</v>
      </c>
      <c r="B52" s="11" t="s">
        <v>63</v>
      </c>
      <c r="C52" s="205">
        <v>66280</v>
      </c>
      <c r="D52" s="34">
        <v>1.5110305E-3</v>
      </c>
      <c r="E52" s="93">
        <v>462193.98177899001</v>
      </c>
      <c r="F52" s="35"/>
    </row>
    <row r="53" spans="1:18" ht="17.25" thickBot="1">
      <c r="A53" s="40" t="s">
        <v>147</v>
      </c>
      <c r="B53" s="11" t="s">
        <v>148</v>
      </c>
      <c r="C53" s="205">
        <v>22.9</v>
      </c>
      <c r="D53" s="34">
        <v>0</v>
      </c>
      <c r="E53" s="93">
        <v>552886581.18044651</v>
      </c>
      <c r="F53" s="35"/>
      <c r="G53" s="249" t="s">
        <v>255</v>
      </c>
      <c r="H53" s="250"/>
      <c r="I53" s="250"/>
      <c r="J53" s="251"/>
      <c r="K53" s="249" t="s">
        <v>258</v>
      </c>
      <c r="L53" s="250"/>
      <c r="M53" s="250"/>
      <c r="N53" s="251"/>
      <c r="O53" s="249" t="s">
        <v>259</v>
      </c>
      <c r="P53" s="250"/>
      <c r="Q53" s="250"/>
      <c r="R53" s="251"/>
    </row>
    <row r="54" spans="1:18" ht="17.25" thickBot="1">
      <c r="A54" s="40" t="s">
        <v>101</v>
      </c>
      <c r="B54" s="11" t="s">
        <v>102</v>
      </c>
      <c r="C54" s="205">
        <v>1270</v>
      </c>
      <c r="D54" s="34">
        <v>0</v>
      </c>
      <c r="E54" s="93">
        <v>8628054.9281132892</v>
      </c>
      <c r="F54" s="35"/>
      <c r="G54" s="286" t="s">
        <v>55</v>
      </c>
      <c r="H54" s="302">
        <f ca="1">NOW()</f>
        <v>44425.876754282406</v>
      </c>
      <c r="I54" s="303"/>
      <c r="J54" s="304"/>
      <c r="K54" s="301" t="s">
        <v>55</v>
      </c>
      <c r="L54" s="302">
        <f ca="1">NOW()</f>
        <v>44425.876754282406</v>
      </c>
      <c r="M54" s="303"/>
      <c r="N54" s="304"/>
      <c r="O54" s="301" t="s">
        <v>55</v>
      </c>
      <c r="P54" s="302">
        <f ca="1">NOW()</f>
        <v>44425.876754282406</v>
      </c>
      <c r="Q54" s="303"/>
      <c r="R54" s="304"/>
    </row>
    <row r="55" spans="1:18" ht="17.25" thickBot="1">
      <c r="A55" s="40" t="s">
        <v>123</v>
      </c>
      <c r="B55" s="11" t="s">
        <v>124</v>
      </c>
      <c r="C55" s="205">
        <v>397</v>
      </c>
      <c r="D55" s="34">
        <v>0</v>
      </c>
      <c r="E55" s="93">
        <v>32469453.349211462</v>
      </c>
      <c r="F55" s="35"/>
      <c r="G55" s="294"/>
      <c r="H55" s="36" t="s">
        <v>58</v>
      </c>
      <c r="I55" s="73" t="s">
        <v>59</v>
      </c>
      <c r="J55" s="69" t="s">
        <v>264</v>
      </c>
      <c r="K55" s="294"/>
      <c r="L55" s="36" t="s">
        <v>58</v>
      </c>
      <c r="M55" s="73" t="s">
        <v>59</v>
      </c>
      <c r="N55" s="69" t="s">
        <v>264</v>
      </c>
      <c r="O55" s="294"/>
      <c r="P55" s="36" t="s">
        <v>58</v>
      </c>
      <c r="Q55" s="73" t="s">
        <v>59</v>
      </c>
      <c r="R55" s="69" t="s">
        <v>264</v>
      </c>
    </row>
    <row r="56" spans="1:18">
      <c r="A56" s="40" t="s">
        <v>71</v>
      </c>
      <c r="B56" s="11" t="s">
        <v>72</v>
      </c>
      <c r="C56" s="205">
        <v>24.7</v>
      </c>
      <c r="D56" s="34">
        <v>0</v>
      </c>
      <c r="E56" s="93">
        <v>419241826.15921867</v>
      </c>
      <c r="F56" s="35"/>
      <c r="G56" s="55" t="str">
        <f ca="1">IFERROR(OFFSET(INDIRECT($H$3 &amp; "!A179"), 0, 0), "")</f>
        <v>쿼크체인</v>
      </c>
      <c r="H56" s="38">
        <f t="shared" ref="H56:H65" ca="1" si="16">_xlfn.IFNA(VLOOKUP(G56, $B$2:$D$200, 2, FALSE), "")</f>
        <v>24.7</v>
      </c>
      <c r="I56" s="76">
        <f t="shared" ref="I56:I65" ca="1" si="17">_xlfn.IFNA(VLOOKUP(G56, $B$2:$D$200, 3, FALSE), "")</f>
        <v>0</v>
      </c>
      <c r="J56" s="85">
        <f ca="1">_xlfn.IFNA(VLOOKUP(G56, $B$2:$E$200, 4, FALSE), "")</f>
        <v>419241826.15921867</v>
      </c>
      <c r="K56" s="55" t="str">
        <f ca="1">IFERROR(OFFSET(INDIRECT($H$3 &amp; "!A125"), 0, 0), "")</f>
        <v>스톰엑스</v>
      </c>
      <c r="L56" s="38">
        <f t="shared" ref="L56:L75" ca="1" si="18">_xlfn.IFNA(VLOOKUP(K56, $B$2:$D$200, 2, FALSE), "")</f>
        <v>38</v>
      </c>
      <c r="M56" s="76">
        <f t="shared" ref="M56:M75" ca="1" si="19">_xlfn.IFNA(VLOOKUP(K56, $B$2:$D$200, 3, FALSE), "")</f>
        <v>4.68319559E-2</v>
      </c>
      <c r="N56" s="85">
        <f ca="1">_xlfn.IFNA(VLOOKUP(K56, $B$2:$E$200, 4, FALSE), "")</f>
        <v>398918105.0253678</v>
      </c>
      <c r="O56" s="55" t="str">
        <f ca="1">IFERROR(OFFSET(INDIRECT($H$3 &amp; "!A152"), 0, 0), "")</f>
        <v>아더</v>
      </c>
      <c r="P56" s="38">
        <f t="shared" ref="P56:P75" ca="1" si="20">_xlfn.IFNA(VLOOKUP(O56, $B$2:$D$200, 2, FALSE), "")</f>
        <v>325</v>
      </c>
      <c r="Q56" s="76">
        <f t="shared" ref="Q56:Q75" ca="1" si="21">_xlfn.IFNA(VLOOKUP(O56, $B$2:$D$200, 3, FALSE), "")</f>
        <v>-2.4024024000000001E-2</v>
      </c>
      <c r="R56" s="85">
        <f ca="1">_xlfn.IFNA(VLOOKUP(O56, $B$2:$E$200, 4, FALSE), "")</f>
        <v>25870055.426407829</v>
      </c>
    </row>
    <row r="57" spans="1:18">
      <c r="A57" s="40" t="s">
        <v>185</v>
      </c>
      <c r="B57" s="11" t="s">
        <v>186</v>
      </c>
      <c r="C57" s="205">
        <v>10130</v>
      </c>
      <c r="D57" s="34">
        <v>-2.9527558999999999E-3</v>
      </c>
      <c r="E57" s="93">
        <v>1876894.6588595801</v>
      </c>
      <c r="F57" s="35"/>
      <c r="G57" s="56" t="str">
        <f ca="1">IFERROR(OFFSET(INDIRECT($H$3 &amp; "!A179"), 1, 0), "")</f>
        <v>가스</v>
      </c>
      <c r="H57" s="39">
        <f t="shared" ca="1" si="16"/>
        <v>11620</v>
      </c>
      <c r="I57" s="77">
        <f t="shared" ca="1" si="17"/>
        <v>-6.8376067999999998E-3</v>
      </c>
      <c r="J57" s="86">
        <f t="shared" ref="J57:J75" ca="1" si="22">_xlfn.IFNA(VLOOKUP(G57, $B$2:$E$200, 4, FALSE), "")</f>
        <v>794673.04721499002</v>
      </c>
      <c r="K57" s="56" t="str">
        <f ca="1">IFERROR(OFFSET(INDIRECT($H$3 &amp; "!A125"), 1, 0), "")</f>
        <v>저스트</v>
      </c>
      <c r="L57" s="39">
        <f t="shared" ca="1" si="18"/>
        <v>84.5</v>
      </c>
      <c r="M57" s="77">
        <f t="shared" ca="1" si="19"/>
        <v>2.3724791999999999E-3</v>
      </c>
      <c r="N57" s="86">
        <f t="shared" ref="N57:N75" ca="1" si="23">_xlfn.IFNA(VLOOKUP(K57, $B$2:$E$200, 4, FALSE), "")</f>
        <v>126385910.64919059</v>
      </c>
      <c r="O57" s="56" t="str">
        <f ca="1">IFERROR(OFFSET(INDIRECT($H$3 &amp; "!A152"), 1, 0), "")</f>
        <v>칠리즈</v>
      </c>
      <c r="P57" s="39">
        <f t="shared" ca="1" si="20"/>
        <v>420</v>
      </c>
      <c r="Q57" s="77">
        <f t="shared" ca="1" si="21"/>
        <v>2.3866348000000002E-3</v>
      </c>
      <c r="R57" s="86">
        <f t="shared" ref="R57:R75" ca="1" si="24">_xlfn.IFNA(VLOOKUP(O57, $B$2:$E$200, 4, FALSE), "")</f>
        <v>47060772.21958711</v>
      </c>
    </row>
    <row r="58" spans="1:18">
      <c r="A58" s="40" t="s">
        <v>97</v>
      </c>
      <c r="B58" s="11" t="s">
        <v>98</v>
      </c>
      <c r="C58" s="205">
        <v>5.37</v>
      </c>
      <c r="D58" s="34">
        <v>-3.7105750999999998E-3</v>
      </c>
      <c r="E58" s="93">
        <v>20624984185.88496</v>
      </c>
      <c r="F58" s="35"/>
      <c r="G58" s="56" t="str">
        <f ca="1">IFERROR(OFFSET(INDIRECT($H$3 &amp; "!A179"), 2, 0), "")</f>
        <v>무비블록</v>
      </c>
      <c r="H58" s="39">
        <f t="shared" ca="1" si="16"/>
        <v>11.5</v>
      </c>
      <c r="I58" s="77">
        <f t="shared" ca="1" si="17"/>
        <v>-2.54237288E-2</v>
      </c>
      <c r="J58" s="86">
        <f t="shared" ca="1" si="22"/>
        <v>803761591.83898485</v>
      </c>
      <c r="K58" s="56" t="str">
        <f ca="1">IFERROR(OFFSET(INDIRECT($H$3 &amp; "!A125"), 2, 0), "")</f>
        <v>리퍼리움</v>
      </c>
      <c r="L58" s="39">
        <f t="shared" ca="1" si="18"/>
        <v>16.100000000000001</v>
      </c>
      <c r="M58" s="77">
        <f t="shared" ca="1" si="19"/>
        <v>-3.0120481899999999E-2</v>
      </c>
      <c r="N58" s="86">
        <f t="shared" ca="1" si="23"/>
        <v>638680967.04828489</v>
      </c>
      <c r="O58" s="56" t="str">
        <f ca="1">IFERROR(OFFSET(INDIRECT($H$3 &amp; "!A152"), 2, 0), "")</f>
        <v>스팀</v>
      </c>
      <c r="P58" s="39">
        <f t="shared" ca="1" si="20"/>
        <v>674</v>
      </c>
      <c r="Q58" s="77">
        <f t="shared" ca="1" si="21"/>
        <v>-1.8922853E-2</v>
      </c>
      <c r="R58" s="86">
        <f t="shared" ca="1" si="24"/>
        <v>8882365.4194218591</v>
      </c>
    </row>
    <row r="59" spans="1:18">
      <c r="A59" s="40" t="s">
        <v>165</v>
      </c>
      <c r="B59" s="11" t="s">
        <v>166</v>
      </c>
      <c r="C59" s="205">
        <v>249</v>
      </c>
      <c r="D59" s="34">
        <v>-4.0000000000000001E-3</v>
      </c>
      <c r="E59" s="93">
        <v>91825028.532603577</v>
      </c>
      <c r="F59" s="35"/>
      <c r="G59" s="56" t="str">
        <f ca="1">IFERROR(OFFSET(INDIRECT($H$3 &amp; "!A179"), 3, 0), "")</f>
        <v>비트코인캐시</v>
      </c>
      <c r="H59" s="39">
        <f t="shared" ca="1" si="16"/>
        <v>798200</v>
      </c>
      <c r="I59" s="77">
        <f t="shared" ca="1" si="17"/>
        <v>1.05076592E-2</v>
      </c>
      <c r="J59" s="86">
        <f t="shared" ca="1" si="22"/>
        <v>44761.298988360002</v>
      </c>
      <c r="K59" s="56" t="str">
        <f ca="1">IFERROR(OFFSET(INDIRECT($H$3 &amp; "!A125"), 3, 0), "")</f>
        <v>시아코인</v>
      </c>
      <c r="L59" s="39">
        <f t="shared" ca="1" si="18"/>
        <v>22.9</v>
      </c>
      <c r="M59" s="77">
        <f t="shared" ca="1" si="19"/>
        <v>0</v>
      </c>
      <c r="N59" s="86">
        <f t="shared" ca="1" si="23"/>
        <v>552886581.18044651</v>
      </c>
      <c r="O59" s="56" t="str">
        <f ca="1">IFERROR(OFFSET(INDIRECT($H$3 &amp; "!A152"), 3, 0), "")</f>
        <v>스텔라루멘</v>
      </c>
      <c r="P59" s="39">
        <f t="shared" ca="1" si="20"/>
        <v>441</v>
      </c>
      <c r="Q59" s="77">
        <f t="shared" ca="1" si="21"/>
        <v>1.14678899E-2</v>
      </c>
      <c r="R59" s="86">
        <f t="shared" ca="1" si="24"/>
        <v>95996112.483269498</v>
      </c>
    </row>
    <row r="60" spans="1:18">
      <c r="A60" s="40" t="s">
        <v>189</v>
      </c>
      <c r="B60" s="11" t="s">
        <v>190</v>
      </c>
      <c r="C60" s="205">
        <v>19.600000000000001</v>
      </c>
      <c r="D60" s="34">
        <v>-5.0761421000000001E-3</v>
      </c>
      <c r="E60" s="93">
        <v>514784029.95514017</v>
      </c>
      <c r="F60" s="35"/>
      <c r="G60" s="56" t="str">
        <f ca="1">IFERROR(OFFSET(INDIRECT($H$3 &amp; "!A179"), 4, 0), "")</f>
        <v>모스코인</v>
      </c>
      <c r="H60" s="39">
        <f t="shared" ca="1" si="16"/>
        <v>147</v>
      </c>
      <c r="I60" s="77">
        <f t="shared" ca="1" si="17"/>
        <v>-1.34228188E-2</v>
      </c>
      <c r="J60" s="90">
        <f t="shared" ca="1" si="22"/>
        <v>34161694.998583801</v>
      </c>
      <c r="K60" s="58" t="str">
        <f ca="1">IFERROR(OFFSET(INDIRECT($H$3 &amp; "!A125"), 4, 0), "")</f>
        <v>아이오에스티</v>
      </c>
      <c r="L60" s="44">
        <f t="shared" ca="1" si="18"/>
        <v>38.299999999999997</v>
      </c>
      <c r="M60" s="78">
        <f t="shared" ca="1" si="19"/>
        <v>7.8947367999999997E-3</v>
      </c>
      <c r="N60" s="90">
        <f t="shared" ca="1" si="23"/>
        <v>88737895.314869255</v>
      </c>
      <c r="O60" s="58" t="str">
        <f ca="1">IFERROR(OFFSET(INDIRECT($H$3 &amp; "!A152"), 4, 0), "")</f>
        <v>앵커</v>
      </c>
      <c r="P60" s="44">
        <f t="shared" ca="1" si="20"/>
        <v>121</v>
      </c>
      <c r="Q60" s="78">
        <f t="shared" ca="1" si="21"/>
        <v>1.6806722699999999E-2</v>
      </c>
      <c r="R60" s="90">
        <f t="shared" ca="1" si="24"/>
        <v>92088634.072336927</v>
      </c>
    </row>
    <row r="61" spans="1:18">
      <c r="A61" s="40" t="s">
        <v>109</v>
      </c>
      <c r="B61" s="11" t="s">
        <v>110</v>
      </c>
      <c r="C61" s="205">
        <v>195</v>
      </c>
      <c r="D61" s="34">
        <v>-5.1020407999999998E-3</v>
      </c>
      <c r="E61" s="93">
        <v>127338437.27029234</v>
      </c>
      <c r="F61" s="35"/>
      <c r="G61" s="60" t="str">
        <f ca="1">IFERROR(OFFSET(INDIRECT($H$3 &amp; "!A179"), 5, 0), "")</f>
        <v>피르마체인</v>
      </c>
      <c r="H61" s="45">
        <f t="shared" ca="1" si="16"/>
        <v>143</v>
      </c>
      <c r="I61" s="80">
        <f t="shared" ca="1" si="17"/>
        <v>-1.3793103399999999E-2</v>
      </c>
      <c r="J61" s="99">
        <f t="shared" ca="1" si="22"/>
        <v>34246378.47711239</v>
      </c>
      <c r="K61" s="56" t="str">
        <f ca="1">IFERROR(OFFSET(INDIRECT($H$3 &amp; "!A125"), 5, 0), "")</f>
        <v>비트토렌트</v>
      </c>
      <c r="L61" s="39">
        <f t="shared" ca="1" si="18"/>
        <v>5.37</v>
      </c>
      <c r="M61" s="77">
        <f t="shared" ca="1" si="19"/>
        <v>-3.7105750999999998E-3</v>
      </c>
      <c r="N61" s="99">
        <f t="shared" ca="1" si="23"/>
        <v>20624984185.88496</v>
      </c>
      <c r="O61" s="56" t="str">
        <f ca="1">IFERROR(OFFSET(INDIRECT($H$3 &amp; "!A152"), 5, 0), "")</f>
        <v>아르고</v>
      </c>
      <c r="P61" s="39">
        <f t="shared" ca="1" si="20"/>
        <v>241</v>
      </c>
      <c r="Q61" s="77">
        <f t="shared" ca="1" si="21"/>
        <v>-1.63265306E-2</v>
      </c>
      <c r="R61" s="99">
        <f t="shared" ca="1" si="24"/>
        <v>28406123.20697185</v>
      </c>
    </row>
    <row r="62" spans="1:18">
      <c r="A62" s="40" t="s">
        <v>167</v>
      </c>
      <c r="B62" s="11" t="s">
        <v>168</v>
      </c>
      <c r="C62" s="205">
        <v>1755</v>
      </c>
      <c r="D62" s="34">
        <v>-5.6657223999999999E-3</v>
      </c>
      <c r="E62" s="93">
        <v>13384924.40965814</v>
      </c>
      <c r="F62" s="35"/>
      <c r="G62" s="56" t="str">
        <f ca="1">IFERROR(OFFSET(INDIRECT($H$3 &amp; "!A179"), 6, 0), "")</f>
        <v>디카르고</v>
      </c>
      <c r="H62" s="39">
        <f t="shared" ca="1" si="16"/>
        <v>195</v>
      </c>
      <c r="I62" s="77">
        <f t="shared" ca="1" si="17"/>
        <v>-5.1020407999999998E-3</v>
      </c>
      <c r="J62" s="86">
        <f t="shared" ca="1" si="22"/>
        <v>127338437.27029234</v>
      </c>
      <c r="K62" s="56" t="str">
        <f ca="1">IFERROR(OFFSET(INDIRECT($H$3 &amp; "!A125"), 6, 0), "")</f>
        <v>메인프레임</v>
      </c>
      <c r="L62" s="39">
        <f t="shared" ca="1" si="18"/>
        <v>14.7</v>
      </c>
      <c r="M62" s="77">
        <f t="shared" ca="1" si="19"/>
        <v>2.7972027999999999E-2</v>
      </c>
      <c r="N62" s="86">
        <f t="shared" ca="1" si="23"/>
        <v>695827726.570665</v>
      </c>
      <c r="O62" s="56" t="str">
        <f ca="1">IFERROR(OFFSET(INDIRECT($H$3 &amp; "!A152"), 6, 0), "")</f>
        <v>오브스</v>
      </c>
      <c r="P62" s="39">
        <f t="shared" ca="1" si="20"/>
        <v>120</v>
      </c>
      <c r="Q62" s="77">
        <f t="shared" ca="1" si="21"/>
        <v>4.3478260900000003E-2</v>
      </c>
      <c r="R62" s="86">
        <f t="shared" ca="1" si="24"/>
        <v>285575746.14461941</v>
      </c>
    </row>
    <row r="63" spans="1:18">
      <c r="A63" s="40" t="s">
        <v>66</v>
      </c>
      <c r="B63" s="11" t="s">
        <v>67</v>
      </c>
      <c r="C63" s="205">
        <v>5030</v>
      </c>
      <c r="D63" s="34">
        <v>-5.9288537999999998E-3</v>
      </c>
      <c r="E63" s="93">
        <v>7058399.9203200797</v>
      </c>
      <c r="F63" s="35"/>
      <c r="G63" s="56" t="str">
        <f ca="1">IFERROR(OFFSET(INDIRECT($H$3 &amp; "!A179"), 7, 0), "")</f>
        <v>엠블</v>
      </c>
      <c r="H63" s="39">
        <f t="shared" ca="1" si="16"/>
        <v>19.600000000000001</v>
      </c>
      <c r="I63" s="77">
        <f t="shared" ca="1" si="17"/>
        <v>-5.0761421000000001E-3</v>
      </c>
      <c r="J63" s="86">
        <f t="shared" ca="1" si="22"/>
        <v>514784029.95514017</v>
      </c>
      <c r="K63" s="56" t="str">
        <f ca="1">IFERROR(OFFSET(INDIRECT($H$3 &amp; "!A125"), 7, 0), "")</f>
        <v>메디블록</v>
      </c>
      <c r="L63" s="39">
        <f t="shared" ca="1" si="18"/>
        <v>94</v>
      </c>
      <c r="M63" s="77">
        <f t="shared" ca="1" si="19"/>
        <v>-7.3917634999999997E-3</v>
      </c>
      <c r="N63" s="86">
        <f t="shared" ca="1" si="23"/>
        <v>375533090.30857718</v>
      </c>
      <c r="O63" s="56" t="str">
        <f ca="1">IFERROR(OFFSET(INDIRECT($H$3 &amp; "!A152"), 7, 0), "")</f>
        <v>베이직어텐션토큰</v>
      </c>
      <c r="P63" s="39">
        <f t="shared" ca="1" si="20"/>
        <v>931</v>
      </c>
      <c r="Q63" s="77">
        <f t="shared" ca="1" si="21"/>
        <v>1.08577633E-2</v>
      </c>
      <c r="R63" s="86">
        <f t="shared" ca="1" si="24"/>
        <v>5823448.1812787196</v>
      </c>
    </row>
    <row r="64" spans="1:18">
      <c r="A64" s="40" t="s">
        <v>195</v>
      </c>
      <c r="B64" s="11" t="s">
        <v>196</v>
      </c>
      <c r="C64" s="205">
        <v>4810</v>
      </c>
      <c r="D64" s="34">
        <v>-6.1983471000000004E-3</v>
      </c>
      <c r="E64" s="93">
        <v>14471273.61360893</v>
      </c>
      <c r="F64" s="35"/>
      <c r="G64" s="56" t="str">
        <f ca="1">IFERROR(OFFSET(INDIRECT($H$3 &amp; "!A179"), 8, 0), "")</f>
        <v>캐리프로토콜</v>
      </c>
      <c r="H64" s="39">
        <f t="shared" ca="1" si="16"/>
        <v>13.2</v>
      </c>
      <c r="I64" s="77">
        <f t="shared" ca="1" si="17"/>
        <v>-3.6496350400000002E-2</v>
      </c>
      <c r="J64" s="86">
        <f t="shared" ca="1" si="22"/>
        <v>936889626.36343789</v>
      </c>
      <c r="K64" s="56" t="str">
        <f ca="1">IFERROR(OFFSET(INDIRECT($H$3 &amp; "!A125"), 8, 0), "")</f>
        <v>썬더토큰</v>
      </c>
      <c r="L64" s="39">
        <f t="shared" ca="1" si="18"/>
        <v>13</v>
      </c>
      <c r="M64" s="77">
        <f t="shared" ca="1" si="19"/>
        <v>-1.51515152E-2</v>
      </c>
      <c r="N64" s="86">
        <f t="shared" ca="1" si="23"/>
        <v>370083912.70668685</v>
      </c>
      <c r="O64" s="56" t="str">
        <f ca="1">IFERROR(OFFSET(INDIRECT($H$3 &amp; "!A152"), 8, 0), "")</f>
        <v>헌트</v>
      </c>
      <c r="P64" s="39">
        <f t="shared" ca="1" si="20"/>
        <v>400</v>
      </c>
      <c r="Q64" s="77">
        <f t="shared" ca="1" si="21"/>
        <v>-2.6763990299999998E-2</v>
      </c>
      <c r="R64" s="86">
        <f t="shared" ca="1" si="24"/>
        <v>18868772.03890501</v>
      </c>
    </row>
    <row r="65" spans="1:18" ht="17.25" thickBot="1">
      <c r="A65" s="40" t="s">
        <v>141</v>
      </c>
      <c r="B65" s="11" t="s">
        <v>142</v>
      </c>
      <c r="C65" s="205">
        <v>11620</v>
      </c>
      <c r="D65" s="34">
        <v>-6.8376067999999998E-3</v>
      </c>
      <c r="E65" s="93">
        <v>794673.04721499002</v>
      </c>
      <c r="F65" s="35"/>
      <c r="G65" s="57" t="str">
        <f ca="1">IFERROR(OFFSET(INDIRECT($H$3 &amp; "!A179"), 9, 0), "")</f>
        <v>메탈</v>
      </c>
      <c r="H65" s="37">
        <f t="shared" ca="1" si="16"/>
        <v>3440</v>
      </c>
      <c r="I65" s="79">
        <f t="shared" ca="1" si="17"/>
        <v>-1.7142857099999999E-2</v>
      </c>
      <c r="J65" s="87">
        <f t="shared" ca="1" si="22"/>
        <v>4926702.7362685297</v>
      </c>
      <c r="K65" s="57" t="str">
        <f ca="1">IFERROR(OFFSET(INDIRECT($H$3 &amp; "!A125"), 9, 0), "")</f>
        <v>썸씽</v>
      </c>
      <c r="L65" s="37">
        <f t="shared" ca="1" si="18"/>
        <v>75.8</v>
      </c>
      <c r="M65" s="79">
        <f t="shared" ca="1" si="19"/>
        <v>-1.55844156E-2</v>
      </c>
      <c r="N65" s="87">
        <f t="shared" ca="1" si="23"/>
        <v>128990701.97258215</v>
      </c>
      <c r="O65" s="57" t="str">
        <f ca="1">IFERROR(OFFSET(INDIRECT($H$3 &amp; "!A152"), 9, 0), "")</f>
        <v>센티넬프로토콜</v>
      </c>
      <c r="P65" s="37">
        <f t="shared" ca="1" si="20"/>
        <v>215</v>
      </c>
      <c r="Q65" s="79">
        <f t="shared" ca="1" si="21"/>
        <v>-9.2165899000000006E-3</v>
      </c>
      <c r="R65" s="87">
        <f t="shared" ca="1" si="24"/>
        <v>55600346.313190833</v>
      </c>
    </row>
    <row r="66" spans="1:18">
      <c r="A66" s="40" t="s">
        <v>217</v>
      </c>
      <c r="B66" s="11" t="s">
        <v>218</v>
      </c>
      <c r="C66" s="205">
        <v>136</v>
      </c>
      <c r="D66" s="34">
        <v>-7.2992700999999997E-3</v>
      </c>
      <c r="E66" s="93">
        <v>52116197.914904572</v>
      </c>
      <c r="F66" s="35"/>
      <c r="G66" s="56" t="str">
        <f ca="1">IFERROR(OFFSET(INDIRECT($H$3 &amp; "!A179"), 10, 0), "")</f>
        <v>아하토큰</v>
      </c>
      <c r="H66" s="38">
        <f t="shared" ref="H66:H75" ca="1" si="25">_xlfn.IFNA(VLOOKUP(G66, $B$2:$D$200, 2, FALSE), "")</f>
        <v>12.7</v>
      </c>
      <c r="I66" s="76">
        <f t="shared" ref="I66:I75" ca="1" si="26">_xlfn.IFNA(VLOOKUP(G66, $B$2:$D$200, 3, FALSE), "")</f>
        <v>-1.5503876E-2</v>
      </c>
      <c r="J66" s="85">
        <f t="shared" ca="1" si="22"/>
        <v>310133541.0642851</v>
      </c>
      <c r="K66" s="55" t="str">
        <f ca="1">IFERROR(OFFSET(INDIRECT($H$3 &amp; "!A125"), 10, 0), "")</f>
        <v>에브리피디아</v>
      </c>
      <c r="L66" s="38">
        <f t="shared" ca="1" si="18"/>
        <v>17.5</v>
      </c>
      <c r="M66" s="76">
        <f t="shared" ca="1" si="19"/>
        <v>-1.68539326E-2</v>
      </c>
      <c r="N66" s="85">
        <f t="shared" ca="1" si="23"/>
        <v>309373834.6824562</v>
      </c>
      <c r="O66" s="55" t="str">
        <f ca="1">IFERROR(OFFSET(INDIRECT($H$3 &amp; "!A152"), 10, 0), "")</f>
        <v>휴먼스케이프</v>
      </c>
      <c r="P66" s="38">
        <f t="shared" ca="1" si="20"/>
        <v>136</v>
      </c>
      <c r="Q66" s="76">
        <f t="shared" ca="1" si="21"/>
        <v>-7.2992700999999997E-3</v>
      </c>
      <c r="R66" s="85">
        <f t="shared" ca="1" si="24"/>
        <v>52116197.914904572</v>
      </c>
    </row>
    <row r="67" spans="1:18">
      <c r="A67" s="40" t="s">
        <v>201</v>
      </c>
      <c r="B67" s="11" t="s">
        <v>202</v>
      </c>
      <c r="C67" s="205">
        <v>94</v>
      </c>
      <c r="D67" s="34">
        <v>-7.3917634999999997E-3</v>
      </c>
      <c r="E67" s="93">
        <v>375533090.30857718</v>
      </c>
      <c r="F67" s="35"/>
      <c r="G67" s="56" t="str">
        <f ca="1">IFERROR(OFFSET(INDIRECT($H$3 &amp; "!A179"), 11, 0), "")</f>
        <v>메타디움</v>
      </c>
      <c r="H67" s="39">
        <f t="shared" ca="1" si="25"/>
        <v>148</v>
      </c>
      <c r="I67" s="77">
        <f t="shared" ca="1" si="26"/>
        <v>-1.33333333E-2</v>
      </c>
      <c r="J67" s="86">
        <f t="shared" ca="1" si="22"/>
        <v>77293001.196064234</v>
      </c>
      <c r="K67" s="56" t="str">
        <f ca="1">IFERROR(OFFSET(INDIRECT($H$3 &amp; "!A125"), 11, 0), "")</f>
        <v>에스티피</v>
      </c>
      <c r="L67" s="39">
        <f t="shared" ca="1" si="18"/>
        <v>75</v>
      </c>
      <c r="M67" s="77">
        <f t="shared" ca="1" si="19"/>
        <v>-1.9607843100000001E-2</v>
      </c>
      <c r="N67" s="86">
        <f t="shared" ca="1" si="23"/>
        <v>107388847.14890809</v>
      </c>
      <c r="O67" s="56" t="str">
        <f ca="1">IFERROR(OFFSET(INDIRECT($H$3 &amp; "!A152"), 11, 0), "")</f>
        <v>파워렛저</v>
      </c>
      <c r="P67" s="39">
        <f t="shared" ca="1" si="20"/>
        <v>366</v>
      </c>
      <c r="Q67" s="77">
        <f t="shared" ca="1" si="21"/>
        <v>-1.34770889E-2</v>
      </c>
      <c r="R67" s="86">
        <f t="shared" ca="1" si="24"/>
        <v>22360507.91034162</v>
      </c>
    </row>
    <row r="68" spans="1:18">
      <c r="A68" s="40" t="s">
        <v>56</v>
      </c>
      <c r="B68" s="11" t="s">
        <v>57</v>
      </c>
      <c r="C68" s="205">
        <v>250</v>
      </c>
      <c r="D68" s="34">
        <v>-7.9365079000000005E-3</v>
      </c>
      <c r="E68" s="93">
        <v>117011477.66642934</v>
      </c>
      <c r="F68" s="35"/>
      <c r="G68" s="56" t="str">
        <f ca="1">IFERROR(OFFSET(INDIRECT($H$3 &amp; "!A179"), 12, 0), "")</f>
        <v>비트코인골드</v>
      </c>
      <c r="H68" s="39">
        <f t="shared" ca="1" si="25"/>
        <v>78800</v>
      </c>
      <c r="I68" s="77">
        <f t="shared" ca="1" si="26"/>
        <v>6.6428206E-3</v>
      </c>
      <c r="J68" s="86">
        <f t="shared" ca="1" si="22"/>
        <v>607817.72416622995</v>
      </c>
      <c r="K68" s="56" t="str">
        <f ca="1">IFERROR(OFFSET(INDIRECT($H$3 &amp; "!A125"), 12, 0), "")</f>
        <v>쿼크체인</v>
      </c>
      <c r="L68" s="39">
        <f t="shared" ca="1" si="18"/>
        <v>24.7</v>
      </c>
      <c r="M68" s="77">
        <f t="shared" ca="1" si="19"/>
        <v>0</v>
      </c>
      <c r="N68" s="86">
        <f t="shared" ca="1" si="23"/>
        <v>419241826.15921867</v>
      </c>
      <c r="O68" s="56" t="str">
        <f ca="1">IFERROR(OFFSET(INDIRECT($H$3 &amp; "!A152"), 12, 0), "")</f>
        <v>비체인</v>
      </c>
      <c r="P68" s="39">
        <f t="shared" ca="1" si="20"/>
        <v>155</v>
      </c>
      <c r="Q68" s="77">
        <f t="shared" ca="1" si="21"/>
        <v>2.6490066199999999E-2</v>
      </c>
      <c r="R68" s="86">
        <f t="shared" ca="1" si="24"/>
        <v>507274593.76152164</v>
      </c>
    </row>
    <row r="69" spans="1:18">
      <c r="A69" s="40" t="s">
        <v>181</v>
      </c>
      <c r="B69" s="11" t="s">
        <v>182</v>
      </c>
      <c r="C69" s="205">
        <v>63300</v>
      </c>
      <c r="D69" s="34">
        <v>-8.3033056999999993E-3</v>
      </c>
      <c r="E69" s="93">
        <v>138318.96007003001</v>
      </c>
      <c r="F69" s="35"/>
      <c r="G69" s="56" t="str">
        <f ca="1">IFERROR(OFFSET(INDIRECT($H$3 &amp; "!A179"), 13, 0), "")</f>
        <v>왁스</v>
      </c>
      <c r="H69" s="39">
        <f t="shared" ca="1" si="25"/>
        <v>218</v>
      </c>
      <c r="I69" s="77">
        <f t="shared" ca="1" si="26"/>
        <v>-1.8018018E-2</v>
      </c>
      <c r="J69" s="86">
        <f t="shared" ca="1" si="22"/>
        <v>16470895.02634247</v>
      </c>
      <c r="K69" s="56" t="str">
        <f ca="1">IFERROR(OFFSET(INDIRECT($H$3 &amp; "!A125"), 13, 0), "")</f>
        <v>무비블록</v>
      </c>
      <c r="L69" s="39">
        <f t="shared" ca="1" si="18"/>
        <v>11.5</v>
      </c>
      <c r="M69" s="77">
        <f t="shared" ca="1" si="19"/>
        <v>-2.54237288E-2</v>
      </c>
      <c r="N69" s="86">
        <f t="shared" ca="1" si="23"/>
        <v>803761591.83898485</v>
      </c>
      <c r="O69" s="56" t="str">
        <f ca="1">IFERROR(OFFSET(INDIRECT($H$3 &amp; "!A152"), 13, 0), "")</f>
        <v>보라</v>
      </c>
      <c r="P69" s="39">
        <f t="shared" ca="1" si="20"/>
        <v>249</v>
      </c>
      <c r="Q69" s="77">
        <f t="shared" ca="1" si="21"/>
        <v>-4.0000000000000001E-3</v>
      </c>
      <c r="R69" s="86">
        <f t="shared" ca="1" si="24"/>
        <v>91825028.532603577</v>
      </c>
    </row>
    <row r="70" spans="1:18">
      <c r="A70" s="40" t="s">
        <v>237</v>
      </c>
      <c r="B70" s="11" t="s">
        <v>238</v>
      </c>
      <c r="C70" s="205">
        <v>117</v>
      </c>
      <c r="D70" s="34">
        <v>-8.4745762999999998E-3</v>
      </c>
      <c r="E70" s="93">
        <v>195847194.37556615</v>
      </c>
      <c r="F70" s="35"/>
      <c r="G70" s="56" t="str">
        <f ca="1">IFERROR(OFFSET(INDIRECT($H$3 &amp; "!A179"), 14, 0), "")</f>
        <v>도지코인</v>
      </c>
      <c r="H70" s="39">
        <f t="shared" ca="1" si="25"/>
        <v>385</v>
      </c>
      <c r="I70" s="77">
        <f t="shared" ca="1" si="26"/>
        <v>2.3936170199999999E-2</v>
      </c>
      <c r="J70" s="90">
        <f t="shared" ca="1" si="22"/>
        <v>2359790137.260066</v>
      </c>
      <c r="K70" s="58" t="str">
        <f ca="1">IFERROR(OFFSET(INDIRECT($H$3 &amp; "!A125"), 14, 0), "")</f>
        <v>엠블</v>
      </c>
      <c r="L70" s="44">
        <f t="shared" ca="1" si="18"/>
        <v>19.600000000000001</v>
      </c>
      <c r="M70" s="78">
        <f t="shared" ca="1" si="19"/>
        <v>-5.0761421000000001E-3</v>
      </c>
      <c r="N70" s="90">
        <f t="shared" ca="1" si="23"/>
        <v>514784029.95514017</v>
      </c>
      <c r="O70" s="58" t="str">
        <f ca="1">IFERROR(OFFSET(INDIRECT($H$3 &amp; "!A152"), 14, 0), "")</f>
        <v>모스코인</v>
      </c>
      <c r="P70" s="44">
        <f t="shared" ca="1" si="20"/>
        <v>147</v>
      </c>
      <c r="Q70" s="78">
        <f t="shared" ca="1" si="21"/>
        <v>-1.34228188E-2</v>
      </c>
      <c r="R70" s="90">
        <f t="shared" ca="1" si="24"/>
        <v>34161694.998583801</v>
      </c>
    </row>
    <row r="71" spans="1:18">
      <c r="A71" s="40" t="s">
        <v>219</v>
      </c>
      <c r="B71" s="11" t="s">
        <v>220</v>
      </c>
      <c r="C71" s="205">
        <v>215</v>
      </c>
      <c r="D71" s="34">
        <v>-9.2165899000000006E-3</v>
      </c>
      <c r="E71" s="93">
        <v>55600346.313190833</v>
      </c>
      <c r="F71" s="35"/>
      <c r="G71" s="60" t="str">
        <f ca="1">IFERROR(OFFSET(INDIRECT($H$3 &amp; "!A179"), 15, 0), "")</f>
        <v>톤</v>
      </c>
      <c r="H71" s="45">
        <f t="shared" ca="1" si="25"/>
        <v>10130</v>
      </c>
      <c r="I71" s="80">
        <f t="shared" ca="1" si="26"/>
        <v>-2.9527558999999999E-3</v>
      </c>
      <c r="J71" s="99">
        <f t="shared" ca="1" si="22"/>
        <v>1876894.6588595801</v>
      </c>
      <c r="K71" s="56" t="str">
        <f ca="1">IFERROR(OFFSET(INDIRECT($H$3 &amp; "!A125"), 15, 0), "")</f>
        <v>캐리프로토콜</v>
      </c>
      <c r="L71" s="39">
        <f t="shared" ca="1" si="18"/>
        <v>13.2</v>
      </c>
      <c r="M71" s="77">
        <f t="shared" ca="1" si="19"/>
        <v>-3.6496350400000002E-2</v>
      </c>
      <c r="N71" s="99">
        <f t="shared" ca="1" si="23"/>
        <v>936889626.36343789</v>
      </c>
      <c r="O71" s="56" t="str">
        <f ca="1">IFERROR(OFFSET(INDIRECT($H$3 &amp; "!A152"), 15, 0), "")</f>
        <v>피르마체인</v>
      </c>
      <c r="P71" s="39">
        <f t="shared" ca="1" si="20"/>
        <v>143</v>
      </c>
      <c r="Q71" s="77">
        <f t="shared" ca="1" si="21"/>
        <v>-1.3793103399999999E-2</v>
      </c>
      <c r="R71" s="99">
        <f t="shared" ca="1" si="24"/>
        <v>34246378.47711239</v>
      </c>
    </row>
    <row r="72" spans="1:18">
      <c r="A72" s="40" t="s">
        <v>251</v>
      </c>
      <c r="B72" s="11" t="s">
        <v>252</v>
      </c>
      <c r="C72" s="205">
        <v>1050</v>
      </c>
      <c r="D72" s="34">
        <v>-9.4339622999999994E-3</v>
      </c>
      <c r="E72" s="93">
        <v>6985439.6447159098</v>
      </c>
      <c r="F72" s="35"/>
      <c r="G72" s="56" t="str">
        <f ca="1">IFERROR(OFFSET(INDIRECT($H$3 &amp; "!A179"), 16, 0), "")</f>
        <v>웨이브</v>
      </c>
      <c r="H72" s="39">
        <f t="shared" ca="1" si="25"/>
        <v>28120</v>
      </c>
      <c r="I72" s="77">
        <f t="shared" ca="1" si="26"/>
        <v>1.9949220199999999E-2</v>
      </c>
      <c r="J72" s="86">
        <f t="shared" ca="1" si="22"/>
        <v>2929930.0627301298</v>
      </c>
      <c r="K72" s="56" t="str">
        <f ca="1">IFERROR(OFFSET(INDIRECT($H$3 &amp; "!A125"), 16, 0), "")</f>
        <v>아하토큰</v>
      </c>
      <c r="L72" s="39">
        <f t="shared" ca="1" si="18"/>
        <v>12.7</v>
      </c>
      <c r="M72" s="77">
        <f t="shared" ca="1" si="19"/>
        <v>-1.5503876E-2</v>
      </c>
      <c r="N72" s="86">
        <f t="shared" ca="1" si="23"/>
        <v>310133541.0642851</v>
      </c>
      <c r="O72" s="56" t="str">
        <f ca="1">IFERROR(OFFSET(INDIRECT($H$3 &amp; "!A152"), 16, 0), "")</f>
        <v>디카르고</v>
      </c>
      <c r="P72" s="39">
        <f t="shared" ca="1" si="20"/>
        <v>195</v>
      </c>
      <c r="Q72" s="77">
        <f t="shared" ca="1" si="21"/>
        <v>-5.1020407999999998E-3</v>
      </c>
      <c r="R72" s="86">
        <f t="shared" ca="1" si="24"/>
        <v>127338437.27029234</v>
      </c>
    </row>
    <row r="73" spans="1:18">
      <c r="A73" s="40" t="s">
        <v>137</v>
      </c>
      <c r="B73" s="11" t="s">
        <v>138</v>
      </c>
      <c r="C73" s="205">
        <v>416</v>
      </c>
      <c r="D73" s="34">
        <v>-9.5238094999999991E-3</v>
      </c>
      <c r="E73" s="93">
        <v>131990321.52644677</v>
      </c>
      <c r="F73" s="35"/>
      <c r="G73" s="56" t="str">
        <f ca="1">IFERROR(OFFSET(INDIRECT($H$3 &amp; "!A179"), 17, 0), "")</f>
        <v>알파쿼크</v>
      </c>
      <c r="H73" s="39">
        <f t="shared" ca="1" si="25"/>
        <v>5275</v>
      </c>
      <c r="I73" s="77">
        <f t="shared" ca="1" si="26"/>
        <v>-1.7690875200000001E-2</v>
      </c>
      <c r="J73" s="86">
        <f t="shared" ca="1" si="22"/>
        <v>4527738.8024454201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메타디움</v>
      </c>
      <c r="P73" s="39">
        <f t="shared" ca="1" si="20"/>
        <v>148</v>
      </c>
      <c r="Q73" s="77">
        <f t="shared" ca="1" si="21"/>
        <v>-1.33333333E-2</v>
      </c>
      <c r="R73" s="86">
        <f t="shared" ca="1" si="24"/>
        <v>77293001.196064234</v>
      </c>
    </row>
    <row r="74" spans="1:18">
      <c r="A74" s="40" t="s">
        <v>193</v>
      </c>
      <c r="B74" s="11" t="s">
        <v>194</v>
      </c>
      <c r="C74" s="205">
        <v>148</v>
      </c>
      <c r="D74" s="34">
        <v>-1.33333333E-2</v>
      </c>
      <c r="E74" s="93">
        <v>77293001.196064234</v>
      </c>
      <c r="F74" s="35"/>
      <c r="G74" s="56" t="str">
        <f ca="1">IFERROR(OFFSET(INDIRECT($H$3 &amp; "!A179"), 18, 0), "")</f>
        <v>리플</v>
      </c>
      <c r="H74" s="39">
        <f t="shared" ca="1" si="25"/>
        <v>1405</v>
      </c>
      <c r="I74" s="77">
        <f t="shared" ca="1" si="26"/>
        <v>7.1684588000000002E-3</v>
      </c>
      <c r="J74" s="86">
        <f t="shared" ca="1" si="22"/>
        <v>433805355.45578516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왁스</v>
      </c>
      <c r="P74" s="39">
        <f t="shared" ca="1" si="20"/>
        <v>218</v>
      </c>
      <c r="Q74" s="77">
        <f t="shared" ca="1" si="21"/>
        <v>-1.8018018E-2</v>
      </c>
      <c r="R74" s="86">
        <f t="shared" ca="1" si="24"/>
        <v>16470895.02634247</v>
      </c>
    </row>
    <row r="75" spans="1:18" ht="17.25" thickBot="1">
      <c r="A75" s="40" t="s">
        <v>221</v>
      </c>
      <c r="B75" s="11" t="s">
        <v>222</v>
      </c>
      <c r="C75" s="205">
        <v>147</v>
      </c>
      <c r="D75" s="34">
        <v>-1.34228188E-2</v>
      </c>
      <c r="E75" s="93">
        <v>34161694.998583801</v>
      </c>
      <c r="F75" s="35"/>
      <c r="G75" s="57" t="str">
        <f ca="1">IFERROR(OFFSET(INDIRECT($H$3 &amp; "!A179"), 19, 0), "")</f>
        <v>이더리움클래식</v>
      </c>
      <c r="H75" s="37">
        <f t="shared" ca="1" si="25"/>
        <v>82070</v>
      </c>
      <c r="I75" s="79">
        <f t="shared" ca="1" si="26"/>
        <v>6.8703226999999997E-3</v>
      </c>
      <c r="J75" s="87">
        <f t="shared" ca="1" si="22"/>
        <v>4619671.0604240699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도지코인</v>
      </c>
      <c r="P75" s="37">
        <f t="shared" ca="1" si="20"/>
        <v>385</v>
      </c>
      <c r="Q75" s="79">
        <f t="shared" ca="1" si="21"/>
        <v>2.3936170199999999E-2</v>
      </c>
      <c r="R75" s="87">
        <f t="shared" ca="1" si="24"/>
        <v>2359790137.260066</v>
      </c>
    </row>
    <row r="76" spans="1:18">
      <c r="A76" s="40" t="s">
        <v>173</v>
      </c>
      <c r="B76" s="11" t="s">
        <v>174</v>
      </c>
      <c r="C76" s="205">
        <v>366</v>
      </c>
      <c r="D76" s="34">
        <v>-1.34770889E-2</v>
      </c>
      <c r="E76" s="93">
        <v>22360507.91034162</v>
      </c>
      <c r="F76" s="35"/>
      <c r="G76" s="35"/>
      <c r="H76" s="35"/>
      <c r="I76" s="35"/>
    </row>
    <row r="77" spans="1:18">
      <c r="A77" s="40" t="s">
        <v>199</v>
      </c>
      <c r="B77" s="11" t="s">
        <v>200</v>
      </c>
      <c r="C77" s="205">
        <v>143</v>
      </c>
      <c r="D77" s="34">
        <v>-1.3793103399999999E-2</v>
      </c>
      <c r="E77" s="93">
        <v>34246378.47711239</v>
      </c>
      <c r="F77" s="35"/>
      <c r="G77" s="35"/>
      <c r="H77" s="35"/>
      <c r="I77" s="35"/>
    </row>
    <row r="78" spans="1:18">
      <c r="A78" s="40" t="s">
        <v>211</v>
      </c>
      <c r="B78" s="11" t="s">
        <v>212</v>
      </c>
      <c r="C78" s="205">
        <v>1415</v>
      </c>
      <c r="D78" s="34">
        <v>-1.39372822E-2</v>
      </c>
      <c r="E78" s="93">
        <v>20168927.01992492</v>
      </c>
      <c r="F78" s="35"/>
      <c r="G78" s="35"/>
      <c r="H78" s="35"/>
      <c r="I78" s="35"/>
    </row>
    <row r="79" spans="1:18">
      <c r="A79" s="40" t="s">
        <v>183</v>
      </c>
      <c r="B79" s="11" t="s">
        <v>184</v>
      </c>
      <c r="C79" s="205">
        <v>1060</v>
      </c>
      <c r="D79" s="34">
        <v>-1.39534884E-2</v>
      </c>
      <c r="E79" s="93">
        <v>7378188.0349808</v>
      </c>
      <c r="F79" s="35"/>
      <c r="G79" s="35"/>
      <c r="H79" s="35"/>
      <c r="I79" s="35"/>
    </row>
    <row r="80" spans="1:18">
      <c r="A80" s="40" t="s">
        <v>247</v>
      </c>
      <c r="B80" s="11" t="s">
        <v>248</v>
      </c>
      <c r="C80" s="205">
        <v>2615</v>
      </c>
      <c r="D80" s="34">
        <v>-1.50659134E-2</v>
      </c>
      <c r="E80" s="93">
        <v>4498681.85711399</v>
      </c>
      <c r="F80" s="35"/>
      <c r="G80" s="35"/>
      <c r="H80" s="35"/>
      <c r="I80" s="35"/>
    </row>
    <row r="81" spans="1:9">
      <c r="A81" s="40" t="s">
        <v>187</v>
      </c>
      <c r="B81" s="11" t="s">
        <v>188</v>
      </c>
      <c r="C81" s="205">
        <v>13</v>
      </c>
      <c r="D81" s="34">
        <v>-1.51515152E-2</v>
      </c>
      <c r="E81" s="93">
        <v>370083912.70668685</v>
      </c>
      <c r="F81" s="35"/>
      <c r="G81" s="35"/>
      <c r="H81" s="35"/>
      <c r="I81" s="35"/>
    </row>
    <row r="82" spans="1:9">
      <c r="A82" s="40" t="s">
        <v>175</v>
      </c>
      <c r="B82" s="11" t="s">
        <v>176</v>
      </c>
      <c r="C82" s="205">
        <v>1590</v>
      </c>
      <c r="D82" s="34">
        <v>-1.5479876199999999E-2</v>
      </c>
      <c r="E82" s="93">
        <v>1468755.9670576099</v>
      </c>
      <c r="F82" s="35"/>
      <c r="G82" s="35"/>
      <c r="H82" s="35"/>
      <c r="I82" s="35"/>
    </row>
    <row r="83" spans="1:9">
      <c r="A83" s="40" t="s">
        <v>209</v>
      </c>
      <c r="B83" s="11" t="s">
        <v>210</v>
      </c>
      <c r="C83" s="205">
        <v>12.7</v>
      </c>
      <c r="D83" s="34">
        <v>-1.5503876E-2</v>
      </c>
      <c r="E83" s="93">
        <v>310133541.0642851</v>
      </c>
      <c r="F83" s="35"/>
      <c r="G83" s="35"/>
      <c r="H83" s="35"/>
      <c r="I83" s="35"/>
    </row>
    <row r="84" spans="1:9">
      <c r="A84" s="40" t="s">
        <v>233</v>
      </c>
      <c r="B84" s="11" t="s">
        <v>234</v>
      </c>
      <c r="C84" s="205">
        <v>75.8</v>
      </c>
      <c r="D84" s="34">
        <v>-1.55844156E-2</v>
      </c>
      <c r="E84" s="93">
        <v>128990701.97258215</v>
      </c>
      <c r="F84" s="35"/>
      <c r="G84" s="35"/>
      <c r="H84" s="35"/>
      <c r="I84" s="35"/>
    </row>
    <row r="85" spans="1:9">
      <c r="A85" s="40" t="s">
        <v>191</v>
      </c>
      <c r="B85" s="11" t="s">
        <v>192</v>
      </c>
      <c r="C85" s="205">
        <v>241</v>
      </c>
      <c r="D85" s="34">
        <v>-1.63265306E-2</v>
      </c>
      <c r="E85" s="93">
        <v>28406123.20697185</v>
      </c>
      <c r="F85" s="35"/>
      <c r="G85" s="35"/>
      <c r="H85" s="35"/>
      <c r="I85" s="35"/>
    </row>
    <row r="86" spans="1:9">
      <c r="A86" s="40" t="s">
        <v>205</v>
      </c>
      <c r="B86" s="11" t="s">
        <v>206</v>
      </c>
      <c r="C86" s="205">
        <v>359</v>
      </c>
      <c r="D86" s="34">
        <v>-1.64383562E-2</v>
      </c>
      <c r="E86" s="93">
        <v>8736992.6889521405</v>
      </c>
      <c r="F86" s="35"/>
      <c r="G86" s="35"/>
      <c r="H86" s="35"/>
      <c r="I86" s="35"/>
    </row>
    <row r="87" spans="1:9">
      <c r="A87" s="40" t="s">
        <v>177</v>
      </c>
      <c r="B87" s="11" t="s">
        <v>178</v>
      </c>
      <c r="C87" s="205">
        <v>17.5</v>
      </c>
      <c r="D87" s="34">
        <v>-1.68539326E-2</v>
      </c>
      <c r="E87" s="93">
        <v>309373834.6824562</v>
      </c>
      <c r="F87" s="35"/>
      <c r="G87" s="35"/>
      <c r="H87" s="35"/>
      <c r="I87" s="35"/>
    </row>
    <row r="88" spans="1:9">
      <c r="A88" s="40" t="s">
        <v>161</v>
      </c>
      <c r="B88" s="11" t="s">
        <v>162</v>
      </c>
      <c r="C88" s="205">
        <v>116</v>
      </c>
      <c r="D88" s="34">
        <v>-1.6949152499999998E-2</v>
      </c>
      <c r="E88" s="93">
        <v>137357541.59985518</v>
      </c>
      <c r="F88" s="35"/>
      <c r="G88" s="35"/>
      <c r="H88" s="35"/>
      <c r="I88" s="35"/>
    </row>
    <row r="89" spans="1:9">
      <c r="A89" s="40" t="s">
        <v>171</v>
      </c>
      <c r="B89" s="11" t="s">
        <v>172</v>
      </c>
      <c r="C89" s="205">
        <v>3440</v>
      </c>
      <c r="D89" s="34">
        <v>-1.7142857099999999E-2</v>
      </c>
      <c r="E89" s="93">
        <v>4926702.7362685297</v>
      </c>
      <c r="F89" s="35"/>
      <c r="G89" s="35"/>
      <c r="H89" s="35"/>
      <c r="I89" s="35"/>
    </row>
    <row r="90" spans="1:9">
      <c r="A90" s="40" t="s">
        <v>119</v>
      </c>
      <c r="B90" s="11" t="s">
        <v>120</v>
      </c>
      <c r="C90" s="205">
        <v>5275</v>
      </c>
      <c r="D90" s="34">
        <v>-1.7690875200000001E-2</v>
      </c>
      <c r="E90" s="93">
        <v>4527738.8024454201</v>
      </c>
      <c r="F90" s="35"/>
      <c r="G90" s="35"/>
      <c r="H90" s="35"/>
      <c r="I90" s="35"/>
    </row>
    <row r="91" spans="1:9">
      <c r="A91" s="40" t="s">
        <v>229</v>
      </c>
      <c r="B91" s="11" t="s">
        <v>230</v>
      </c>
      <c r="C91" s="205">
        <v>218</v>
      </c>
      <c r="D91" s="34">
        <v>-1.8018018E-2</v>
      </c>
      <c r="E91" s="93">
        <v>16470895.02634247</v>
      </c>
      <c r="F91" s="35"/>
      <c r="G91" s="35"/>
      <c r="H91" s="35"/>
      <c r="I91" s="35"/>
    </row>
    <row r="92" spans="1:9">
      <c r="A92" s="40" t="s">
        <v>245</v>
      </c>
      <c r="B92" s="11" t="s">
        <v>246</v>
      </c>
      <c r="C92" s="205">
        <v>9090</v>
      </c>
      <c r="D92" s="34">
        <v>-1.8358531300000001E-2</v>
      </c>
      <c r="E92" s="93">
        <v>1115913.28179341</v>
      </c>
      <c r="F92" s="35"/>
      <c r="G92" s="35"/>
      <c r="H92" s="35"/>
      <c r="I92" s="35"/>
    </row>
    <row r="93" spans="1:9">
      <c r="A93" s="40" t="s">
        <v>235</v>
      </c>
      <c r="B93" s="11" t="s">
        <v>236</v>
      </c>
      <c r="C93" s="205">
        <v>674</v>
      </c>
      <c r="D93" s="34">
        <v>-1.8922853E-2</v>
      </c>
      <c r="E93" s="93">
        <v>8882365.4194218591</v>
      </c>
      <c r="F93" s="35"/>
      <c r="G93" s="35"/>
      <c r="H93" s="35"/>
      <c r="I93" s="35"/>
    </row>
    <row r="94" spans="1:9">
      <c r="A94" s="40" t="s">
        <v>239</v>
      </c>
      <c r="B94" s="11" t="s">
        <v>240</v>
      </c>
      <c r="C94" s="205">
        <v>75</v>
      </c>
      <c r="D94" s="34">
        <v>-1.9607843100000001E-2</v>
      </c>
      <c r="E94" s="93">
        <v>107388847.14890809</v>
      </c>
      <c r="F94" s="35"/>
      <c r="G94" s="35"/>
      <c r="H94" s="35"/>
      <c r="I94" s="35"/>
    </row>
    <row r="95" spans="1:9">
      <c r="A95" s="40" t="s">
        <v>231</v>
      </c>
      <c r="B95" s="11" t="s">
        <v>232</v>
      </c>
      <c r="C95" s="205">
        <v>566</v>
      </c>
      <c r="D95" s="34">
        <v>-2.2452504299999999E-2</v>
      </c>
      <c r="E95" s="93">
        <v>18495870.748648919</v>
      </c>
      <c r="F95" s="35"/>
      <c r="G95" s="35"/>
      <c r="H95" s="35"/>
      <c r="I95" s="35"/>
    </row>
    <row r="96" spans="1:9">
      <c r="A96" s="40" t="s">
        <v>243</v>
      </c>
      <c r="B96" s="11" t="s">
        <v>244</v>
      </c>
      <c r="C96" s="205">
        <v>1510</v>
      </c>
      <c r="D96" s="34">
        <v>-2.2653721700000001E-2</v>
      </c>
      <c r="E96" s="93">
        <v>3381090.78907857</v>
      </c>
      <c r="F96" s="35"/>
      <c r="G96" s="35"/>
      <c r="H96" s="35"/>
      <c r="I96" s="35"/>
    </row>
    <row r="97" spans="1:9">
      <c r="A97" s="40" t="s">
        <v>253</v>
      </c>
      <c r="B97" s="11" t="s">
        <v>254</v>
      </c>
      <c r="C97" s="205">
        <v>325</v>
      </c>
      <c r="D97" s="34">
        <v>-2.4024024000000001E-2</v>
      </c>
      <c r="E97" s="93">
        <v>25870055.426407829</v>
      </c>
      <c r="F97" s="35"/>
      <c r="G97" s="35"/>
      <c r="H97" s="35"/>
      <c r="I97" s="35"/>
    </row>
    <row r="98" spans="1:9">
      <c r="A98" s="40" t="s">
        <v>215</v>
      </c>
      <c r="B98" s="11" t="s">
        <v>216</v>
      </c>
      <c r="C98" s="205">
        <v>11.5</v>
      </c>
      <c r="D98" s="34">
        <v>-2.54237288E-2</v>
      </c>
      <c r="E98" s="93">
        <v>803761591.83898485</v>
      </c>
      <c r="F98" s="35"/>
      <c r="G98" s="35"/>
      <c r="H98" s="35"/>
      <c r="I98" s="35"/>
    </row>
    <row r="99" spans="1:9">
      <c r="A99" s="40" t="s">
        <v>227</v>
      </c>
      <c r="B99" s="11" t="s">
        <v>228</v>
      </c>
      <c r="C99" s="205">
        <v>400</v>
      </c>
      <c r="D99" s="34">
        <v>-2.6763990299999998E-2</v>
      </c>
      <c r="E99" s="93">
        <v>18868772.03890501</v>
      </c>
      <c r="F99" s="35"/>
      <c r="G99" s="35"/>
      <c r="H99" s="35"/>
      <c r="I99" s="35"/>
    </row>
    <row r="100" spans="1:9">
      <c r="A100" s="40" t="s">
        <v>225</v>
      </c>
      <c r="B100" s="11" t="s">
        <v>226</v>
      </c>
      <c r="C100" s="205">
        <v>2135</v>
      </c>
      <c r="D100" s="34">
        <v>-2.7334851899999998E-2</v>
      </c>
      <c r="E100" s="93">
        <v>8616182.0837109908</v>
      </c>
      <c r="F100" s="35"/>
      <c r="G100" s="35"/>
      <c r="H100" s="35"/>
      <c r="I100" s="35"/>
    </row>
    <row r="101" spans="1:9">
      <c r="A101" s="40" t="s">
        <v>241</v>
      </c>
      <c r="B101" s="11" t="s">
        <v>242</v>
      </c>
      <c r="C101" s="205">
        <v>514</v>
      </c>
      <c r="D101" s="34">
        <v>-2.8355387499999999E-2</v>
      </c>
      <c r="E101" s="93">
        <v>20953569.203128651</v>
      </c>
      <c r="F101" s="35"/>
      <c r="G101" s="35"/>
      <c r="H101" s="35"/>
      <c r="I101" s="35"/>
    </row>
    <row r="102" spans="1:9">
      <c r="A102" s="40" t="s">
        <v>203</v>
      </c>
      <c r="B102" s="11" t="s">
        <v>204</v>
      </c>
      <c r="C102" s="205">
        <v>16.100000000000001</v>
      </c>
      <c r="D102" s="34">
        <v>-3.0120481899999999E-2</v>
      </c>
      <c r="E102" s="93">
        <v>638680967.04828489</v>
      </c>
      <c r="F102" s="35"/>
      <c r="G102" s="35"/>
      <c r="H102" s="35"/>
      <c r="I102" s="35"/>
    </row>
    <row r="103" spans="1:9">
      <c r="A103" s="40" t="s">
        <v>149</v>
      </c>
      <c r="B103" s="11" t="s">
        <v>150</v>
      </c>
      <c r="C103" s="205">
        <v>13.2</v>
      </c>
      <c r="D103" s="34">
        <v>-3.6496350400000002E-2</v>
      </c>
      <c r="E103" s="93">
        <v>936889626.36343789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213</v>
      </c>
      <c r="B2" s="11" t="s">
        <v>214</v>
      </c>
      <c r="C2" s="95">
        <v>1300</v>
      </c>
      <c r="D2" s="92">
        <v>0.1926605505</v>
      </c>
      <c r="E2" s="93">
        <v>409165313.27896601</v>
      </c>
      <c r="F2" s="35"/>
      <c r="G2" s="54"/>
      <c r="H2" s="35"/>
      <c r="I2" s="35"/>
    </row>
    <row r="3" spans="1:18" ht="17.25" thickBot="1">
      <c r="A3" s="40" t="s">
        <v>153</v>
      </c>
      <c r="B3" s="11" t="s">
        <v>154</v>
      </c>
      <c r="C3" s="95">
        <v>91150</v>
      </c>
      <c r="D3" s="92">
        <v>0.1714432592</v>
      </c>
      <c r="E3" s="93">
        <v>8907991.9141977597</v>
      </c>
      <c r="F3" s="35"/>
      <c r="G3" s="293" t="s">
        <v>260</v>
      </c>
      <c r="H3" s="305" t="s">
        <v>330</v>
      </c>
      <c r="I3" s="305"/>
      <c r="K3" s="249" t="s">
        <v>34</v>
      </c>
      <c r="L3" s="250"/>
      <c r="M3" s="250"/>
      <c r="N3" s="251"/>
      <c r="O3" s="249" t="s">
        <v>261</v>
      </c>
      <c r="P3" s="250"/>
      <c r="Q3" s="250"/>
      <c r="R3" s="251"/>
    </row>
    <row r="4" spans="1:18" ht="17.25" thickBot="1">
      <c r="A4" s="40" t="s">
        <v>115</v>
      </c>
      <c r="B4" s="11" t="s">
        <v>116</v>
      </c>
      <c r="C4" s="95">
        <v>8110</v>
      </c>
      <c r="D4" s="92">
        <v>8.1333333300000005E-2</v>
      </c>
      <c r="E4" s="93">
        <v>9988332.6130075492</v>
      </c>
      <c r="F4" s="35"/>
      <c r="G4" s="294"/>
      <c r="H4" s="306"/>
      <c r="I4" s="306"/>
      <c r="K4" s="286" t="s">
        <v>55</v>
      </c>
      <c r="L4" s="302">
        <f ca="1">NOW()</f>
        <v>44425.876754282406</v>
      </c>
      <c r="M4" s="303"/>
      <c r="N4" s="304"/>
      <c r="O4" s="301" t="s">
        <v>55</v>
      </c>
      <c r="P4" s="302">
        <f ca="1">NOW()</f>
        <v>44425.876754282406</v>
      </c>
      <c r="Q4" s="303"/>
      <c r="R4" s="304"/>
    </row>
    <row r="5" spans="1:18" ht="17.25" thickBot="1">
      <c r="A5" s="40" t="s">
        <v>73</v>
      </c>
      <c r="B5" s="11" t="s">
        <v>74</v>
      </c>
      <c r="C5" s="95">
        <v>19840</v>
      </c>
      <c r="D5" s="92">
        <v>7.0118662400000004E-2</v>
      </c>
      <c r="E5" s="93">
        <v>844497.49216453999</v>
      </c>
      <c r="F5" s="35"/>
      <c r="K5" s="294"/>
      <c r="L5" s="51" t="s">
        <v>58</v>
      </c>
      <c r="M5" s="73" t="s">
        <v>59</v>
      </c>
      <c r="N5" s="69" t="s">
        <v>264</v>
      </c>
      <c r="O5" s="272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133</v>
      </c>
      <c r="B6" s="11" t="s">
        <v>134</v>
      </c>
      <c r="C6" s="95">
        <v>30570</v>
      </c>
      <c r="D6" s="92">
        <v>6.7388268200000004E-2</v>
      </c>
      <c r="E6" s="93">
        <v>6167422.5797209898</v>
      </c>
      <c r="F6" s="35"/>
      <c r="G6" s="249" t="s">
        <v>52</v>
      </c>
      <c r="H6" s="250"/>
      <c r="I6" s="251"/>
      <c r="K6" s="55" t="str">
        <f ca="1">IFERROR(OFFSET(INDIRECT($H$3 &amp; "!A17"), 0, 0), "")</f>
        <v>스톰엑스</v>
      </c>
      <c r="L6" s="38">
        <f t="shared" ref="L6:L25" ca="1" si="0">_xlfn.IFNA(VLOOKUP(K6, $B$2:$D$200, 2, FALSE), "")</f>
        <v>38</v>
      </c>
      <c r="M6" s="76">
        <f t="shared" ref="M6:M25" ca="1" si="1">_xlfn.IFNA(VLOOKUP(K6, $B$2:$D$200, 3, FALSE), "")</f>
        <v>4.68319559E-2</v>
      </c>
      <c r="N6" s="85">
        <f ca="1">_xlfn.IFNA(VLOOKUP(K6, $B$2:$E$200, 4, FALSE), "")</f>
        <v>398918105.0253678</v>
      </c>
      <c r="O6" s="72" t="s">
        <v>214</v>
      </c>
      <c r="P6" s="38">
        <f t="shared" ref="P6:P25" si="2">_xlfn.IFNA(VLOOKUP(O6, $B$2:$D$200, 2, FALSE), "")</f>
        <v>1300</v>
      </c>
      <c r="Q6" s="76">
        <f t="shared" ref="Q6:Q25" si="3">_xlfn.IFNA(VLOOKUP(O6, $B$2:$D$200, 3, FALSE), "")</f>
        <v>0.1926605505</v>
      </c>
      <c r="R6" s="85">
        <f>_xlfn.IFNA(VLOOKUP(O6, $B$2:$E$200, 4, FALSE), "")</f>
        <v>409165313.27896601</v>
      </c>
    </row>
    <row r="7" spans="1:18">
      <c r="A7" s="40" t="s">
        <v>75</v>
      </c>
      <c r="B7" s="11" t="s">
        <v>76</v>
      </c>
      <c r="C7" s="95">
        <v>34840</v>
      </c>
      <c r="D7" s="92">
        <v>6.1547836699999997E-2</v>
      </c>
      <c r="E7" s="93">
        <v>1394767.55923611</v>
      </c>
      <c r="F7" s="35"/>
      <c r="G7" s="277" t="s">
        <v>36</v>
      </c>
      <c r="H7" s="278"/>
      <c r="I7" s="279"/>
      <c r="K7" s="56" t="str">
        <f ca="1">IFERROR(OFFSET(INDIRECT($H$3 &amp; "!A17"), 1, 0), "")</f>
        <v>저스트</v>
      </c>
      <c r="L7" s="39">
        <f t="shared" ca="1" si="0"/>
        <v>84.5</v>
      </c>
      <c r="M7" s="77">
        <f t="shared" ca="1" si="1"/>
        <v>2.3724791999999999E-3</v>
      </c>
      <c r="N7" s="86">
        <f t="shared" ref="N7:N25" ca="1" si="4">_xlfn.IFNA(VLOOKUP(K7, $B$2:$E$200, 4, FALSE), "")</f>
        <v>126385910.64919059</v>
      </c>
      <c r="O7" s="88" t="s">
        <v>154</v>
      </c>
      <c r="P7" s="39">
        <f t="shared" si="2"/>
        <v>91150</v>
      </c>
      <c r="Q7" s="77">
        <f t="shared" si="3"/>
        <v>0.1714432592</v>
      </c>
      <c r="R7" s="86">
        <f t="shared" ref="R7:R25" si="5">_xlfn.IFNA(VLOOKUP(O7, $B$2:$E$200, 4, FALSE), "")</f>
        <v>8907991.9141977597</v>
      </c>
    </row>
    <row r="8" spans="1:18" ht="17.25" thickBot="1">
      <c r="A8" s="40" t="s">
        <v>223</v>
      </c>
      <c r="B8" s="11" t="s">
        <v>224</v>
      </c>
      <c r="C8" s="95">
        <v>5465</v>
      </c>
      <c r="D8" s="92">
        <v>5.4001928599999999E-2</v>
      </c>
      <c r="E8" s="93">
        <v>19210382.769587561</v>
      </c>
      <c r="F8" s="35"/>
      <c r="G8" s="270"/>
      <c r="H8" s="271"/>
      <c r="I8" s="272"/>
      <c r="K8" s="56" t="str">
        <f ca="1">IFERROR(OFFSET(INDIRECT($H$3 &amp; "!A17"), 2, 0), "")</f>
        <v>리퍼리움</v>
      </c>
      <c r="L8" s="39">
        <f t="shared" ca="1" si="0"/>
        <v>16.100000000000001</v>
      </c>
      <c r="M8" s="77">
        <f t="shared" ca="1" si="1"/>
        <v>-3.0120481899999999E-2</v>
      </c>
      <c r="N8" s="86">
        <f t="shared" ca="1" si="4"/>
        <v>638680967.04828489</v>
      </c>
      <c r="O8" s="88" t="s">
        <v>116</v>
      </c>
      <c r="P8" s="39">
        <f t="shared" si="2"/>
        <v>8110</v>
      </c>
      <c r="Q8" s="77">
        <f t="shared" si="3"/>
        <v>8.1333333300000005E-2</v>
      </c>
      <c r="R8" s="86">
        <f t="shared" si="5"/>
        <v>9988332.6130075492</v>
      </c>
    </row>
    <row r="9" spans="1:18" ht="17.25" thickBot="1">
      <c r="A9" s="40" t="s">
        <v>113</v>
      </c>
      <c r="B9" s="11" t="s">
        <v>114</v>
      </c>
      <c r="C9" s="95">
        <v>781</v>
      </c>
      <c r="D9" s="92">
        <v>4.8322147699999998E-2</v>
      </c>
      <c r="E9" s="93">
        <v>97203063.595957831</v>
      </c>
      <c r="F9" s="35"/>
      <c r="G9" s="50" t="s">
        <v>38</v>
      </c>
      <c r="H9" s="250" t="s">
        <v>37</v>
      </c>
      <c r="I9" s="251"/>
      <c r="K9" s="56" t="str">
        <f ca="1">IFERROR(OFFSET(INDIRECT($H$3 &amp; "!A17"), 3, 0), "")</f>
        <v>시아코인</v>
      </c>
      <c r="L9" s="39">
        <f t="shared" ca="1" si="0"/>
        <v>22.9</v>
      </c>
      <c r="M9" s="77">
        <f t="shared" ca="1" si="1"/>
        <v>0</v>
      </c>
      <c r="N9" s="86">
        <f t="shared" ca="1" si="4"/>
        <v>552886581.18044651</v>
      </c>
      <c r="O9" s="88" t="s">
        <v>74</v>
      </c>
      <c r="P9" s="39">
        <f t="shared" si="2"/>
        <v>19840</v>
      </c>
      <c r="Q9" s="77">
        <f t="shared" si="3"/>
        <v>7.0118662400000004E-2</v>
      </c>
      <c r="R9" s="86">
        <f t="shared" si="5"/>
        <v>844497.49216453999</v>
      </c>
    </row>
    <row r="10" spans="1:18">
      <c r="A10" s="40" t="s">
        <v>121</v>
      </c>
      <c r="B10" s="11" t="s">
        <v>122</v>
      </c>
      <c r="C10" s="95">
        <v>38</v>
      </c>
      <c r="D10" s="92">
        <v>4.68319559E-2</v>
      </c>
      <c r="E10" s="93">
        <v>398918105.0253678</v>
      </c>
      <c r="F10" s="35"/>
      <c r="G10" s="295">
        <f>_xlfn.IFNA(VLOOKUP(G7, $B$2:$D$200, 3, FALSE), "-")</f>
        <v>1.07123628E-2</v>
      </c>
      <c r="H10" s="297">
        <f>_xlfn.IFNA(VLOOKUP(G7, $B$2:$D$200, 2, FALSE), "-")</f>
        <v>54440000</v>
      </c>
      <c r="I10" s="298"/>
      <c r="K10" s="58" t="str">
        <f ca="1">IFERROR(OFFSET(INDIRECT($H$3 &amp; "!A17"), 4, 0), "")</f>
        <v>아이오에스티</v>
      </c>
      <c r="L10" s="44">
        <f t="shared" ca="1" si="0"/>
        <v>38.299999999999997</v>
      </c>
      <c r="M10" s="78">
        <f t="shared" ca="1" si="1"/>
        <v>7.8947367999999997E-3</v>
      </c>
      <c r="N10" s="90">
        <f t="shared" ca="1" si="4"/>
        <v>88737895.314869255</v>
      </c>
      <c r="O10" s="88" t="s">
        <v>134</v>
      </c>
      <c r="P10" s="39">
        <f t="shared" si="2"/>
        <v>30570</v>
      </c>
      <c r="Q10" s="77">
        <f t="shared" si="3"/>
        <v>6.7388268200000004E-2</v>
      </c>
      <c r="R10" s="90">
        <f t="shared" si="5"/>
        <v>6167422.5797209898</v>
      </c>
    </row>
    <row r="11" spans="1:18" ht="17.25" thickBot="1">
      <c r="A11" s="40" t="s">
        <v>129</v>
      </c>
      <c r="B11" s="11" t="s">
        <v>130</v>
      </c>
      <c r="C11" s="95">
        <v>120</v>
      </c>
      <c r="D11" s="92">
        <v>4.3478260900000003E-2</v>
      </c>
      <c r="E11" s="93">
        <v>285575746.14461941</v>
      </c>
      <c r="F11" s="35"/>
      <c r="G11" s="296"/>
      <c r="H11" s="299"/>
      <c r="I11" s="300"/>
      <c r="K11" s="56" t="str">
        <f ca="1">IFERROR(OFFSET(INDIRECT($H$3 &amp; "!A17"), 5, 0), "")</f>
        <v>비트토렌트</v>
      </c>
      <c r="L11" s="39">
        <f t="shared" ca="1" si="0"/>
        <v>5.37</v>
      </c>
      <c r="M11" s="77">
        <f t="shared" ca="1" si="1"/>
        <v>-3.7105750999999998E-3</v>
      </c>
      <c r="N11" s="99">
        <f t="shared" ca="1" si="4"/>
        <v>20624984185.88496</v>
      </c>
      <c r="O11" s="89" t="s">
        <v>76</v>
      </c>
      <c r="P11" s="45">
        <f t="shared" si="2"/>
        <v>34840</v>
      </c>
      <c r="Q11" s="80">
        <f t="shared" si="3"/>
        <v>6.1547836699999997E-2</v>
      </c>
      <c r="R11" s="99">
        <f t="shared" si="5"/>
        <v>1394767.55923611</v>
      </c>
    </row>
    <row r="12" spans="1:18" ht="17.25" thickBot="1">
      <c r="A12" s="40" t="s">
        <v>197</v>
      </c>
      <c r="B12" s="11" t="s">
        <v>198</v>
      </c>
      <c r="C12" s="95">
        <v>28040</v>
      </c>
      <c r="D12" s="92">
        <v>4.2766827799999997E-2</v>
      </c>
      <c r="E12" s="93">
        <v>4742114.8557266695</v>
      </c>
      <c r="F12" s="35"/>
      <c r="K12" s="56" t="str">
        <f ca="1">IFERROR(OFFSET(INDIRECT($H$3 &amp; "!A17"), 6, 0), "")</f>
        <v>메인프레임</v>
      </c>
      <c r="L12" s="39">
        <f t="shared" ca="1" si="0"/>
        <v>14.7</v>
      </c>
      <c r="M12" s="77">
        <f t="shared" ca="1" si="1"/>
        <v>2.7972027999999999E-2</v>
      </c>
      <c r="N12" s="86">
        <f t="shared" ca="1" si="4"/>
        <v>695827726.570665</v>
      </c>
      <c r="O12" s="88" t="s">
        <v>224</v>
      </c>
      <c r="P12" s="39">
        <f t="shared" si="2"/>
        <v>5465</v>
      </c>
      <c r="Q12" s="77">
        <f t="shared" si="3"/>
        <v>5.4001928599999999E-2</v>
      </c>
      <c r="R12" s="86">
        <f t="shared" si="5"/>
        <v>19210382.769587561</v>
      </c>
    </row>
    <row r="13" spans="1:18" ht="17.25" thickBot="1">
      <c r="A13" s="40" t="s">
        <v>169</v>
      </c>
      <c r="B13" s="11" t="s">
        <v>170</v>
      </c>
      <c r="C13" s="95">
        <v>33220</v>
      </c>
      <c r="D13" s="92">
        <v>3.5859058300000003E-2</v>
      </c>
      <c r="E13" s="93">
        <v>1885953.2207249</v>
      </c>
      <c r="F13" s="35"/>
      <c r="G13" s="249" t="s">
        <v>70</v>
      </c>
      <c r="H13" s="250"/>
      <c r="I13" s="251"/>
      <c r="K13" s="56" t="str">
        <f ca="1">IFERROR(OFFSET(INDIRECT($H$3 &amp; "!A17"), 7, 0), "")</f>
        <v>메디블록</v>
      </c>
      <c r="L13" s="39">
        <f t="shared" ca="1" si="0"/>
        <v>94</v>
      </c>
      <c r="M13" s="77">
        <f t="shared" ca="1" si="1"/>
        <v>-7.3917634999999997E-3</v>
      </c>
      <c r="N13" s="86">
        <f t="shared" ca="1" si="4"/>
        <v>375533090.30857718</v>
      </c>
      <c r="O13" s="88" t="s">
        <v>114</v>
      </c>
      <c r="P13" s="39">
        <f t="shared" si="2"/>
        <v>781</v>
      </c>
      <c r="Q13" s="77">
        <f t="shared" si="3"/>
        <v>4.8322147699999998E-2</v>
      </c>
      <c r="R13" s="86">
        <f t="shared" si="5"/>
        <v>97203063.595957831</v>
      </c>
    </row>
    <row r="14" spans="1:18">
      <c r="A14" s="40" t="s">
        <v>155</v>
      </c>
      <c r="B14" s="11" t="s">
        <v>156</v>
      </c>
      <c r="C14" s="95">
        <v>1965</v>
      </c>
      <c r="D14" s="92">
        <v>3.1496062999999998E-2</v>
      </c>
      <c r="E14" s="93">
        <v>7915835.5647288999</v>
      </c>
      <c r="F14" s="35"/>
      <c r="G14" s="277" t="s">
        <v>36</v>
      </c>
      <c r="H14" s="278"/>
      <c r="I14" s="279"/>
      <c r="K14" s="56" t="str">
        <f ca="1">IFERROR(OFFSET(INDIRECT($H$3 &amp; "!A17"), 8, 0), "")</f>
        <v>썬더토큰</v>
      </c>
      <c r="L14" s="39">
        <f t="shared" ca="1" si="0"/>
        <v>13</v>
      </c>
      <c r="M14" s="77">
        <f t="shared" ca="1" si="1"/>
        <v>-1.51515152E-2</v>
      </c>
      <c r="N14" s="86">
        <f t="shared" ca="1" si="4"/>
        <v>370083912.70668685</v>
      </c>
      <c r="O14" s="88" t="s">
        <v>122</v>
      </c>
      <c r="P14" s="39">
        <f t="shared" si="2"/>
        <v>38</v>
      </c>
      <c r="Q14" s="77">
        <f t="shared" si="3"/>
        <v>4.68319559E-2</v>
      </c>
      <c r="R14" s="86">
        <f t="shared" si="5"/>
        <v>398918105.0253678</v>
      </c>
    </row>
    <row r="15" spans="1:18" ht="17.25" thickBot="1">
      <c r="A15" s="40" t="s">
        <v>103</v>
      </c>
      <c r="B15" s="11" t="s">
        <v>104</v>
      </c>
      <c r="C15" s="95">
        <v>1245</v>
      </c>
      <c r="D15" s="92">
        <v>2.89256198E-2</v>
      </c>
      <c r="E15" s="93">
        <v>4063421.5867728498</v>
      </c>
      <c r="F15" s="35"/>
      <c r="G15" s="270"/>
      <c r="H15" s="271"/>
      <c r="I15" s="272"/>
      <c r="K15" s="57" t="str">
        <f ca="1">IFERROR(OFFSET(INDIRECT($H$3 &amp; "!A17"), 9, 0), "")</f>
        <v>썸씽</v>
      </c>
      <c r="L15" s="37">
        <f t="shared" ca="1" si="0"/>
        <v>75.8</v>
      </c>
      <c r="M15" s="79">
        <f t="shared" ca="1" si="1"/>
        <v>-1.55844156E-2</v>
      </c>
      <c r="N15" s="87">
        <f t="shared" ca="1" si="4"/>
        <v>128990701.97258215</v>
      </c>
      <c r="O15" s="74" t="s">
        <v>130</v>
      </c>
      <c r="P15" s="37">
        <f t="shared" si="2"/>
        <v>120</v>
      </c>
      <c r="Q15" s="79">
        <f t="shared" si="3"/>
        <v>4.3478260900000003E-2</v>
      </c>
      <c r="R15" s="87">
        <f t="shared" si="5"/>
        <v>285575746.14461941</v>
      </c>
    </row>
    <row r="16" spans="1:18" ht="17.25" thickBot="1">
      <c r="A16" s="40" t="s">
        <v>207</v>
      </c>
      <c r="B16" s="11" t="s">
        <v>208</v>
      </c>
      <c r="C16" s="95">
        <v>14.7</v>
      </c>
      <c r="D16" s="92">
        <v>2.7972027999999999E-2</v>
      </c>
      <c r="E16" s="93">
        <v>695827726.570665</v>
      </c>
      <c r="F16" s="35"/>
      <c r="G16" s="50" t="s">
        <v>38</v>
      </c>
      <c r="H16" s="250" t="s">
        <v>37</v>
      </c>
      <c r="I16" s="251"/>
      <c r="K16" s="55" t="str">
        <f ca="1">IFERROR(OFFSET(INDIRECT($H$3 &amp; "!A17"), 10, 0), "")</f>
        <v>에브리피디아</v>
      </c>
      <c r="L16" s="38">
        <f t="shared" ca="1" si="0"/>
        <v>17.5</v>
      </c>
      <c r="M16" s="76">
        <f t="shared" ca="1" si="1"/>
        <v>-1.68539326E-2</v>
      </c>
      <c r="N16" s="85">
        <f t="shared" ca="1" si="4"/>
        <v>309373834.6824562</v>
      </c>
      <c r="O16" s="72" t="s">
        <v>198</v>
      </c>
      <c r="P16" s="38">
        <f t="shared" si="2"/>
        <v>28040</v>
      </c>
      <c r="Q16" s="76">
        <f t="shared" si="3"/>
        <v>4.2766827799999997E-2</v>
      </c>
      <c r="R16" s="85">
        <f t="shared" si="5"/>
        <v>4742114.8557266695</v>
      </c>
    </row>
    <row r="17" spans="1:18">
      <c r="A17" s="40" t="s">
        <v>127</v>
      </c>
      <c r="B17" s="11" t="s">
        <v>128</v>
      </c>
      <c r="C17" s="95">
        <v>155</v>
      </c>
      <c r="D17" s="92">
        <v>2.6490066199999999E-2</v>
      </c>
      <c r="E17" s="93">
        <v>507274593.76152164</v>
      </c>
      <c r="F17" s="35"/>
      <c r="G17" s="295">
        <f>_xlfn.IFNA(VLOOKUP(G14, $B$2:$D$200, 3, FALSE), "-")</f>
        <v>1.07123628E-2</v>
      </c>
      <c r="H17" s="297">
        <f>_xlfn.IFNA(VLOOKUP(G14, $B$2:$D$200, 2, FALSE), "-")</f>
        <v>54440000</v>
      </c>
      <c r="I17" s="298"/>
      <c r="K17" s="56" t="str">
        <f ca="1">IFERROR(OFFSET(INDIRECT($H$3 &amp; "!A17"), 11, 0), "")</f>
        <v>에스티피</v>
      </c>
      <c r="L17" s="39">
        <f t="shared" ca="1" si="0"/>
        <v>75</v>
      </c>
      <c r="M17" s="77">
        <f t="shared" ca="1" si="1"/>
        <v>-1.9607843100000001E-2</v>
      </c>
      <c r="N17" s="86">
        <f t="shared" ca="1" si="4"/>
        <v>107388847.14890809</v>
      </c>
      <c r="O17" s="88" t="s">
        <v>170</v>
      </c>
      <c r="P17" s="39">
        <f t="shared" si="2"/>
        <v>33220</v>
      </c>
      <c r="Q17" s="77">
        <f t="shared" si="3"/>
        <v>3.5859058300000003E-2</v>
      </c>
      <c r="R17" s="86">
        <f t="shared" si="5"/>
        <v>1885953.2207249</v>
      </c>
    </row>
    <row r="18" spans="1:18" ht="17.25" thickBot="1">
      <c r="A18" s="40" t="s">
        <v>95</v>
      </c>
      <c r="B18" s="11" t="s">
        <v>96</v>
      </c>
      <c r="C18" s="95">
        <v>4380</v>
      </c>
      <c r="D18" s="92">
        <v>2.5761124100000001E-2</v>
      </c>
      <c r="E18" s="93">
        <v>3124068.7351899198</v>
      </c>
      <c r="F18" s="35"/>
      <c r="G18" s="296"/>
      <c r="H18" s="299"/>
      <c r="I18" s="300"/>
      <c r="K18" s="56" t="str">
        <f ca="1">IFERROR(OFFSET(INDIRECT($H$3 &amp; "!A17"), 12, 0), "")</f>
        <v>쿼크체인</v>
      </c>
      <c r="L18" s="39">
        <f t="shared" ca="1" si="0"/>
        <v>24.7</v>
      </c>
      <c r="M18" s="77">
        <f t="shared" ca="1" si="1"/>
        <v>0</v>
      </c>
      <c r="N18" s="86">
        <f t="shared" ca="1" si="4"/>
        <v>419241826.15921867</v>
      </c>
      <c r="O18" s="88" t="s">
        <v>156</v>
      </c>
      <c r="P18" s="39">
        <f t="shared" si="2"/>
        <v>1965</v>
      </c>
      <c r="Q18" s="77">
        <f t="shared" si="3"/>
        <v>3.1496062999999998E-2</v>
      </c>
      <c r="R18" s="86">
        <f t="shared" si="5"/>
        <v>7915835.5647288999</v>
      </c>
    </row>
    <row r="19" spans="1:18" ht="17.25" thickBot="1">
      <c r="A19" s="40" t="s">
        <v>111</v>
      </c>
      <c r="B19" s="11" t="s">
        <v>112</v>
      </c>
      <c r="C19" s="95">
        <v>9170</v>
      </c>
      <c r="D19" s="92">
        <v>2.5153717200000002E-2</v>
      </c>
      <c r="E19" s="93">
        <v>1803704.36904777</v>
      </c>
      <c r="F19" s="35"/>
      <c r="K19" s="56" t="str">
        <f ca="1">IFERROR(OFFSET(INDIRECT($H$3 &amp; "!A17"), 13, 0), "")</f>
        <v>무비블록</v>
      </c>
      <c r="L19" s="39">
        <f t="shared" ca="1" si="0"/>
        <v>11.5</v>
      </c>
      <c r="M19" s="77">
        <f t="shared" ca="1" si="1"/>
        <v>-2.54237288E-2</v>
      </c>
      <c r="N19" s="86">
        <f t="shared" ca="1" si="4"/>
        <v>803761591.83898485</v>
      </c>
      <c r="O19" s="88" t="s">
        <v>104</v>
      </c>
      <c r="P19" s="39">
        <f t="shared" si="2"/>
        <v>1245</v>
      </c>
      <c r="Q19" s="77">
        <f t="shared" si="3"/>
        <v>2.89256198E-2</v>
      </c>
      <c r="R19" s="86">
        <f t="shared" si="5"/>
        <v>4063421.5867728498</v>
      </c>
    </row>
    <row r="20" spans="1:18" ht="17.25" thickBot="1">
      <c r="A20" s="40" t="s">
        <v>93</v>
      </c>
      <c r="B20" s="11" t="s">
        <v>94</v>
      </c>
      <c r="C20" s="95">
        <v>3785000</v>
      </c>
      <c r="D20" s="92">
        <v>2.4357239499999999E-2</v>
      </c>
      <c r="E20" s="93">
        <v>50358.843847880002</v>
      </c>
      <c r="F20" s="35"/>
      <c r="G20" s="249" t="s">
        <v>256</v>
      </c>
      <c r="H20" s="250"/>
      <c r="I20" s="251"/>
      <c r="K20" s="58" t="str">
        <f ca="1">IFERROR(OFFSET(INDIRECT($H$3 &amp; "!A17"), 14, 0), "")</f>
        <v>엠블</v>
      </c>
      <c r="L20" s="44">
        <f t="shared" ca="1" si="0"/>
        <v>19.600000000000001</v>
      </c>
      <c r="M20" s="78">
        <f t="shared" ca="1" si="1"/>
        <v>-5.0761421000000001E-3</v>
      </c>
      <c r="N20" s="90">
        <f t="shared" ca="1" si="4"/>
        <v>514784029.95514017</v>
      </c>
      <c r="O20" s="88" t="s">
        <v>208</v>
      </c>
      <c r="P20" s="39">
        <f t="shared" si="2"/>
        <v>14.7</v>
      </c>
      <c r="Q20" s="77">
        <f t="shared" si="3"/>
        <v>2.7972027999999999E-2</v>
      </c>
      <c r="R20" s="90">
        <f t="shared" si="5"/>
        <v>695827726.570665</v>
      </c>
    </row>
    <row r="21" spans="1:18">
      <c r="A21" s="40" t="s">
        <v>265</v>
      </c>
      <c r="B21" s="11" t="s">
        <v>266</v>
      </c>
      <c r="C21" s="95">
        <v>385</v>
      </c>
      <c r="D21" s="92">
        <v>2.3936170199999999E-2</v>
      </c>
      <c r="E21" s="93">
        <v>2359790137.260066</v>
      </c>
      <c r="F21" s="35"/>
      <c r="G21" s="277" t="s">
        <v>36</v>
      </c>
      <c r="H21" s="278"/>
      <c r="I21" s="279"/>
      <c r="K21" s="56" t="str">
        <f ca="1">IFERROR(OFFSET(INDIRECT($H$3 &amp; "!A17"), 15, 0), "")</f>
        <v>캐리프로토콜</v>
      </c>
      <c r="L21" s="39">
        <f t="shared" ca="1" si="0"/>
        <v>13.2</v>
      </c>
      <c r="M21" s="77">
        <f t="shared" ca="1" si="1"/>
        <v>-3.6496350400000002E-2</v>
      </c>
      <c r="N21" s="99">
        <f t="shared" ca="1" si="4"/>
        <v>936889626.36343789</v>
      </c>
      <c r="O21" s="89" t="s">
        <v>128</v>
      </c>
      <c r="P21" s="45">
        <f t="shared" si="2"/>
        <v>155</v>
      </c>
      <c r="Q21" s="80">
        <f t="shared" si="3"/>
        <v>2.6490066199999999E-2</v>
      </c>
      <c r="R21" s="99">
        <f t="shared" si="5"/>
        <v>507274593.76152164</v>
      </c>
    </row>
    <row r="22" spans="1:18" ht="17.25" thickBot="1">
      <c r="A22" s="40" t="s">
        <v>53</v>
      </c>
      <c r="B22" s="11" t="s">
        <v>54</v>
      </c>
      <c r="C22" s="95">
        <v>291</v>
      </c>
      <c r="D22" s="92">
        <v>2.10526316E-2</v>
      </c>
      <c r="E22" s="93">
        <v>21384928.67250707</v>
      </c>
      <c r="F22" s="35"/>
      <c r="G22" s="270"/>
      <c r="H22" s="271"/>
      <c r="I22" s="272"/>
      <c r="K22" s="56" t="str">
        <f ca="1">IFERROR(OFFSET(INDIRECT($H$3 &amp; "!A17"), 16, 0), "")</f>
        <v>아하토큰</v>
      </c>
      <c r="L22" s="39">
        <f t="shared" ca="1" si="0"/>
        <v>12.7</v>
      </c>
      <c r="M22" s="77">
        <f t="shared" ca="1" si="1"/>
        <v>-1.5503876E-2</v>
      </c>
      <c r="N22" s="86">
        <f t="shared" ca="1" si="4"/>
        <v>310133541.0642851</v>
      </c>
      <c r="O22" s="88" t="s">
        <v>96</v>
      </c>
      <c r="P22" s="39">
        <f t="shared" si="2"/>
        <v>4380</v>
      </c>
      <c r="Q22" s="77">
        <f t="shared" si="3"/>
        <v>2.5761124100000001E-2</v>
      </c>
      <c r="R22" s="86">
        <f t="shared" si="5"/>
        <v>3124068.7351899198</v>
      </c>
    </row>
    <row r="23" spans="1:18" ht="17.25" thickBot="1">
      <c r="A23" s="40" t="s">
        <v>157</v>
      </c>
      <c r="B23" s="11" t="s">
        <v>158</v>
      </c>
      <c r="C23" s="95">
        <v>28120</v>
      </c>
      <c r="D23" s="92">
        <v>1.9949220199999999E-2</v>
      </c>
      <c r="E23" s="93">
        <v>2929930.0627301298</v>
      </c>
      <c r="F23" s="35"/>
      <c r="G23" s="50" t="s">
        <v>38</v>
      </c>
      <c r="H23" s="250" t="s">
        <v>37</v>
      </c>
      <c r="I23" s="25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112</v>
      </c>
      <c r="P23" s="39">
        <f t="shared" si="2"/>
        <v>9170</v>
      </c>
      <c r="Q23" s="77">
        <f t="shared" si="3"/>
        <v>2.5153717200000002E-2</v>
      </c>
      <c r="R23" s="86">
        <f t="shared" si="5"/>
        <v>1803704.36904777</v>
      </c>
    </row>
    <row r="24" spans="1:18">
      <c r="A24" s="40" t="s">
        <v>179</v>
      </c>
      <c r="B24" s="11" t="s">
        <v>180</v>
      </c>
      <c r="C24" s="95">
        <v>15870</v>
      </c>
      <c r="D24" s="92">
        <v>1.99228792E-2</v>
      </c>
      <c r="E24" s="93">
        <v>5820103.2482251301</v>
      </c>
      <c r="F24" s="35"/>
      <c r="G24" s="295">
        <f>_xlfn.IFNA(VLOOKUP(G21, $B$2:$D$200, 3, FALSE), "-")</f>
        <v>1.07123628E-2</v>
      </c>
      <c r="H24" s="297">
        <f>_xlfn.IFNA(VLOOKUP(G21, $B$2:$D$200, 2, FALSE), "-")</f>
        <v>54440000</v>
      </c>
      <c r="I24" s="298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94</v>
      </c>
      <c r="P24" s="39">
        <f t="shared" si="2"/>
        <v>3785000</v>
      </c>
      <c r="Q24" s="77">
        <f t="shared" si="3"/>
        <v>2.4357239499999999E-2</v>
      </c>
      <c r="R24" s="86">
        <f t="shared" si="5"/>
        <v>50358.843847880002</v>
      </c>
    </row>
    <row r="25" spans="1:18" ht="17.25" thickBot="1">
      <c r="A25" s="40" t="s">
        <v>125</v>
      </c>
      <c r="B25" s="11" t="s">
        <v>126</v>
      </c>
      <c r="C25" s="95">
        <v>212750</v>
      </c>
      <c r="D25" s="92">
        <v>1.8917624500000001E-2</v>
      </c>
      <c r="E25" s="93">
        <v>92435.152597649998</v>
      </c>
      <c r="F25" s="35"/>
      <c r="G25" s="296"/>
      <c r="H25" s="299"/>
      <c r="I25" s="300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266</v>
      </c>
      <c r="P25" s="37">
        <f t="shared" si="2"/>
        <v>385</v>
      </c>
      <c r="Q25" s="79">
        <f t="shared" si="3"/>
        <v>2.3936170199999999E-2</v>
      </c>
      <c r="R25" s="87">
        <f t="shared" si="5"/>
        <v>2359790137.260066</v>
      </c>
    </row>
    <row r="26" spans="1:18">
      <c r="A26" s="40" t="s">
        <v>143</v>
      </c>
      <c r="B26" s="11" t="s">
        <v>144</v>
      </c>
      <c r="C26" s="95">
        <v>121</v>
      </c>
      <c r="D26" s="92">
        <v>1.6806722699999999E-2</v>
      </c>
      <c r="E26" s="93">
        <v>92088634.072336927</v>
      </c>
      <c r="F26" s="35"/>
    </row>
    <row r="27" spans="1:18" ht="17.25" thickBot="1">
      <c r="A27" s="40" t="s">
        <v>68</v>
      </c>
      <c r="B27" s="11" t="s">
        <v>69</v>
      </c>
      <c r="C27" s="95">
        <v>8145</v>
      </c>
      <c r="D27" s="92">
        <v>1.55860349E-2</v>
      </c>
      <c r="E27" s="93">
        <v>29108075.250099149</v>
      </c>
      <c r="F27" s="35"/>
    </row>
    <row r="28" spans="1:18" ht="17.25" thickBot="1">
      <c r="A28" s="40" t="s">
        <v>145</v>
      </c>
      <c r="B28" s="11" t="s">
        <v>146</v>
      </c>
      <c r="C28" s="95">
        <v>3880</v>
      </c>
      <c r="D28" s="92">
        <v>1.4379085E-2</v>
      </c>
      <c r="E28" s="93">
        <v>2460482.4236687701</v>
      </c>
      <c r="F28" s="35"/>
      <c r="G28" s="249" t="s">
        <v>46</v>
      </c>
      <c r="H28" s="250"/>
      <c r="I28" s="250"/>
      <c r="J28" s="251"/>
      <c r="K28" s="249" t="s">
        <v>44</v>
      </c>
      <c r="L28" s="250"/>
      <c r="M28" s="250"/>
      <c r="N28" s="251"/>
      <c r="O28" s="249" t="s">
        <v>45</v>
      </c>
      <c r="P28" s="250"/>
      <c r="Q28" s="250"/>
      <c r="R28" s="251"/>
    </row>
    <row r="29" spans="1:18" ht="17.25" thickBot="1">
      <c r="A29" s="40" t="s">
        <v>139</v>
      </c>
      <c r="B29" s="11" t="s">
        <v>140</v>
      </c>
      <c r="C29" s="95">
        <v>6720</v>
      </c>
      <c r="D29" s="92">
        <v>1.35746606E-2</v>
      </c>
      <c r="E29" s="93">
        <v>3541915.6772921002</v>
      </c>
      <c r="F29" s="35"/>
      <c r="G29" s="286" t="s">
        <v>55</v>
      </c>
      <c r="H29" s="302">
        <f ca="1">NOW()</f>
        <v>44425.876754282406</v>
      </c>
      <c r="I29" s="303"/>
      <c r="J29" s="304"/>
      <c r="K29" s="301" t="s">
        <v>55</v>
      </c>
      <c r="L29" s="302">
        <f ca="1">NOW()</f>
        <v>44425.876754282406</v>
      </c>
      <c r="M29" s="303"/>
      <c r="N29" s="304"/>
      <c r="O29" s="301" t="s">
        <v>55</v>
      </c>
      <c r="P29" s="302">
        <f ca="1">NOW()</f>
        <v>44425.876754282406</v>
      </c>
      <c r="Q29" s="303"/>
      <c r="R29" s="304"/>
    </row>
    <row r="30" spans="1:18" ht="17.25" thickBot="1">
      <c r="A30" s="40" t="s">
        <v>135</v>
      </c>
      <c r="B30" s="11" t="s">
        <v>136</v>
      </c>
      <c r="C30" s="95">
        <v>2285</v>
      </c>
      <c r="D30" s="92">
        <v>1.33037694E-2</v>
      </c>
      <c r="E30" s="93">
        <v>6052463.1292740498</v>
      </c>
      <c r="F30" s="35"/>
      <c r="G30" s="294"/>
      <c r="H30" s="51" t="s">
        <v>58</v>
      </c>
      <c r="I30" s="73" t="s">
        <v>59</v>
      </c>
      <c r="J30" s="69" t="s">
        <v>264</v>
      </c>
      <c r="K30" s="272"/>
      <c r="L30" s="51" t="s">
        <v>58</v>
      </c>
      <c r="M30" s="73" t="s">
        <v>59</v>
      </c>
      <c r="N30" s="91" t="s">
        <v>264</v>
      </c>
      <c r="O30" s="272"/>
      <c r="P30" s="51" t="s">
        <v>58</v>
      </c>
      <c r="Q30" s="73" t="s">
        <v>59</v>
      </c>
      <c r="R30" s="91" t="s">
        <v>264</v>
      </c>
    </row>
    <row r="31" spans="1:18">
      <c r="A31" s="40" t="s">
        <v>117</v>
      </c>
      <c r="B31" s="11" t="s">
        <v>118</v>
      </c>
      <c r="C31" s="95">
        <v>176</v>
      </c>
      <c r="D31" s="92">
        <v>1.14942529E-2</v>
      </c>
      <c r="E31" s="93">
        <v>23192463.031254869</v>
      </c>
      <c r="F31" s="35"/>
      <c r="G31" s="52" t="s">
        <v>214</v>
      </c>
      <c r="H31" s="38">
        <f t="shared" ref="H31:H50" si="6">_xlfn.IFNA(VLOOKUP(G31, $B$2:$D$200, 2, FALSE), "")</f>
        <v>1300</v>
      </c>
      <c r="I31" s="76">
        <f t="shared" ref="I31:I50" si="7">_xlfn.IFNA(VLOOKUP(G31, $B$2:$D$200, 3, FALSE), "")</f>
        <v>0.1926605505</v>
      </c>
      <c r="J31" s="85">
        <f>_xlfn.IFNA(VLOOKUP(G31, $B$2:$E$200, 4, FALSE), "")</f>
        <v>409165313.27896601</v>
      </c>
      <c r="K31" s="81" t="s">
        <v>122</v>
      </c>
      <c r="L31" s="38">
        <f t="shared" ref="L31:L50" si="8">_xlfn.IFNA(VLOOKUP(K31, $B$2:$D$200, 2, FALSE), "")</f>
        <v>38</v>
      </c>
      <c r="M31" s="76">
        <f t="shared" ref="M31:M50" si="9">_xlfn.IFNA(VLOOKUP(K31, $B$2:$D$200, 3, FALSE), "")</f>
        <v>4.68319559E-2</v>
      </c>
      <c r="N31" s="85">
        <f>_xlfn.IFNA(VLOOKUP(K31, $B$2:$E$200, 4, FALSE), "")</f>
        <v>398918105.0253678</v>
      </c>
      <c r="O31" s="81" t="s">
        <v>114</v>
      </c>
      <c r="P31" s="38">
        <f t="shared" ref="P31:P50" si="10">_xlfn.IFNA(VLOOKUP(O31, $B$2:$D$200, 2, FALSE), "")</f>
        <v>781</v>
      </c>
      <c r="Q31" s="76">
        <f t="shared" ref="Q31:Q50" si="11">_xlfn.IFNA(VLOOKUP(O31, $B$2:$D$200, 3, FALSE), "")</f>
        <v>4.8322147699999998E-2</v>
      </c>
      <c r="R31" s="85">
        <f>_xlfn.IFNA(VLOOKUP(O31, $B$2:$E$200, 4, FALSE), "")</f>
        <v>97203063.595957831</v>
      </c>
    </row>
    <row r="32" spans="1:18">
      <c r="A32" s="40" t="s">
        <v>50</v>
      </c>
      <c r="B32" s="11" t="s">
        <v>51</v>
      </c>
      <c r="C32" s="95">
        <v>441</v>
      </c>
      <c r="D32" s="92">
        <v>1.14678899E-2</v>
      </c>
      <c r="E32" s="93">
        <v>95996112.483269498</v>
      </c>
      <c r="F32" s="35"/>
      <c r="G32" s="47" t="s">
        <v>154</v>
      </c>
      <c r="H32" s="39">
        <f t="shared" si="6"/>
        <v>91150</v>
      </c>
      <c r="I32" s="77">
        <f t="shared" si="7"/>
        <v>0.1714432592</v>
      </c>
      <c r="J32" s="86">
        <f t="shared" ref="J32:J50" si="12">_xlfn.IFNA(VLOOKUP(G32, $B$2:$E$200, 4, FALSE), "")</f>
        <v>8907991.9141977597</v>
      </c>
      <c r="K32" s="82" t="s">
        <v>208</v>
      </c>
      <c r="L32" s="39">
        <f t="shared" si="8"/>
        <v>14.7</v>
      </c>
      <c r="M32" s="77">
        <f t="shared" si="9"/>
        <v>2.7972027999999999E-2</v>
      </c>
      <c r="N32" s="86">
        <f t="shared" ref="N32:N50" si="13">_xlfn.IFNA(VLOOKUP(K32, $B$2:$E$200, 4, FALSE), "")</f>
        <v>695827726.570665</v>
      </c>
      <c r="O32" s="82" t="s">
        <v>130</v>
      </c>
      <c r="P32" s="39">
        <f t="shared" si="10"/>
        <v>120</v>
      </c>
      <c r="Q32" s="77">
        <f t="shared" si="11"/>
        <v>4.3478260900000003E-2</v>
      </c>
      <c r="R32" s="86">
        <f t="shared" ref="R32:R50" si="14">_xlfn.IFNA(VLOOKUP(O32, $B$2:$E$200, 4, FALSE), "")</f>
        <v>285575746.14461941</v>
      </c>
    </row>
    <row r="33" spans="1:18">
      <c r="A33" s="40" t="s">
        <v>79</v>
      </c>
      <c r="B33" s="11" t="s">
        <v>80</v>
      </c>
      <c r="C33" s="95">
        <v>931</v>
      </c>
      <c r="D33" s="92">
        <v>1.08577633E-2</v>
      </c>
      <c r="E33" s="93">
        <v>5823448.1812787196</v>
      </c>
      <c r="F33" s="35"/>
      <c r="G33" s="47" t="s">
        <v>116</v>
      </c>
      <c r="H33" s="39">
        <f t="shared" si="6"/>
        <v>8110</v>
      </c>
      <c r="I33" s="77">
        <f t="shared" si="7"/>
        <v>8.1333333300000005E-2</v>
      </c>
      <c r="J33" s="86">
        <f t="shared" si="12"/>
        <v>9988332.6130075492</v>
      </c>
      <c r="K33" s="82" t="s">
        <v>65</v>
      </c>
      <c r="L33" s="39">
        <f t="shared" si="8"/>
        <v>38.299999999999997</v>
      </c>
      <c r="M33" s="77">
        <f t="shared" si="9"/>
        <v>7.8947367999999997E-3</v>
      </c>
      <c r="N33" s="86">
        <f t="shared" si="13"/>
        <v>88737895.314869255</v>
      </c>
      <c r="O33" s="82" t="s">
        <v>128</v>
      </c>
      <c r="P33" s="39">
        <f t="shared" si="10"/>
        <v>155</v>
      </c>
      <c r="Q33" s="77">
        <f t="shared" si="11"/>
        <v>2.6490066199999999E-2</v>
      </c>
      <c r="R33" s="86">
        <f t="shared" si="14"/>
        <v>507274593.76152164</v>
      </c>
    </row>
    <row r="34" spans="1:18">
      <c r="A34" s="40" t="s">
        <v>48</v>
      </c>
      <c r="B34" s="11" t="s">
        <v>49</v>
      </c>
      <c r="C34" s="95">
        <v>54440000</v>
      </c>
      <c r="D34" s="92">
        <v>1.07123628E-2</v>
      </c>
      <c r="E34" s="93">
        <v>5186.9944760400003</v>
      </c>
      <c r="F34" s="35"/>
      <c r="G34" s="47" t="s">
        <v>74</v>
      </c>
      <c r="H34" s="39">
        <f t="shared" si="6"/>
        <v>19840</v>
      </c>
      <c r="I34" s="77">
        <f t="shared" si="7"/>
        <v>7.0118662400000004E-2</v>
      </c>
      <c r="J34" s="86">
        <f t="shared" si="12"/>
        <v>844497.49216453999</v>
      </c>
      <c r="K34" s="82" t="s">
        <v>250</v>
      </c>
      <c r="L34" s="39">
        <f t="shared" si="8"/>
        <v>84.5</v>
      </c>
      <c r="M34" s="77">
        <f t="shared" si="9"/>
        <v>2.3724791999999999E-3</v>
      </c>
      <c r="N34" s="86">
        <f t="shared" si="13"/>
        <v>126385910.64919059</v>
      </c>
      <c r="O34" s="82" t="s">
        <v>266</v>
      </c>
      <c r="P34" s="39">
        <f t="shared" si="10"/>
        <v>385</v>
      </c>
      <c r="Q34" s="77">
        <f t="shared" si="11"/>
        <v>2.3936170199999999E-2</v>
      </c>
      <c r="R34" s="86">
        <f t="shared" si="14"/>
        <v>2359790137.260066</v>
      </c>
    </row>
    <row r="35" spans="1:18">
      <c r="A35" s="40" t="s">
        <v>77</v>
      </c>
      <c r="B35" s="11" t="s">
        <v>78</v>
      </c>
      <c r="C35" s="95">
        <v>798200</v>
      </c>
      <c r="D35" s="92">
        <v>1.05076592E-2</v>
      </c>
      <c r="E35" s="93">
        <v>44761.298988360002</v>
      </c>
      <c r="F35" s="35"/>
      <c r="G35" s="47" t="s">
        <v>134</v>
      </c>
      <c r="H35" s="44">
        <f t="shared" si="6"/>
        <v>30570</v>
      </c>
      <c r="I35" s="78">
        <f t="shared" si="7"/>
        <v>6.7388268200000004E-2</v>
      </c>
      <c r="J35" s="90">
        <f t="shared" si="12"/>
        <v>6167422.5797209898</v>
      </c>
      <c r="K35" s="83" t="s">
        <v>148</v>
      </c>
      <c r="L35" s="44">
        <f t="shared" si="8"/>
        <v>22.9</v>
      </c>
      <c r="M35" s="78">
        <f t="shared" si="9"/>
        <v>0</v>
      </c>
      <c r="N35" s="90">
        <f t="shared" si="13"/>
        <v>552886581.18044651</v>
      </c>
      <c r="O35" s="83" t="s">
        <v>54</v>
      </c>
      <c r="P35" s="44">
        <f t="shared" si="10"/>
        <v>291</v>
      </c>
      <c r="Q35" s="78">
        <f t="shared" si="11"/>
        <v>2.10526316E-2</v>
      </c>
      <c r="R35" s="90">
        <f t="shared" si="14"/>
        <v>21384928.67250707</v>
      </c>
    </row>
    <row r="36" spans="1:18">
      <c r="A36" s="40" t="s">
        <v>60</v>
      </c>
      <c r="B36" s="11" t="s">
        <v>61</v>
      </c>
      <c r="C36" s="95">
        <v>1005</v>
      </c>
      <c r="D36" s="92">
        <v>1.00502513E-2</v>
      </c>
      <c r="E36" s="93">
        <v>28930661.49702955</v>
      </c>
      <c r="F36" s="35"/>
      <c r="G36" s="49" t="s">
        <v>76</v>
      </c>
      <c r="H36" s="39">
        <f t="shared" si="6"/>
        <v>34840</v>
      </c>
      <c r="I36" s="77">
        <f t="shared" si="7"/>
        <v>6.1547836699999997E-2</v>
      </c>
      <c r="J36" s="99">
        <f t="shared" si="12"/>
        <v>1394767.55923611</v>
      </c>
      <c r="K36" s="82" t="s">
        <v>72</v>
      </c>
      <c r="L36" s="39">
        <f t="shared" si="8"/>
        <v>24.7</v>
      </c>
      <c r="M36" s="77">
        <f t="shared" si="9"/>
        <v>0</v>
      </c>
      <c r="N36" s="99">
        <f t="shared" si="13"/>
        <v>419241826.15921867</v>
      </c>
      <c r="O36" s="82" t="s">
        <v>144</v>
      </c>
      <c r="P36" s="39">
        <f t="shared" si="10"/>
        <v>121</v>
      </c>
      <c r="Q36" s="77">
        <f t="shared" si="11"/>
        <v>1.6806722699999999E-2</v>
      </c>
      <c r="R36" s="99">
        <f t="shared" si="14"/>
        <v>92088634.072336927</v>
      </c>
    </row>
    <row r="37" spans="1:18">
      <c r="A37" s="40" t="s">
        <v>107</v>
      </c>
      <c r="B37" s="11" t="s">
        <v>108</v>
      </c>
      <c r="C37" s="95">
        <v>1510</v>
      </c>
      <c r="D37" s="92">
        <v>1.0033444799999999E-2</v>
      </c>
      <c r="E37" s="93">
        <v>7849878.4849293698</v>
      </c>
      <c r="F37" s="35"/>
      <c r="G37" s="47" t="s">
        <v>224</v>
      </c>
      <c r="H37" s="39">
        <f t="shared" si="6"/>
        <v>5465</v>
      </c>
      <c r="I37" s="77">
        <f t="shared" si="7"/>
        <v>5.4001928599999999E-2</v>
      </c>
      <c r="J37" s="86">
        <f t="shared" si="12"/>
        <v>19210382.769587561</v>
      </c>
      <c r="K37" s="82" t="s">
        <v>98</v>
      </c>
      <c r="L37" s="39">
        <f t="shared" si="8"/>
        <v>5.37</v>
      </c>
      <c r="M37" s="77">
        <f t="shared" si="9"/>
        <v>-3.7105750999999998E-3</v>
      </c>
      <c r="N37" s="86">
        <f t="shared" si="13"/>
        <v>20624984185.88496</v>
      </c>
      <c r="O37" s="82" t="s">
        <v>118</v>
      </c>
      <c r="P37" s="39">
        <f t="shared" si="10"/>
        <v>176</v>
      </c>
      <c r="Q37" s="77">
        <f t="shared" si="11"/>
        <v>1.14942529E-2</v>
      </c>
      <c r="R37" s="86">
        <f t="shared" si="14"/>
        <v>23192463.031254869</v>
      </c>
    </row>
    <row r="38" spans="1:18">
      <c r="A38" s="40" t="s">
        <v>159</v>
      </c>
      <c r="B38" s="11" t="s">
        <v>160</v>
      </c>
      <c r="C38" s="95">
        <v>1565</v>
      </c>
      <c r="D38" s="92">
        <v>9.6774193999999997E-3</v>
      </c>
      <c r="E38" s="93">
        <v>2859962.6822275701</v>
      </c>
      <c r="F38" s="35"/>
      <c r="G38" s="47" t="s">
        <v>114</v>
      </c>
      <c r="H38" s="39">
        <f t="shared" si="6"/>
        <v>781</v>
      </c>
      <c r="I38" s="77">
        <f t="shared" si="7"/>
        <v>4.8322147699999998E-2</v>
      </c>
      <c r="J38" s="86">
        <f t="shared" si="12"/>
        <v>97203063.595957831</v>
      </c>
      <c r="K38" s="82" t="s">
        <v>190</v>
      </c>
      <c r="L38" s="39">
        <f t="shared" si="8"/>
        <v>19.600000000000001</v>
      </c>
      <c r="M38" s="77">
        <f t="shared" si="9"/>
        <v>-5.0761421000000001E-3</v>
      </c>
      <c r="N38" s="86">
        <f t="shared" si="13"/>
        <v>514784029.95514017</v>
      </c>
      <c r="O38" s="82" t="s">
        <v>51</v>
      </c>
      <c r="P38" s="39">
        <f t="shared" si="10"/>
        <v>441</v>
      </c>
      <c r="Q38" s="77">
        <f t="shared" si="11"/>
        <v>1.14678899E-2</v>
      </c>
      <c r="R38" s="86">
        <f t="shared" si="14"/>
        <v>95996112.483269498</v>
      </c>
    </row>
    <row r="39" spans="1:18">
      <c r="A39" s="40" t="s">
        <v>151</v>
      </c>
      <c r="B39" s="11" t="s">
        <v>152</v>
      </c>
      <c r="C39" s="95">
        <v>106</v>
      </c>
      <c r="D39" s="92">
        <v>9.5238094999999991E-3</v>
      </c>
      <c r="E39" s="93">
        <v>327663162.97299767</v>
      </c>
      <c r="F39" s="35"/>
      <c r="G39" s="47" t="s">
        <v>122</v>
      </c>
      <c r="H39" s="39">
        <f t="shared" si="6"/>
        <v>38</v>
      </c>
      <c r="I39" s="77">
        <f t="shared" si="7"/>
        <v>4.68319559E-2</v>
      </c>
      <c r="J39" s="86">
        <f t="shared" si="12"/>
        <v>398918105.0253678</v>
      </c>
      <c r="K39" s="82" t="s">
        <v>202</v>
      </c>
      <c r="L39" s="39">
        <f t="shared" si="8"/>
        <v>94</v>
      </c>
      <c r="M39" s="77">
        <f t="shared" si="9"/>
        <v>-7.3917634999999997E-3</v>
      </c>
      <c r="N39" s="86">
        <f t="shared" si="13"/>
        <v>375533090.30857718</v>
      </c>
      <c r="O39" s="82" t="s">
        <v>80</v>
      </c>
      <c r="P39" s="39">
        <f t="shared" si="10"/>
        <v>931</v>
      </c>
      <c r="Q39" s="77">
        <f t="shared" si="11"/>
        <v>1.08577633E-2</v>
      </c>
      <c r="R39" s="86">
        <f t="shared" si="14"/>
        <v>5823448.1812787196</v>
      </c>
    </row>
    <row r="40" spans="1:18" ht="17.25" thickBot="1">
      <c r="A40" s="40" t="s">
        <v>131</v>
      </c>
      <c r="B40" s="11" t="s">
        <v>132</v>
      </c>
      <c r="C40" s="95">
        <v>127</v>
      </c>
      <c r="D40" s="92">
        <v>7.9365079000000005E-3</v>
      </c>
      <c r="E40" s="93">
        <v>77275210.053176835</v>
      </c>
      <c r="F40" s="35"/>
      <c r="G40" s="53" t="s">
        <v>130</v>
      </c>
      <c r="H40" s="37">
        <f t="shared" si="6"/>
        <v>120</v>
      </c>
      <c r="I40" s="79">
        <f t="shared" si="7"/>
        <v>4.3478260900000003E-2</v>
      </c>
      <c r="J40" s="87">
        <f t="shared" si="12"/>
        <v>285575746.14461941</v>
      </c>
      <c r="K40" s="84" t="s">
        <v>188</v>
      </c>
      <c r="L40" s="37">
        <f t="shared" si="8"/>
        <v>13</v>
      </c>
      <c r="M40" s="79">
        <f t="shared" si="9"/>
        <v>-1.51515152E-2</v>
      </c>
      <c r="N40" s="87">
        <f t="shared" si="13"/>
        <v>370083912.70668685</v>
      </c>
      <c r="O40" s="84" t="s">
        <v>152</v>
      </c>
      <c r="P40" s="37">
        <f t="shared" si="10"/>
        <v>106</v>
      </c>
      <c r="Q40" s="79">
        <f t="shared" si="11"/>
        <v>9.5238094999999991E-3</v>
      </c>
      <c r="R40" s="87">
        <f t="shared" si="14"/>
        <v>327663162.97299767</v>
      </c>
    </row>
    <row r="41" spans="1:18">
      <c r="A41" s="40" t="s">
        <v>64</v>
      </c>
      <c r="B41" s="11" t="s">
        <v>65</v>
      </c>
      <c r="C41" s="95">
        <v>38.299999999999997</v>
      </c>
      <c r="D41" s="92">
        <v>7.8947367999999997E-3</v>
      </c>
      <c r="E41" s="93">
        <v>88737895.314869255</v>
      </c>
      <c r="F41" s="35"/>
      <c r="G41" s="52" t="s">
        <v>198</v>
      </c>
      <c r="H41" s="38">
        <f t="shared" si="6"/>
        <v>28040</v>
      </c>
      <c r="I41" s="76">
        <f t="shared" si="7"/>
        <v>4.2766827799999997E-2</v>
      </c>
      <c r="J41" s="85">
        <f t="shared" si="12"/>
        <v>4742114.8557266695</v>
      </c>
      <c r="K41" s="81" t="s">
        <v>210</v>
      </c>
      <c r="L41" s="38">
        <f t="shared" si="8"/>
        <v>12.7</v>
      </c>
      <c r="M41" s="76">
        <f t="shared" si="9"/>
        <v>-1.5503876E-2</v>
      </c>
      <c r="N41" s="85">
        <f t="shared" si="13"/>
        <v>310133541.0642851</v>
      </c>
      <c r="O41" s="81" t="s">
        <v>132</v>
      </c>
      <c r="P41" s="38">
        <f t="shared" si="10"/>
        <v>127</v>
      </c>
      <c r="Q41" s="76">
        <f t="shared" si="11"/>
        <v>7.9365079000000005E-3</v>
      </c>
      <c r="R41" s="85">
        <f t="shared" si="14"/>
        <v>77275210.053176835</v>
      </c>
    </row>
    <row r="42" spans="1:18">
      <c r="A42" s="40" t="s">
        <v>89</v>
      </c>
      <c r="B42" s="11" t="s">
        <v>90</v>
      </c>
      <c r="C42" s="95">
        <v>1405</v>
      </c>
      <c r="D42" s="92">
        <v>7.1684588000000002E-3</v>
      </c>
      <c r="E42" s="93">
        <v>433805355.45578516</v>
      </c>
      <c r="F42" s="35"/>
      <c r="G42" s="47" t="s">
        <v>170</v>
      </c>
      <c r="H42" s="39">
        <f t="shared" si="6"/>
        <v>33220</v>
      </c>
      <c r="I42" s="77">
        <f t="shared" si="7"/>
        <v>3.5859058300000003E-2</v>
      </c>
      <c r="J42" s="86">
        <f t="shared" si="12"/>
        <v>1885953.2207249</v>
      </c>
      <c r="K42" s="82" t="s">
        <v>234</v>
      </c>
      <c r="L42" s="39">
        <f t="shared" si="8"/>
        <v>75.8</v>
      </c>
      <c r="M42" s="77">
        <f t="shared" si="9"/>
        <v>-1.55844156E-2</v>
      </c>
      <c r="N42" s="86">
        <f t="shared" si="13"/>
        <v>128990701.97258215</v>
      </c>
      <c r="O42" s="82" t="s">
        <v>164</v>
      </c>
      <c r="P42" s="39">
        <f t="shared" si="10"/>
        <v>355</v>
      </c>
      <c r="Q42" s="77">
        <f t="shared" si="11"/>
        <v>2.8248587999999998E-3</v>
      </c>
      <c r="R42" s="86">
        <f t="shared" si="14"/>
        <v>141655288.78666303</v>
      </c>
    </row>
    <row r="43" spans="1:18">
      <c r="A43" s="40" t="s">
        <v>99</v>
      </c>
      <c r="B43" s="11" t="s">
        <v>100</v>
      </c>
      <c r="C43" s="95">
        <v>82070</v>
      </c>
      <c r="D43" s="92">
        <v>6.8703226999999997E-3</v>
      </c>
      <c r="E43" s="93">
        <v>4619671.0604240699</v>
      </c>
      <c r="F43" s="35"/>
      <c r="G43" s="47" t="s">
        <v>156</v>
      </c>
      <c r="H43" s="39">
        <f t="shared" si="6"/>
        <v>1965</v>
      </c>
      <c r="I43" s="77">
        <f t="shared" si="7"/>
        <v>3.1496062999999998E-2</v>
      </c>
      <c r="J43" s="86">
        <f t="shared" si="12"/>
        <v>7915835.5647288999</v>
      </c>
      <c r="K43" s="82" t="s">
        <v>178</v>
      </c>
      <c r="L43" s="39">
        <f t="shared" si="8"/>
        <v>17.5</v>
      </c>
      <c r="M43" s="77">
        <f t="shared" si="9"/>
        <v>-1.68539326E-2</v>
      </c>
      <c r="N43" s="86">
        <f t="shared" si="13"/>
        <v>309373834.6824562</v>
      </c>
      <c r="O43" s="82" t="s">
        <v>86</v>
      </c>
      <c r="P43" s="39">
        <f t="shared" si="10"/>
        <v>420</v>
      </c>
      <c r="Q43" s="77">
        <f t="shared" si="11"/>
        <v>2.3866348000000002E-3</v>
      </c>
      <c r="R43" s="86">
        <f t="shared" si="14"/>
        <v>47060772.21958711</v>
      </c>
    </row>
    <row r="44" spans="1:18">
      <c r="A44" s="40" t="s">
        <v>91</v>
      </c>
      <c r="B44" s="11" t="s">
        <v>92</v>
      </c>
      <c r="C44" s="95">
        <v>78800</v>
      </c>
      <c r="D44" s="92">
        <v>6.6428206E-3</v>
      </c>
      <c r="E44" s="93">
        <v>607817.72416622995</v>
      </c>
      <c r="F44" s="35"/>
      <c r="G44" s="47" t="s">
        <v>104</v>
      </c>
      <c r="H44" s="39">
        <f t="shared" si="6"/>
        <v>1245</v>
      </c>
      <c r="I44" s="77">
        <f t="shared" si="7"/>
        <v>2.89256198E-2</v>
      </c>
      <c r="J44" s="86">
        <f t="shared" si="12"/>
        <v>4063421.5867728498</v>
      </c>
      <c r="K44" s="82" t="s">
        <v>240</v>
      </c>
      <c r="L44" s="39">
        <f t="shared" si="8"/>
        <v>75</v>
      </c>
      <c r="M44" s="77">
        <f t="shared" si="9"/>
        <v>-1.9607843100000001E-2</v>
      </c>
      <c r="N44" s="86">
        <f t="shared" si="13"/>
        <v>107388847.14890809</v>
      </c>
      <c r="O44" s="82" t="s">
        <v>124</v>
      </c>
      <c r="P44" s="39">
        <f t="shared" si="10"/>
        <v>397</v>
      </c>
      <c r="Q44" s="77">
        <f t="shared" si="11"/>
        <v>0</v>
      </c>
      <c r="R44" s="86">
        <f t="shared" si="14"/>
        <v>32469453.349211462</v>
      </c>
    </row>
    <row r="45" spans="1:18">
      <c r="A45" s="40" t="s">
        <v>87</v>
      </c>
      <c r="B45" s="11" t="s">
        <v>88</v>
      </c>
      <c r="C45" s="95">
        <v>205950</v>
      </c>
      <c r="D45" s="92">
        <v>3.4104750000000001E-3</v>
      </c>
      <c r="E45" s="93">
        <v>45553.903683529999</v>
      </c>
      <c r="F45" s="35"/>
      <c r="G45" s="47" t="s">
        <v>208</v>
      </c>
      <c r="H45" s="44">
        <f t="shared" si="6"/>
        <v>14.7</v>
      </c>
      <c r="I45" s="78">
        <f t="shared" si="7"/>
        <v>2.7972027999999999E-2</v>
      </c>
      <c r="J45" s="90">
        <f t="shared" si="12"/>
        <v>695827726.570665</v>
      </c>
      <c r="K45" s="83" t="s">
        <v>216</v>
      </c>
      <c r="L45" s="44">
        <f t="shared" si="8"/>
        <v>11.5</v>
      </c>
      <c r="M45" s="78">
        <f t="shared" si="9"/>
        <v>-2.54237288E-2</v>
      </c>
      <c r="N45" s="90">
        <f t="shared" si="13"/>
        <v>803761591.83898485</v>
      </c>
      <c r="O45" s="83" t="s">
        <v>166</v>
      </c>
      <c r="P45" s="44">
        <f t="shared" si="10"/>
        <v>249</v>
      </c>
      <c r="Q45" s="78">
        <f t="shared" si="11"/>
        <v>-4.0000000000000001E-3</v>
      </c>
      <c r="R45" s="90">
        <f t="shared" si="14"/>
        <v>91825028.532603577</v>
      </c>
    </row>
    <row r="46" spans="1:18">
      <c r="A46" s="40" t="s">
        <v>163</v>
      </c>
      <c r="B46" s="11" t="s">
        <v>164</v>
      </c>
      <c r="C46" s="95">
        <v>355</v>
      </c>
      <c r="D46" s="92">
        <v>2.8248587999999998E-3</v>
      </c>
      <c r="E46" s="93">
        <v>141655288.78666303</v>
      </c>
      <c r="F46" s="35"/>
      <c r="G46" s="49" t="s">
        <v>128</v>
      </c>
      <c r="H46" s="39">
        <f t="shared" si="6"/>
        <v>155</v>
      </c>
      <c r="I46" s="77">
        <f t="shared" si="7"/>
        <v>2.6490066199999999E-2</v>
      </c>
      <c r="J46" s="99">
        <f t="shared" si="12"/>
        <v>507274593.76152164</v>
      </c>
      <c r="K46" s="82" t="s">
        <v>204</v>
      </c>
      <c r="L46" s="39">
        <f t="shared" si="8"/>
        <v>16.100000000000001</v>
      </c>
      <c r="M46" s="77">
        <f t="shared" si="9"/>
        <v>-3.0120481899999999E-2</v>
      </c>
      <c r="N46" s="99">
        <f t="shared" si="13"/>
        <v>638680967.04828489</v>
      </c>
      <c r="O46" s="82" t="s">
        <v>110</v>
      </c>
      <c r="P46" s="39">
        <f t="shared" si="10"/>
        <v>195</v>
      </c>
      <c r="Q46" s="77">
        <f t="shared" si="11"/>
        <v>-5.1020407999999998E-3</v>
      </c>
      <c r="R46" s="99">
        <f t="shared" si="14"/>
        <v>127338437.27029234</v>
      </c>
    </row>
    <row r="47" spans="1:18">
      <c r="A47" s="40" t="s">
        <v>85</v>
      </c>
      <c r="B47" s="11" t="s">
        <v>86</v>
      </c>
      <c r="C47" s="95">
        <v>420</v>
      </c>
      <c r="D47" s="92">
        <v>2.3866348000000002E-3</v>
      </c>
      <c r="E47" s="93">
        <v>47060772.21958711</v>
      </c>
      <c r="F47" s="35"/>
      <c r="G47" s="47" t="s">
        <v>96</v>
      </c>
      <c r="H47" s="39">
        <f t="shared" si="6"/>
        <v>4380</v>
      </c>
      <c r="I47" s="77">
        <f t="shared" si="7"/>
        <v>2.5761124100000001E-2</v>
      </c>
      <c r="J47" s="86">
        <f t="shared" si="12"/>
        <v>3124068.7351899198</v>
      </c>
      <c r="K47" s="82" t="s">
        <v>150</v>
      </c>
      <c r="L47" s="39">
        <f t="shared" si="8"/>
        <v>13.2</v>
      </c>
      <c r="M47" s="77">
        <f t="shared" si="9"/>
        <v>-3.6496350400000002E-2</v>
      </c>
      <c r="N47" s="86">
        <f t="shared" si="13"/>
        <v>936889626.36343789</v>
      </c>
      <c r="O47" s="82" t="s">
        <v>218</v>
      </c>
      <c r="P47" s="39">
        <f t="shared" si="10"/>
        <v>136</v>
      </c>
      <c r="Q47" s="77">
        <f t="shared" si="11"/>
        <v>-7.2992700999999997E-3</v>
      </c>
      <c r="R47" s="86">
        <f t="shared" si="14"/>
        <v>52116197.914904572</v>
      </c>
    </row>
    <row r="48" spans="1:18">
      <c r="A48" s="40" t="s">
        <v>249</v>
      </c>
      <c r="B48" s="11" t="s">
        <v>250</v>
      </c>
      <c r="C48" s="95">
        <v>84.5</v>
      </c>
      <c r="D48" s="92">
        <v>2.3724791999999999E-3</v>
      </c>
      <c r="E48" s="93">
        <v>126385910.64919059</v>
      </c>
      <c r="F48" s="35"/>
      <c r="G48" s="47" t="s">
        <v>112</v>
      </c>
      <c r="H48" s="39">
        <f t="shared" si="6"/>
        <v>9170</v>
      </c>
      <c r="I48" s="77">
        <f t="shared" si="7"/>
        <v>2.5153717200000002E-2</v>
      </c>
      <c r="J48" s="86">
        <f t="shared" si="12"/>
        <v>1803704.36904777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57</v>
      </c>
      <c r="P48" s="39">
        <f t="shared" si="10"/>
        <v>250</v>
      </c>
      <c r="Q48" s="77">
        <f t="shared" si="11"/>
        <v>-7.9365079000000005E-3</v>
      </c>
      <c r="R48" s="86">
        <f t="shared" si="14"/>
        <v>117011477.66642934</v>
      </c>
    </row>
    <row r="49" spans="1:18">
      <c r="A49" s="40" t="s">
        <v>81</v>
      </c>
      <c r="B49" s="11" t="s">
        <v>82</v>
      </c>
      <c r="C49" s="95">
        <v>2435</v>
      </c>
      <c r="D49" s="92">
        <v>2.0576131999999999E-3</v>
      </c>
      <c r="E49" s="93">
        <v>48980896.37508183</v>
      </c>
      <c r="F49" s="35"/>
      <c r="G49" s="47" t="s">
        <v>94</v>
      </c>
      <c r="H49" s="39">
        <f t="shared" si="6"/>
        <v>3785000</v>
      </c>
      <c r="I49" s="77">
        <f t="shared" si="7"/>
        <v>2.4357239499999999E-2</v>
      </c>
      <c r="J49" s="86">
        <f t="shared" si="12"/>
        <v>50358.843847880002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238</v>
      </c>
      <c r="P49" s="39">
        <f t="shared" si="10"/>
        <v>117</v>
      </c>
      <c r="Q49" s="77">
        <f t="shared" si="11"/>
        <v>-8.4745762999999998E-3</v>
      </c>
      <c r="R49" s="86">
        <f t="shared" si="14"/>
        <v>195847194.37556615</v>
      </c>
    </row>
    <row r="50" spans="1:18" ht="17.25" thickBot="1">
      <c r="A50" s="40" t="s">
        <v>83</v>
      </c>
      <c r="B50" s="11" t="s">
        <v>84</v>
      </c>
      <c r="C50" s="95">
        <v>6485</v>
      </c>
      <c r="D50" s="92">
        <v>1.5444015000000001E-3</v>
      </c>
      <c r="E50" s="93">
        <v>34759134.45115076</v>
      </c>
      <c r="F50" s="35"/>
      <c r="G50" s="53" t="s">
        <v>266</v>
      </c>
      <c r="H50" s="37">
        <f t="shared" si="6"/>
        <v>385</v>
      </c>
      <c r="I50" s="79">
        <f t="shared" si="7"/>
        <v>2.3936170199999999E-2</v>
      </c>
      <c r="J50" s="87">
        <f t="shared" si="12"/>
        <v>2359790137.260066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220</v>
      </c>
      <c r="P50" s="37">
        <f t="shared" si="10"/>
        <v>215</v>
      </c>
      <c r="Q50" s="79">
        <f t="shared" si="11"/>
        <v>-9.2165899000000006E-3</v>
      </c>
      <c r="R50" s="87">
        <f t="shared" si="14"/>
        <v>55600346.313190833</v>
      </c>
    </row>
    <row r="51" spans="1:18">
      <c r="A51" s="40" t="s">
        <v>105</v>
      </c>
      <c r="B51" s="11" t="s">
        <v>106</v>
      </c>
      <c r="C51" s="95">
        <v>66080</v>
      </c>
      <c r="D51" s="92">
        <v>1.5156108E-3</v>
      </c>
      <c r="E51" s="93">
        <v>598657.96540704998</v>
      </c>
      <c r="F51" s="35"/>
    </row>
    <row r="52" spans="1:18" ht="17.25" thickBot="1">
      <c r="A52" s="40" t="s">
        <v>62</v>
      </c>
      <c r="B52" s="11" t="s">
        <v>63</v>
      </c>
      <c r="C52" s="95">
        <v>66280</v>
      </c>
      <c r="D52" s="92">
        <v>1.5110305E-3</v>
      </c>
      <c r="E52" s="93">
        <v>462193.98177899001</v>
      </c>
      <c r="F52" s="35"/>
    </row>
    <row r="53" spans="1:18" ht="17.25" thickBot="1">
      <c r="A53" s="40" t="s">
        <v>147</v>
      </c>
      <c r="B53" s="11" t="s">
        <v>148</v>
      </c>
      <c r="C53" s="95">
        <v>22.9</v>
      </c>
      <c r="D53" s="92">
        <v>0</v>
      </c>
      <c r="E53" s="93">
        <v>552886581.18044651</v>
      </c>
      <c r="F53" s="35"/>
      <c r="G53" s="249" t="s">
        <v>255</v>
      </c>
      <c r="H53" s="250"/>
      <c r="I53" s="250"/>
      <c r="J53" s="251"/>
      <c r="K53" s="249" t="s">
        <v>258</v>
      </c>
      <c r="L53" s="250"/>
      <c r="M53" s="250"/>
      <c r="N53" s="251"/>
      <c r="O53" s="249" t="s">
        <v>259</v>
      </c>
      <c r="P53" s="250"/>
      <c r="Q53" s="250"/>
      <c r="R53" s="251"/>
    </row>
    <row r="54" spans="1:18" ht="17.25" thickBot="1">
      <c r="A54" s="40" t="s">
        <v>101</v>
      </c>
      <c r="B54" s="11" t="s">
        <v>102</v>
      </c>
      <c r="C54" s="95">
        <v>1270</v>
      </c>
      <c r="D54" s="92">
        <v>0</v>
      </c>
      <c r="E54" s="93">
        <v>8628054.9281132892</v>
      </c>
      <c r="F54" s="35"/>
      <c r="G54" s="286" t="s">
        <v>55</v>
      </c>
      <c r="H54" s="302">
        <f ca="1">NOW()</f>
        <v>44425.876754282406</v>
      </c>
      <c r="I54" s="303"/>
      <c r="J54" s="304"/>
      <c r="K54" s="301" t="s">
        <v>55</v>
      </c>
      <c r="L54" s="302">
        <f ca="1">NOW()</f>
        <v>44425.876754282406</v>
      </c>
      <c r="M54" s="303"/>
      <c r="N54" s="304"/>
      <c r="O54" s="301" t="s">
        <v>55</v>
      </c>
      <c r="P54" s="302">
        <f ca="1">NOW()</f>
        <v>44425.876754282406</v>
      </c>
      <c r="Q54" s="303"/>
      <c r="R54" s="304"/>
    </row>
    <row r="55" spans="1:18" ht="17.25" thickBot="1">
      <c r="A55" s="40" t="s">
        <v>123</v>
      </c>
      <c r="B55" s="11" t="s">
        <v>124</v>
      </c>
      <c r="C55" s="95">
        <v>397</v>
      </c>
      <c r="D55" s="92">
        <v>0</v>
      </c>
      <c r="E55" s="93">
        <v>32469453.349211462</v>
      </c>
      <c r="F55" s="35"/>
      <c r="G55" s="294"/>
      <c r="H55" s="51" t="s">
        <v>58</v>
      </c>
      <c r="I55" s="73" t="s">
        <v>59</v>
      </c>
      <c r="J55" s="69" t="s">
        <v>264</v>
      </c>
      <c r="K55" s="272"/>
      <c r="L55" s="51" t="s">
        <v>58</v>
      </c>
      <c r="M55" s="73" t="s">
        <v>59</v>
      </c>
      <c r="N55" s="69" t="s">
        <v>264</v>
      </c>
      <c r="O55" s="272"/>
      <c r="P55" s="51" t="s">
        <v>58</v>
      </c>
      <c r="Q55" s="73" t="s">
        <v>59</v>
      </c>
      <c r="R55" s="69" t="s">
        <v>264</v>
      </c>
    </row>
    <row r="56" spans="1:18">
      <c r="A56" s="40" t="s">
        <v>71</v>
      </c>
      <c r="B56" s="11" t="s">
        <v>72</v>
      </c>
      <c r="C56" s="95">
        <v>24.7</v>
      </c>
      <c r="D56" s="92">
        <v>0</v>
      </c>
      <c r="E56" s="93">
        <v>419241826.15921867</v>
      </c>
      <c r="F56" s="35"/>
      <c r="G56" s="55" t="s">
        <v>234</v>
      </c>
      <c r="H56" s="38">
        <f t="shared" ref="H56:H75" si="15">_xlfn.IFNA(VLOOKUP(G56, $B$2:$D$200, 2, FALSE), "")</f>
        <v>75.8</v>
      </c>
      <c r="I56" s="76">
        <f t="shared" ref="I56:I65" si="16">_xlfn.IFNA(VLOOKUP(G56, $B$2:$D$200, 3, FALSE), "")</f>
        <v>-1.55844156E-2</v>
      </c>
      <c r="J56" s="85">
        <f>_xlfn.IFNA(VLOOKUP(G56, $B$2:$E$200, 4, FALSE), "")</f>
        <v>128990701.97258215</v>
      </c>
      <c r="K56" s="81" t="s">
        <v>122</v>
      </c>
      <c r="L56" s="38">
        <f t="shared" ref="L56:L75" si="17">_xlfn.IFNA(VLOOKUP(K56, $B$2:$D$200, 2, FALSE), "")</f>
        <v>38</v>
      </c>
      <c r="M56" s="76">
        <f t="shared" ref="M56:M75" si="18">_xlfn.IFNA(VLOOKUP(K56, $B$2:$D$200, 3, FALSE), "")</f>
        <v>4.68319559E-2</v>
      </c>
      <c r="N56" s="85">
        <f>_xlfn.IFNA(VLOOKUP(K56, $B$2:$E$200, 4, FALSE), "")</f>
        <v>398918105.0253678</v>
      </c>
      <c r="O56" s="81" t="s">
        <v>166</v>
      </c>
      <c r="P56" s="38">
        <f t="shared" ref="P56:P75" si="19">_xlfn.IFNA(VLOOKUP(O56, $B$2:$D$200, 2, FALSE), "")</f>
        <v>249</v>
      </c>
      <c r="Q56" s="76">
        <f t="shared" ref="Q56:Q75" si="20">_xlfn.IFNA(VLOOKUP(O56, $B$2:$D$200, 3, FALSE), "")</f>
        <v>-4.0000000000000001E-3</v>
      </c>
      <c r="R56" s="85">
        <f>_xlfn.IFNA(VLOOKUP(O56, $B$2:$E$200, 4, FALSE), "")</f>
        <v>91825028.532603577</v>
      </c>
    </row>
    <row r="57" spans="1:18">
      <c r="A57" s="40" t="s">
        <v>185</v>
      </c>
      <c r="B57" s="11" t="s">
        <v>186</v>
      </c>
      <c r="C57" s="95">
        <v>10130</v>
      </c>
      <c r="D57" s="92">
        <v>-2.9527558999999999E-3</v>
      </c>
      <c r="E57" s="93">
        <v>1876894.6588595801</v>
      </c>
      <c r="F57" s="35"/>
      <c r="G57" s="56" t="s">
        <v>192</v>
      </c>
      <c r="H57" s="39">
        <f t="shared" si="15"/>
        <v>241</v>
      </c>
      <c r="I57" s="77">
        <f t="shared" si="16"/>
        <v>-1.63265306E-2</v>
      </c>
      <c r="J57" s="86">
        <f t="shared" ref="J57:J75" si="21">_xlfn.IFNA(VLOOKUP(G57, $B$2:$E$200, 4, FALSE), "")</f>
        <v>28406123.20697185</v>
      </c>
      <c r="K57" s="82" t="s">
        <v>208</v>
      </c>
      <c r="L57" s="39">
        <f t="shared" si="17"/>
        <v>14.7</v>
      </c>
      <c r="M57" s="77">
        <f t="shared" si="18"/>
        <v>2.7972027999999999E-2</v>
      </c>
      <c r="N57" s="86">
        <f t="shared" ref="N57:N75" si="22">_xlfn.IFNA(VLOOKUP(K57, $B$2:$E$200, 4, FALSE), "")</f>
        <v>695827726.570665</v>
      </c>
      <c r="O57" s="82" t="s">
        <v>110</v>
      </c>
      <c r="P57" s="39">
        <f t="shared" si="19"/>
        <v>195</v>
      </c>
      <c r="Q57" s="77">
        <f t="shared" si="20"/>
        <v>-5.1020407999999998E-3</v>
      </c>
      <c r="R57" s="86">
        <f t="shared" ref="R57:R75" si="23">_xlfn.IFNA(VLOOKUP(O57, $B$2:$E$200, 4, FALSE), "")</f>
        <v>127338437.27029234</v>
      </c>
    </row>
    <row r="58" spans="1:18">
      <c r="A58" s="40" t="s">
        <v>97</v>
      </c>
      <c r="B58" s="11" t="s">
        <v>98</v>
      </c>
      <c r="C58" s="95">
        <v>5.37</v>
      </c>
      <c r="D58" s="92">
        <v>-3.7105750999999998E-3</v>
      </c>
      <c r="E58" s="93">
        <v>20624984185.88496</v>
      </c>
      <c r="F58" s="35"/>
      <c r="G58" s="56" t="s">
        <v>206</v>
      </c>
      <c r="H58" s="39">
        <f t="shared" si="15"/>
        <v>359</v>
      </c>
      <c r="I58" s="77">
        <f t="shared" si="16"/>
        <v>-1.64383562E-2</v>
      </c>
      <c r="J58" s="86">
        <f t="shared" si="21"/>
        <v>8736992.6889521405</v>
      </c>
      <c r="K58" s="82" t="s">
        <v>65</v>
      </c>
      <c r="L58" s="39">
        <f t="shared" si="17"/>
        <v>38.299999999999997</v>
      </c>
      <c r="M58" s="77">
        <f t="shared" si="18"/>
        <v>7.8947367999999997E-3</v>
      </c>
      <c r="N58" s="86">
        <f t="shared" si="22"/>
        <v>88737895.314869255</v>
      </c>
      <c r="O58" s="82" t="s">
        <v>218</v>
      </c>
      <c r="P58" s="39">
        <f t="shared" si="19"/>
        <v>136</v>
      </c>
      <c r="Q58" s="77">
        <f t="shared" si="20"/>
        <v>-7.2992700999999997E-3</v>
      </c>
      <c r="R58" s="86">
        <f t="shared" si="23"/>
        <v>52116197.914904572</v>
      </c>
    </row>
    <row r="59" spans="1:18">
      <c r="A59" s="40" t="s">
        <v>165</v>
      </c>
      <c r="B59" s="11" t="s">
        <v>166</v>
      </c>
      <c r="C59" s="95">
        <v>249</v>
      </c>
      <c r="D59" s="92">
        <v>-4.0000000000000001E-3</v>
      </c>
      <c r="E59" s="93">
        <v>91825028.532603577</v>
      </c>
      <c r="F59" s="35"/>
      <c r="G59" s="56" t="s">
        <v>178</v>
      </c>
      <c r="H59" s="39">
        <f t="shared" si="15"/>
        <v>17.5</v>
      </c>
      <c r="I59" s="77">
        <f t="shared" si="16"/>
        <v>-1.68539326E-2</v>
      </c>
      <c r="J59" s="86">
        <f t="shared" si="21"/>
        <v>309373834.6824562</v>
      </c>
      <c r="K59" s="82" t="s">
        <v>250</v>
      </c>
      <c r="L59" s="39">
        <f t="shared" si="17"/>
        <v>84.5</v>
      </c>
      <c r="M59" s="77">
        <f t="shared" si="18"/>
        <v>2.3724791999999999E-3</v>
      </c>
      <c r="N59" s="86">
        <f t="shared" si="22"/>
        <v>126385910.64919059</v>
      </c>
      <c r="O59" s="82" t="s">
        <v>57</v>
      </c>
      <c r="P59" s="39">
        <f t="shared" si="19"/>
        <v>250</v>
      </c>
      <c r="Q59" s="77">
        <f t="shared" si="20"/>
        <v>-7.9365079000000005E-3</v>
      </c>
      <c r="R59" s="86">
        <f t="shared" si="23"/>
        <v>117011477.66642934</v>
      </c>
    </row>
    <row r="60" spans="1:18">
      <c r="A60" s="40" t="s">
        <v>189</v>
      </c>
      <c r="B60" s="11" t="s">
        <v>190</v>
      </c>
      <c r="C60" s="95">
        <v>19.600000000000001</v>
      </c>
      <c r="D60" s="92">
        <v>-5.0761421000000001E-3</v>
      </c>
      <c r="E60" s="93">
        <v>514784029.95514017</v>
      </c>
      <c r="F60" s="35"/>
      <c r="G60" s="56" t="s">
        <v>162</v>
      </c>
      <c r="H60" s="39">
        <f t="shared" si="15"/>
        <v>116</v>
      </c>
      <c r="I60" s="77">
        <f t="shared" si="16"/>
        <v>-1.6949152499999998E-2</v>
      </c>
      <c r="J60" s="90">
        <f t="shared" si="21"/>
        <v>137357541.59985518</v>
      </c>
      <c r="K60" s="83" t="s">
        <v>148</v>
      </c>
      <c r="L60" s="44">
        <f t="shared" si="17"/>
        <v>22.9</v>
      </c>
      <c r="M60" s="78">
        <f t="shared" si="18"/>
        <v>0</v>
      </c>
      <c r="N60" s="90">
        <f t="shared" si="22"/>
        <v>552886581.18044651</v>
      </c>
      <c r="O60" s="83" t="s">
        <v>238</v>
      </c>
      <c r="P60" s="44">
        <f t="shared" si="19"/>
        <v>117</v>
      </c>
      <c r="Q60" s="78">
        <f t="shared" si="20"/>
        <v>-8.4745762999999998E-3</v>
      </c>
      <c r="R60" s="90">
        <f t="shared" si="23"/>
        <v>195847194.37556615</v>
      </c>
    </row>
    <row r="61" spans="1:18">
      <c r="A61" s="40" t="s">
        <v>109</v>
      </c>
      <c r="B61" s="11" t="s">
        <v>110</v>
      </c>
      <c r="C61" s="95">
        <v>195</v>
      </c>
      <c r="D61" s="92">
        <v>-5.1020407999999998E-3</v>
      </c>
      <c r="E61" s="93">
        <v>127338437.27029234</v>
      </c>
      <c r="F61" s="35"/>
      <c r="G61" s="60" t="s">
        <v>172</v>
      </c>
      <c r="H61" s="45">
        <f t="shared" si="15"/>
        <v>3440</v>
      </c>
      <c r="I61" s="80">
        <f t="shared" si="16"/>
        <v>-1.7142857099999999E-2</v>
      </c>
      <c r="J61" s="99">
        <f t="shared" si="21"/>
        <v>4926702.7362685297</v>
      </c>
      <c r="K61" s="82" t="s">
        <v>72</v>
      </c>
      <c r="L61" s="39">
        <f t="shared" si="17"/>
        <v>24.7</v>
      </c>
      <c r="M61" s="77">
        <f t="shared" si="18"/>
        <v>0</v>
      </c>
      <c r="N61" s="99">
        <f t="shared" si="22"/>
        <v>419241826.15921867</v>
      </c>
      <c r="O61" s="82" t="s">
        <v>220</v>
      </c>
      <c r="P61" s="39">
        <f t="shared" si="19"/>
        <v>215</v>
      </c>
      <c r="Q61" s="77">
        <f t="shared" si="20"/>
        <v>-9.2165899000000006E-3</v>
      </c>
      <c r="R61" s="99">
        <f t="shared" si="23"/>
        <v>55600346.313190833</v>
      </c>
    </row>
    <row r="62" spans="1:18">
      <c r="A62" s="40" t="s">
        <v>167</v>
      </c>
      <c r="B62" s="11" t="s">
        <v>168</v>
      </c>
      <c r="C62" s="95">
        <v>1755</v>
      </c>
      <c r="D62" s="92">
        <v>-5.6657223999999999E-3</v>
      </c>
      <c r="E62" s="93">
        <v>13384924.40965814</v>
      </c>
      <c r="F62" s="35"/>
      <c r="G62" s="56" t="s">
        <v>120</v>
      </c>
      <c r="H62" s="39">
        <f t="shared" si="15"/>
        <v>5275</v>
      </c>
      <c r="I62" s="77">
        <f t="shared" si="16"/>
        <v>-1.7690875200000001E-2</v>
      </c>
      <c r="J62" s="86">
        <f t="shared" si="21"/>
        <v>4527738.8024454201</v>
      </c>
      <c r="K62" s="82" t="s">
        <v>98</v>
      </c>
      <c r="L62" s="39">
        <f t="shared" si="17"/>
        <v>5.37</v>
      </c>
      <c r="M62" s="77">
        <f t="shared" si="18"/>
        <v>-3.7105750999999998E-3</v>
      </c>
      <c r="N62" s="86">
        <f t="shared" si="22"/>
        <v>20624984185.88496</v>
      </c>
      <c r="O62" s="82" t="s">
        <v>138</v>
      </c>
      <c r="P62" s="39">
        <f t="shared" si="19"/>
        <v>416</v>
      </c>
      <c r="Q62" s="77">
        <f t="shared" si="20"/>
        <v>-9.5238094999999991E-3</v>
      </c>
      <c r="R62" s="86">
        <f t="shared" si="23"/>
        <v>131990321.52644677</v>
      </c>
    </row>
    <row r="63" spans="1:18">
      <c r="A63" s="40" t="s">
        <v>66</v>
      </c>
      <c r="B63" s="11" t="s">
        <v>67</v>
      </c>
      <c r="C63" s="95">
        <v>5030</v>
      </c>
      <c r="D63" s="92">
        <v>-5.9288537999999998E-3</v>
      </c>
      <c r="E63" s="93">
        <v>7058399.9203200797</v>
      </c>
      <c r="F63" s="35"/>
      <c r="G63" s="56" t="s">
        <v>230</v>
      </c>
      <c r="H63" s="39">
        <f t="shared" si="15"/>
        <v>218</v>
      </c>
      <c r="I63" s="77">
        <f t="shared" si="16"/>
        <v>-1.8018018E-2</v>
      </c>
      <c r="J63" s="86">
        <f t="shared" si="21"/>
        <v>16470895.02634247</v>
      </c>
      <c r="K63" s="82" t="s">
        <v>190</v>
      </c>
      <c r="L63" s="39">
        <f t="shared" si="17"/>
        <v>19.600000000000001</v>
      </c>
      <c r="M63" s="77">
        <f t="shared" si="18"/>
        <v>-5.0761421000000001E-3</v>
      </c>
      <c r="N63" s="86">
        <f t="shared" si="22"/>
        <v>514784029.95514017</v>
      </c>
      <c r="O63" s="82" t="s">
        <v>194</v>
      </c>
      <c r="P63" s="39">
        <f t="shared" si="19"/>
        <v>148</v>
      </c>
      <c r="Q63" s="77">
        <f t="shared" si="20"/>
        <v>-1.33333333E-2</v>
      </c>
      <c r="R63" s="86">
        <f t="shared" si="23"/>
        <v>77293001.196064234</v>
      </c>
    </row>
    <row r="64" spans="1:18">
      <c r="A64" s="40" t="s">
        <v>195</v>
      </c>
      <c r="B64" s="11" t="s">
        <v>196</v>
      </c>
      <c r="C64" s="95">
        <v>4810</v>
      </c>
      <c r="D64" s="92">
        <v>-6.1983471000000004E-3</v>
      </c>
      <c r="E64" s="93">
        <v>14471273.61360893</v>
      </c>
      <c r="F64" s="35"/>
      <c r="G64" s="56" t="s">
        <v>246</v>
      </c>
      <c r="H64" s="39">
        <f t="shared" si="15"/>
        <v>9090</v>
      </c>
      <c r="I64" s="77">
        <f t="shared" si="16"/>
        <v>-1.8358531300000001E-2</v>
      </c>
      <c r="J64" s="86">
        <f t="shared" si="21"/>
        <v>1115913.28179341</v>
      </c>
      <c r="K64" s="82" t="s">
        <v>202</v>
      </c>
      <c r="L64" s="39">
        <f t="shared" si="17"/>
        <v>94</v>
      </c>
      <c r="M64" s="77">
        <f t="shared" si="18"/>
        <v>-7.3917634999999997E-3</v>
      </c>
      <c r="N64" s="86">
        <f t="shared" si="22"/>
        <v>375533090.30857718</v>
      </c>
      <c r="O64" s="82" t="s">
        <v>222</v>
      </c>
      <c r="P64" s="39">
        <f t="shared" si="19"/>
        <v>147</v>
      </c>
      <c r="Q64" s="77">
        <f t="shared" si="20"/>
        <v>-1.34228188E-2</v>
      </c>
      <c r="R64" s="86">
        <f t="shared" si="23"/>
        <v>34161694.998583801</v>
      </c>
    </row>
    <row r="65" spans="1:18" ht="17.25" thickBot="1">
      <c r="A65" s="40" t="s">
        <v>141</v>
      </c>
      <c r="B65" s="11" t="s">
        <v>142</v>
      </c>
      <c r="C65" s="95">
        <v>11620</v>
      </c>
      <c r="D65" s="92">
        <v>-6.8376067999999998E-3</v>
      </c>
      <c r="E65" s="93">
        <v>794673.04721499002</v>
      </c>
      <c r="F65" s="35"/>
      <c r="G65" s="57" t="s">
        <v>236</v>
      </c>
      <c r="H65" s="37">
        <f t="shared" si="15"/>
        <v>674</v>
      </c>
      <c r="I65" s="79">
        <f t="shared" si="16"/>
        <v>-1.8922853E-2</v>
      </c>
      <c r="J65" s="87">
        <f t="shared" si="21"/>
        <v>8882365.4194218591</v>
      </c>
      <c r="K65" s="84" t="s">
        <v>188</v>
      </c>
      <c r="L65" s="37">
        <f t="shared" si="17"/>
        <v>13</v>
      </c>
      <c r="M65" s="79">
        <f t="shared" si="18"/>
        <v>-1.51515152E-2</v>
      </c>
      <c r="N65" s="87">
        <f t="shared" si="22"/>
        <v>370083912.70668685</v>
      </c>
      <c r="O65" s="84" t="s">
        <v>174</v>
      </c>
      <c r="P65" s="37">
        <f t="shared" si="19"/>
        <v>366</v>
      </c>
      <c r="Q65" s="79">
        <f t="shared" si="20"/>
        <v>-1.34770889E-2</v>
      </c>
      <c r="R65" s="87">
        <f t="shared" si="23"/>
        <v>22360507.91034162</v>
      </c>
    </row>
    <row r="66" spans="1:18">
      <c r="A66" s="40" t="s">
        <v>217</v>
      </c>
      <c r="B66" s="11" t="s">
        <v>218</v>
      </c>
      <c r="C66" s="95">
        <v>136</v>
      </c>
      <c r="D66" s="92">
        <v>-7.2992700999999997E-3</v>
      </c>
      <c r="E66" s="93">
        <v>52116197.914904572</v>
      </c>
      <c r="F66" s="35"/>
      <c r="G66" s="56" t="s">
        <v>240</v>
      </c>
      <c r="H66" s="38">
        <f t="shared" si="15"/>
        <v>75</v>
      </c>
      <c r="I66" s="76">
        <f t="shared" ref="I66:I75" si="24">_xlfn.IFNA(VLOOKUP(G66, $B$2:$D$200, 3, FALSE), "")</f>
        <v>-1.9607843100000001E-2</v>
      </c>
      <c r="J66" s="85">
        <f t="shared" si="21"/>
        <v>107388847.14890809</v>
      </c>
      <c r="K66" s="81" t="s">
        <v>210</v>
      </c>
      <c r="L66" s="38">
        <f t="shared" si="17"/>
        <v>12.7</v>
      </c>
      <c r="M66" s="76">
        <f t="shared" si="18"/>
        <v>-1.5503876E-2</v>
      </c>
      <c r="N66" s="85">
        <f t="shared" si="22"/>
        <v>310133541.0642851</v>
      </c>
      <c r="O66" s="81" t="s">
        <v>200</v>
      </c>
      <c r="P66" s="38">
        <f t="shared" si="19"/>
        <v>143</v>
      </c>
      <c r="Q66" s="76">
        <f t="shared" si="20"/>
        <v>-1.3793103399999999E-2</v>
      </c>
      <c r="R66" s="85">
        <f t="shared" si="23"/>
        <v>34246378.47711239</v>
      </c>
    </row>
    <row r="67" spans="1:18">
      <c r="A67" s="40" t="s">
        <v>201</v>
      </c>
      <c r="B67" s="11" t="s">
        <v>202</v>
      </c>
      <c r="C67" s="95">
        <v>94</v>
      </c>
      <c r="D67" s="92">
        <v>-7.3917634999999997E-3</v>
      </c>
      <c r="E67" s="93">
        <v>375533090.30857718</v>
      </c>
      <c r="F67" s="35"/>
      <c r="G67" s="56" t="s">
        <v>232</v>
      </c>
      <c r="H67" s="39">
        <f t="shared" si="15"/>
        <v>566</v>
      </c>
      <c r="I67" s="77">
        <f t="shared" si="24"/>
        <v>-2.2452504299999999E-2</v>
      </c>
      <c r="J67" s="86">
        <f t="shared" si="21"/>
        <v>18495870.748648919</v>
      </c>
      <c r="K67" s="82" t="s">
        <v>234</v>
      </c>
      <c r="L67" s="39">
        <f t="shared" si="17"/>
        <v>75.8</v>
      </c>
      <c r="M67" s="77">
        <f t="shared" si="18"/>
        <v>-1.55844156E-2</v>
      </c>
      <c r="N67" s="86">
        <f t="shared" si="22"/>
        <v>128990701.97258215</v>
      </c>
      <c r="O67" s="82" t="s">
        <v>192</v>
      </c>
      <c r="P67" s="39">
        <f t="shared" si="19"/>
        <v>241</v>
      </c>
      <c r="Q67" s="77">
        <f t="shared" si="20"/>
        <v>-1.63265306E-2</v>
      </c>
      <c r="R67" s="86">
        <f t="shared" si="23"/>
        <v>28406123.20697185</v>
      </c>
    </row>
    <row r="68" spans="1:18">
      <c r="A68" s="40" t="s">
        <v>56</v>
      </c>
      <c r="B68" s="11" t="s">
        <v>57</v>
      </c>
      <c r="C68" s="95">
        <v>250</v>
      </c>
      <c r="D68" s="92">
        <v>-7.9365079000000005E-3</v>
      </c>
      <c r="E68" s="93">
        <v>117011477.66642934</v>
      </c>
      <c r="F68" s="35"/>
      <c r="G68" s="56" t="s">
        <v>244</v>
      </c>
      <c r="H68" s="39">
        <f t="shared" si="15"/>
        <v>1510</v>
      </c>
      <c r="I68" s="77">
        <f t="shared" si="24"/>
        <v>-2.2653721700000001E-2</v>
      </c>
      <c r="J68" s="86">
        <f t="shared" si="21"/>
        <v>3381090.78907857</v>
      </c>
      <c r="K68" s="82" t="s">
        <v>178</v>
      </c>
      <c r="L68" s="39">
        <f t="shared" si="17"/>
        <v>17.5</v>
      </c>
      <c r="M68" s="77">
        <f t="shared" si="18"/>
        <v>-1.68539326E-2</v>
      </c>
      <c r="N68" s="86">
        <f t="shared" si="22"/>
        <v>309373834.6824562</v>
      </c>
      <c r="O68" s="82" t="s">
        <v>206</v>
      </c>
      <c r="P68" s="39">
        <f t="shared" si="19"/>
        <v>359</v>
      </c>
      <c r="Q68" s="77">
        <f t="shared" si="20"/>
        <v>-1.64383562E-2</v>
      </c>
      <c r="R68" s="86">
        <f t="shared" si="23"/>
        <v>8736992.6889521405</v>
      </c>
    </row>
    <row r="69" spans="1:18">
      <c r="A69" s="40" t="s">
        <v>181</v>
      </c>
      <c r="B69" s="11" t="s">
        <v>182</v>
      </c>
      <c r="C69" s="95">
        <v>63300</v>
      </c>
      <c r="D69" s="92">
        <v>-8.3033056999999993E-3</v>
      </c>
      <c r="E69" s="93">
        <v>138318.96007003001</v>
      </c>
      <c r="F69" s="35"/>
      <c r="G69" s="56" t="s">
        <v>254</v>
      </c>
      <c r="H69" s="39">
        <f t="shared" si="15"/>
        <v>325</v>
      </c>
      <c r="I69" s="77">
        <f t="shared" si="24"/>
        <v>-2.4024024000000001E-2</v>
      </c>
      <c r="J69" s="86">
        <f t="shared" si="21"/>
        <v>25870055.426407829</v>
      </c>
      <c r="K69" s="82" t="s">
        <v>240</v>
      </c>
      <c r="L69" s="39">
        <f t="shared" si="17"/>
        <v>75</v>
      </c>
      <c r="M69" s="77">
        <f t="shared" si="18"/>
        <v>-1.9607843100000001E-2</v>
      </c>
      <c r="N69" s="86">
        <f t="shared" si="22"/>
        <v>107388847.14890809</v>
      </c>
      <c r="O69" s="82" t="s">
        <v>162</v>
      </c>
      <c r="P69" s="39">
        <f t="shared" si="19"/>
        <v>116</v>
      </c>
      <c r="Q69" s="77">
        <f t="shared" si="20"/>
        <v>-1.6949152499999998E-2</v>
      </c>
      <c r="R69" s="86">
        <f t="shared" si="23"/>
        <v>137357541.59985518</v>
      </c>
    </row>
    <row r="70" spans="1:18">
      <c r="A70" s="40" t="s">
        <v>237</v>
      </c>
      <c r="B70" s="11" t="s">
        <v>238</v>
      </c>
      <c r="C70" s="95">
        <v>117</v>
      </c>
      <c r="D70" s="92">
        <v>-8.4745762999999998E-3</v>
      </c>
      <c r="E70" s="93">
        <v>195847194.37556615</v>
      </c>
      <c r="F70" s="35"/>
      <c r="G70" s="56" t="s">
        <v>216</v>
      </c>
      <c r="H70" s="39">
        <f t="shared" si="15"/>
        <v>11.5</v>
      </c>
      <c r="I70" s="77">
        <f t="shared" si="24"/>
        <v>-2.54237288E-2</v>
      </c>
      <c r="J70" s="90">
        <f t="shared" si="21"/>
        <v>803761591.83898485</v>
      </c>
      <c r="K70" s="83" t="s">
        <v>216</v>
      </c>
      <c r="L70" s="44">
        <f t="shared" si="17"/>
        <v>11.5</v>
      </c>
      <c r="M70" s="78">
        <f t="shared" si="18"/>
        <v>-2.54237288E-2</v>
      </c>
      <c r="N70" s="90">
        <f t="shared" si="22"/>
        <v>803761591.83898485</v>
      </c>
      <c r="O70" s="83" t="s">
        <v>230</v>
      </c>
      <c r="P70" s="44">
        <f t="shared" si="19"/>
        <v>218</v>
      </c>
      <c r="Q70" s="78">
        <f t="shared" si="20"/>
        <v>-1.8018018E-2</v>
      </c>
      <c r="R70" s="90">
        <f t="shared" si="23"/>
        <v>16470895.02634247</v>
      </c>
    </row>
    <row r="71" spans="1:18">
      <c r="A71" s="40" t="s">
        <v>219</v>
      </c>
      <c r="B71" s="11" t="s">
        <v>220</v>
      </c>
      <c r="C71" s="95">
        <v>215</v>
      </c>
      <c r="D71" s="92">
        <v>-9.2165899000000006E-3</v>
      </c>
      <c r="E71" s="93">
        <v>55600346.313190833</v>
      </c>
      <c r="F71" s="35"/>
      <c r="G71" s="60" t="s">
        <v>228</v>
      </c>
      <c r="H71" s="45">
        <f t="shared" si="15"/>
        <v>400</v>
      </c>
      <c r="I71" s="80">
        <f t="shared" si="24"/>
        <v>-2.6763990299999998E-2</v>
      </c>
      <c r="J71" s="99">
        <f t="shared" si="21"/>
        <v>18868772.03890501</v>
      </c>
      <c r="K71" s="82" t="s">
        <v>204</v>
      </c>
      <c r="L71" s="39">
        <f t="shared" si="17"/>
        <v>16.100000000000001</v>
      </c>
      <c r="M71" s="77">
        <f t="shared" si="18"/>
        <v>-3.0120481899999999E-2</v>
      </c>
      <c r="N71" s="99">
        <f t="shared" si="22"/>
        <v>638680967.04828489</v>
      </c>
      <c r="O71" s="82" t="s">
        <v>236</v>
      </c>
      <c r="P71" s="39">
        <f t="shared" si="19"/>
        <v>674</v>
      </c>
      <c r="Q71" s="77">
        <f t="shared" si="20"/>
        <v>-1.8922853E-2</v>
      </c>
      <c r="R71" s="99">
        <f t="shared" si="23"/>
        <v>8882365.4194218591</v>
      </c>
    </row>
    <row r="72" spans="1:18">
      <c r="A72" s="40" t="s">
        <v>251</v>
      </c>
      <c r="B72" s="11" t="s">
        <v>252</v>
      </c>
      <c r="C72" s="95">
        <v>1050</v>
      </c>
      <c r="D72" s="92">
        <v>-9.4339622999999994E-3</v>
      </c>
      <c r="E72" s="93">
        <v>6985439.6447159098</v>
      </c>
      <c r="F72" s="35"/>
      <c r="G72" s="56" t="s">
        <v>226</v>
      </c>
      <c r="H72" s="39">
        <f t="shared" si="15"/>
        <v>2135</v>
      </c>
      <c r="I72" s="77">
        <f t="shared" si="24"/>
        <v>-2.7334851899999998E-2</v>
      </c>
      <c r="J72" s="86">
        <f t="shared" si="21"/>
        <v>8616182.0837109908</v>
      </c>
      <c r="K72" s="82" t="s">
        <v>150</v>
      </c>
      <c r="L72" s="39">
        <f t="shared" si="17"/>
        <v>13.2</v>
      </c>
      <c r="M72" s="77">
        <f t="shared" si="18"/>
        <v>-3.6496350400000002E-2</v>
      </c>
      <c r="N72" s="86">
        <f t="shared" si="22"/>
        <v>936889626.36343789</v>
      </c>
      <c r="O72" s="82" t="s">
        <v>232</v>
      </c>
      <c r="P72" s="39">
        <f t="shared" si="19"/>
        <v>566</v>
      </c>
      <c r="Q72" s="77">
        <f t="shared" si="20"/>
        <v>-2.2452504299999999E-2</v>
      </c>
      <c r="R72" s="86">
        <f t="shared" si="23"/>
        <v>18495870.748648919</v>
      </c>
    </row>
    <row r="73" spans="1:18">
      <c r="A73" s="40" t="s">
        <v>137</v>
      </c>
      <c r="B73" s="11" t="s">
        <v>138</v>
      </c>
      <c r="C73" s="95">
        <v>416</v>
      </c>
      <c r="D73" s="92">
        <v>-9.5238094999999991E-3</v>
      </c>
      <c r="E73" s="93">
        <v>131990321.52644677</v>
      </c>
      <c r="F73" s="35"/>
      <c r="G73" s="56" t="s">
        <v>242</v>
      </c>
      <c r="H73" s="39">
        <f t="shared" si="15"/>
        <v>514</v>
      </c>
      <c r="I73" s="77">
        <f t="shared" si="24"/>
        <v>-2.8355387499999999E-2</v>
      </c>
      <c r="J73" s="86">
        <f t="shared" si="21"/>
        <v>20953569.203128651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254</v>
      </c>
      <c r="P73" s="39">
        <f t="shared" si="19"/>
        <v>325</v>
      </c>
      <c r="Q73" s="77">
        <f t="shared" si="20"/>
        <v>-2.4024024000000001E-2</v>
      </c>
      <c r="R73" s="86">
        <f t="shared" si="23"/>
        <v>25870055.426407829</v>
      </c>
    </row>
    <row r="74" spans="1:18">
      <c r="A74" s="40" t="s">
        <v>193</v>
      </c>
      <c r="B74" s="11" t="s">
        <v>194</v>
      </c>
      <c r="C74" s="95">
        <v>148</v>
      </c>
      <c r="D74" s="92">
        <v>-1.33333333E-2</v>
      </c>
      <c r="E74" s="93">
        <v>77293001.196064234</v>
      </c>
      <c r="F74" s="35"/>
      <c r="G74" s="56" t="s">
        <v>204</v>
      </c>
      <c r="H74" s="39">
        <f t="shared" si="15"/>
        <v>16.100000000000001</v>
      </c>
      <c r="I74" s="77">
        <f t="shared" si="24"/>
        <v>-3.0120481899999999E-2</v>
      </c>
      <c r="J74" s="86">
        <f t="shared" si="21"/>
        <v>638680967.04828489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228</v>
      </c>
      <c r="P74" s="39">
        <f t="shared" si="19"/>
        <v>400</v>
      </c>
      <c r="Q74" s="77">
        <f t="shared" si="20"/>
        <v>-2.6763990299999998E-2</v>
      </c>
      <c r="R74" s="86">
        <f t="shared" si="23"/>
        <v>18868772.03890501</v>
      </c>
    </row>
    <row r="75" spans="1:18" ht="17.25" thickBot="1">
      <c r="A75" s="40" t="s">
        <v>221</v>
      </c>
      <c r="B75" s="11" t="s">
        <v>222</v>
      </c>
      <c r="C75" s="95">
        <v>147</v>
      </c>
      <c r="D75" s="92">
        <v>-1.34228188E-2</v>
      </c>
      <c r="E75" s="93">
        <v>34161694.998583801</v>
      </c>
      <c r="F75" s="35"/>
      <c r="G75" s="57" t="s">
        <v>150</v>
      </c>
      <c r="H75" s="37">
        <f t="shared" si="15"/>
        <v>13.2</v>
      </c>
      <c r="I75" s="79">
        <f t="shared" si="24"/>
        <v>-3.6496350400000002E-2</v>
      </c>
      <c r="J75" s="87">
        <f t="shared" si="21"/>
        <v>936889626.36343789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242</v>
      </c>
      <c r="P75" s="37">
        <f t="shared" si="19"/>
        <v>514</v>
      </c>
      <c r="Q75" s="79">
        <f t="shared" si="20"/>
        <v>-2.8355387499999999E-2</v>
      </c>
      <c r="R75" s="87">
        <f t="shared" si="23"/>
        <v>20953569.203128651</v>
      </c>
    </row>
    <row r="76" spans="1:18">
      <c r="A76" s="40" t="s">
        <v>173</v>
      </c>
      <c r="B76" s="11" t="s">
        <v>174</v>
      </c>
      <c r="C76" s="95">
        <v>366</v>
      </c>
      <c r="D76" s="92">
        <v>-1.34770889E-2</v>
      </c>
      <c r="E76" s="93">
        <v>22360507.91034162</v>
      </c>
      <c r="F76" s="35"/>
      <c r="G76" s="35"/>
      <c r="H76" s="35"/>
      <c r="I76" s="35"/>
    </row>
    <row r="77" spans="1:18">
      <c r="A77" s="40" t="s">
        <v>199</v>
      </c>
      <c r="B77" s="11" t="s">
        <v>200</v>
      </c>
      <c r="C77" s="95">
        <v>143</v>
      </c>
      <c r="D77" s="92">
        <v>-1.3793103399999999E-2</v>
      </c>
      <c r="E77" s="93">
        <v>34246378.47711239</v>
      </c>
      <c r="F77" s="35"/>
      <c r="G77" s="35"/>
      <c r="H77" s="35"/>
      <c r="I77" s="35"/>
    </row>
    <row r="78" spans="1:18">
      <c r="A78" s="40" t="s">
        <v>211</v>
      </c>
      <c r="B78" s="11" t="s">
        <v>212</v>
      </c>
      <c r="C78" s="95">
        <v>1415</v>
      </c>
      <c r="D78" s="92">
        <v>-1.39372822E-2</v>
      </c>
      <c r="E78" s="93">
        <v>20168927.01992492</v>
      </c>
      <c r="F78" s="35"/>
      <c r="G78" s="35"/>
      <c r="H78" s="35"/>
      <c r="I78" s="35"/>
    </row>
    <row r="79" spans="1:18">
      <c r="A79" s="40" t="s">
        <v>183</v>
      </c>
      <c r="B79" s="11" t="s">
        <v>184</v>
      </c>
      <c r="C79" s="95">
        <v>1060</v>
      </c>
      <c r="D79" s="92">
        <v>-1.39534884E-2</v>
      </c>
      <c r="E79" s="93">
        <v>7378188.0349808</v>
      </c>
      <c r="F79" s="35"/>
      <c r="G79" s="35"/>
      <c r="H79" s="35"/>
      <c r="I79" s="35"/>
    </row>
    <row r="80" spans="1:18">
      <c r="A80" s="40" t="s">
        <v>247</v>
      </c>
      <c r="B80" s="11" t="s">
        <v>248</v>
      </c>
      <c r="C80" s="95">
        <v>2615</v>
      </c>
      <c r="D80" s="92">
        <v>-1.50659134E-2</v>
      </c>
      <c r="E80" s="93">
        <v>4498681.85711399</v>
      </c>
      <c r="F80" s="35"/>
      <c r="G80" s="35"/>
      <c r="H80" s="35"/>
      <c r="I80" s="35"/>
    </row>
    <row r="81" spans="1:9">
      <c r="A81" s="40" t="s">
        <v>187</v>
      </c>
      <c r="B81" s="11" t="s">
        <v>188</v>
      </c>
      <c r="C81" s="95">
        <v>13</v>
      </c>
      <c r="D81" s="92">
        <v>-1.51515152E-2</v>
      </c>
      <c r="E81" s="93">
        <v>370083912.70668685</v>
      </c>
      <c r="F81" s="35"/>
      <c r="G81" s="35"/>
      <c r="H81" s="35"/>
      <c r="I81" s="35"/>
    </row>
    <row r="82" spans="1:9">
      <c r="A82" s="40" t="s">
        <v>175</v>
      </c>
      <c r="B82" s="11" t="s">
        <v>176</v>
      </c>
      <c r="C82" s="95">
        <v>1590</v>
      </c>
      <c r="D82" s="92">
        <v>-1.5479876199999999E-2</v>
      </c>
      <c r="E82" s="93">
        <v>1468755.9670576099</v>
      </c>
      <c r="F82" s="35"/>
      <c r="G82" s="35"/>
      <c r="H82" s="35"/>
      <c r="I82" s="35"/>
    </row>
    <row r="83" spans="1:9">
      <c r="A83" s="40" t="s">
        <v>209</v>
      </c>
      <c r="B83" s="11" t="s">
        <v>210</v>
      </c>
      <c r="C83" s="95">
        <v>12.7</v>
      </c>
      <c r="D83" s="92">
        <v>-1.5503876E-2</v>
      </c>
      <c r="E83" s="93">
        <v>310133541.0642851</v>
      </c>
      <c r="F83" s="35"/>
      <c r="G83" s="35"/>
      <c r="H83" s="35"/>
      <c r="I83" s="35"/>
    </row>
    <row r="84" spans="1:9">
      <c r="A84" s="40" t="s">
        <v>233</v>
      </c>
      <c r="B84" s="11" t="s">
        <v>234</v>
      </c>
      <c r="C84" s="95">
        <v>75.8</v>
      </c>
      <c r="D84" s="92">
        <v>-1.55844156E-2</v>
      </c>
      <c r="E84" s="93">
        <v>128990701.97258215</v>
      </c>
      <c r="F84" s="35"/>
      <c r="G84" s="35"/>
      <c r="H84" s="35"/>
      <c r="I84" s="35"/>
    </row>
    <row r="85" spans="1:9">
      <c r="A85" s="40" t="s">
        <v>191</v>
      </c>
      <c r="B85" s="11" t="s">
        <v>192</v>
      </c>
      <c r="C85" s="95">
        <v>241</v>
      </c>
      <c r="D85" s="92">
        <v>-1.63265306E-2</v>
      </c>
      <c r="E85" s="93">
        <v>28406123.20697185</v>
      </c>
      <c r="F85" s="35"/>
      <c r="G85" s="35"/>
      <c r="H85" s="35"/>
      <c r="I85" s="35"/>
    </row>
    <row r="86" spans="1:9">
      <c r="A86" s="40" t="s">
        <v>205</v>
      </c>
      <c r="B86" s="11" t="s">
        <v>206</v>
      </c>
      <c r="C86" s="95">
        <v>359</v>
      </c>
      <c r="D86" s="92">
        <v>-1.64383562E-2</v>
      </c>
      <c r="E86" s="93">
        <v>8736992.6889521405</v>
      </c>
      <c r="F86" s="35"/>
      <c r="G86" s="35"/>
      <c r="H86" s="35"/>
      <c r="I86" s="35"/>
    </row>
    <row r="87" spans="1:9">
      <c r="A87" s="40" t="s">
        <v>177</v>
      </c>
      <c r="B87" s="11" t="s">
        <v>178</v>
      </c>
      <c r="C87" s="95">
        <v>17.5</v>
      </c>
      <c r="D87" s="92">
        <v>-1.68539326E-2</v>
      </c>
      <c r="E87" s="93">
        <v>309373834.6824562</v>
      </c>
      <c r="F87" s="35"/>
      <c r="G87" s="35"/>
      <c r="H87" s="35"/>
      <c r="I87" s="35"/>
    </row>
    <row r="88" spans="1:9">
      <c r="A88" s="40" t="s">
        <v>161</v>
      </c>
      <c r="B88" s="11" t="s">
        <v>162</v>
      </c>
      <c r="C88" s="95">
        <v>116</v>
      </c>
      <c r="D88" s="92">
        <v>-1.6949152499999998E-2</v>
      </c>
      <c r="E88" s="93">
        <v>137357541.59985518</v>
      </c>
      <c r="F88" s="35"/>
      <c r="G88" s="35"/>
      <c r="H88" s="35"/>
      <c r="I88" s="35"/>
    </row>
    <row r="89" spans="1:9">
      <c r="A89" s="40" t="s">
        <v>171</v>
      </c>
      <c r="B89" s="11" t="s">
        <v>172</v>
      </c>
      <c r="C89" s="95">
        <v>3440</v>
      </c>
      <c r="D89" s="92">
        <v>-1.7142857099999999E-2</v>
      </c>
      <c r="E89" s="93">
        <v>4926702.7362685297</v>
      </c>
      <c r="F89" s="35"/>
      <c r="G89" s="35"/>
      <c r="H89" s="35"/>
      <c r="I89" s="35"/>
    </row>
    <row r="90" spans="1:9">
      <c r="A90" s="40" t="s">
        <v>119</v>
      </c>
      <c r="B90" s="11" t="s">
        <v>120</v>
      </c>
      <c r="C90" s="95">
        <v>5275</v>
      </c>
      <c r="D90" s="92">
        <v>-1.7690875200000001E-2</v>
      </c>
      <c r="E90" s="93">
        <v>4527738.8024454201</v>
      </c>
      <c r="F90" s="35"/>
      <c r="G90" s="35"/>
      <c r="H90" s="35"/>
      <c r="I90" s="35"/>
    </row>
    <row r="91" spans="1:9">
      <c r="A91" s="40" t="s">
        <v>229</v>
      </c>
      <c r="B91" s="11" t="s">
        <v>230</v>
      </c>
      <c r="C91" s="95">
        <v>218</v>
      </c>
      <c r="D91" s="92">
        <v>-1.8018018E-2</v>
      </c>
      <c r="E91" s="93">
        <v>16470895.02634247</v>
      </c>
      <c r="F91" s="35"/>
      <c r="G91" s="35"/>
      <c r="H91" s="35"/>
      <c r="I91" s="35"/>
    </row>
    <row r="92" spans="1:9">
      <c r="A92" s="40" t="s">
        <v>245</v>
      </c>
      <c r="B92" s="11" t="s">
        <v>246</v>
      </c>
      <c r="C92" s="95">
        <v>9090</v>
      </c>
      <c r="D92" s="92">
        <v>-1.8358531300000001E-2</v>
      </c>
      <c r="E92" s="93">
        <v>1115913.28179341</v>
      </c>
      <c r="F92" s="35"/>
      <c r="G92" s="35"/>
      <c r="H92" s="35"/>
      <c r="I92" s="35"/>
    </row>
    <row r="93" spans="1:9">
      <c r="A93" s="40" t="s">
        <v>235</v>
      </c>
      <c r="B93" s="11" t="s">
        <v>236</v>
      </c>
      <c r="C93" s="95">
        <v>674</v>
      </c>
      <c r="D93" s="92">
        <v>-1.8922853E-2</v>
      </c>
      <c r="E93" s="93">
        <v>8882365.4194218591</v>
      </c>
      <c r="F93" s="35"/>
      <c r="G93" s="35"/>
      <c r="H93" s="35"/>
      <c r="I93" s="35"/>
    </row>
    <row r="94" spans="1:9">
      <c r="A94" s="40" t="s">
        <v>239</v>
      </c>
      <c r="B94" s="11" t="s">
        <v>240</v>
      </c>
      <c r="C94" s="95">
        <v>75</v>
      </c>
      <c r="D94" s="92">
        <v>-1.9607843100000001E-2</v>
      </c>
      <c r="E94" s="93">
        <v>107388847.14890809</v>
      </c>
      <c r="F94" s="35"/>
      <c r="G94" s="35"/>
      <c r="H94" s="35"/>
      <c r="I94" s="35"/>
    </row>
    <row r="95" spans="1:9">
      <c r="A95" s="40" t="s">
        <v>231</v>
      </c>
      <c r="B95" s="11" t="s">
        <v>232</v>
      </c>
      <c r="C95" s="95">
        <v>566</v>
      </c>
      <c r="D95" s="92">
        <v>-2.2452504299999999E-2</v>
      </c>
      <c r="E95" s="93">
        <v>18495870.748648919</v>
      </c>
      <c r="F95" s="35"/>
      <c r="G95" s="35"/>
      <c r="H95" s="35"/>
      <c r="I95" s="35"/>
    </row>
    <row r="96" spans="1:9">
      <c r="A96" s="40" t="s">
        <v>243</v>
      </c>
      <c r="B96" s="11" t="s">
        <v>244</v>
      </c>
      <c r="C96" s="95">
        <v>1510</v>
      </c>
      <c r="D96" s="92">
        <v>-2.2653721700000001E-2</v>
      </c>
      <c r="E96" s="93">
        <v>3381090.78907857</v>
      </c>
      <c r="F96" s="35"/>
      <c r="G96" s="35"/>
      <c r="H96" s="35"/>
      <c r="I96" s="35"/>
    </row>
    <row r="97" spans="1:9">
      <c r="A97" s="40" t="s">
        <v>253</v>
      </c>
      <c r="B97" s="11" t="s">
        <v>254</v>
      </c>
      <c r="C97" s="95">
        <v>325</v>
      </c>
      <c r="D97" s="92">
        <v>-2.4024024000000001E-2</v>
      </c>
      <c r="E97" s="93">
        <v>25870055.426407829</v>
      </c>
      <c r="F97" s="35"/>
      <c r="G97" s="35"/>
      <c r="H97" s="35"/>
      <c r="I97" s="35"/>
    </row>
    <row r="98" spans="1:9">
      <c r="A98" s="40" t="s">
        <v>215</v>
      </c>
      <c r="B98" s="11" t="s">
        <v>216</v>
      </c>
      <c r="C98" s="95">
        <v>11.5</v>
      </c>
      <c r="D98" s="92">
        <v>-2.54237288E-2</v>
      </c>
      <c r="E98" s="93">
        <v>803761591.83898485</v>
      </c>
      <c r="F98" s="35"/>
      <c r="G98" s="35"/>
      <c r="H98" s="35"/>
      <c r="I98" s="35"/>
    </row>
    <row r="99" spans="1:9">
      <c r="A99" s="40" t="s">
        <v>227</v>
      </c>
      <c r="B99" s="11" t="s">
        <v>228</v>
      </c>
      <c r="C99" s="95">
        <v>400</v>
      </c>
      <c r="D99" s="92">
        <v>-2.6763990299999998E-2</v>
      </c>
      <c r="E99" s="93">
        <v>18868772.03890501</v>
      </c>
      <c r="F99" s="35"/>
      <c r="G99" s="35"/>
      <c r="H99" s="35"/>
      <c r="I99" s="35"/>
    </row>
    <row r="100" spans="1:9">
      <c r="A100" s="40" t="s">
        <v>225</v>
      </c>
      <c r="B100" s="11" t="s">
        <v>226</v>
      </c>
      <c r="C100" s="95">
        <v>2135</v>
      </c>
      <c r="D100" s="92">
        <v>-2.7334851899999998E-2</v>
      </c>
      <c r="E100" s="93">
        <v>8616182.0837109908</v>
      </c>
      <c r="F100" s="35"/>
      <c r="G100" s="35"/>
      <c r="H100" s="35"/>
      <c r="I100" s="35"/>
    </row>
    <row r="101" spans="1:9">
      <c r="A101" s="40" t="s">
        <v>241</v>
      </c>
      <c r="B101" s="11" t="s">
        <v>242</v>
      </c>
      <c r="C101" s="95">
        <v>514</v>
      </c>
      <c r="D101" s="92">
        <v>-2.8355387499999999E-2</v>
      </c>
      <c r="E101" s="93">
        <v>20953569.203128651</v>
      </c>
      <c r="F101" s="35"/>
      <c r="G101" s="35"/>
      <c r="H101" s="35"/>
      <c r="I101" s="35"/>
    </row>
    <row r="102" spans="1:9">
      <c r="A102" s="40" t="s">
        <v>203</v>
      </c>
      <c r="B102" s="11" t="s">
        <v>204</v>
      </c>
      <c r="C102" s="95">
        <v>16.100000000000001</v>
      </c>
      <c r="D102" s="92">
        <v>-3.0120481899999999E-2</v>
      </c>
      <c r="E102" s="93">
        <v>638680967.04828489</v>
      </c>
      <c r="F102" s="35"/>
      <c r="G102" s="35"/>
      <c r="H102" s="35"/>
      <c r="I102" s="35"/>
    </row>
    <row r="103" spans="1:9">
      <c r="A103" s="40" t="s">
        <v>149</v>
      </c>
      <c r="B103" s="11" t="s">
        <v>150</v>
      </c>
      <c r="C103" s="95">
        <v>13.2</v>
      </c>
      <c r="D103" s="92">
        <v>-3.6496350400000002E-2</v>
      </c>
      <c r="E103" s="93">
        <v>936889626.36343789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80" t="str">
        <f>TEXT(투자전략!$G$1, "[$-ko-KR]yyyy년 mm월") &amp; " 총결산"</f>
        <v>2021년 08월 총결산</v>
      </c>
      <c r="B1" s="281"/>
      <c r="C1" s="281"/>
      <c r="D1" s="281"/>
      <c r="E1" s="281"/>
      <c r="F1" s="281"/>
      <c r="G1" s="281"/>
      <c r="H1" s="281"/>
      <c r="I1" s="281"/>
      <c r="J1" s="281"/>
      <c r="K1" s="281"/>
      <c r="L1" s="281"/>
      <c r="M1" s="281"/>
      <c r="N1" s="281"/>
      <c r="O1" s="282"/>
    </row>
    <row r="2" spans="1:15" ht="16.5" customHeight="1" thickBot="1">
      <c r="A2" s="277" t="s">
        <v>289</v>
      </c>
      <c r="B2" s="278"/>
      <c r="C2" s="278"/>
      <c r="D2" s="250" t="s">
        <v>285</v>
      </c>
      <c r="E2" s="250"/>
      <c r="F2" s="251"/>
      <c r="G2" s="280" t="s">
        <v>286</v>
      </c>
      <c r="H2" s="281"/>
      <c r="I2" s="282"/>
      <c r="J2" s="249" t="s">
        <v>287</v>
      </c>
      <c r="K2" s="250"/>
      <c r="L2" s="250"/>
      <c r="M2" s="250" t="s">
        <v>288</v>
      </c>
      <c r="N2" s="250"/>
      <c r="O2" s="251"/>
    </row>
    <row r="3" spans="1:15" ht="16.5" customHeight="1">
      <c r="A3" s="307">
        <v>1</v>
      </c>
      <c r="B3" s="27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19:00] 엽전코인 Bottom20</v>
      </c>
      <c r="C3" s="279"/>
      <c r="D3" s="277" t="s">
        <v>290</v>
      </c>
      <c r="E3" s="278"/>
      <c r="F3" s="279"/>
      <c r="G3" s="277" t="s">
        <v>297</v>
      </c>
      <c r="H3" s="278"/>
      <c r="I3" s="279"/>
      <c r="J3" s="277" t="s">
        <v>304</v>
      </c>
      <c r="K3" s="278"/>
      <c r="L3" s="279"/>
      <c r="M3" s="277" t="s">
        <v>311</v>
      </c>
      <c r="N3" s="278"/>
      <c r="O3" s="279"/>
    </row>
    <row r="4" spans="1:15" ht="16.5" customHeight="1" thickBot="1">
      <c r="A4" s="308"/>
      <c r="B4" s="2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773,207 KRW (41.33%)</v>
      </c>
      <c r="C4" s="272"/>
      <c r="D4" s="270" t="str">
        <f ca="1" xml:space="preserve"> TEXT($F$92, "#,##0") &amp; " KRW (" &amp; TEXT($E$92, "0.00%)")</f>
        <v>635,000 KRW (33.95%)</v>
      </c>
      <c r="E4" s="271"/>
      <c r="F4" s="272"/>
      <c r="G4" s="270" t="str">
        <f ca="1" xml:space="preserve"> TEXT($I$92, "#,##0") &amp; " KRW (" &amp; TEXT($H$92, "0.00%)")</f>
        <v>768,587 KRW (41.09%)</v>
      </c>
      <c r="H4" s="271"/>
      <c r="I4" s="272"/>
      <c r="J4" s="270" t="str">
        <f ca="1" xml:space="preserve"> TEXT($L$92, "#,##0") &amp; " KRW (" &amp; TEXT($K$92, "0.00%)")</f>
        <v>651,155 KRW (34.81%)</v>
      </c>
      <c r="K4" s="271"/>
      <c r="L4" s="272"/>
      <c r="M4" s="270" t="str">
        <f ca="1" xml:space="preserve"> TEXT($O$92, "#,##0") &amp; " KRW (" &amp; TEXT($N$92, "0.00%)")</f>
        <v>720,425 KRW (38.51%)</v>
      </c>
      <c r="N4" s="271"/>
      <c r="O4" s="272"/>
    </row>
    <row r="5" spans="1:15" ht="16.5" customHeight="1">
      <c r="A5" s="307">
        <v>2</v>
      </c>
      <c r="B5" s="27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엽전코인 Top20</v>
      </c>
      <c r="C5" s="279"/>
      <c r="D5" s="277" t="s">
        <v>291</v>
      </c>
      <c r="E5" s="278"/>
      <c r="F5" s="279"/>
      <c r="G5" s="277" t="s">
        <v>298</v>
      </c>
      <c r="H5" s="278"/>
      <c r="I5" s="279"/>
      <c r="J5" s="277" t="s">
        <v>305</v>
      </c>
      <c r="K5" s="278"/>
      <c r="L5" s="279"/>
      <c r="M5" s="277" t="s">
        <v>312</v>
      </c>
      <c r="N5" s="278"/>
      <c r="O5" s="279"/>
    </row>
    <row r="6" spans="1:15" ht="16.5" customHeight="1" thickBot="1">
      <c r="A6" s="308"/>
      <c r="B6" s="2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768,587 KRW (41.09%)</v>
      </c>
      <c r="C6" s="272"/>
      <c r="D6" s="270" t="str">
        <f ca="1" xml:space="preserve"> TEXT($F$130, "#,##0") &amp; " KRW (" &amp; TEXT($E$130, "0.00%)")</f>
        <v>448,060 KRW (22.40%)</v>
      </c>
      <c r="E6" s="271"/>
      <c r="F6" s="272"/>
      <c r="G6" s="270" t="str">
        <f ca="1" xml:space="preserve"> TEXT($I$130, "#,##0") &amp; " KRW (" &amp; TEXT($H$130, "0.00%)")</f>
        <v>592,370 KRW (29.62%)</v>
      </c>
      <c r="H6" s="271"/>
      <c r="I6" s="272"/>
      <c r="J6" s="270" t="str">
        <f ca="1" xml:space="preserve"> TEXT($L$130, "#,##0") &amp; " KRW (" &amp; TEXT($K$130, "0.00%)")</f>
        <v>499,961 KRW (25.00%)</v>
      </c>
      <c r="K6" s="271"/>
      <c r="L6" s="272"/>
      <c r="M6" s="270" t="str">
        <f ca="1" xml:space="preserve"> TEXT($O$130, "#,##0") &amp; " KRW (" &amp; TEXT($N$130, "0.00%)")</f>
        <v>536,211 KRW (26.81%)</v>
      </c>
      <c r="N6" s="271"/>
      <c r="O6" s="272"/>
    </row>
    <row r="7" spans="1:15" ht="16.5" customHeight="1">
      <c r="A7" s="307">
        <v>3</v>
      </c>
      <c r="B7" s="27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엽전코인 Bottom20</v>
      </c>
      <c r="C7" s="279"/>
      <c r="D7" s="277" t="s">
        <v>292</v>
      </c>
      <c r="E7" s="278"/>
      <c r="F7" s="279"/>
      <c r="G7" s="277" t="s">
        <v>299</v>
      </c>
      <c r="H7" s="278"/>
      <c r="I7" s="279"/>
      <c r="J7" s="277" t="s">
        <v>306</v>
      </c>
      <c r="K7" s="278"/>
      <c r="L7" s="279"/>
      <c r="M7" s="277" t="s">
        <v>313</v>
      </c>
      <c r="N7" s="278"/>
      <c r="O7" s="279"/>
    </row>
    <row r="8" spans="1:15" ht="16.5" customHeight="1" thickBot="1">
      <c r="A8" s="308"/>
      <c r="B8" s="2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726,965 KRW (38.86%)</v>
      </c>
      <c r="C8" s="272"/>
      <c r="D8" s="270" t="str">
        <f ca="1" xml:space="preserve"> TEXT($F$206, "#,##0") &amp; " KRW (" &amp; TEXT($E$206, "0.00%)")</f>
        <v>626,749 KRW (33.51%)</v>
      </c>
      <c r="E8" s="271"/>
      <c r="F8" s="272"/>
      <c r="G8" s="270" t="str">
        <f ca="1" xml:space="preserve"> TEXT($I$206, "#,##0") &amp; " KRW (" &amp; TEXT($H$206, "0.00%)")</f>
        <v>773,207 KRW (41.33%)</v>
      </c>
      <c r="H8" s="271"/>
      <c r="I8" s="272"/>
      <c r="J8" s="270" t="str">
        <f ca="1" xml:space="preserve"> TEXT($L$206, "#,##0") &amp; " KRW (" &amp; TEXT($K$206, "0.00%)")</f>
        <v>654,974 KRW (35.01%)</v>
      </c>
      <c r="K8" s="271"/>
      <c r="L8" s="272"/>
      <c r="M8" s="270" t="str">
        <f ca="1" xml:space="preserve"> TEXT($O$206, "#,##0") &amp; " KRW (" &amp; TEXT($N$206, "0.00%)")</f>
        <v>726,965 KRW (38.86%)</v>
      </c>
      <c r="N8" s="271"/>
      <c r="O8" s="272"/>
    </row>
    <row r="9" spans="1:15" ht="16.5" customHeight="1">
      <c r="A9" s="307">
        <v>4</v>
      </c>
      <c r="B9" s="27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엽전코인 Top20</v>
      </c>
      <c r="C9" s="279"/>
      <c r="D9" s="277" t="s">
        <v>293</v>
      </c>
      <c r="E9" s="278"/>
      <c r="F9" s="279"/>
      <c r="G9" s="277" t="s">
        <v>300</v>
      </c>
      <c r="H9" s="278"/>
      <c r="I9" s="279"/>
      <c r="J9" s="277" t="s">
        <v>307</v>
      </c>
      <c r="K9" s="278"/>
      <c r="L9" s="279"/>
      <c r="M9" s="277" t="s">
        <v>314</v>
      </c>
      <c r="N9" s="278"/>
      <c r="O9" s="279"/>
    </row>
    <row r="10" spans="1:15" ht="16.5" customHeight="1" thickBot="1">
      <c r="A10" s="308"/>
      <c r="B10" s="2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720,425 KRW (38.51%)</v>
      </c>
      <c r="C10" s="272"/>
      <c r="D10" s="270" t="str">
        <f ca="1" xml:space="preserve"> TEXT($F$244, "#,##0") &amp; " KRW (" &amp; TEXT($E$244, "0.00%)")</f>
        <v>466,104 KRW (23.31%)</v>
      </c>
      <c r="E10" s="271"/>
      <c r="F10" s="272"/>
      <c r="G10" s="270" t="str">
        <f ca="1" xml:space="preserve"> TEXT($I$244, "#,##0") &amp; " KRW (" &amp; TEXT($H$244, "0.00%)")</f>
        <v>595,011 KRW (29.75%)</v>
      </c>
      <c r="H10" s="271"/>
      <c r="I10" s="272"/>
      <c r="J10" s="270" t="str">
        <f ca="1" xml:space="preserve"> TEXT($L$244, "#,##0") &amp; " KRW (" &amp; TEXT($K$244, "0.00%)")</f>
        <v>511,682 KRW (25.58%)</v>
      </c>
      <c r="K10" s="271"/>
      <c r="L10" s="272"/>
      <c r="M10" s="270" t="str">
        <f ca="1" xml:space="preserve"> TEXT($O$244, "#,##0") &amp; " KRW (" &amp; TEXT($N$244, "0.00%)")</f>
        <v>607,910 KRW (30.40%)</v>
      </c>
      <c r="N10" s="271"/>
      <c r="O10" s="272"/>
    </row>
    <row r="11" spans="1:15" ht="16.5" customHeight="1">
      <c r="A11" s="307">
        <v>5</v>
      </c>
      <c r="B11" s="27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엽전코인 Bottom20</v>
      </c>
      <c r="C11" s="279"/>
      <c r="D11" s="277" t="s">
        <v>294</v>
      </c>
      <c r="E11" s="278"/>
      <c r="F11" s="279"/>
      <c r="G11" s="277" t="s">
        <v>301</v>
      </c>
      <c r="H11" s="278"/>
      <c r="I11" s="279"/>
      <c r="J11" s="277" t="s">
        <v>308</v>
      </c>
      <c r="K11" s="278"/>
      <c r="L11" s="279"/>
      <c r="M11" s="277" t="s">
        <v>315</v>
      </c>
      <c r="N11" s="278"/>
      <c r="O11" s="279"/>
    </row>
    <row r="12" spans="1:15" ht="16.5" customHeight="1" thickBot="1">
      <c r="A12" s="308"/>
      <c r="B12" s="2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654,974 KRW (35.01%)</v>
      </c>
      <c r="C12" s="272"/>
      <c r="D12" s="270" t="str">
        <f ca="1" xml:space="preserve"> TEXT($F$168, "#,##0") &amp; " KRW (" &amp; TEXT($E$168, "0.00%)")</f>
        <v>558,949 KRW (27.95%)</v>
      </c>
      <c r="E12" s="271"/>
      <c r="F12" s="272"/>
      <c r="G12" s="270" t="str">
        <f ca="1" xml:space="preserve"> TEXT($I$168, "#,##0") &amp; " KRW (" &amp; TEXT($H$168, "0.00%)")</f>
        <v>642,456 KRW (32.12%)</v>
      </c>
      <c r="H12" s="271"/>
      <c r="I12" s="272"/>
      <c r="J12" s="270" t="str">
        <f ca="1" xml:space="preserve"> TEXT($L$168, "#,##0") &amp; " KRW (" &amp; TEXT($K$168, "0.00%)")</f>
        <v>504,932 KRW (25.25%)</v>
      </c>
      <c r="K12" s="271"/>
      <c r="L12" s="272"/>
      <c r="M12" s="270" t="str">
        <f ca="1" xml:space="preserve"> TEXT($O$168, "#,##0") &amp; " KRW (" &amp; TEXT($N$168, "0.00%)")</f>
        <v>530,045 KRW (26.50%)</v>
      </c>
      <c r="N12" s="271"/>
      <c r="O12" s="272"/>
    </row>
    <row r="13" spans="1:15" ht="16.5" customHeight="1">
      <c r="A13" s="307">
        <v>6</v>
      </c>
      <c r="B13" s="27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엽전코인 Top20</v>
      </c>
      <c r="C13" s="279"/>
      <c r="D13" s="277" t="s">
        <v>295</v>
      </c>
      <c r="E13" s="278"/>
      <c r="F13" s="279"/>
      <c r="G13" s="277" t="s">
        <v>302</v>
      </c>
      <c r="H13" s="278"/>
      <c r="I13" s="279"/>
      <c r="J13" s="277" t="s">
        <v>309</v>
      </c>
      <c r="K13" s="278"/>
      <c r="L13" s="279"/>
      <c r="M13" s="277" t="s">
        <v>316</v>
      </c>
      <c r="N13" s="278"/>
      <c r="O13" s="279"/>
    </row>
    <row r="14" spans="1:15" ht="16.5" customHeight="1" thickBot="1">
      <c r="A14" s="308"/>
      <c r="B14" s="2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651,155 KRW (34.81%)</v>
      </c>
      <c r="C14" s="272"/>
      <c r="D14" s="270" t="str">
        <f ca="1" xml:space="preserve"> TEXT($F$282, "#,##0") &amp; " KRW (" &amp; TEXT($E$282, "0.00%)")</f>
        <v>504,745 KRW (25.24%)</v>
      </c>
      <c r="E14" s="271"/>
      <c r="F14" s="272"/>
      <c r="G14" s="270" t="str">
        <f ca="1" xml:space="preserve"> TEXT($I$282, "#,##0") &amp; " KRW (" &amp; TEXT($H$282, "0.00%)")</f>
        <v>626,547 KRW (31.33%)</v>
      </c>
      <c r="H14" s="271"/>
      <c r="I14" s="272"/>
      <c r="J14" s="270" t="str">
        <f ca="1" xml:space="preserve"> TEXT($L$282, "#,##0") &amp; " KRW (" &amp; TEXT($K$282, "0.00%)")</f>
        <v>520,562 KRW (26.03%)</v>
      </c>
      <c r="K14" s="271"/>
      <c r="L14" s="272"/>
      <c r="M14" s="270" t="str">
        <f ca="1" xml:space="preserve"> TEXT($O$282, "#,##0") &amp; " KRW (" &amp; TEXT($N$282, "0.00%)")</f>
        <v>619,595 KRW (30.98%)</v>
      </c>
      <c r="N14" s="271"/>
      <c r="O14" s="272"/>
    </row>
    <row r="15" spans="1:15" ht="16.5" customHeight="1">
      <c r="A15" s="307">
        <v>7</v>
      </c>
      <c r="B15" s="27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전일대비 상승률 Top20</v>
      </c>
      <c r="C15" s="279"/>
      <c r="D15" s="277" t="s">
        <v>296</v>
      </c>
      <c r="E15" s="278"/>
      <c r="F15" s="279"/>
      <c r="G15" s="277" t="s">
        <v>303</v>
      </c>
      <c r="H15" s="278"/>
      <c r="I15" s="279"/>
      <c r="J15" s="277" t="s">
        <v>310</v>
      </c>
      <c r="K15" s="278"/>
      <c r="L15" s="279"/>
      <c r="M15" s="277" t="s">
        <v>317</v>
      </c>
      <c r="N15" s="278"/>
      <c r="O15" s="279"/>
    </row>
    <row r="16" spans="1:15" ht="16.5" customHeight="1" thickBot="1">
      <c r="A16" s="308"/>
      <c r="B16" s="2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642,456 KRW (32.12%)</v>
      </c>
      <c r="C16" s="272"/>
      <c r="D16" s="270" t="str">
        <f ca="1" xml:space="preserve"> TEXT($F$54, "#,##0") &amp; " KRW (" &amp; TEXT($E$54, "0.00%)")</f>
        <v>24,314 KRW (11.81%)</v>
      </c>
      <c r="E16" s="271"/>
      <c r="F16" s="272"/>
      <c r="G16" s="270" t="str">
        <f ca="1" xml:space="preserve"> TEXT($I$54, "#,##0") &amp; " KRW (" &amp; TEXT($H$54, "0.00%)")</f>
        <v>1,734 KRW (0.84%)</v>
      </c>
      <c r="H16" s="271"/>
      <c r="I16" s="272"/>
      <c r="J16" s="270" t="str">
        <f ca="1" xml:space="preserve"> TEXT($L$54, "#,##0") &amp; " KRW (" &amp; TEXT($K$54, "0.00%)")</f>
        <v>-25,324 KRW (-12.30%)</v>
      </c>
      <c r="K16" s="271"/>
      <c r="L16" s="272"/>
      <c r="M16" s="270" t="str">
        <f ca="1" xml:space="preserve"> TEXT($O$54, "#,##0") &amp; " KRW (" &amp; TEXT($N$54, "0.00%)")</f>
        <v>-40,601 KRW (-19.72%)</v>
      </c>
      <c r="N16" s="271"/>
      <c r="O16" s="272"/>
    </row>
    <row r="18" spans="1:15" ht="16.5" customHeight="1" thickBot="1"/>
    <row r="19" spans="1:15" ht="16.5" customHeight="1" thickBot="1">
      <c r="A19" s="249" t="str">
        <f>TEXT(투자전략!$G$1, "[$-ko-KR]yyyy년 mm월 ") &amp; "실거래 월말결산"</f>
        <v>2021년 08월 실거래 월말결산</v>
      </c>
      <c r="B19" s="250"/>
      <c r="C19" s="250"/>
      <c r="D19" s="250"/>
      <c r="E19" s="250"/>
      <c r="F19" s="250"/>
      <c r="G19" s="250"/>
      <c r="H19" s="250"/>
      <c r="I19" s="250"/>
      <c r="J19" s="250"/>
      <c r="K19" s="250"/>
      <c r="L19" s="250"/>
      <c r="M19" s="250"/>
      <c r="N19" s="250"/>
      <c r="O19" s="251"/>
    </row>
    <row r="20" spans="1:15" ht="16.5" customHeight="1" thickBot="1">
      <c r="A20" s="293" t="s">
        <v>284</v>
      </c>
      <c r="B20" s="270" t="s">
        <v>282</v>
      </c>
      <c r="C20" s="272"/>
      <c r="D20" s="270" t="s">
        <v>274</v>
      </c>
      <c r="E20" s="271"/>
      <c r="F20" s="272"/>
      <c r="G20" s="270" t="s">
        <v>275</v>
      </c>
      <c r="H20" s="271"/>
      <c r="I20" s="272"/>
      <c r="J20" s="270" t="s">
        <v>276</v>
      </c>
      <c r="K20" s="271"/>
      <c r="L20" s="272"/>
      <c r="M20" s="270" t="s">
        <v>277</v>
      </c>
      <c r="N20" s="271"/>
      <c r="O20" s="272"/>
    </row>
    <row r="21" spans="1:15" ht="16.5" customHeight="1" thickBot="1">
      <c r="A21" s="286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2021.08.01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2021.08.02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2021.08.03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2021.08.04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2021.08.05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2021.08.06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2021.08.07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2021.08.08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2021.08.09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2021.08.10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2021.08.11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2021.08.12</v>
      </c>
      <c r="C33" s="135">
        <f t="shared" ca="1" si="0"/>
        <v>1800000</v>
      </c>
      <c r="D33" s="139">
        <f t="shared" ca="1" si="1"/>
        <v>1854190.4115156569</v>
      </c>
      <c r="E33" s="77">
        <f t="shared" ca="1" si="2"/>
        <v>3.0105784175364875E-2</v>
      </c>
      <c r="F33" s="137">
        <f t="shared" ca="1" si="3"/>
        <v>54190.411515656771</v>
      </c>
      <c r="G33" s="139">
        <f t="shared" ca="1" si="4"/>
        <v>1811992.8425473114</v>
      </c>
      <c r="H33" s="77">
        <f t="shared" ca="1" si="5"/>
        <v>6.6626903040617885E-3</v>
      </c>
      <c r="I33" s="137">
        <f t="shared" ca="1" si="6"/>
        <v>11992.842547311218</v>
      </c>
      <c r="J33" s="139">
        <f t="shared" ca="1" si="7"/>
        <v>1782765.9477877172</v>
      </c>
      <c r="K33" s="77">
        <f t="shared" ca="1" si="8"/>
        <v>-9.5744734512683196E-3</v>
      </c>
      <c r="L33" s="137">
        <f t="shared" ca="1" si="9"/>
        <v>-17234.052212282972</v>
      </c>
      <c r="M33" s="139">
        <f t="shared" ca="1" si="10"/>
        <v>1759399.1102913728</v>
      </c>
      <c r="N33" s="77">
        <f t="shared" ca="1" si="11"/>
        <v>-2.2556049838126216E-2</v>
      </c>
      <c r="O33" s="137">
        <f t="shared" ca="1" si="12"/>
        <v>-40600.889708627183</v>
      </c>
    </row>
    <row r="34" spans="1:15" ht="16.5" customHeight="1">
      <c r="A34" s="148">
        <v>13</v>
      </c>
      <c r="B34" s="148" t="str">
        <f>TEXT(투자전략!$G$1+12, "[$-ko-KR]yyyy.mm.dd")</f>
        <v>2021.08.13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2021.08.14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2021.08.15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2021.08.16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2021.08.17</v>
      </c>
      <c r="C38" s="135">
        <f t="shared" ca="1" si="0"/>
        <v>1700000</v>
      </c>
      <c r="D38" s="139">
        <f t="shared" ca="1" si="1"/>
        <v>1670123.6591798658</v>
      </c>
      <c r="E38" s="77">
        <f t="shared" ca="1" si="2"/>
        <v>-1.7574318129490656E-2</v>
      </c>
      <c r="F38" s="137">
        <f t="shared" ca="1" si="3"/>
        <v>-29876.340820134123</v>
      </c>
      <c r="G38" s="139">
        <f t="shared" ca="1" si="4"/>
        <v>1689741.2077663168</v>
      </c>
      <c r="H38" s="77">
        <f t="shared" ca="1" si="5"/>
        <v>-6.0345836668724917E-3</v>
      </c>
      <c r="I38" s="137">
        <f t="shared" ca="1" si="6"/>
        <v>-10258.792233683238</v>
      </c>
      <c r="J38" s="139">
        <f t="shared" ca="1" si="7"/>
        <v>1691909.9301463212</v>
      </c>
      <c r="K38" s="77">
        <f t="shared" ca="1" si="8"/>
        <v>-4.7588646198110244E-3</v>
      </c>
      <c r="L38" s="137">
        <f t="shared" ca="1" si="9"/>
        <v>-8090.069853678744</v>
      </c>
      <c r="M38" s="139">
        <f t="shared" ca="1" si="10"/>
        <v>1700000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48" t="str">
        <f>TEXT(투자전략!$G$1+17, "[$-ko-KR]yyyy.mm.dd")</f>
        <v>2021.08.18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2021.08.19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2021.08.20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2021.08.21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2021.08.22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2021.08.23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2021.08.24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2021.08.25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2021.08.26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2021.08.27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2021.08.28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2021.08.29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2021.08.30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2021.08.31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77" t="s">
        <v>283</v>
      </c>
      <c r="B53" s="279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70"/>
      <c r="B54" s="272"/>
      <c r="C54" s="136">
        <f ca="1">SUM(C22:C52)</f>
        <v>3500000</v>
      </c>
      <c r="D54" s="140">
        <f ca="1">SUM(D22:D52)</f>
        <v>3524314.0706955227</v>
      </c>
      <c r="E54" s="79">
        <f ca="1">IFERROR(F54 / (SUM($C22:$C52) / COUNT($C22:$C52)), 0)</f>
        <v>0.11809691480682429</v>
      </c>
      <c r="F54" s="138">
        <f ca="1">SUM(F22:F52)</f>
        <v>24314.070695522649</v>
      </c>
      <c r="G54" s="140">
        <f ca="1">SUM(G22:G52)</f>
        <v>3501734.0503136283</v>
      </c>
      <c r="H54" s="79">
        <f ca="1">IFERROR(I54 / (SUM($C22:$C52) / COUNT($C22:$C52)), 0)</f>
        <v>8.422530094764475E-3</v>
      </c>
      <c r="I54" s="138">
        <f ca="1">SUM(I22:I52)</f>
        <v>1734.0503136279804</v>
      </c>
      <c r="J54" s="140">
        <f ca="1">SUM(J22:J52)</f>
        <v>3474675.8779340386</v>
      </c>
      <c r="K54" s="79">
        <f ca="1">IFERROR(L54 / (SUM($C22:$C52) / COUNT($C22:$C52)), 0)</f>
        <v>-0.12300287860609976</v>
      </c>
      <c r="L54" s="138">
        <f ca="1">SUM(L22:L52)</f>
        <v>-25324.122065961717</v>
      </c>
      <c r="M54" s="140">
        <f ca="1">SUM(M22:M52)</f>
        <v>3459399.110291373</v>
      </c>
      <c r="N54" s="79">
        <f ca="1">IFERROR(O54 / (SUM($C22:$C52) / COUNT($C22:$C52)), 0)</f>
        <v>-0.19720432144190345</v>
      </c>
      <c r="O54" s="138">
        <f ca="1">SUM(O22:O52)</f>
        <v>-40600.889708627183</v>
      </c>
    </row>
    <row r="56" spans="1:15" ht="16.5" customHeight="1" thickBot="1"/>
    <row r="57" spans="1:15" ht="16.5" customHeight="1" thickBot="1">
      <c r="A57" s="249" t="str">
        <f>TEXT(투자전략!$G$1, "[$-ko-KR]yyyy년 mm월 ") &amp; "[엽전코인] 전일대비 상승률 Top20 월말결산"</f>
        <v>2021년 08월 [엽전코인] 전일대비 상승률 Top20 월말결산</v>
      </c>
      <c r="B57" s="250"/>
      <c r="C57" s="250"/>
      <c r="D57" s="250"/>
      <c r="E57" s="250"/>
      <c r="F57" s="250"/>
      <c r="G57" s="250"/>
      <c r="H57" s="250"/>
      <c r="I57" s="250"/>
      <c r="J57" s="250"/>
      <c r="K57" s="250"/>
      <c r="L57" s="250"/>
      <c r="M57" s="250"/>
      <c r="N57" s="250"/>
      <c r="O57" s="251"/>
    </row>
    <row r="58" spans="1:15" ht="16.5" customHeight="1" thickBot="1">
      <c r="A58" s="293" t="s">
        <v>284</v>
      </c>
      <c r="B58" s="270" t="s">
        <v>282</v>
      </c>
      <c r="C58" s="272"/>
      <c r="D58" s="270" t="s">
        <v>274</v>
      </c>
      <c r="E58" s="271"/>
      <c r="F58" s="272"/>
      <c r="G58" s="270" t="s">
        <v>275</v>
      </c>
      <c r="H58" s="271"/>
      <c r="I58" s="272"/>
      <c r="J58" s="270" t="s">
        <v>276</v>
      </c>
      <c r="K58" s="271"/>
      <c r="L58" s="272"/>
      <c r="M58" s="270" t="s">
        <v>277</v>
      </c>
      <c r="N58" s="271"/>
      <c r="O58" s="272"/>
    </row>
    <row r="59" spans="1:15" ht="16.5" customHeight="1" thickBot="1">
      <c r="A59" s="286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2021.08.01</v>
      </c>
      <c r="C60" s="134">
        <f ca="1">IFERROR(COUNTA(INDIRECT($B60&amp;"!A44:A63")) * INDIRECT($B60&amp;"!B64"), "")</f>
        <v>2000000</v>
      </c>
      <c r="D60" s="142">
        <f ca="1">IFERROR($C60 * (1 + E60), "")</f>
        <v>2143962.2374809948</v>
      </c>
      <c r="E60" s="76">
        <f ca="1">IFERROR(INDIRECT($B60&amp;"!E64"), "")</f>
        <v>7.1981118740497341E-2</v>
      </c>
      <c r="F60" s="141">
        <f ca="1">IFERROR(INDIRECT($B60&amp;"!F64"), "")</f>
        <v>143962.23748099472</v>
      </c>
      <c r="G60" s="142">
        <f ca="1">IFERROR($C60 * (1 + H60), "")</f>
        <v>2143796.7165525784</v>
      </c>
      <c r="H60" s="76">
        <f ca="1">IFERROR(INDIRECT($B60&amp;"!H64"), "")</f>
        <v>7.1898358276289126E-2</v>
      </c>
      <c r="I60" s="141">
        <f ca="1">IFERROR(INDIRECT($B60&amp;"!I64"), "")</f>
        <v>143796.71655257829</v>
      </c>
      <c r="J60" s="142">
        <f ca="1">IFERROR($C60 * (1 + K60), "")</f>
        <v>2104920.9042248023</v>
      </c>
      <c r="K60" s="76">
        <f ca="1">IFERROR(INDIRECT($B60&amp;"!K64"), "")</f>
        <v>5.2460452112401322E-2</v>
      </c>
      <c r="L60" s="141">
        <f ca="1">IFERROR(INDIRECT($B60&amp;"!L64"), "")</f>
        <v>104920.90422480264</v>
      </c>
      <c r="M60" s="142">
        <f ca="1">IFERROR($C60 * (1 + N60), "")</f>
        <v>2088667.579960732</v>
      </c>
      <c r="N60" s="76">
        <f ca="1">IFERROR(INDIRECT($B60&amp;"!N64"), "")</f>
        <v>4.4333789980365912E-2</v>
      </c>
      <c r="O60" s="141">
        <f ca="1">IFERROR(INDIRECT($B60&amp;"!O64"), "")</f>
        <v>88667.579960731833</v>
      </c>
    </row>
    <row r="61" spans="1:15" ht="16.5" customHeight="1">
      <c r="A61" s="153">
        <v>2</v>
      </c>
      <c r="B61" s="153" t="str">
        <f>TEXT(투자전략!$G$1+1, "[$-ko-KR]yyyy.mm.dd")</f>
        <v>2021.08.02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2000000</v>
      </c>
      <c r="E61" s="77">
        <f t="shared" ref="E61:E90" ca="1" si="15">IFERROR(INDIRECT($B61&amp;"!E64"), "")</f>
        <v>0</v>
      </c>
      <c r="F61" s="137">
        <f t="shared" ref="F61:F90" ca="1" si="16">IFERROR(INDIRECT($B61&amp;"!F64"), "")</f>
        <v>0</v>
      </c>
      <c r="G61" s="139">
        <f t="shared" ref="G61:G90" ca="1" si="17">IFERROR($C61 * (1 + H61), "")</f>
        <v>2020198.9313260596</v>
      </c>
      <c r="H61" s="77">
        <f t="shared" ref="H61:H90" ca="1" si="18">IFERROR(INDIRECT($B61&amp;"!H64"), "")</f>
        <v>1.0099465663029873E-2</v>
      </c>
      <c r="I61" s="137">
        <f t="shared" ref="I61:I90" ca="1" si="19">IFERROR(INDIRECT($B61&amp;"!I64"), "")</f>
        <v>20198.931326059748</v>
      </c>
      <c r="J61" s="139">
        <f t="shared" ref="J61:J90" ca="1" si="20">IFERROR($C61 * (1 + K61), "")</f>
        <v>2013820.0276681725</v>
      </c>
      <c r="K61" s="77">
        <f t="shared" ref="K61:K90" ca="1" si="21">IFERROR(INDIRECT($B61&amp;"!K64"), "")</f>
        <v>6.9100138340862814E-3</v>
      </c>
      <c r="L61" s="137">
        <f t="shared" ref="L61:L90" ca="1" si="22">IFERROR(INDIRECT($B61&amp;"!L64"), "")</f>
        <v>13820.027668172563</v>
      </c>
      <c r="M61" s="139">
        <f t="shared" ref="M61:M90" ca="1" si="23">IFERROR($C61 * (1 + N61), "")</f>
        <v>2027622.1290064175</v>
      </c>
      <c r="N61" s="77">
        <f t="shared" ref="N61:N90" ca="1" si="24">IFERROR(INDIRECT($B61&amp;"!N64"), "")</f>
        <v>1.3811064503208723E-2</v>
      </c>
      <c r="O61" s="137">
        <f t="shared" ref="O61:O90" ca="1" si="25">IFERROR(INDIRECT($B61&amp;"!O64"), "")</f>
        <v>27622.129006417443</v>
      </c>
    </row>
    <row r="62" spans="1:15" ht="16.5" customHeight="1">
      <c r="A62" s="153">
        <v>3</v>
      </c>
      <c r="B62" s="153" t="str">
        <f>TEXT(투자전략!$G$1+2, "[$-ko-KR]yyyy.mm.dd")</f>
        <v>2021.08.03</v>
      </c>
      <c r="C62" s="135">
        <f t="shared" ca="1" si="13"/>
        <v>2000000</v>
      </c>
      <c r="D62" s="139">
        <f t="shared" ca="1" si="14"/>
        <v>1961392.3172892784</v>
      </c>
      <c r="E62" s="77">
        <f t="shared" ca="1" si="15"/>
        <v>-1.9303841355360805E-2</v>
      </c>
      <c r="F62" s="137">
        <f t="shared" ca="1" si="16"/>
        <v>-38607.682710721616</v>
      </c>
      <c r="G62" s="139">
        <f t="shared" ca="1" si="17"/>
        <v>1980191.3559777602</v>
      </c>
      <c r="H62" s="77">
        <f t="shared" ca="1" si="18"/>
        <v>-9.9043220111198708E-3</v>
      </c>
      <c r="I62" s="137">
        <f t="shared" ca="1" si="19"/>
        <v>-19808.644022239736</v>
      </c>
      <c r="J62" s="139">
        <f t="shared" ca="1" si="20"/>
        <v>1961838.4618769551</v>
      </c>
      <c r="K62" s="77">
        <f t="shared" ca="1" si="21"/>
        <v>-1.9080769061522427E-2</v>
      </c>
      <c r="L62" s="137">
        <f t="shared" ca="1" si="22"/>
        <v>-38161.538123044869</v>
      </c>
      <c r="M62" s="139">
        <f t="shared" ca="1" si="23"/>
        <v>1978044.7697760887</v>
      </c>
      <c r="N62" s="77">
        <f t="shared" ca="1" si="24"/>
        <v>-1.0977615111955667E-2</v>
      </c>
      <c r="O62" s="137">
        <f t="shared" ca="1" si="25"/>
        <v>-21955.230223911338</v>
      </c>
    </row>
    <row r="63" spans="1:15" ht="16.5" customHeight="1">
      <c r="A63" s="153">
        <v>4</v>
      </c>
      <c r="B63" s="153" t="str">
        <f>TEXT(투자전략!$G$1+3, "[$-ko-KR]yyyy.mm.dd")</f>
        <v>2021.08.04</v>
      </c>
      <c r="C63" s="135">
        <f t="shared" ca="1" si="13"/>
        <v>2000000</v>
      </c>
      <c r="D63" s="139">
        <f t="shared" ca="1" si="14"/>
        <v>1996550.2775258818</v>
      </c>
      <c r="E63" s="77">
        <f t="shared" ca="1" si="15"/>
        <v>-1.7248612370590222E-3</v>
      </c>
      <c r="F63" s="137">
        <f t="shared" ca="1" si="16"/>
        <v>-3449.7224741180453</v>
      </c>
      <c r="G63" s="139">
        <f t="shared" ca="1" si="17"/>
        <v>1973721.0564223505</v>
      </c>
      <c r="H63" s="77">
        <f t="shared" ca="1" si="18"/>
        <v>-1.3139471788824828E-2</v>
      </c>
      <c r="I63" s="137">
        <f t="shared" ca="1" si="19"/>
        <v>-26278.943577649658</v>
      </c>
      <c r="J63" s="139">
        <f t="shared" ca="1" si="20"/>
        <v>1993360.9513870443</v>
      </c>
      <c r="K63" s="77">
        <f t="shared" ca="1" si="21"/>
        <v>-3.3195243064779141E-3</v>
      </c>
      <c r="L63" s="137">
        <f t="shared" ca="1" si="22"/>
        <v>-6639.0486129558276</v>
      </c>
      <c r="M63" s="139">
        <f t="shared" ca="1" si="23"/>
        <v>2033328.6804364517</v>
      </c>
      <c r="N63" s="77">
        <f t="shared" ca="1" si="24"/>
        <v>1.6664340218225732E-2</v>
      </c>
      <c r="O63" s="137">
        <f t="shared" ca="1" si="25"/>
        <v>33328.680436451461</v>
      </c>
    </row>
    <row r="64" spans="1:15" ht="16.5" customHeight="1">
      <c r="A64" s="153">
        <v>5</v>
      </c>
      <c r="B64" s="153" t="str">
        <f>TEXT(투자전략!$G$1+4, "[$-ko-KR]yyyy.mm.dd")</f>
        <v>2021.08.05</v>
      </c>
      <c r="C64" s="135">
        <f t="shared" ca="1" si="13"/>
        <v>2000000</v>
      </c>
      <c r="D64" s="139">
        <f t="shared" ca="1" si="14"/>
        <v>2076248.8370346457</v>
      </c>
      <c r="E64" s="77">
        <f t="shared" ca="1" si="15"/>
        <v>3.8124418517322831E-2</v>
      </c>
      <c r="F64" s="137">
        <f t="shared" ca="1" si="16"/>
        <v>76248.83703464565</v>
      </c>
      <c r="G64" s="139">
        <f t="shared" ca="1" si="17"/>
        <v>2074629.512794496</v>
      </c>
      <c r="H64" s="77">
        <f t="shared" ca="1" si="18"/>
        <v>3.7314756397247947E-2</v>
      </c>
      <c r="I64" s="137">
        <f t="shared" ca="1" si="19"/>
        <v>74629.512794495924</v>
      </c>
      <c r="J64" s="139">
        <f t="shared" ca="1" si="20"/>
        <v>2072208.0312955566</v>
      </c>
      <c r="K64" s="77">
        <f t="shared" ca="1" si="21"/>
        <v>3.6104015647778306E-2</v>
      </c>
      <c r="L64" s="137">
        <f t="shared" ca="1" si="22"/>
        <v>72208.031295556633</v>
      </c>
      <c r="M64" s="139">
        <f t="shared" ca="1" si="23"/>
        <v>2096692.2290498852</v>
      </c>
      <c r="N64" s="77">
        <f t="shared" ca="1" si="24"/>
        <v>4.8346114524942745E-2</v>
      </c>
      <c r="O64" s="137">
        <f t="shared" ca="1" si="25"/>
        <v>96692.229049885485</v>
      </c>
    </row>
    <row r="65" spans="1:15" ht="16.5" customHeight="1">
      <c r="A65" s="153">
        <v>6</v>
      </c>
      <c r="B65" s="153" t="str">
        <f>TEXT(투자전략!$G$1+5, "[$-ko-KR]yyyy.mm.dd")</f>
        <v>2021.08.06</v>
      </c>
      <c r="C65" s="135">
        <f t="shared" ca="1" si="13"/>
        <v>2000000</v>
      </c>
      <c r="D65" s="139">
        <f t="shared" ca="1" si="14"/>
        <v>2059209.5230409603</v>
      </c>
      <c r="E65" s="77">
        <f t="shared" ca="1" si="15"/>
        <v>2.9604761520480201E-2</v>
      </c>
      <c r="F65" s="137">
        <f t="shared" ca="1" si="16"/>
        <v>59209.523040960405</v>
      </c>
      <c r="G65" s="139">
        <f t="shared" ca="1" si="17"/>
        <v>2057588.9845567902</v>
      </c>
      <c r="H65" s="77">
        <f t="shared" ca="1" si="18"/>
        <v>2.8794492278395055E-2</v>
      </c>
      <c r="I65" s="137">
        <f t="shared" ca="1" si="19"/>
        <v>57588.984556790107</v>
      </c>
      <c r="J65" s="139">
        <f t="shared" ca="1" si="20"/>
        <v>2064710.3995904813</v>
      </c>
      <c r="K65" s="77">
        <f t="shared" ca="1" si="21"/>
        <v>3.2355199795240652E-2</v>
      </c>
      <c r="L65" s="137">
        <f t="shared" ca="1" si="22"/>
        <v>64710.399590481291</v>
      </c>
      <c r="M65" s="139">
        <f t="shared" ca="1" si="23"/>
        <v>2086599.2922635931</v>
      </c>
      <c r="N65" s="77">
        <f t="shared" ca="1" si="24"/>
        <v>4.3299646131796488E-2</v>
      </c>
      <c r="O65" s="137">
        <f t="shared" ca="1" si="25"/>
        <v>86599.292263592972</v>
      </c>
    </row>
    <row r="66" spans="1:15" ht="16.5" customHeight="1" thickBot="1">
      <c r="A66" s="155">
        <v>7</v>
      </c>
      <c r="B66" s="155" t="str">
        <f>TEXT(투자전략!$G$1+6, "[$-ko-KR]yyyy.mm.dd")</f>
        <v>2021.08.07</v>
      </c>
      <c r="C66" s="135">
        <f t="shared" ca="1" si="13"/>
        <v>2000000</v>
      </c>
      <c r="D66" s="139">
        <f t="shared" ca="1" si="14"/>
        <v>2110961.2819726518</v>
      </c>
      <c r="E66" s="77">
        <f t="shared" ca="1" si="15"/>
        <v>5.5480640986325956E-2</v>
      </c>
      <c r="F66" s="137">
        <f t="shared" ca="1" si="16"/>
        <v>110961.28197265191</v>
      </c>
      <c r="G66" s="139">
        <f t="shared" ca="1" si="17"/>
        <v>2141863.8537884159</v>
      </c>
      <c r="H66" s="77">
        <f t="shared" ca="1" si="18"/>
        <v>7.0931926894207936E-2</v>
      </c>
      <c r="I66" s="137">
        <f t="shared" ca="1" si="19"/>
        <v>141863.85378841593</v>
      </c>
      <c r="J66" s="139">
        <f t="shared" ca="1" si="20"/>
        <v>2134090.3951161774</v>
      </c>
      <c r="K66" s="77">
        <f t="shared" ca="1" si="21"/>
        <v>6.7045197558088826E-2</v>
      </c>
      <c r="L66" s="137">
        <f t="shared" ca="1" si="22"/>
        <v>134090.39511617768</v>
      </c>
      <c r="M66" s="139">
        <f t="shared" ca="1" si="23"/>
        <v>2096579.9121482118</v>
      </c>
      <c r="N66" s="77">
        <f t="shared" ca="1" si="24"/>
        <v>4.828995607410598E-2</v>
      </c>
      <c r="O66" s="137">
        <f t="shared" ca="1" si="25"/>
        <v>96579.912148211966</v>
      </c>
    </row>
    <row r="67" spans="1:15" ht="16.5" customHeight="1">
      <c r="A67" s="154">
        <v>8</v>
      </c>
      <c r="B67" s="154" t="str">
        <f>TEXT(투자전략!$G$1+7, "[$-ko-KR]yyyy.mm.dd")</f>
        <v>2021.08.08</v>
      </c>
      <c r="C67" s="134">
        <f t="shared" ca="1" si="13"/>
        <v>1800000</v>
      </c>
      <c r="D67" s="142">
        <f t="shared" ca="1" si="14"/>
        <v>1783854.6590659348</v>
      </c>
      <c r="E67" s="76">
        <f t="shared" ca="1" si="15"/>
        <v>-8.969633852258508E-3</v>
      </c>
      <c r="F67" s="141">
        <f t="shared" ca="1" si="16"/>
        <v>-16145.340934065312</v>
      </c>
      <c r="G67" s="142">
        <f t="shared" ca="1" si="17"/>
        <v>1804436.8004066923</v>
      </c>
      <c r="H67" s="76">
        <f t="shared" ca="1" si="18"/>
        <v>2.4648891148290547E-3</v>
      </c>
      <c r="I67" s="141">
        <f t="shared" ca="1" si="19"/>
        <v>4436.8004066922995</v>
      </c>
      <c r="J67" s="142">
        <f t="shared" ca="1" si="20"/>
        <v>1795550.0872227107</v>
      </c>
      <c r="K67" s="76">
        <f t="shared" ca="1" si="21"/>
        <v>-2.4721737651607414E-3</v>
      </c>
      <c r="L67" s="141">
        <f t="shared" ca="1" si="22"/>
        <v>-4449.9127772893316</v>
      </c>
      <c r="M67" s="142">
        <f t="shared" ca="1" si="23"/>
        <v>1800000</v>
      </c>
      <c r="N67" s="76">
        <f t="shared" ca="1" si="24"/>
        <v>0</v>
      </c>
      <c r="O67" s="141">
        <f t="shared" ca="1" si="25"/>
        <v>0</v>
      </c>
    </row>
    <row r="68" spans="1:15" ht="16.5" customHeight="1">
      <c r="A68" s="153">
        <v>9</v>
      </c>
      <c r="B68" s="153" t="str">
        <f>TEXT(투자전략!$G$1+8, "[$-ko-KR]yyyy.mm.dd")</f>
        <v>2021.08.09</v>
      </c>
      <c r="C68" s="135">
        <f t="shared" ca="1" si="13"/>
        <v>2000000</v>
      </c>
      <c r="D68" s="139">
        <f t="shared" ca="1" si="14"/>
        <v>2015766.7379639705</v>
      </c>
      <c r="E68" s="77">
        <f t="shared" ca="1" si="15"/>
        <v>7.883368981985224E-3</v>
      </c>
      <c r="F68" s="137">
        <f t="shared" ca="1" si="16"/>
        <v>15766.737963970449</v>
      </c>
      <c r="G68" s="139">
        <f t="shared" ca="1" si="17"/>
        <v>2048485.2091466167</v>
      </c>
      <c r="H68" s="77">
        <f t="shared" ca="1" si="18"/>
        <v>2.4242604573308311E-2</v>
      </c>
      <c r="I68" s="137">
        <f t="shared" ca="1" si="19"/>
        <v>48485.209146616624</v>
      </c>
      <c r="J68" s="139">
        <f t="shared" ca="1" si="20"/>
        <v>2067244.3725939363</v>
      </c>
      <c r="K68" s="77">
        <f t="shared" ca="1" si="21"/>
        <v>3.3622186296968157E-2</v>
      </c>
      <c r="L68" s="137">
        <f t="shared" ca="1" si="22"/>
        <v>67244.372593936321</v>
      </c>
      <c r="M68" s="139">
        <f t="shared" ca="1" si="23"/>
        <v>2055804.8405905436</v>
      </c>
      <c r="N68" s="77">
        <f t="shared" ca="1" si="24"/>
        <v>2.7902420295271894E-2</v>
      </c>
      <c r="O68" s="137">
        <f t="shared" ca="1" si="25"/>
        <v>55804.840590543812</v>
      </c>
    </row>
    <row r="69" spans="1:15" ht="16.5" customHeight="1">
      <c r="A69" s="153">
        <v>10</v>
      </c>
      <c r="B69" s="153" t="str">
        <f>TEXT(투자전략!$G$1+9, "[$-ko-KR]yyyy.mm.dd")</f>
        <v>2021.08.10</v>
      </c>
      <c r="C69" s="135">
        <f t="shared" ca="1" si="13"/>
        <v>1800000</v>
      </c>
      <c r="D69" s="139">
        <f t="shared" ca="1" si="14"/>
        <v>1818899.4806794254</v>
      </c>
      <c r="E69" s="77">
        <f t="shared" ca="1" si="15"/>
        <v>1.0499711488569726E-2</v>
      </c>
      <c r="F69" s="137">
        <f t="shared" ca="1" si="16"/>
        <v>18899.480679425509</v>
      </c>
      <c r="G69" s="139">
        <f t="shared" ca="1" si="17"/>
        <v>1842748.3554756248</v>
      </c>
      <c r="H69" s="77">
        <f t="shared" ca="1" si="18"/>
        <v>2.3749086375347221E-2</v>
      </c>
      <c r="I69" s="137">
        <f t="shared" ca="1" si="19"/>
        <v>42748.355475624987</v>
      </c>
      <c r="J69" s="139">
        <f t="shared" ca="1" si="20"/>
        <v>1818737.1070886063</v>
      </c>
      <c r="K69" s="77">
        <f t="shared" ca="1" si="21"/>
        <v>1.0409503938114661E-2</v>
      </c>
      <c r="L69" s="137">
        <f t="shared" ca="1" si="22"/>
        <v>18737.107088606386</v>
      </c>
      <c r="M69" s="139">
        <f t="shared" ca="1" si="23"/>
        <v>1813599.8950606664</v>
      </c>
      <c r="N69" s="77">
        <f t="shared" ca="1" si="24"/>
        <v>7.5554972559257732E-3</v>
      </c>
      <c r="O69" s="137">
        <f t="shared" ca="1" si="25"/>
        <v>13599.895060666389</v>
      </c>
    </row>
    <row r="70" spans="1:15" ht="16.5" customHeight="1">
      <c r="A70" s="153">
        <v>11</v>
      </c>
      <c r="B70" s="153" t="str">
        <f>TEXT(투자전략!$G$1+10, "[$-ko-KR]yyyy.mm.dd")</f>
        <v>2021.08.11</v>
      </c>
      <c r="C70" s="135">
        <f t="shared" ca="1" si="13"/>
        <v>1800000</v>
      </c>
      <c r="D70" s="139">
        <f t="shared" ca="1" si="14"/>
        <v>1863783.6799108451</v>
      </c>
      <c r="E70" s="77">
        <f t="shared" ca="1" si="15"/>
        <v>3.5435377728247258E-2</v>
      </c>
      <c r="F70" s="137">
        <f t="shared" ca="1" si="16"/>
        <v>63783.679910845065</v>
      </c>
      <c r="G70" s="139">
        <f t="shared" ca="1" si="17"/>
        <v>1906022.8707645715</v>
      </c>
      <c r="H70" s="77">
        <f t="shared" ca="1" si="18"/>
        <v>5.8901594869206333E-2</v>
      </c>
      <c r="I70" s="137">
        <f t="shared" ca="1" si="19"/>
        <v>106022.87076457139</v>
      </c>
      <c r="J70" s="139">
        <f t="shared" ca="1" si="20"/>
        <v>1894568.2179449624</v>
      </c>
      <c r="K70" s="77">
        <f t="shared" ca="1" si="21"/>
        <v>5.2537898858312476E-2</v>
      </c>
      <c r="L70" s="137">
        <f t="shared" ca="1" si="22"/>
        <v>94568.217944962424</v>
      </c>
      <c r="M70" s="139">
        <f t="shared" ca="1" si="23"/>
        <v>1948710.7560345037</v>
      </c>
      <c r="N70" s="77">
        <f t="shared" ca="1" si="24"/>
        <v>8.2617086685835284E-2</v>
      </c>
      <c r="O70" s="137">
        <f t="shared" ca="1" si="25"/>
        <v>148710.75603450349</v>
      </c>
    </row>
    <row r="71" spans="1:15" ht="16.5" customHeight="1">
      <c r="A71" s="153">
        <v>12</v>
      </c>
      <c r="B71" s="153" t="str">
        <f>TEXT(투자전략!$G$1+11, "[$-ko-KR]yyyy.mm.dd")</f>
        <v>2021.08.12</v>
      </c>
      <c r="C71" s="135">
        <f t="shared" ca="1" si="13"/>
        <v>1800000</v>
      </c>
      <c r="D71" s="139">
        <f t="shared" ca="1" si="14"/>
        <v>1854190.4115156569</v>
      </c>
      <c r="E71" s="77">
        <f t="shared" ca="1" si="15"/>
        <v>3.0105784175364875E-2</v>
      </c>
      <c r="F71" s="137">
        <f t="shared" ca="1" si="16"/>
        <v>54190.411515656771</v>
      </c>
      <c r="G71" s="139">
        <f t="shared" ca="1" si="17"/>
        <v>1811992.8425473114</v>
      </c>
      <c r="H71" s="77">
        <f t="shared" ca="1" si="18"/>
        <v>6.6626903040617885E-3</v>
      </c>
      <c r="I71" s="137">
        <f t="shared" ca="1" si="19"/>
        <v>11992.842547311218</v>
      </c>
      <c r="J71" s="139">
        <f t="shared" ca="1" si="20"/>
        <v>1782765.9477877172</v>
      </c>
      <c r="K71" s="77">
        <f t="shared" ca="1" si="21"/>
        <v>-9.5744734512683196E-3</v>
      </c>
      <c r="L71" s="137">
        <f t="shared" ca="1" si="22"/>
        <v>-17234.052212282972</v>
      </c>
      <c r="M71" s="139">
        <f t="shared" ca="1" si="23"/>
        <v>1759399.1102913728</v>
      </c>
      <c r="N71" s="77">
        <f t="shared" ca="1" si="24"/>
        <v>-2.2556049838126216E-2</v>
      </c>
      <c r="O71" s="137">
        <f t="shared" ca="1" si="25"/>
        <v>-40600.889708627183</v>
      </c>
    </row>
    <row r="72" spans="1:15" ht="16.5" customHeight="1">
      <c r="A72" s="153">
        <v>13</v>
      </c>
      <c r="B72" s="153" t="str">
        <f>TEXT(투자전략!$G$1+12, "[$-ko-KR]yyyy.mm.dd")</f>
        <v>2021.08.13</v>
      </c>
      <c r="C72" s="135">
        <f t="shared" ca="1" si="13"/>
        <v>1800000</v>
      </c>
      <c r="D72" s="139">
        <f t="shared" ca="1" si="14"/>
        <v>1873541.2955045453</v>
      </c>
      <c r="E72" s="77">
        <f t="shared" ca="1" si="15"/>
        <v>4.085627528030298E-2</v>
      </c>
      <c r="F72" s="137">
        <f t="shared" ca="1" si="16"/>
        <v>73541.295504545385</v>
      </c>
      <c r="G72" s="139">
        <f t="shared" ca="1" si="17"/>
        <v>1904445.3449554569</v>
      </c>
      <c r="H72" s="77">
        <f t="shared" ca="1" si="18"/>
        <v>5.8025191641920472E-2</v>
      </c>
      <c r="I72" s="137">
        <f t="shared" ca="1" si="19"/>
        <v>104445.34495545685</v>
      </c>
      <c r="J72" s="139">
        <f t="shared" ca="1" si="20"/>
        <v>1892900.1590908121</v>
      </c>
      <c r="K72" s="77">
        <f t="shared" ca="1" si="21"/>
        <v>5.1611199494895642E-2</v>
      </c>
      <c r="L72" s="137">
        <f t="shared" ca="1" si="22"/>
        <v>92900.159090812143</v>
      </c>
      <c r="M72" s="139">
        <f t="shared" ca="1" si="23"/>
        <v>1882722.6614657538</v>
      </c>
      <c r="N72" s="77">
        <f t="shared" ca="1" si="24"/>
        <v>4.5957034147640886E-2</v>
      </c>
      <c r="O72" s="137">
        <f t="shared" ca="1" si="25"/>
        <v>82722.661465753568</v>
      </c>
    </row>
    <row r="73" spans="1:15" ht="16.5" customHeight="1" thickBot="1">
      <c r="A73" s="155">
        <v>14</v>
      </c>
      <c r="B73" s="155" t="str">
        <f>TEXT(투자전략!$G$1+13, "[$-ko-KR]yyyy.mm.dd")</f>
        <v>2021.08.14</v>
      </c>
      <c r="C73" s="136">
        <f t="shared" ca="1" si="13"/>
        <v>1700000</v>
      </c>
      <c r="D73" s="140">
        <f t="shared" ca="1" si="14"/>
        <v>1744639.2200355434</v>
      </c>
      <c r="E73" s="79">
        <f t="shared" ca="1" si="15"/>
        <v>2.625836472679011E-2</v>
      </c>
      <c r="F73" s="138">
        <f t="shared" ca="1" si="16"/>
        <v>44639.220035543185</v>
      </c>
      <c r="G73" s="140">
        <f t="shared" ca="1" si="17"/>
        <v>1721332.4234656629</v>
      </c>
      <c r="H73" s="79">
        <f t="shared" ca="1" si="18"/>
        <v>1.2548484391566337E-2</v>
      </c>
      <c r="I73" s="138">
        <f t="shared" ca="1" si="19"/>
        <v>21332.42346566277</v>
      </c>
      <c r="J73" s="140">
        <f t="shared" ca="1" si="20"/>
        <v>1706866.3271011377</v>
      </c>
      <c r="K73" s="79">
        <f t="shared" ca="1" si="21"/>
        <v>4.0390159418457238E-3</v>
      </c>
      <c r="L73" s="138">
        <f t="shared" ca="1" si="22"/>
        <v>6866.3271011377319</v>
      </c>
      <c r="M73" s="140">
        <f t="shared" ca="1" si="23"/>
        <v>1741879.8941712494</v>
      </c>
      <c r="N73" s="79">
        <f t="shared" ca="1" si="24"/>
        <v>2.463523186544072E-2</v>
      </c>
      <c r="O73" s="138">
        <f t="shared" ca="1" si="25"/>
        <v>41879.894171249216</v>
      </c>
    </row>
    <row r="74" spans="1:15" ht="16.5" customHeight="1">
      <c r="A74" s="154">
        <v>15</v>
      </c>
      <c r="B74" s="154" t="str">
        <f>TEXT(투자전략!$G$1+14, "[$-ko-KR]yyyy.mm.dd")</f>
        <v>2021.08.15</v>
      </c>
      <c r="C74" s="135">
        <f t="shared" ca="1" si="13"/>
        <v>1700000</v>
      </c>
      <c r="D74" s="139">
        <f t="shared" ca="1" si="14"/>
        <v>1712728.8968238221</v>
      </c>
      <c r="E74" s="77">
        <f t="shared" ca="1" si="15"/>
        <v>7.4875863669541555E-3</v>
      </c>
      <c r="F74" s="137">
        <f t="shared" ca="1" si="16"/>
        <v>12728.896823822062</v>
      </c>
      <c r="G74" s="139">
        <f t="shared" ca="1" si="17"/>
        <v>1699536.9049634538</v>
      </c>
      <c r="H74" s="77">
        <f t="shared" ca="1" si="18"/>
        <v>-2.7240884502722297E-4</v>
      </c>
      <c r="I74" s="137">
        <f t="shared" ca="1" si="19"/>
        <v>-463.09503654627815</v>
      </c>
      <c r="J74" s="139">
        <f t="shared" ca="1" si="20"/>
        <v>1692365.237079802</v>
      </c>
      <c r="K74" s="77">
        <f t="shared" ca="1" si="21"/>
        <v>-4.4910370118811721E-3</v>
      </c>
      <c r="L74" s="137">
        <f t="shared" ca="1" si="22"/>
        <v>-7634.7629201979926</v>
      </c>
      <c r="M74" s="139">
        <f t="shared" ca="1" si="23"/>
        <v>1692394.0882860119</v>
      </c>
      <c r="N74" s="77">
        <f t="shared" ca="1" si="24"/>
        <v>-4.4740657141106232E-3</v>
      </c>
      <c r="O74" s="137">
        <f t="shared" ca="1" si="25"/>
        <v>-7605.91171398806</v>
      </c>
    </row>
    <row r="75" spans="1:15" ht="16.5" customHeight="1">
      <c r="A75" s="153">
        <v>16</v>
      </c>
      <c r="B75" s="153" t="str">
        <f>TEXT(투자전략!$G$1+15, "[$-ko-KR]yyyy.mm.dd")</f>
        <v>2021.08.16</v>
      </c>
      <c r="C75" s="135">
        <f t="shared" ca="1" si="13"/>
        <v>1700000</v>
      </c>
      <c r="D75" s="139">
        <f t="shared" ca="1" si="14"/>
        <v>1749147.2938253307</v>
      </c>
      <c r="E75" s="77">
        <f t="shared" ca="1" si="15"/>
        <v>2.891017283842974E-2</v>
      </c>
      <c r="F75" s="137">
        <f t="shared" ca="1" si="16"/>
        <v>49147.293825330577</v>
      </c>
      <c r="G75" s="139">
        <f t="shared" ca="1" si="17"/>
        <v>1747854.151408148</v>
      </c>
      <c r="H75" s="77">
        <f t="shared" ca="1" si="18"/>
        <v>2.8149500828322266E-2</v>
      </c>
      <c r="I75" s="137">
        <f t="shared" ca="1" si="19"/>
        <v>47854.151408147867</v>
      </c>
      <c r="J75" s="139">
        <f t="shared" ca="1" si="20"/>
        <v>1763298.0723703599</v>
      </c>
      <c r="K75" s="77">
        <f t="shared" ca="1" si="21"/>
        <v>3.7234160217858699E-2</v>
      </c>
      <c r="L75" s="137">
        <f t="shared" ca="1" si="22"/>
        <v>63298.072370359805</v>
      </c>
      <c r="M75" s="139">
        <f t="shared" ca="1" si="23"/>
        <v>1718379.1901380336</v>
      </c>
      <c r="N75" s="77">
        <f t="shared" ca="1" si="24"/>
        <v>1.0811288316490454E-2</v>
      </c>
      <c r="O75" s="137">
        <f t="shared" ca="1" si="25"/>
        <v>18379.190138033773</v>
      </c>
    </row>
    <row r="76" spans="1:15" ht="16.5" customHeight="1">
      <c r="A76" s="153">
        <v>17</v>
      </c>
      <c r="B76" s="153" t="str">
        <f>TEXT(투자전략!$G$1+16, "[$-ko-KR]yyyy.mm.dd")</f>
        <v>2021.08.17</v>
      </c>
      <c r="C76" s="135">
        <f t="shared" ca="1" si="13"/>
        <v>1700000</v>
      </c>
      <c r="D76" s="139">
        <f t="shared" ca="1" si="14"/>
        <v>1670123.6591798658</v>
      </c>
      <c r="E76" s="77">
        <f t="shared" ca="1" si="15"/>
        <v>-1.7574318129490656E-2</v>
      </c>
      <c r="F76" s="137">
        <f t="shared" ca="1" si="16"/>
        <v>-29876.340820134123</v>
      </c>
      <c r="G76" s="139">
        <f t="shared" ca="1" si="17"/>
        <v>1689741.2077663168</v>
      </c>
      <c r="H76" s="77">
        <f t="shared" ca="1" si="18"/>
        <v>-6.0345836668724917E-3</v>
      </c>
      <c r="I76" s="137">
        <f t="shared" ca="1" si="19"/>
        <v>-10258.792233683238</v>
      </c>
      <c r="J76" s="139">
        <f t="shared" ca="1" si="20"/>
        <v>1691909.9301463212</v>
      </c>
      <c r="K76" s="77">
        <f t="shared" ca="1" si="21"/>
        <v>-4.7588646198110244E-3</v>
      </c>
      <c r="L76" s="137">
        <f t="shared" ca="1" si="22"/>
        <v>-8090.069853678744</v>
      </c>
      <c r="M76" s="139">
        <f t="shared" ca="1" si="23"/>
        <v>1700000</v>
      </c>
      <c r="N76" s="77">
        <f t="shared" ca="1" si="24"/>
        <v>0</v>
      </c>
      <c r="O76" s="137">
        <f t="shared" ca="1" si="25"/>
        <v>0</v>
      </c>
    </row>
    <row r="77" spans="1:15" ht="16.5" customHeight="1">
      <c r="A77" s="153">
        <v>18</v>
      </c>
      <c r="B77" s="153" t="str">
        <f>TEXT(투자전략!$G$1+17, "[$-ko-KR]yyyy.mm.dd")</f>
        <v>2021.08.18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2021.08.19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2021.08.20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2021.08.21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2021.08.22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2021.08.23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2021.08.24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2021.08.25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2021.08.26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2021.08.27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2021.08.28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2021.08.29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2021.08.30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2021.08.31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77" t="s">
        <v>283</v>
      </c>
      <c r="B91" s="279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70"/>
      <c r="B92" s="272"/>
      <c r="C92" s="136">
        <f ca="1">SUM(C60:C90)</f>
        <v>31800000</v>
      </c>
      <c r="D92" s="140">
        <f ca="1">SUM(D60:D90)</f>
        <v>32434999.808849357</v>
      </c>
      <c r="E92" s="79">
        <f ca="1">IFERROR(F92 / (SUM($C60:$C90) / COUNT($C60:$C90)), 0)</f>
        <v>0.3394653066175784</v>
      </c>
      <c r="F92" s="138">
        <f ca="1">SUM(F60:F90)</f>
        <v>634999.80884935253</v>
      </c>
      <c r="G92" s="140">
        <f ca="1">SUM(G60:G90)</f>
        <v>32568586.522318304</v>
      </c>
      <c r="H92" s="79">
        <f ca="1">IFERROR(I92 / (SUM($C60:$C90) / COUNT($C60:$C90)), 0)</f>
        <v>0.41087958740286751</v>
      </c>
      <c r="I92" s="138">
        <f ca="1">SUM(I60:I90)</f>
        <v>768586.5223183051</v>
      </c>
      <c r="J92" s="140">
        <f ca="1">SUM(J60:J90)</f>
        <v>32451154.629585557</v>
      </c>
      <c r="K92" s="79">
        <f ca="1">IFERROR(L92 / (SUM($C60:$C90) / COUNT($C60:$C90)), 0)</f>
        <v>0.34810153153944817</v>
      </c>
      <c r="L92" s="138">
        <f ca="1">SUM(L60:L90)</f>
        <v>651154.62958555599</v>
      </c>
      <c r="M92" s="140">
        <f ca="1">SUM(M60:M90)</f>
        <v>32520425.028679516</v>
      </c>
      <c r="N92" s="79">
        <f ca="1">IFERROR(O92 / (SUM($C60:$C90) / COUNT($C60:$C90)), 0)</f>
        <v>0.3851328769670363</v>
      </c>
      <c r="O92" s="138">
        <f ca="1">SUM(O60:O90)</f>
        <v>720425.02867951489</v>
      </c>
    </row>
    <row r="94" spans="1:15" ht="16.5" customHeight="1" thickBot="1"/>
    <row r="95" spans="1:15" ht="16.5" customHeight="1" thickBot="1">
      <c r="A95" s="249" t="str">
        <f>TEXT(투자전략!$G$1, "[$-ko-KR]yyyy년 mm월 ") &amp; "[동전코인] 전일대비 상승률 Top20 월말결산"</f>
        <v>2021년 08월 [동전코인] 전일대비 상승률 Top20 월말결산</v>
      </c>
      <c r="B95" s="250"/>
      <c r="C95" s="250"/>
      <c r="D95" s="250"/>
      <c r="E95" s="250"/>
      <c r="F95" s="250"/>
      <c r="G95" s="250"/>
      <c r="H95" s="250"/>
      <c r="I95" s="250"/>
      <c r="J95" s="250"/>
      <c r="K95" s="250"/>
      <c r="L95" s="250"/>
      <c r="M95" s="250"/>
      <c r="N95" s="250"/>
      <c r="O95" s="251"/>
    </row>
    <row r="96" spans="1:15" ht="16.5" customHeight="1" thickBot="1">
      <c r="A96" s="293" t="s">
        <v>284</v>
      </c>
      <c r="B96" s="270" t="s">
        <v>282</v>
      </c>
      <c r="C96" s="272"/>
      <c r="D96" s="270" t="s">
        <v>274</v>
      </c>
      <c r="E96" s="271"/>
      <c r="F96" s="272"/>
      <c r="G96" s="270" t="s">
        <v>275</v>
      </c>
      <c r="H96" s="271"/>
      <c r="I96" s="272"/>
      <c r="J96" s="270" t="s">
        <v>276</v>
      </c>
      <c r="K96" s="271"/>
      <c r="L96" s="272"/>
      <c r="M96" s="270" t="s">
        <v>277</v>
      </c>
      <c r="N96" s="271"/>
      <c r="O96" s="272"/>
    </row>
    <row r="97" spans="1:15" ht="16.5" customHeight="1" thickBot="1">
      <c r="A97" s="286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2021.08.01</v>
      </c>
      <c r="C98" s="134">
        <f ca="1">IFERROR(COUNTA(INDIRECT($B98&amp;"!A71:A90")) * INDIRECT($B98&amp;"!B91"), "")</f>
        <v>2000000</v>
      </c>
      <c r="D98" s="142">
        <f ca="1">IFERROR($C98 * (1 + E98), "")</f>
        <v>2013569.1351418963</v>
      </c>
      <c r="E98" s="76">
        <f ca="1">IFERROR(INDIRECT($B98&amp;"!E91"), "")</f>
        <v>6.7845675709481941E-3</v>
      </c>
      <c r="F98" s="141">
        <f ca="1">IFERROR(INDIRECT($B98&amp;"!F91"), "")</f>
        <v>13569.135141896386</v>
      </c>
      <c r="G98" s="142">
        <f ca="1">IFERROR($C98 * (1 + H98), "")</f>
        <v>2025240.5843919283</v>
      </c>
      <c r="H98" s="76">
        <f ca="1">IFERROR(INDIRECT($B98&amp;"!H91"), "")</f>
        <v>1.2620292195964101E-2</v>
      </c>
      <c r="I98" s="141">
        <f ca="1">IFERROR(INDIRECT($B98&amp;"!I91"), "")</f>
        <v>25240.584391928194</v>
      </c>
      <c r="J98" s="142">
        <f ca="1">IFERROR($C98 * (1 + K98), "")</f>
        <v>1991484.5403344783</v>
      </c>
      <c r="K98" s="76">
        <f ca="1">IFERROR(INDIRECT($B98&amp;"!K91"), "")</f>
        <v>-4.2577298327608135E-3</v>
      </c>
      <c r="L98" s="141">
        <f ca="1">IFERROR(INDIRECT($B98&amp;"!L91"), "")</f>
        <v>-8515.4596655216319</v>
      </c>
      <c r="M98" s="142">
        <f ca="1">IFERROR($C98 * (1 + N98), "")</f>
        <v>1985913.8462593057</v>
      </c>
      <c r="N98" s="76">
        <f ca="1">IFERROR(INDIRECT($B98&amp;"!N91"), "")</f>
        <v>-7.0430768703470814E-3</v>
      </c>
      <c r="O98" s="141">
        <f ca="1">IFERROR(INDIRECT($B98&amp;"!O91"), "")</f>
        <v>-14086.153740694155</v>
      </c>
    </row>
    <row r="99" spans="1:15" ht="16.5" customHeight="1">
      <c r="A99" s="153">
        <v>2</v>
      </c>
      <c r="B99" s="153" t="str">
        <f>TEXT(투자전략!$G$1+1, "[$-ko-KR]yyyy.mm.dd")</f>
        <v>2021.08.02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2000000</v>
      </c>
      <c r="E99" s="77">
        <f t="shared" ref="E99:E128" ca="1" si="28">IFERROR(INDIRECT($B99&amp;"!E91"), "")</f>
        <v>0</v>
      </c>
      <c r="F99" s="137">
        <f t="shared" ref="F99:F128" ca="1" si="29">IFERROR(INDIRECT($B99&amp;"!F91"), "")</f>
        <v>0</v>
      </c>
      <c r="G99" s="139">
        <f t="shared" ref="G99:G128" ca="1" si="30">IFERROR($C99 * (1 + H99), "")</f>
        <v>2006777.41263402</v>
      </c>
      <c r="H99" s="77">
        <f t="shared" ref="H99:H128" ca="1" si="31">IFERROR(INDIRECT($B99&amp;"!H91"), "")</f>
        <v>3.3887063170100428E-3</v>
      </c>
      <c r="I99" s="137">
        <f t="shared" ref="I99:I128" ca="1" si="32">IFERROR(INDIRECT($B99&amp;"!I91"), "")</f>
        <v>6777.4126340200837</v>
      </c>
      <c r="J99" s="139">
        <f t="shared" ref="J99:J128" ca="1" si="33">IFERROR($C99 * (1 + K99), "")</f>
        <v>1995960.6419609273</v>
      </c>
      <c r="K99" s="77">
        <f t="shared" ref="K99:K128" ca="1" si="34">IFERROR(INDIRECT($B99&amp;"!K91"), "")</f>
        <v>-2.0196790195364175E-3</v>
      </c>
      <c r="L99" s="137">
        <f t="shared" ref="L99:L128" ca="1" si="35">IFERROR(INDIRECT($B99&amp;"!L91"), "")</f>
        <v>-4039.3580390728362</v>
      </c>
      <c r="M99" s="139">
        <f t="shared" ref="M99:M128" ca="1" si="36">IFERROR($C99 * (1 + N99), "")</f>
        <v>2007782.1495848114</v>
      </c>
      <c r="N99" s="77">
        <f t="shared" ref="N99:N128" ca="1" si="37">IFERROR(INDIRECT($B99&amp;"!N91"), "")</f>
        <v>3.8910747924056138E-3</v>
      </c>
      <c r="O99" s="137">
        <f t="shared" ref="O99:O128" ca="1" si="38">IFERROR(INDIRECT($B99&amp;"!O91"), "")</f>
        <v>7782.1495848112272</v>
      </c>
    </row>
    <row r="100" spans="1:15" ht="16.5" customHeight="1">
      <c r="A100" s="153">
        <v>3</v>
      </c>
      <c r="B100" s="153" t="str">
        <f>TEXT(투자전략!$G$1+2, "[$-ko-KR]yyyy.mm.dd")</f>
        <v>2021.08.03</v>
      </c>
      <c r="C100" s="135">
        <f t="shared" ca="1" si="26"/>
        <v>2000000</v>
      </c>
      <c r="D100" s="139">
        <f t="shared" ca="1" si="27"/>
        <v>1946144.4484259111</v>
      </c>
      <c r="E100" s="77">
        <f t="shared" ca="1" si="28"/>
        <v>-2.6927775787044455E-2</v>
      </c>
      <c r="F100" s="137">
        <f t="shared" ca="1" si="29"/>
        <v>-53855.551574088895</v>
      </c>
      <c r="G100" s="139">
        <f t="shared" ca="1" si="30"/>
        <v>1970119.6153937955</v>
      </c>
      <c r="H100" s="77">
        <f t="shared" ca="1" si="31"/>
        <v>-1.4940192303102187E-2</v>
      </c>
      <c r="I100" s="137">
        <f t="shared" ca="1" si="32"/>
        <v>-29880.384606204378</v>
      </c>
      <c r="J100" s="139">
        <f t="shared" ca="1" si="33"/>
        <v>1964951.3307662634</v>
      </c>
      <c r="K100" s="77">
        <f t="shared" ca="1" si="34"/>
        <v>-1.7524334616868253E-2</v>
      </c>
      <c r="L100" s="137">
        <f t="shared" ca="1" si="35"/>
        <v>-35048.669233736502</v>
      </c>
      <c r="M100" s="139">
        <f t="shared" ca="1" si="36"/>
        <v>1982133.8012244625</v>
      </c>
      <c r="N100" s="77">
        <f t="shared" ca="1" si="37"/>
        <v>-8.933099387768725E-3</v>
      </c>
      <c r="O100" s="137">
        <f t="shared" ca="1" si="38"/>
        <v>-17866.198775537454</v>
      </c>
    </row>
    <row r="101" spans="1:15" ht="16.5" customHeight="1">
      <c r="A101" s="153">
        <v>4</v>
      </c>
      <c r="B101" s="153" t="str">
        <f>TEXT(투자전략!$G$1+3, "[$-ko-KR]yyyy.mm.dd")</f>
        <v>2021.08.04</v>
      </c>
      <c r="C101" s="135">
        <f t="shared" ca="1" si="26"/>
        <v>2000000</v>
      </c>
      <c r="D101" s="139">
        <f t="shared" ca="1" si="27"/>
        <v>1970139.3946682082</v>
      </c>
      <c r="E101" s="77">
        <f t="shared" ca="1" si="28"/>
        <v>-1.4930302665895876E-2</v>
      </c>
      <c r="F101" s="137">
        <f t="shared" ca="1" si="29"/>
        <v>-29860.605331791754</v>
      </c>
      <c r="G101" s="139">
        <f t="shared" ca="1" si="30"/>
        <v>1962484.0017451951</v>
      </c>
      <c r="H101" s="77">
        <f t="shared" ca="1" si="31"/>
        <v>-1.8757999127402364E-2</v>
      </c>
      <c r="I101" s="137">
        <f t="shared" ca="1" si="32"/>
        <v>-37515.998254804719</v>
      </c>
      <c r="J101" s="139">
        <f t="shared" ca="1" si="33"/>
        <v>1979201.5260158048</v>
      </c>
      <c r="K101" s="77">
        <f t="shared" ca="1" si="34"/>
        <v>-1.0399236992097521E-2</v>
      </c>
      <c r="L101" s="137">
        <f t="shared" ca="1" si="35"/>
        <v>-20798.473984195036</v>
      </c>
      <c r="M101" s="139">
        <f t="shared" ca="1" si="36"/>
        <v>2002986.1276716075</v>
      </c>
      <c r="N101" s="77">
        <f t="shared" ca="1" si="37"/>
        <v>1.4930638358037112E-3</v>
      </c>
      <c r="O101" s="137">
        <f t="shared" ca="1" si="38"/>
        <v>2986.1276716074244</v>
      </c>
    </row>
    <row r="102" spans="1:15" ht="16.5" customHeight="1">
      <c r="A102" s="153">
        <v>5</v>
      </c>
      <c r="B102" s="153" t="str">
        <f>TEXT(투자전략!$G$1+4, "[$-ko-KR]yyyy.mm.dd")</f>
        <v>2021.08.05</v>
      </c>
      <c r="C102" s="135">
        <f t="shared" ca="1" si="26"/>
        <v>2000000</v>
      </c>
      <c r="D102" s="139">
        <f t="shared" ca="1" si="27"/>
        <v>2044297.1192180649</v>
      </c>
      <c r="E102" s="77">
        <f t="shared" ca="1" si="28"/>
        <v>2.2148559609032552E-2</v>
      </c>
      <c r="F102" s="137">
        <f t="shared" ca="1" si="29"/>
        <v>44297.11921806512</v>
      </c>
      <c r="G102" s="139">
        <f t="shared" ca="1" si="30"/>
        <v>2023205.390567576</v>
      </c>
      <c r="H102" s="77">
        <f t="shared" ca="1" si="31"/>
        <v>1.1602695283787968E-2</v>
      </c>
      <c r="I102" s="137">
        <f t="shared" ca="1" si="32"/>
        <v>23205.390567575949</v>
      </c>
      <c r="J102" s="139">
        <f t="shared" ca="1" si="33"/>
        <v>2023916.8627197088</v>
      </c>
      <c r="K102" s="77">
        <f t="shared" ca="1" si="34"/>
        <v>1.1958431359854511E-2</v>
      </c>
      <c r="L102" s="137">
        <f t="shared" ca="1" si="35"/>
        <v>23916.862719709028</v>
      </c>
      <c r="M102" s="139">
        <f t="shared" ca="1" si="36"/>
        <v>2045260.0802528597</v>
      </c>
      <c r="N102" s="77">
        <f t="shared" ca="1" si="37"/>
        <v>2.2630040126429905E-2</v>
      </c>
      <c r="O102" s="137">
        <f t="shared" ca="1" si="38"/>
        <v>45260.0802528598</v>
      </c>
    </row>
    <row r="103" spans="1:15" ht="16.5" customHeight="1">
      <c r="A103" s="153">
        <v>6</v>
      </c>
      <c r="B103" s="153" t="str">
        <f>TEXT(투자전략!$G$1+5, "[$-ko-KR]yyyy.mm.dd")</f>
        <v>2021.08.06</v>
      </c>
      <c r="C103" s="135">
        <f t="shared" ca="1" si="26"/>
        <v>2000000</v>
      </c>
      <c r="D103" s="139">
        <f t="shared" ca="1" si="27"/>
        <v>2050984.645920377</v>
      </c>
      <c r="E103" s="77">
        <f t="shared" ca="1" si="28"/>
        <v>2.5492322960188461E-2</v>
      </c>
      <c r="F103" s="137">
        <f t="shared" ca="1" si="29"/>
        <v>50984.645920376912</v>
      </c>
      <c r="G103" s="139">
        <f t="shared" ca="1" si="30"/>
        <v>2042450.8953441721</v>
      </c>
      <c r="H103" s="77">
        <f t="shared" ca="1" si="31"/>
        <v>2.1225447672086041E-2</v>
      </c>
      <c r="I103" s="137">
        <f t="shared" ca="1" si="32"/>
        <v>42450.895344172081</v>
      </c>
      <c r="J103" s="139">
        <f t="shared" ca="1" si="33"/>
        <v>2049567.2225548769</v>
      </c>
      <c r="K103" s="77">
        <f t="shared" ca="1" si="34"/>
        <v>2.4783611277438545E-2</v>
      </c>
      <c r="L103" s="137">
        <f t="shared" ca="1" si="35"/>
        <v>49567.222554877095</v>
      </c>
      <c r="M103" s="139">
        <f t="shared" ca="1" si="36"/>
        <v>2073058.2579684013</v>
      </c>
      <c r="N103" s="77">
        <f t="shared" ca="1" si="37"/>
        <v>3.6529128984200757E-2</v>
      </c>
      <c r="O103" s="137">
        <f t="shared" ca="1" si="38"/>
        <v>73058.257968401522</v>
      </c>
    </row>
    <row r="104" spans="1:15" ht="16.5" customHeight="1" thickBot="1">
      <c r="A104" s="155">
        <v>7</v>
      </c>
      <c r="B104" s="155" t="str">
        <f>TEXT(투자전략!$G$1+6, "[$-ko-KR]yyyy.mm.dd")</f>
        <v>2021.08.07</v>
      </c>
      <c r="C104" s="135">
        <f t="shared" ca="1" si="26"/>
        <v>2000000</v>
      </c>
      <c r="D104" s="139">
        <f t="shared" ca="1" si="27"/>
        <v>2135671.0549688777</v>
      </c>
      <c r="E104" s="77">
        <f t="shared" ca="1" si="28"/>
        <v>6.7835527484438829E-2</v>
      </c>
      <c r="F104" s="137">
        <f t="shared" ca="1" si="29"/>
        <v>135671.05496887764</v>
      </c>
      <c r="G104" s="139">
        <f t="shared" ca="1" si="30"/>
        <v>2164993.0813540751</v>
      </c>
      <c r="H104" s="77">
        <f t="shared" ca="1" si="31"/>
        <v>8.2496540677037572E-2</v>
      </c>
      <c r="I104" s="137">
        <f t="shared" ca="1" si="32"/>
        <v>164993.08135407514</v>
      </c>
      <c r="J104" s="139">
        <f t="shared" ca="1" si="33"/>
        <v>2164369.9393914184</v>
      </c>
      <c r="K104" s="77">
        <f t="shared" ca="1" si="34"/>
        <v>8.2184969695709001E-2</v>
      </c>
      <c r="L104" s="137">
        <f t="shared" ca="1" si="35"/>
        <v>164369.93939141792</v>
      </c>
      <c r="M104" s="139">
        <f t="shared" ca="1" si="36"/>
        <v>2131468.8326898995</v>
      </c>
      <c r="N104" s="77">
        <f t="shared" ca="1" si="37"/>
        <v>6.5734416344949753E-2</v>
      </c>
      <c r="O104" s="137">
        <f t="shared" ca="1" si="38"/>
        <v>131468.83268989949</v>
      </c>
    </row>
    <row r="105" spans="1:15" ht="16.5" customHeight="1">
      <c r="A105" s="154">
        <v>8</v>
      </c>
      <c r="B105" s="154" t="str">
        <f>TEXT(투자전략!$G$1+7, "[$-ko-KR]yyyy.mm.dd")</f>
        <v>2021.08.08</v>
      </c>
      <c r="C105" s="134">
        <f t="shared" ca="1" si="26"/>
        <v>2000000</v>
      </c>
      <c r="D105" s="142">
        <f t="shared" ca="1" si="27"/>
        <v>1981963.4364378299</v>
      </c>
      <c r="E105" s="76">
        <f t="shared" ca="1" si="28"/>
        <v>-9.0182817810851405E-3</v>
      </c>
      <c r="F105" s="141">
        <f t="shared" ca="1" si="29"/>
        <v>-18036.563562170279</v>
      </c>
      <c r="G105" s="142">
        <f t="shared" ca="1" si="30"/>
        <v>2001978.5262576067</v>
      </c>
      <c r="H105" s="76">
        <f t="shared" ca="1" si="31"/>
        <v>9.8926312880327273E-4</v>
      </c>
      <c r="I105" s="141">
        <f t="shared" ca="1" si="32"/>
        <v>1978.5262576065436</v>
      </c>
      <c r="J105" s="142">
        <f t="shared" ca="1" si="33"/>
        <v>1996623.0744120132</v>
      </c>
      <c r="K105" s="76">
        <f t="shared" ca="1" si="34"/>
        <v>-1.6884627939933693E-3</v>
      </c>
      <c r="L105" s="141">
        <f t="shared" ca="1" si="35"/>
        <v>-3376.9255879867405</v>
      </c>
      <c r="M105" s="142">
        <f t="shared" ca="1" si="36"/>
        <v>2000000</v>
      </c>
      <c r="N105" s="76">
        <f t="shared" ca="1" si="37"/>
        <v>0</v>
      </c>
      <c r="O105" s="141">
        <f t="shared" ca="1" si="38"/>
        <v>0</v>
      </c>
    </row>
    <row r="106" spans="1:15" ht="16.5" customHeight="1">
      <c r="A106" s="153">
        <v>9</v>
      </c>
      <c r="B106" s="153" t="str">
        <f>TEXT(투자전략!$G$1+8, "[$-ko-KR]yyyy.mm.dd")</f>
        <v>2021.08.09</v>
      </c>
      <c r="C106" s="135">
        <f t="shared" ca="1" si="26"/>
        <v>2000000</v>
      </c>
      <c r="D106" s="139">
        <f t="shared" ca="1" si="27"/>
        <v>2014561.3864043236</v>
      </c>
      <c r="E106" s="77">
        <f t="shared" ca="1" si="28"/>
        <v>7.2806932021619152E-3</v>
      </c>
      <c r="F106" s="137">
        <f t="shared" ca="1" si="29"/>
        <v>14561.38640432383</v>
      </c>
      <c r="G106" s="139">
        <f t="shared" ca="1" si="30"/>
        <v>2055814.0734768934</v>
      </c>
      <c r="H106" s="77">
        <f t="shared" ca="1" si="31"/>
        <v>2.7907036738446706E-2</v>
      </c>
      <c r="I106" s="137">
        <f t="shared" ca="1" si="32"/>
        <v>55814.07347689342</v>
      </c>
      <c r="J106" s="139">
        <f t="shared" ca="1" si="33"/>
        <v>2073161.7025045871</v>
      </c>
      <c r="K106" s="77">
        <f t="shared" ca="1" si="34"/>
        <v>3.6580851252293621E-2</v>
      </c>
      <c r="L106" s="137">
        <f t="shared" ca="1" si="35"/>
        <v>73161.702504587243</v>
      </c>
      <c r="M106" s="139">
        <f t="shared" ca="1" si="36"/>
        <v>2060246.3959181509</v>
      </c>
      <c r="N106" s="77">
        <f t="shared" ca="1" si="37"/>
        <v>3.01231979590754E-2</v>
      </c>
      <c r="O106" s="137">
        <f t="shared" ca="1" si="38"/>
        <v>60246.395918150789</v>
      </c>
    </row>
    <row r="107" spans="1:15" ht="16.5" customHeight="1">
      <c r="A107" s="153">
        <v>10</v>
      </c>
      <c r="B107" s="153" t="str">
        <f>TEXT(투자전략!$G$1+9, "[$-ko-KR]yyyy.mm.dd")</f>
        <v>2021.08.10</v>
      </c>
      <c r="C107" s="135">
        <f t="shared" ca="1" si="26"/>
        <v>2000000</v>
      </c>
      <c r="D107" s="139">
        <f t="shared" ca="1" si="27"/>
        <v>2021101.9095612776</v>
      </c>
      <c r="E107" s="77">
        <f t="shared" ca="1" si="28"/>
        <v>1.0550954780638841E-2</v>
      </c>
      <c r="F107" s="137">
        <f t="shared" ca="1" si="29"/>
        <v>21101.90956127768</v>
      </c>
      <c r="G107" s="139">
        <f t="shared" ca="1" si="30"/>
        <v>2047804.356627021</v>
      </c>
      <c r="H107" s="77">
        <f t="shared" ca="1" si="31"/>
        <v>2.3902178313510526E-2</v>
      </c>
      <c r="I107" s="137">
        <f t="shared" ca="1" si="32"/>
        <v>47804.356627021058</v>
      </c>
      <c r="J107" s="139">
        <f t="shared" ca="1" si="33"/>
        <v>2043419.1859212937</v>
      </c>
      <c r="K107" s="77">
        <f t="shared" ca="1" si="34"/>
        <v>2.1709592960646798E-2</v>
      </c>
      <c r="L107" s="137">
        <f t="shared" ca="1" si="35"/>
        <v>43419.185921293596</v>
      </c>
      <c r="M107" s="139">
        <f t="shared" ca="1" si="36"/>
        <v>2035328.3544958129</v>
      </c>
      <c r="N107" s="77">
        <f t="shared" ca="1" si="37"/>
        <v>1.7664177247906428E-2</v>
      </c>
      <c r="O107" s="137">
        <f t="shared" ca="1" si="38"/>
        <v>35328.354495812862</v>
      </c>
    </row>
    <row r="108" spans="1:15" ht="16.5" customHeight="1">
      <c r="A108" s="153">
        <v>11</v>
      </c>
      <c r="B108" s="153" t="str">
        <f>TEXT(투자전략!$G$1+10, "[$-ko-KR]yyyy.mm.dd")</f>
        <v>2021.08.11</v>
      </c>
      <c r="C108" s="135">
        <f t="shared" ca="1" si="26"/>
        <v>2000000</v>
      </c>
      <c r="D108" s="139">
        <f t="shared" ca="1" si="27"/>
        <v>2077847.8503501713</v>
      </c>
      <c r="E108" s="77">
        <f t="shared" ca="1" si="28"/>
        <v>3.8923925175085639E-2</v>
      </c>
      <c r="F108" s="137">
        <f t="shared" ca="1" si="29"/>
        <v>77847.850350171284</v>
      </c>
      <c r="G108" s="139">
        <f t="shared" ca="1" si="30"/>
        <v>2096222.4331459273</v>
      </c>
      <c r="H108" s="77">
        <f t="shared" ca="1" si="31"/>
        <v>4.8111216572963522E-2</v>
      </c>
      <c r="I108" s="137">
        <f t="shared" ca="1" si="32"/>
        <v>96222.433145927032</v>
      </c>
      <c r="J108" s="139">
        <f t="shared" ca="1" si="33"/>
        <v>2070387.0379871989</v>
      </c>
      <c r="K108" s="77">
        <f t="shared" ca="1" si="34"/>
        <v>3.5193518993599515E-2</v>
      </c>
      <c r="L108" s="137">
        <f t="shared" ca="1" si="35"/>
        <v>70387.03798719903</v>
      </c>
      <c r="M108" s="139">
        <f t="shared" ca="1" si="36"/>
        <v>2135185.6992114871</v>
      </c>
      <c r="N108" s="77">
        <f t="shared" ca="1" si="37"/>
        <v>6.7592849605743549E-2</v>
      </c>
      <c r="O108" s="137">
        <f t="shared" ca="1" si="38"/>
        <v>135185.69921148711</v>
      </c>
    </row>
    <row r="109" spans="1:15" ht="16.5" customHeight="1">
      <c r="A109" s="153">
        <v>12</v>
      </c>
      <c r="B109" s="153" t="str">
        <f>TEXT(투자전략!$G$1+11, "[$-ko-KR]yyyy.mm.dd")</f>
        <v>2021.08.12</v>
      </c>
      <c r="C109" s="135">
        <f t="shared" ca="1" si="26"/>
        <v>2000000</v>
      </c>
      <c r="D109" s="139">
        <f t="shared" ca="1" si="27"/>
        <v>1982993.5094791101</v>
      </c>
      <c r="E109" s="77">
        <f t="shared" ca="1" si="28"/>
        <v>-8.5032452604449481E-3</v>
      </c>
      <c r="F109" s="137">
        <f t="shared" ca="1" si="29"/>
        <v>-17006.4905208899</v>
      </c>
      <c r="G109" s="139">
        <f t="shared" ca="1" si="30"/>
        <v>1934655.6315077604</v>
      </c>
      <c r="H109" s="77">
        <f t="shared" ca="1" si="31"/>
        <v>-3.2672184246119888E-2</v>
      </c>
      <c r="I109" s="137">
        <f t="shared" ca="1" si="32"/>
        <v>-65344.368492239766</v>
      </c>
      <c r="J109" s="139">
        <f t="shared" ca="1" si="33"/>
        <v>1908627.6688274594</v>
      </c>
      <c r="K109" s="77">
        <f t="shared" ca="1" si="34"/>
        <v>-4.5686165586270262E-2</v>
      </c>
      <c r="L109" s="137">
        <f t="shared" ca="1" si="35"/>
        <v>-91372.331172540507</v>
      </c>
      <c r="M109" s="139">
        <f t="shared" ca="1" si="36"/>
        <v>1887802.9191231334</v>
      </c>
      <c r="N109" s="77">
        <f t="shared" ca="1" si="37"/>
        <v>-5.6098540438433264E-2</v>
      </c>
      <c r="O109" s="137">
        <f t="shared" ca="1" si="38"/>
        <v>-112197.08087686654</v>
      </c>
    </row>
    <row r="110" spans="1:15" ht="16.5" customHeight="1">
      <c r="A110" s="153">
        <v>13</v>
      </c>
      <c r="B110" s="153" t="str">
        <f>TEXT(투자전략!$G$1+12, "[$-ko-KR]yyyy.mm.dd")</f>
        <v>2021.08.13</v>
      </c>
      <c r="C110" s="135">
        <f t="shared" ca="1" si="26"/>
        <v>2000000</v>
      </c>
      <c r="D110" s="139">
        <f t="shared" ca="1" si="27"/>
        <v>2071505.1197508259</v>
      </c>
      <c r="E110" s="77">
        <f t="shared" ca="1" si="28"/>
        <v>3.5752559875412968E-2</v>
      </c>
      <c r="F110" s="137">
        <f t="shared" ca="1" si="29"/>
        <v>71505.119750825921</v>
      </c>
      <c r="G110" s="139">
        <f t="shared" ca="1" si="30"/>
        <v>2117288.9307907317</v>
      </c>
      <c r="H110" s="77">
        <f t="shared" ca="1" si="31"/>
        <v>5.8644465395365851E-2</v>
      </c>
      <c r="I110" s="137">
        <f t="shared" ca="1" si="32"/>
        <v>117288.93079073173</v>
      </c>
      <c r="J110" s="139">
        <f t="shared" ca="1" si="33"/>
        <v>2105341.8449813551</v>
      </c>
      <c r="K110" s="77">
        <f t="shared" ca="1" si="34"/>
        <v>5.2670922490677542E-2</v>
      </c>
      <c r="L110" s="137">
        <f t="shared" ca="1" si="35"/>
        <v>105341.8449813551</v>
      </c>
      <c r="M110" s="139">
        <f t="shared" ca="1" si="36"/>
        <v>2086962.4835929845</v>
      </c>
      <c r="N110" s="77">
        <f t="shared" ca="1" si="37"/>
        <v>4.3481241796492369E-2</v>
      </c>
      <c r="O110" s="137">
        <f t="shared" ca="1" si="38"/>
        <v>86962.483592984732</v>
      </c>
    </row>
    <row r="111" spans="1:15" ht="16.5" customHeight="1" thickBot="1">
      <c r="A111" s="155">
        <v>14</v>
      </c>
      <c r="B111" s="155" t="str">
        <f>TEXT(투자전략!$G$1+13, "[$-ko-KR]yyyy.mm.dd")</f>
        <v>2021.08.14</v>
      </c>
      <c r="C111" s="136">
        <f t="shared" ca="1" si="26"/>
        <v>2000000</v>
      </c>
      <c r="D111" s="140">
        <f t="shared" ca="1" si="27"/>
        <v>2072913.3035479204</v>
      </c>
      <c r="E111" s="79">
        <f t="shared" ca="1" si="28"/>
        <v>3.6456651773960146E-2</v>
      </c>
      <c r="F111" s="138">
        <f t="shared" ca="1" si="29"/>
        <v>72913.303547920295</v>
      </c>
      <c r="G111" s="140">
        <f t="shared" ca="1" si="30"/>
        <v>2044643.2415557853</v>
      </c>
      <c r="H111" s="79">
        <f t="shared" ca="1" si="31"/>
        <v>2.2321620777892785E-2</v>
      </c>
      <c r="I111" s="138">
        <f t="shared" ca="1" si="32"/>
        <v>44643.241555785571</v>
      </c>
      <c r="J111" s="140">
        <f t="shared" ca="1" si="33"/>
        <v>2033892.3754779538</v>
      </c>
      <c r="K111" s="79">
        <f t="shared" ca="1" si="34"/>
        <v>1.6946187738976846E-2</v>
      </c>
      <c r="L111" s="138">
        <f t="shared" ca="1" si="35"/>
        <v>33892.375477953683</v>
      </c>
      <c r="M111" s="140">
        <f t="shared" ca="1" si="36"/>
        <v>2082818.2340801491</v>
      </c>
      <c r="N111" s="79">
        <f t="shared" ca="1" si="37"/>
        <v>4.1409117040074647E-2</v>
      </c>
      <c r="O111" s="138">
        <f t="shared" ca="1" si="38"/>
        <v>82818.234080149297</v>
      </c>
    </row>
    <row r="112" spans="1:15" ht="16.5" customHeight="1">
      <c r="A112" s="154">
        <v>15</v>
      </c>
      <c r="B112" s="154" t="str">
        <f>TEXT(투자전략!$G$1+14, "[$-ko-KR]yyyy.mm.dd")</f>
        <v>2021.08.15</v>
      </c>
      <c r="C112" s="135">
        <f t="shared" ca="1" si="26"/>
        <v>2000000</v>
      </c>
      <c r="D112" s="139">
        <f t="shared" ca="1" si="27"/>
        <v>2027394.3696574536</v>
      </c>
      <c r="E112" s="77">
        <f t="shared" ca="1" si="28"/>
        <v>1.3697184828726897E-2</v>
      </c>
      <c r="F112" s="137">
        <f t="shared" ca="1" si="29"/>
        <v>27394.36965745379</v>
      </c>
      <c r="G112" s="139">
        <f t="shared" ca="1" si="30"/>
        <v>2027606.8703037843</v>
      </c>
      <c r="H112" s="77">
        <f t="shared" ca="1" si="31"/>
        <v>1.3803435151892193E-2</v>
      </c>
      <c r="I112" s="137">
        <f t="shared" ca="1" si="32"/>
        <v>27606.870303784381</v>
      </c>
      <c r="J112" s="139">
        <f t="shared" ca="1" si="33"/>
        <v>2012709.4890076078</v>
      </c>
      <c r="K112" s="77">
        <f t="shared" ca="1" si="34"/>
        <v>6.3547445038039992E-3</v>
      </c>
      <c r="L112" s="137">
        <f t="shared" ca="1" si="35"/>
        <v>12709.489007607997</v>
      </c>
      <c r="M112" s="139">
        <f t="shared" ca="1" si="36"/>
        <v>2001067.1978379984</v>
      </c>
      <c r="N112" s="77">
        <f t="shared" ca="1" si="37"/>
        <v>5.3359891899922365E-4</v>
      </c>
      <c r="O112" s="137">
        <f t="shared" ca="1" si="38"/>
        <v>1067.1978379984487</v>
      </c>
    </row>
    <row r="113" spans="1:15" ht="16.5" customHeight="1">
      <c r="A113" s="153">
        <v>16</v>
      </c>
      <c r="B113" s="153" t="str">
        <f>TEXT(투자전략!$G$1+15, "[$-ko-KR]yyyy.mm.dd")</f>
        <v>2021.08.16</v>
      </c>
      <c r="C113" s="135">
        <f t="shared" ca="1" si="26"/>
        <v>2000000</v>
      </c>
      <c r="D113" s="139">
        <f t="shared" ca="1" si="27"/>
        <v>2059156.500629324</v>
      </c>
      <c r="E113" s="77">
        <f t="shared" ca="1" si="28"/>
        <v>2.9578250314661915E-2</v>
      </c>
      <c r="F113" s="137">
        <f t="shared" ca="1" si="29"/>
        <v>59156.500629323855</v>
      </c>
      <c r="G113" s="139">
        <f t="shared" ca="1" si="30"/>
        <v>2066804.4139947379</v>
      </c>
      <c r="H113" s="77">
        <f t="shared" ca="1" si="31"/>
        <v>3.3402206997368997E-2</v>
      </c>
      <c r="I113" s="137">
        <f t="shared" ca="1" si="32"/>
        <v>66804.413994737988</v>
      </c>
      <c r="J113" s="139">
        <f t="shared" ca="1" si="33"/>
        <v>2082590.2901434619</v>
      </c>
      <c r="K113" s="77">
        <f t="shared" ca="1" si="34"/>
        <v>4.1295145071730863E-2</v>
      </c>
      <c r="L113" s="137">
        <f t="shared" ca="1" si="35"/>
        <v>82590.290143461723</v>
      </c>
      <c r="M113" s="139">
        <f t="shared" ca="1" si="36"/>
        <v>2018196.4474881617</v>
      </c>
      <c r="N113" s="77">
        <f t="shared" ca="1" si="37"/>
        <v>9.0982237440807908E-3</v>
      </c>
      <c r="O113" s="137">
        <f t="shared" ca="1" si="38"/>
        <v>18196.447488161586</v>
      </c>
    </row>
    <row r="114" spans="1:15" ht="16.5" customHeight="1">
      <c r="A114" s="153">
        <v>17</v>
      </c>
      <c r="B114" s="153" t="str">
        <f>TEXT(투자전략!$G$1+16, "[$-ko-KR]yyyy.mm.dd")</f>
        <v>2021.08.17</v>
      </c>
      <c r="C114" s="135">
        <f t="shared" ca="1" si="26"/>
        <v>2000000</v>
      </c>
      <c r="D114" s="139">
        <f t="shared" ca="1" si="27"/>
        <v>1977817.1708090191</v>
      </c>
      <c r="E114" s="77">
        <f t="shared" ca="1" si="28"/>
        <v>-1.109141459549047E-2</v>
      </c>
      <c r="F114" s="137">
        <f t="shared" ca="1" si="29"/>
        <v>-22182.829190980952</v>
      </c>
      <c r="G114" s="139">
        <f t="shared" ca="1" si="30"/>
        <v>2004280.0512218748</v>
      </c>
      <c r="H114" s="77">
        <f t="shared" ca="1" si="31"/>
        <v>2.1400256109374767E-3</v>
      </c>
      <c r="I114" s="137">
        <f t="shared" ca="1" si="32"/>
        <v>4280.0512218749527</v>
      </c>
      <c r="J114" s="139">
        <f t="shared" ca="1" si="33"/>
        <v>2003756.129702715</v>
      </c>
      <c r="K114" s="77">
        <f t="shared" ca="1" si="34"/>
        <v>1.8780648513573514E-3</v>
      </c>
      <c r="L114" s="137">
        <f t="shared" ca="1" si="35"/>
        <v>3756.1297027147007</v>
      </c>
      <c r="M114" s="139">
        <f t="shared" ca="1" si="36"/>
        <v>2000000</v>
      </c>
      <c r="N114" s="77">
        <f t="shared" ca="1" si="37"/>
        <v>0</v>
      </c>
      <c r="O114" s="137">
        <f t="shared" ca="1" si="38"/>
        <v>0</v>
      </c>
    </row>
    <row r="115" spans="1:15" ht="16.5" customHeight="1">
      <c r="A115" s="153">
        <v>18</v>
      </c>
      <c r="B115" s="153" t="str">
        <f>TEXT(투자전략!$G$1+17, "[$-ko-KR]yyyy.mm.dd")</f>
        <v>2021.08.18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2021.08.19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2021.08.20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2021.08.21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2021.08.22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2021.08.23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2021.08.24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2021.08.25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2021.08.26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2021.08.27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2021.08.28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2021.08.29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2021.08.30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2021.08.31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77" t="s">
        <v>283</v>
      </c>
      <c r="B129" s="279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70"/>
      <c r="B130" s="272"/>
      <c r="C130" s="136">
        <f ca="1">SUM(C98:C128)</f>
        <v>34000000</v>
      </c>
      <c r="D130" s="140">
        <f ca="1">SUM(D98:D128)</f>
        <v>34448060.354970589</v>
      </c>
      <c r="E130" s="79">
        <f ca="1">IFERROR(F130 / (SUM($C98:$C128) / COUNT($C98:$C128)), 0)</f>
        <v>0.2240301774852955</v>
      </c>
      <c r="F130" s="138">
        <f ca="1">SUM(F98:F128)</f>
        <v>448060.35497059097</v>
      </c>
      <c r="G130" s="140">
        <f ca="1">SUM(G98:G128)</f>
        <v>34592369.510312885</v>
      </c>
      <c r="H130" s="79">
        <f ca="1">IFERROR(I130 / (SUM($C98:$C128) / COUNT($C98:$C128)), 0)</f>
        <v>0.29618475515644271</v>
      </c>
      <c r="I130" s="138">
        <f ca="1">SUM(I98:I128)</f>
        <v>592369.5103128854</v>
      </c>
      <c r="J130" s="140">
        <f ca="1">SUM(J98:J128)</f>
        <v>34499960.862709127</v>
      </c>
      <c r="K130" s="79">
        <f ca="1">IFERROR(L130 / (SUM($C98:$C128) / COUNT($C98:$C128)), 0)</f>
        <v>0.24998043135456191</v>
      </c>
      <c r="L130" s="138">
        <f ca="1">SUM(L98:L128)</f>
        <v>499960.86270912382</v>
      </c>
      <c r="M130" s="140">
        <f ca="1">SUM(M98:M128)</f>
        <v>34536210.827399224</v>
      </c>
      <c r="N130" s="79">
        <f ca="1">IFERROR(O130 / (SUM($C98:$C128) / COUNT($C98:$C128)), 0)</f>
        <v>0.26810541369961299</v>
      </c>
      <c r="O130" s="138">
        <f ca="1">SUM(O98:O128)</f>
        <v>536210.82739922602</v>
      </c>
    </row>
    <row r="132" spans="1:15" ht="16.5" customHeight="1" thickBot="1"/>
    <row r="133" spans="1:15" ht="16.5" customHeight="1" thickBot="1">
      <c r="A133" s="249" t="str">
        <f>TEXT(투자전략!$G$1, "[$-ko-KR]yyyy년 mm월 ") &amp; "전일대비 상승률 Top20 월말결산"</f>
        <v>2021년 08월 전일대비 상승률 Top20 월말결산</v>
      </c>
      <c r="B133" s="250"/>
      <c r="C133" s="250"/>
      <c r="D133" s="250"/>
      <c r="E133" s="250"/>
      <c r="F133" s="250"/>
      <c r="G133" s="250"/>
      <c r="H133" s="250"/>
      <c r="I133" s="250"/>
      <c r="J133" s="250"/>
      <c r="K133" s="250"/>
      <c r="L133" s="250"/>
      <c r="M133" s="250"/>
      <c r="N133" s="250"/>
      <c r="O133" s="251"/>
    </row>
    <row r="134" spans="1:15" ht="16.5" customHeight="1" thickBot="1">
      <c r="A134" s="293" t="s">
        <v>284</v>
      </c>
      <c r="B134" s="270" t="s">
        <v>282</v>
      </c>
      <c r="C134" s="272"/>
      <c r="D134" s="270" t="s">
        <v>274</v>
      </c>
      <c r="E134" s="271"/>
      <c r="F134" s="272"/>
      <c r="G134" s="270" t="s">
        <v>275</v>
      </c>
      <c r="H134" s="271"/>
      <c r="I134" s="272"/>
      <c r="J134" s="270" t="s">
        <v>276</v>
      </c>
      <c r="K134" s="271"/>
      <c r="L134" s="272"/>
      <c r="M134" s="270" t="s">
        <v>277</v>
      </c>
      <c r="N134" s="271"/>
      <c r="O134" s="272"/>
    </row>
    <row r="135" spans="1:15" ht="16.5" customHeight="1" thickBot="1">
      <c r="A135" s="286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2021.08.01</v>
      </c>
      <c r="C136" s="134">
        <f ca="1">IFERROR(COUNTA(INDIRECT($B136&amp;"!A98:A117")) * INDIRECT($B136&amp;"!B118"), "")</f>
        <v>2000000</v>
      </c>
      <c r="D136" s="142">
        <f ca="1">IFERROR($C136 * (1 + E136), "")</f>
        <v>2016116.6660692471</v>
      </c>
      <c r="E136" s="76">
        <f ca="1">IFERROR(INDIRECT($B136&amp;"!E118"), "")</f>
        <v>8.0583330346235792E-3</v>
      </c>
      <c r="F136" s="141">
        <f ca="1">IFERROR(INDIRECT($B136&amp;"!F118"), "")</f>
        <v>16116.66606924716</v>
      </c>
      <c r="G136" s="142">
        <f ca="1">IFERROR($C136 * (1 + H136), "")</f>
        <v>2013081.7861715946</v>
      </c>
      <c r="H136" s="76">
        <f ca="1">IFERROR(INDIRECT($B136&amp;"!H118"), "")</f>
        <v>6.540893085797311E-3</v>
      </c>
      <c r="I136" s="141">
        <f ca="1">IFERROR(INDIRECT($B136&amp;"!I118"), "")</f>
        <v>13081.786171594626</v>
      </c>
      <c r="J136" s="142">
        <f ca="1">IFERROR($C136 * (1 + K136), "")</f>
        <v>1970120.1313908391</v>
      </c>
      <c r="K136" s="76">
        <f ca="1">IFERROR(INDIRECT($B136&amp;"!K118"), "")</f>
        <v>-1.4939934304580432E-2</v>
      </c>
      <c r="L136" s="141">
        <f ca="1">IFERROR(INDIRECT($B136&amp;"!L118"), "")</f>
        <v>-29879.868609160854</v>
      </c>
      <c r="M136" s="142">
        <f ca="1">IFERROR($C136 * (1 + N136), "")</f>
        <v>1964485.3333674255</v>
      </c>
      <c r="N136" s="76">
        <f ca="1">IFERROR(INDIRECT($B136&amp;"!N118"), "")</f>
        <v>-1.7757333316287243E-2</v>
      </c>
      <c r="O136" s="141">
        <f ca="1">IFERROR(INDIRECT($B136&amp;"!O118"), "")</f>
        <v>-35514.666632574503</v>
      </c>
    </row>
    <row r="137" spans="1:15" ht="16.5" customHeight="1">
      <c r="A137" s="153">
        <v>2</v>
      </c>
      <c r="B137" s="153" t="str">
        <f>TEXT(투자전략!$G$1+1, "[$-ko-KR]yyyy.mm.dd")</f>
        <v>2021.08.02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2000000</v>
      </c>
      <c r="E137" s="77">
        <f t="shared" ref="E137:E166" ca="1" si="41">IFERROR(INDIRECT($B137&amp;"!E118"), "")</f>
        <v>0</v>
      </c>
      <c r="F137" s="137">
        <f t="shared" ref="F137:F166" ca="1" si="42">IFERROR(INDIRECT($B137&amp;"!F118"), "")</f>
        <v>0</v>
      </c>
      <c r="G137" s="139">
        <f t="shared" ref="G137:G166" ca="1" si="43">IFERROR($C137 * (1 + H137), "")</f>
        <v>2021963.5119808128</v>
      </c>
      <c r="H137" s="77">
        <f t="shared" ref="H137:H166" ca="1" si="44">IFERROR(INDIRECT($B137&amp;"!H118"), "")</f>
        <v>1.098175599040632E-2</v>
      </c>
      <c r="I137" s="137">
        <f t="shared" ref="I137:I166" ca="1" si="45">IFERROR(INDIRECT($B137&amp;"!I118"), "")</f>
        <v>21963.511980812647</v>
      </c>
      <c r="J137" s="139">
        <f t="shared" ref="J137:J166" ca="1" si="46">IFERROR($C137 * (1 + K137), "")</f>
        <v>2010900.9016648759</v>
      </c>
      <c r="K137" s="77">
        <f t="shared" ref="K137:K166" ca="1" si="47">IFERROR(INDIRECT($B137&amp;"!K118"), "")</f>
        <v>5.4504508324379917E-3</v>
      </c>
      <c r="L137" s="137">
        <f t="shared" ref="L137:L166" ca="1" si="48">IFERROR(INDIRECT($B137&amp;"!L118"), "")</f>
        <v>10900.901664875983</v>
      </c>
      <c r="M137" s="139">
        <f t="shared" ref="M137:M166" ca="1" si="49">IFERROR($C137 * (1 + N137), "")</f>
        <v>2015013.6829618989</v>
      </c>
      <c r="N137" s="77">
        <f t="shared" ref="N137:N166" ca="1" si="50">IFERROR(INDIRECT($B137&amp;"!N118"), "")</f>
        <v>7.5068414809493335E-3</v>
      </c>
      <c r="O137" s="137">
        <f t="shared" ref="O137:O166" ca="1" si="51">IFERROR(INDIRECT($B137&amp;"!O118"), "")</f>
        <v>15013.682961898669</v>
      </c>
    </row>
    <row r="138" spans="1:15" ht="16.5" customHeight="1">
      <c r="A138" s="153">
        <v>3</v>
      </c>
      <c r="B138" s="153" t="str">
        <f>TEXT(투자전략!$G$1+2, "[$-ko-KR]yyyy.mm.dd")</f>
        <v>2021.08.03</v>
      </c>
      <c r="C138" s="135">
        <f t="shared" ca="1" si="39"/>
        <v>2000000</v>
      </c>
      <c r="D138" s="139">
        <f t="shared" ca="1" si="40"/>
        <v>1951822.9545401416</v>
      </c>
      <c r="E138" s="77">
        <f t="shared" ca="1" si="41"/>
        <v>-2.4088522729929208E-2</v>
      </c>
      <c r="F138" s="137">
        <f t="shared" ca="1" si="42"/>
        <v>-48177.045459858411</v>
      </c>
      <c r="G138" s="139">
        <f t="shared" ca="1" si="43"/>
        <v>1978156.6681571002</v>
      </c>
      <c r="H138" s="77">
        <f t="shared" ca="1" si="44"/>
        <v>-1.092166592144995E-2</v>
      </c>
      <c r="I138" s="137">
        <f t="shared" ca="1" si="45"/>
        <v>-21843.331842899894</v>
      </c>
      <c r="J138" s="139">
        <f t="shared" ca="1" si="46"/>
        <v>1957028.3394776769</v>
      </c>
      <c r="K138" s="77">
        <f t="shared" ca="1" si="47"/>
        <v>-2.1485830261161569E-2</v>
      </c>
      <c r="L138" s="137">
        <f t="shared" ca="1" si="48"/>
        <v>-42971.660522323138</v>
      </c>
      <c r="M138" s="139">
        <f t="shared" ca="1" si="49"/>
        <v>1978386.6044735783</v>
      </c>
      <c r="N138" s="77">
        <f t="shared" ca="1" si="50"/>
        <v>-1.0806697763210835E-2</v>
      </c>
      <c r="O138" s="137">
        <f t="shared" ca="1" si="51"/>
        <v>-21613.395526421678</v>
      </c>
    </row>
    <row r="139" spans="1:15" ht="16.5" customHeight="1">
      <c r="A139" s="153">
        <v>4</v>
      </c>
      <c r="B139" s="153" t="str">
        <f>TEXT(투자전략!$G$1+3, "[$-ko-KR]yyyy.mm.dd")</f>
        <v>2021.08.04</v>
      </c>
      <c r="C139" s="135">
        <f t="shared" ca="1" si="39"/>
        <v>2000000</v>
      </c>
      <c r="D139" s="139">
        <f t="shared" ca="1" si="40"/>
        <v>1963910.4639482526</v>
      </c>
      <c r="E139" s="77">
        <f t="shared" ca="1" si="41"/>
        <v>-1.8044768025873709E-2</v>
      </c>
      <c r="F139" s="137">
        <f t="shared" ca="1" si="42"/>
        <v>-36089.536051747404</v>
      </c>
      <c r="G139" s="139">
        <f t="shared" ca="1" si="43"/>
        <v>1944666.5850923087</v>
      </c>
      <c r="H139" s="77">
        <f t="shared" ca="1" si="44"/>
        <v>-2.7666707453845685E-2</v>
      </c>
      <c r="I139" s="137">
        <f t="shared" ca="1" si="45"/>
        <v>-55333.414907691353</v>
      </c>
      <c r="J139" s="139">
        <f t="shared" ca="1" si="46"/>
        <v>1965806.979179845</v>
      </c>
      <c r="K139" s="77">
        <f t="shared" ca="1" si="47"/>
        <v>-1.7096510410077499E-2</v>
      </c>
      <c r="L139" s="137">
        <f t="shared" ca="1" si="48"/>
        <v>-34193.02082015499</v>
      </c>
      <c r="M139" s="139">
        <f t="shared" ca="1" si="49"/>
        <v>1999673.0123140765</v>
      </c>
      <c r="N139" s="77">
        <f t="shared" ca="1" si="50"/>
        <v>-1.6349384296175385E-4</v>
      </c>
      <c r="O139" s="137">
        <f t="shared" ca="1" si="51"/>
        <v>-326.98768592350825</v>
      </c>
    </row>
    <row r="140" spans="1:15" ht="16.5" customHeight="1">
      <c r="A140" s="153">
        <v>5</v>
      </c>
      <c r="B140" s="153" t="str">
        <f>TEXT(투자전략!$G$1+4, "[$-ko-KR]yyyy.mm.dd")</f>
        <v>2021.08.05</v>
      </c>
      <c r="C140" s="135">
        <f t="shared" ca="1" si="39"/>
        <v>2000000</v>
      </c>
      <c r="D140" s="139">
        <f t="shared" ca="1" si="40"/>
        <v>2022036.7300601287</v>
      </c>
      <c r="E140" s="77">
        <f t="shared" ca="1" si="41"/>
        <v>1.1018365030064328E-2</v>
      </c>
      <c r="F140" s="137">
        <f t="shared" ca="1" si="42"/>
        <v>22036.730060128655</v>
      </c>
      <c r="G140" s="139">
        <f t="shared" ca="1" si="43"/>
        <v>2000330.0493866655</v>
      </c>
      <c r="H140" s="77">
        <f t="shared" ca="1" si="44"/>
        <v>1.6502469333257887E-4</v>
      </c>
      <c r="I140" s="137">
        <f t="shared" ca="1" si="45"/>
        <v>330.04938666515943</v>
      </c>
      <c r="J140" s="139">
        <f t="shared" ca="1" si="46"/>
        <v>2002676.1264650959</v>
      </c>
      <c r="K140" s="77">
        <f t="shared" ca="1" si="47"/>
        <v>1.3380632325478983E-3</v>
      </c>
      <c r="L140" s="137">
        <f t="shared" ca="1" si="48"/>
        <v>2676.1264650957942</v>
      </c>
      <c r="M140" s="139">
        <f t="shared" ca="1" si="49"/>
        <v>2031344.4821399122</v>
      </c>
      <c r="N140" s="77">
        <f t="shared" ca="1" si="50"/>
        <v>1.5672241069956041E-2</v>
      </c>
      <c r="O140" s="137">
        <f t="shared" ca="1" si="51"/>
        <v>31344.482139912077</v>
      </c>
    </row>
    <row r="141" spans="1:15" ht="16.5" customHeight="1">
      <c r="A141" s="153">
        <v>6</v>
      </c>
      <c r="B141" s="153" t="str">
        <f>TEXT(투자전략!$G$1+5, "[$-ko-KR]yyyy.mm.dd")</f>
        <v>2021.08.06</v>
      </c>
      <c r="C141" s="135">
        <f t="shared" ca="1" si="39"/>
        <v>2000000</v>
      </c>
      <c r="D141" s="139">
        <f t="shared" ca="1" si="40"/>
        <v>2067748.4571854139</v>
      </c>
      <c r="E141" s="77">
        <f t="shared" ca="1" si="41"/>
        <v>3.3874228592706834E-2</v>
      </c>
      <c r="F141" s="137">
        <f t="shared" ca="1" si="42"/>
        <v>67748.457185413645</v>
      </c>
      <c r="G141" s="139">
        <f t="shared" ca="1" si="43"/>
        <v>2054983.013228053</v>
      </c>
      <c r="H141" s="77">
        <f t="shared" ca="1" si="44"/>
        <v>2.749150661402644E-2</v>
      </c>
      <c r="I141" s="137">
        <f t="shared" ca="1" si="45"/>
        <v>54983.013228052878</v>
      </c>
      <c r="J141" s="139">
        <f t="shared" ca="1" si="46"/>
        <v>2069829.7709320434</v>
      </c>
      <c r="K141" s="77">
        <f t="shared" ca="1" si="47"/>
        <v>3.4914885466021749E-2</v>
      </c>
      <c r="L141" s="137">
        <f t="shared" ca="1" si="48"/>
        <v>69829.77093204351</v>
      </c>
      <c r="M141" s="139">
        <f t="shared" ca="1" si="49"/>
        <v>2088145.7021675941</v>
      </c>
      <c r="N141" s="77">
        <f t="shared" ca="1" si="50"/>
        <v>4.4072851083797153E-2</v>
      </c>
      <c r="O141" s="137">
        <f t="shared" ca="1" si="51"/>
        <v>88145.702167594311</v>
      </c>
    </row>
    <row r="142" spans="1:15" ht="16.5" customHeight="1" thickBot="1">
      <c r="A142" s="155">
        <v>7</v>
      </c>
      <c r="B142" s="155" t="str">
        <f>TEXT(투자전략!$G$1+6, "[$-ko-KR]yyyy.mm.dd")</f>
        <v>2021.08.07</v>
      </c>
      <c r="C142" s="135">
        <f t="shared" ca="1" si="39"/>
        <v>2000000</v>
      </c>
      <c r="D142" s="139">
        <f t="shared" ca="1" si="40"/>
        <v>2154308.5561187454</v>
      </c>
      <c r="E142" s="77">
        <f t="shared" ca="1" si="41"/>
        <v>7.7154278059372486E-2</v>
      </c>
      <c r="F142" s="137">
        <f t="shared" ca="1" si="42"/>
        <v>154308.55611874498</v>
      </c>
      <c r="G142" s="139">
        <f t="shared" ca="1" si="43"/>
        <v>2158245.1933541256</v>
      </c>
      <c r="H142" s="77">
        <f t="shared" ca="1" si="44"/>
        <v>7.9122596677062729E-2</v>
      </c>
      <c r="I142" s="137">
        <f t="shared" ca="1" si="45"/>
        <v>158245.19335412545</v>
      </c>
      <c r="J142" s="139">
        <f t="shared" ca="1" si="46"/>
        <v>2167354.2311234674</v>
      </c>
      <c r="K142" s="77">
        <f t="shared" ca="1" si="47"/>
        <v>8.3677115561733767E-2</v>
      </c>
      <c r="L142" s="137">
        <f t="shared" ca="1" si="48"/>
        <v>167354.23112346756</v>
      </c>
      <c r="M142" s="139">
        <f t="shared" ca="1" si="49"/>
        <v>2111539.945245353</v>
      </c>
      <c r="N142" s="77">
        <f t="shared" ca="1" si="50"/>
        <v>5.5769972622676557E-2</v>
      </c>
      <c r="O142" s="137">
        <f t="shared" ca="1" si="51"/>
        <v>111539.9452453531</v>
      </c>
    </row>
    <row r="143" spans="1:15" ht="16.5" customHeight="1">
      <c r="A143" s="154">
        <v>8</v>
      </c>
      <c r="B143" s="154" t="str">
        <f>TEXT(투자전략!$G$1+7, "[$-ko-KR]yyyy.mm.dd")</f>
        <v>2021.08.08</v>
      </c>
      <c r="C143" s="134">
        <f t="shared" ca="1" si="39"/>
        <v>2000000</v>
      </c>
      <c r="D143" s="142">
        <f t="shared" ca="1" si="40"/>
        <v>1980573.2695183849</v>
      </c>
      <c r="E143" s="76">
        <f t="shared" ca="1" si="41"/>
        <v>-9.7133652408075474E-3</v>
      </c>
      <c r="F143" s="141">
        <f t="shared" ca="1" si="42"/>
        <v>-19426.730481615097</v>
      </c>
      <c r="G143" s="142">
        <f t="shared" ca="1" si="43"/>
        <v>2001534.1537119525</v>
      </c>
      <c r="H143" s="76">
        <f t="shared" ca="1" si="44"/>
        <v>7.6707685597632075E-4</v>
      </c>
      <c r="I143" s="141">
        <f t="shared" ca="1" si="45"/>
        <v>1534.1537119526397</v>
      </c>
      <c r="J143" s="142">
        <f t="shared" ca="1" si="46"/>
        <v>1998148.1123939676</v>
      </c>
      <c r="K143" s="76">
        <f t="shared" ca="1" si="47"/>
        <v>-9.2594380301620565E-4</v>
      </c>
      <c r="L143" s="141">
        <f t="shared" ca="1" si="48"/>
        <v>-1851.8876060324142</v>
      </c>
      <c r="M143" s="142">
        <f t="shared" ca="1" si="49"/>
        <v>2000000</v>
      </c>
      <c r="N143" s="76">
        <f t="shared" ca="1" si="50"/>
        <v>0</v>
      </c>
      <c r="O143" s="141">
        <f t="shared" ca="1" si="51"/>
        <v>0</v>
      </c>
    </row>
    <row r="144" spans="1:15" ht="16.5" customHeight="1">
      <c r="A144" s="153">
        <v>9</v>
      </c>
      <c r="B144" s="153" t="str">
        <f>TEXT(투자전략!$G$1+8, "[$-ko-KR]yyyy.mm.dd")</f>
        <v>2021.08.09</v>
      </c>
      <c r="C144" s="135">
        <f t="shared" ca="1" si="39"/>
        <v>2000000</v>
      </c>
      <c r="D144" s="139">
        <f t="shared" ca="1" si="40"/>
        <v>2016175.5538137131</v>
      </c>
      <c r="E144" s="77">
        <f t="shared" ca="1" si="41"/>
        <v>8.0877769068565218E-3</v>
      </c>
      <c r="F144" s="137">
        <f t="shared" ca="1" si="42"/>
        <v>16175.553813713044</v>
      </c>
      <c r="G144" s="139">
        <f t="shared" ca="1" si="43"/>
        <v>2055509.3032180958</v>
      </c>
      <c r="H144" s="77">
        <f t="shared" ca="1" si="44"/>
        <v>2.7754651609047897E-2</v>
      </c>
      <c r="I144" s="137">
        <f t="shared" ca="1" si="45"/>
        <v>55509.303218095803</v>
      </c>
      <c r="J144" s="139">
        <f t="shared" ca="1" si="46"/>
        <v>2064381.3400460815</v>
      </c>
      <c r="K144" s="77">
        <f t="shared" ca="1" si="47"/>
        <v>3.219067002304081E-2</v>
      </c>
      <c r="L144" s="137">
        <f t="shared" ca="1" si="48"/>
        <v>64381.340046081605</v>
      </c>
      <c r="M144" s="139">
        <f t="shared" ca="1" si="49"/>
        <v>2071387.2607159871</v>
      </c>
      <c r="N144" s="77">
        <f t="shared" ca="1" si="50"/>
        <v>3.56936303579935E-2</v>
      </c>
      <c r="O144" s="137">
        <f t="shared" ca="1" si="51"/>
        <v>71387.260715987009</v>
      </c>
    </row>
    <row r="145" spans="1:15" ht="16.5" customHeight="1">
      <c r="A145" s="153">
        <v>10</v>
      </c>
      <c r="B145" s="153" t="str">
        <f>TEXT(투자전략!$G$1+9, "[$-ko-KR]yyyy.mm.dd")</f>
        <v>2021.08.10</v>
      </c>
      <c r="C145" s="135">
        <f t="shared" ca="1" si="39"/>
        <v>2000000</v>
      </c>
      <c r="D145" s="139">
        <f t="shared" ca="1" si="40"/>
        <v>2008074.9352982012</v>
      </c>
      <c r="E145" s="77">
        <f t="shared" ca="1" si="41"/>
        <v>4.0374676491006806E-3</v>
      </c>
      <c r="F145" s="137">
        <f t="shared" ca="1" si="42"/>
        <v>8074.9352982013606</v>
      </c>
      <c r="G145" s="139">
        <f t="shared" ca="1" si="43"/>
        <v>2040684.4804251851</v>
      </c>
      <c r="H145" s="77">
        <f t="shared" ca="1" si="44"/>
        <v>2.0342240212592646E-2</v>
      </c>
      <c r="I145" s="137">
        <f t="shared" ca="1" si="45"/>
        <v>40684.480425185291</v>
      </c>
      <c r="J145" s="139">
        <f t="shared" ca="1" si="46"/>
        <v>2017175.4331833606</v>
      </c>
      <c r="K145" s="77">
        <f t="shared" ca="1" si="47"/>
        <v>8.587716591680318E-3</v>
      </c>
      <c r="L145" s="137">
        <f t="shared" ca="1" si="48"/>
        <v>17175.433183360637</v>
      </c>
      <c r="M145" s="139">
        <f t="shared" ca="1" si="49"/>
        <v>2004907.6406333488</v>
      </c>
      <c r="N145" s="77">
        <f t="shared" ca="1" si="50"/>
        <v>2.4538203166743341E-3</v>
      </c>
      <c r="O145" s="137">
        <f t="shared" ca="1" si="51"/>
        <v>4907.6406333486693</v>
      </c>
    </row>
    <row r="146" spans="1:15" ht="16.5" customHeight="1">
      <c r="A146" s="153">
        <v>11</v>
      </c>
      <c r="B146" s="153" t="str">
        <f>TEXT(투자전략!$G$1+10, "[$-ko-KR]yyyy.mm.dd")</f>
        <v>2021.08.11</v>
      </c>
      <c r="C146" s="135">
        <f t="shared" ca="1" si="39"/>
        <v>2000000</v>
      </c>
      <c r="D146" s="139">
        <f t="shared" ca="1" si="40"/>
        <v>2112969.3810947873</v>
      </c>
      <c r="E146" s="77">
        <f t="shared" ca="1" si="41"/>
        <v>5.6484690547393732E-2</v>
      </c>
      <c r="F146" s="137">
        <f t="shared" ca="1" si="42"/>
        <v>112969.38109478746</v>
      </c>
      <c r="G146" s="139">
        <f t="shared" ca="1" si="43"/>
        <v>2132986.2844566847</v>
      </c>
      <c r="H146" s="77">
        <f t="shared" ca="1" si="44"/>
        <v>6.649314222834235E-2</v>
      </c>
      <c r="I146" s="137">
        <f t="shared" ca="1" si="45"/>
        <v>132986.28445668469</v>
      </c>
      <c r="J146" s="139">
        <f t="shared" ca="1" si="46"/>
        <v>2100639.1268384168</v>
      </c>
      <c r="K146" s="77">
        <f t="shared" ca="1" si="47"/>
        <v>5.0319563419208305E-2</v>
      </c>
      <c r="L146" s="137">
        <f t="shared" ca="1" si="48"/>
        <v>100639.12683841659</v>
      </c>
      <c r="M146" s="139">
        <f t="shared" ca="1" si="49"/>
        <v>2145482.0288716033</v>
      </c>
      <c r="N146" s="77">
        <f t="shared" ca="1" si="50"/>
        <v>7.2741014435801721E-2</v>
      </c>
      <c r="O146" s="137">
        <f t="shared" ca="1" si="51"/>
        <v>145482.02887160346</v>
      </c>
    </row>
    <row r="147" spans="1:15" ht="16.5" customHeight="1">
      <c r="A147" s="153">
        <v>12</v>
      </c>
      <c r="B147" s="153" t="str">
        <f>TEXT(투자전략!$G$1+11, "[$-ko-KR]yyyy.mm.dd")</f>
        <v>2021.08.12</v>
      </c>
      <c r="C147" s="135">
        <f t="shared" ca="1" si="39"/>
        <v>2000000</v>
      </c>
      <c r="D147" s="139">
        <f t="shared" ca="1" si="40"/>
        <v>2003696.7944850526</v>
      </c>
      <c r="E147" s="77">
        <f t="shared" ca="1" si="41"/>
        <v>1.8483972425261987E-3</v>
      </c>
      <c r="F147" s="137">
        <f t="shared" ca="1" si="42"/>
        <v>3696.7944850523972</v>
      </c>
      <c r="G147" s="139">
        <f t="shared" ca="1" si="43"/>
        <v>1956082.398923646</v>
      </c>
      <c r="H147" s="77">
        <f t="shared" ca="1" si="44"/>
        <v>-2.1958800538177038E-2</v>
      </c>
      <c r="I147" s="137">
        <f t="shared" ca="1" si="45"/>
        <v>-43917.601076354069</v>
      </c>
      <c r="J147" s="139">
        <f t="shared" ca="1" si="46"/>
        <v>1924197.1564999376</v>
      </c>
      <c r="K147" s="77">
        <f t="shared" ca="1" si="47"/>
        <v>-3.7901421750031236E-2</v>
      </c>
      <c r="L147" s="137">
        <f t="shared" ca="1" si="48"/>
        <v>-75802.843500062445</v>
      </c>
      <c r="M147" s="139">
        <f t="shared" ca="1" si="49"/>
        <v>1901776.3529682013</v>
      </c>
      <c r="N147" s="77">
        <f t="shared" ca="1" si="50"/>
        <v>-4.9111823515899426E-2</v>
      </c>
      <c r="O147" s="137">
        <f t="shared" ca="1" si="51"/>
        <v>-98223.647031798857</v>
      </c>
    </row>
    <row r="148" spans="1:15" ht="16.5" customHeight="1">
      <c r="A148" s="153">
        <v>13</v>
      </c>
      <c r="B148" s="153" t="str">
        <f>TEXT(투자전략!$G$1+12, "[$-ko-KR]yyyy.mm.dd")</f>
        <v>2021.08.13</v>
      </c>
      <c r="C148" s="135">
        <f t="shared" ca="1" si="39"/>
        <v>2000000</v>
      </c>
      <c r="D148" s="139">
        <f t="shared" ca="1" si="40"/>
        <v>2078587.8908846907</v>
      </c>
      <c r="E148" s="77">
        <f t="shared" ca="1" si="41"/>
        <v>3.9293945442345227E-2</v>
      </c>
      <c r="F148" s="137">
        <f t="shared" ca="1" si="42"/>
        <v>78587.890884690438</v>
      </c>
      <c r="G148" s="139">
        <f t="shared" ca="1" si="43"/>
        <v>2118156.1549560409</v>
      </c>
      <c r="H148" s="77">
        <f t="shared" ca="1" si="44"/>
        <v>5.9078077478020498E-2</v>
      </c>
      <c r="I148" s="137">
        <f t="shared" ca="1" si="45"/>
        <v>118156.15495604096</v>
      </c>
      <c r="J148" s="139">
        <f t="shared" ca="1" si="46"/>
        <v>2103923.9857581989</v>
      </c>
      <c r="K148" s="77">
        <f t="shared" ca="1" si="47"/>
        <v>5.1961992879099451E-2</v>
      </c>
      <c r="L148" s="137">
        <f t="shared" ca="1" si="48"/>
        <v>103923.98575819891</v>
      </c>
      <c r="M148" s="139">
        <f t="shared" ca="1" si="49"/>
        <v>2086351.4768860186</v>
      </c>
      <c r="N148" s="77">
        <f t="shared" ca="1" si="50"/>
        <v>4.3175738443009294E-2</v>
      </c>
      <c r="O148" s="137">
        <f t="shared" ca="1" si="51"/>
        <v>86351.476886018616</v>
      </c>
    </row>
    <row r="149" spans="1:15" ht="16.5" customHeight="1" thickBot="1">
      <c r="A149" s="155">
        <v>14</v>
      </c>
      <c r="B149" s="155" t="str">
        <f>TEXT(투자전략!$G$1+13, "[$-ko-KR]yyyy.mm.dd")</f>
        <v>2021.08.14</v>
      </c>
      <c r="C149" s="136">
        <f t="shared" ca="1" si="39"/>
        <v>2000000</v>
      </c>
      <c r="D149" s="140">
        <f t="shared" ca="1" si="40"/>
        <v>2097934.1526444759</v>
      </c>
      <c r="E149" s="79">
        <f t="shared" ca="1" si="41"/>
        <v>4.8967076322237749E-2</v>
      </c>
      <c r="F149" s="138">
        <f t="shared" ca="1" si="42"/>
        <v>97934.1526444755</v>
      </c>
      <c r="G149" s="140">
        <f t="shared" ca="1" si="43"/>
        <v>2078310.3557226078</v>
      </c>
      <c r="H149" s="79">
        <f t="shared" ca="1" si="44"/>
        <v>3.9155177861304007E-2</v>
      </c>
      <c r="I149" s="138">
        <f t="shared" ca="1" si="45"/>
        <v>78310.355722608016</v>
      </c>
      <c r="J149" s="140">
        <f t="shared" ca="1" si="46"/>
        <v>2062925.8071365019</v>
      </c>
      <c r="K149" s="79">
        <f t="shared" ca="1" si="47"/>
        <v>3.1462903568250974E-2</v>
      </c>
      <c r="L149" s="138">
        <f t="shared" ca="1" si="48"/>
        <v>62925.807136501942</v>
      </c>
      <c r="M149" s="140">
        <f t="shared" ca="1" si="49"/>
        <v>2117524.2662614561</v>
      </c>
      <c r="N149" s="79">
        <f t="shared" ca="1" si="50"/>
        <v>5.8762133130727957E-2</v>
      </c>
      <c r="O149" s="138">
        <f t="shared" ca="1" si="51"/>
        <v>117524.26626145588</v>
      </c>
    </row>
    <row r="150" spans="1:15" ht="16.5" customHeight="1">
      <c r="A150" s="154">
        <v>15</v>
      </c>
      <c r="B150" s="154" t="str">
        <f>TEXT(투자전략!$G$1+14, "[$-ko-KR]yyyy.mm.dd")</f>
        <v>2021.08.15</v>
      </c>
      <c r="C150" s="135">
        <f t="shared" ca="1" si="39"/>
        <v>2000000</v>
      </c>
      <c r="D150" s="139">
        <f t="shared" ca="1" si="40"/>
        <v>2040364.3209865701</v>
      </c>
      <c r="E150" s="77">
        <f t="shared" ca="1" si="41"/>
        <v>2.0182160493284924E-2</v>
      </c>
      <c r="F150" s="137">
        <f t="shared" ca="1" si="42"/>
        <v>40364.320986569845</v>
      </c>
      <c r="G150" s="139">
        <f t="shared" ca="1" si="43"/>
        <v>2011671.2249996129</v>
      </c>
      <c r="H150" s="77">
        <f t="shared" ca="1" si="44"/>
        <v>5.835612499806549E-3</v>
      </c>
      <c r="I150" s="137">
        <f t="shared" ca="1" si="45"/>
        <v>11671.224999613105</v>
      </c>
      <c r="J150" s="139">
        <f t="shared" ca="1" si="46"/>
        <v>1996290.6130688901</v>
      </c>
      <c r="K150" s="77">
        <f t="shared" ca="1" si="47"/>
        <v>-1.854693465555033E-3</v>
      </c>
      <c r="L150" s="137">
        <f t="shared" ca="1" si="48"/>
        <v>-3709.3869311100671</v>
      </c>
      <c r="M150" s="139">
        <f t="shared" ca="1" si="49"/>
        <v>1991806.7886251849</v>
      </c>
      <c r="N150" s="77">
        <f t="shared" ca="1" si="50"/>
        <v>-4.096605687407601E-3</v>
      </c>
      <c r="O150" s="137">
        <f t="shared" ca="1" si="51"/>
        <v>-8193.2113748152024</v>
      </c>
    </row>
    <row r="151" spans="1:15" ht="16.5" customHeight="1">
      <c r="A151" s="153">
        <v>16</v>
      </c>
      <c r="B151" s="153" t="str">
        <f>TEXT(투자전략!$G$1+15, "[$-ko-KR]yyyy.mm.dd")</f>
        <v>2021.08.16</v>
      </c>
      <c r="C151" s="135">
        <f t="shared" ca="1" si="39"/>
        <v>2000000</v>
      </c>
      <c r="D151" s="139">
        <f t="shared" ca="1" si="40"/>
        <v>2066763.8590654156</v>
      </c>
      <c r="E151" s="77">
        <f t="shared" ca="1" si="41"/>
        <v>3.338192953270773E-2</v>
      </c>
      <c r="F151" s="137">
        <f t="shared" ca="1" si="42"/>
        <v>66763.859065415425</v>
      </c>
      <c r="G151" s="139">
        <f t="shared" ca="1" si="43"/>
        <v>2062920.500513786</v>
      </c>
      <c r="H151" s="77">
        <f t="shared" ca="1" si="44"/>
        <v>3.1460250256893127E-2</v>
      </c>
      <c r="I151" s="137">
        <f t="shared" ca="1" si="45"/>
        <v>62920.500513786268</v>
      </c>
      <c r="J151" s="139">
        <f t="shared" ca="1" si="46"/>
        <v>2073667.2145508721</v>
      </c>
      <c r="K151" s="77">
        <f t="shared" ca="1" si="47"/>
        <v>3.6833607275435984E-2</v>
      </c>
      <c r="L151" s="137">
        <f t="shared" ca="1" si="48"/>
        <v>73667.21455087197</v>
      </c>
      <c r="M151" s="139">
        <f t="shared" ca="1" si="49"/>
        <v>2022220.9170374698</v>
      </c>
      <c r="N151" s="77">
        <f t="shared" ca="1" si="50"/>
        <v>1.1110458518734937E-2</v>
      </c>
      <c r="O151" s="137">
        <f t="shared" ca="1" si="51"/>
        <v>22220.917037469881</v>
      </c>
    </row>
    <row r="152" spans="1:15" ht="16.5" customHeight="1">
      <c r="A152" s="153">
        <v>17</v>
      </c>
      <c r="B152" s="153" t="str">
        <f>TEXT(투자전략!$G$1+16, "[$-ko-KR]yyyy.mm.dd")</f>
        <v>2021.08.17</v>
      </c>
      <c r="C152" s="135">
        <f t="shared" ca="1" si="39"/>
        <v>2000000</v>
      </c>
      <c r="D152" s="139">
        <f t="shared" ca="1" si="40"/>
        <v>1977865.2126647923</v>
      </c>
      <c r="E152" s="77">
        <f t="shared" ca="1" si="41"/>
        <v>-1.1067393667603781E-2</v>
      </c>
      <c r="F152" s="137">
        <f t="shared" ca="1" si="42"/>
        <v>-22134.787335207558</v>
      </c>
      <c r="G152" s="139">
        <f t="shared" ca="1" si="43"/>
        <v>2013174.6234365443</v>
      </c>
      <c r="H152" s="77">
        <f t="shared" ca="1" si="44"/>
        <v>6.5873117182721737E-3</v>
      </c>
      <c r="I152" s="137">
        <f t="shared" ca="1" si="45"/>
        <v>13174.623436544347</v>
      </c>
      <c r="J152" s="139">
        <f t="shared" ca="1" si="46"/>
        <v>2019866.7947746087</v>
      </c>
      <c r="K152" s="77">
        <f t="shared" ca="1" si="47"/>
        <v>9.9333973873044091E-3</v>
      </c>
      <c r="L152" s="137">
        <f t="shared" ca="1" si="48"/>
        <v>19866.794774608821</v>
      </c>
      <c r="M152" s="139">
        <f t="shared" ca="1" si="49"/>
        <v>2000000</v>
      </c>
      <c r="N152" s="77">
        <f t="shared" ca="1" si="50"/>
        <v>0</v>
      </c>
      <c r="O152" s="137">
        <f t="shared" ca="1" si="51"/>
        <v>0</v>
      </c>
    </row>
    <row r="153" spans="1:15" ht="16.5" customHeight="1">
      <c r="A153" s="153">
        <v>18</v>
      </c>
      <c r="B153" s="153" t="str">
        <f>TEXT(투자전략!$G$1+17, "[$-ko-KR]yyyy.mm.dd")</f>
        <v>2021.08.18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2021.08.19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2021.08.20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2021.08.21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2021.08.22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2021.08.23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2021.08.24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2021.08.25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2021.08.26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2021.08.27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2021.08.28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2021.08.29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2021.08.30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2021.08.31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77" t="s">
        <v>283</v>
      </c>
      <c r="B167" s="279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70"/>
      <c r="B168" s="272"/>
      <c r="C168" s="136">
        <f ca="1">SUM(C136:C166)</f>
        <v>34000000</v>
      </c>
      <c r="D168" s="140">
        <f ca="1">SUM(D136:D166)</f>
        <v>34558949.198378012</v>
      </c>
      <c r="E168" s="79">
        <f ca="1">IFERROR(F168 / (SUM($C136:$C166) / COUNT($C136:$C166)), 0)</f>
        <v>0.27947459918900575</v>
      </c>
      <c r="F168" s="138">
        <f ca="1">SUM(F136:F166)</f>
        <v>558949.19837801147</v>
      </c>
      <c r="G168" s="140">
        <f ca="1">SUM(G136:G166)</f>
        <v>34642456.287734821</v>
      </c>
      <c r="H168" s="79">
        <f ca="1">IFERROR(I168 / (SUM($C136:$C166) / COUNT($C136:$C166)), 0)</f>
        <v>0.32122814386740828</v>
      </c>
      <c r="I168" s="138">
        <f ca="1">SUM(I136:I166)</f>
        <v>642456.28773481655</v>
      </c>
      <c r="J168" s="140">
        <f ca="1">SUM(J136:J166)</f>
        <v>34504932.064484678</v>
      </c>
      <c r="K168" s="79">
        <f ca="1">IFERROR(L168 / (SUM($C136:$C166) / COUNT($C136:$C166)), 0)</f>
        <v>0.25246603224233971</v>
      </c>
      <c r="L168" s="138">
        <f ca="1">SUM(L136:L166)</f>
        <v>504932.06448467937</v>
      </c>
      <c r="M168" s="140">
        <f ca="1">SUM(M136:M166)</f>
        <v>34530045.49466911</v>
      </c>
      <c r="N168" s="79">
        <f ca="1">IFERROR(O168 / (SUM($C136:$C166) / COUNT($C136:$C166)), 0)</f>
        <v>0.265022747334554</v>
      </c>
      <c r="O168" s="138">
        <f ca="1">SUM(O136:O166)</f>
        <v>530045.49466910795</v>
      </c>
    </row>
    <row r="170" spans="1:15" ht="16.5" customHeight="1" thickBot="1"/>
    <row r="171" spans="1:15" ht="16.5" customHeight="1" thickBot="1">
      <c r="A171" s="249" t="str">
        <f>TEXT(투자전략!$G$1, "[$-ko-KR]yyyy년 mm월 ") &amp; "[엽전코인] 전일대비 상승률 Bottom20 월말결산"</f>
        <v>2021년 08월 [엽전코인] 전일대비 상승률 Bottom20 월말결산</v>
      </c>
      <c r="B171" s="250"/>
      <c r="C171" s="250"/>
      <c r="D171" s="250"/>
      <c r="E171" s="250"/>
      <c r="F171" s="250"/>
      <c r="G171" s="250"/>
      <c r="H171" s="250"/>
      <c r="I171" s="250"/>
      <c r="J171" s="250"/>
      <c r="K171" s="250"/>
      <c r="L171" s="250"/>
      <c r="M171" s="250"/>
      <c r="N171" s="250"/>
      <c r="O171" s="251"/>
    </row>
    <row r="172" spans="1:15" ht="16.5" customHeight="1" thickBot="1">
      <c r="A172" s="293" t="s">
        <v>284</v>
      </c>
      <c r="B172" s="270" t="s">
        <v>282</v>
      </c>
      <c r="C172" s="272"/>
      <c r="D172" s="270" t="s">
        <v>274</v>
      </c>
      <c r="E172" s="271"/>
      <c r="F172" s="272"/>
      <c r="G172" s="270" t="s">
        <v>275</v>
      </c>
      <c r="H172" s="271"/>
      <c r="I172" s="272"/>
      <c r="J172" s="270" t="s">
        <v>276</v>
      </c>
      <c r="K172" s="271"/>
      <c r="L172" s="272"/>
      <c r="M172" s="270" t="s">
        <v>277</v>
      </c>
      <c r="N172" s="271"/>
      <c r="O172" s="272"/>
    </row>
    <row r="173" spans="1:15" ht="16.5" customHeight="1" thickBot="1">
      <c r="A173" s="286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2021.08.01</v>
      </c>
      <c r="C174" s="134">
        <f ca="1">IFERROR(COUNTA(INDIRECT($B174&amp;"!A125:A144")) * INDIRECT($B174&amp;"!B145"), "")</f>
        <v>2000000</v>
      </c>
      <c r="D174" s="142">
        <f ca="1">IFERROR($C174 * (1 + E174), "")</f>
        <v>2128094.4060385399</v>
      </c>
      <c r="E174" s="76">
        <f ca="1">IFERROR(INDIRECT($B174&amp;"!E145"), "")</f>
        <v>6.4047203019270096E-2</v>
      </c>
      <c r="F174" s="141">
        <f ca="1">IFERROR(INDIRECT($B174&amp;"!F145"), "")</f>
        <v>128094.4060385402</v>
      </c>
      <c r="G174" s="142">
        <f ca="1">IFERROR($C174 * (1 + H174), "")</f>
        <v>2134748.2462160308</v>
      </c>
      <c r="H174" s="76">
        <f ca="1">IFERROR(INDIRECT($B174&amp;"!H145"), "")</f>
        <v>6.7374123108015382E-2</v>
      </c>
      <c r="I174" s="141">
        <f ca="1">IFERROR(INDIRECT($B174&amp;"!I145"), "")</f>
        <v>134748.24621603073</v>
      </c>
      <c r="J174" s="142">
        <f ca="1">IFERROR($C174 * (1 + K174), "")</f>
        <v>2096432.5889134582</v>
      </c>
      <c r="K174" s="76">
        <f ca="1">IFERROR(INDIRECT($B174&amp;"!K145"), "")</f>
        <v>4.821629445672896E-2</v>
      </c>
      <c r="L174" s="141">
        <f ca="1">IFERROR(INDIRECT($B174&amp;"!L145"), "")</f>
        <v>96432.588913457934</v>
      </c>
      <c r="M174" s="142">
        <f ca="1">IFERROR($C174 * (1 + N174), "")</f>
        <v>2078365.4683906839</v>
      </c>
      <c r="N174" s="76">
        <f ca="1">IFERROR(INDIRECT($B174&amp;"!N145"), "")</f>
        <v>3.9182734195341941E-2</v>
      </c>
      <c r="O174" s="141">
        <f ca="1">IFERROR(INDIRECT($B174&amp;"!O145"), "")</f>
        <v>78365.468390683905</v>
      </c>
    </row>
    <row r="175" spans="1:15" ht="16.5" customHeight="1">
      <c r="A175" s="153">
        <v>2</v>
      </c>
      <c r="B175" s="153" t="str">
        <f>TEXT(투자전략!$G$1+1, "[$-ko-KR]yyyy.mm.dd")</f>
        <v>2021.08.02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2000000</v>
      </c>
      <c r="E175" s="77">
        <f t="shared" ref="E175:E204" ca="1" si="54">IFERROR(INDIRECT($B175&amp;"!E145"), "")</f>
        <v>0</v>
      </c>
      <c r="F175" s="137">
        <f t="shared" ref="F175:F204" ca="1" si="55">IFERROR(INDIRECT($B175&amp;"!F145"), "")</f>
        <v>0</v>
      </c>
      <c r="G175" s="139">
        <f t="shared" ref="G175:G204" ca="1" si="56">IFERROR($C175 * (1 + H175), "")</f>
        <v>2018172.7348664314</v>
      </c>
      <c r="H175" s="77">
        <f t="shared" ref="H175:H204" ca="1" si="57">IFERROR(INDIRECT($B175&amp;"!H145"), "")</f>
        <v>9.0863674332158188E-3</v>
      </c>
      <c r="I175" s="137">
        <f t="shared" ref="I175:I204" ca="1" si="58">IFERROR(INDIRECT($B175&amp;"!I145"), "")</f>
        <v>18172.734866431634</v>
      </c>
      <c r="J175" s="139">
        <f t="shared" ref="J175:J204" ca="1" si="59">IFERROR($C175 * (1 + K175), "")</f>
        <v>2009451.0549651487</v>
      </c>
      <c r="K175" s="77">
        <f t="shared" ref="K175:K204" ca="1" si="60">IFERROR(INDIRECT($B175&amp;"!K145"), "")</f>
        <v>4.7255274825743505E-3</v>
      </c>
      <c r="L175" s="137">
        <f t="shared" ref="L175:L204" ca="1" si="61">IFERROR(INDIRECT($B175&amp;"!L145"), "")</f>
        <v>9451.0549651486999</v>
      </c>
      <c r="M175" s="139">
        <f t="shared" ref="M175:M204" ca="1" si="62">IFERROR($C175 * (1 + N175), "")</f>
        <v>2027239.1941802516</v>
      </c>
      <c r="N175" s="77">
        <f t="shared" ref="N175:N204" ca="1" si="63">IFERROR(INDIRECT($B175&amp;"!N145"), "")</f>
        <v>1.3619597090125734E-2</v>
      </c>
      <c r="O175" s="137">
        <f t="shared" ref="O175:O204" ca="1" si="64">IFERROR(INDIRECT($B175&amp;"!O145"), "")</f>
        <v>27239.194180251467</v>
      </c>
    </row>
    <row r="176" spans="1:15" ht="16.5" customHeight="1">
      <c r="A176" s="153">
        <v>3</v>
      </c>
      <c r="B176" s="153" t="str">
        <f>TEXT(투자전략!$G$1+2, "[$-ko-KR]yyyy.mm.dd")</f>
        <v>2021.08.03</v>
      </c>
      <c r="C176" s="135">
        <f t="shared" ca="1" si="52"/>
        <v>2000000</v>
      </c>
      <c r="D176" s="139">
        <f t="shared" ca="1" si="53"/>
        <v>1968489.3407057228</v>
      </c>
      <c r="E176" s="77">
        <f t="shared" ca="1" si="54"/>
        <v>-1.5755329647138577E-2</v>
      </c>
      <c r="F176" s="137">
        <f t="shared" ca="1" si="55"/>
        <v>-31510.659294277153</v>
      </c>
      <c r="G176" s="139">
        <f t="shared" ca="1" si="56"/>
        <v>1988201.6843134335</v>
      </c>
      <c r="H176" s="77">
        <f t="shared" ca="1" si="57"/>
        <v>-5.8991578432831971E-3</v>
      </c>
      <c r="I176" s="137">
        <f t="shared" ca="1" si="58"/>
        <v>-11798.315686566399</v>
      </c>
      <c r="J176" s="139">
        <f t="shared" ca="1" si="59"/>
        <v>1969101.9338563534</v>
      </c>
      <c r="K176" s="77">
        <f t="shared" ca="1" si="60"/>
        <v>-1.5449033071823276E-2</v>
      </c>
      <c r="L176" s="137">
        <f t="shared" ca="1" si="61"/>
        <v>-30898.066143646563</v>
      </c>
      <c r="M176" s="139">
        <f t="shared" ca="1" si="62"/>
        <v>1982645.5173908907</v>
      </c>
      <c r="N176" s="77">
        <f t="shared" ca="1" si="63"/>
        <v>-8.6772413045545817E-3</v>
      </c>
      <c r="O176" s="137">
        <f t="shared" ca="1" si="64"/>
        <v>-17354.48260910916</v>
      </c>
    </row>
    <row r="177" spans="1:15" ht="16.5" customHeight="1">
      <c r="A177" s="153">
        <v>4</v>
      </c>
      <c r="B177" s="153" t="str">
        <f>TEXT(투자전략!$G$1+3, "[$-ko-KR]yyyy.mm.dd")</f>
        <v>2021.08.04</v>
      </c>
      <c r="C177" s="135">
        <f t="shared" ca="1" si="52"/>
        <v>2000000</v>
      </c>
      <c r="D177" s="139">
        <f t="shared" ca="1" si="53"/>
        <v>2000997.9352371956</v>
      </c>
      <c r="E177" s="77">
        <f t="shared" ca="1" si="54"/>
        <v>4.9896761859780764E-4</v>
      </c>
      <c r="F177" s="137">
        <f t="shared" ca="1" si="55"/>
        <v>997.93523719561495</v>
      </c>
      <c r="G177" s="139">
        <f t="shared" ca="1" si="56"/>
        <v>1978025.6842188428</v>
      </c>
      <c r="H177" s="77">
        <f t="shared" ca="1" si="57"/>
        <v>-1.0987157890578528E-2</v>
      </c>
      <c r="I177" s="137">
        <f t="shared" ca="1" si="58"/>
        <v>-21974.315781157053</v>
      </c>
      <c r="J177" s="139">
        <f t="shared" ca="1" si="59"/>
        <v>1997242.7705014516</v>
      </c>
      <c r="K177" s="77">
        <f t="shared" ca="1" si="60"/>
        <v>-1.3786147492742026E-3</v>
      </c>
      <c r="L177" s="137">
        <f t="shared" ca="1" si="61"/>
        <v>-2757.2294985484064</v>
      </c>
      <c r="M177" s="139">
        <f t="shared" ca="1" si="62"/>
        <v>2036496.757862007</v>
      </c>
      <c r="N177" s="77">
        <f t="shared" ca="1" si="63"/>
        <v>1.8248378931003603E-2</v>
      </c>
      <c r="O177" s="137">
        <f t="shared" ca="1" si="64"/>
        <v>36496.757862007194</v>
      </c>
    </row>
    <row r="178" spans="1:15" ht="16.5" customHeight="1">
      <c r="A178" s="153">
        <v>5</v>
      </c>
      <c r="B178" s="153" t="str">
        <f>TEXT(투자전략!$G$1+4, "[$-ko-KR]yyyy.mm.dd")</f>
        <v>2021.08.05</v>
      </c>
      <c r="C178" s="135">
        <f t="shared" ca="1" si="52"/>
        <v>2000000</v>
      </c>
      <c r="D178" s="139">
        <f t="shared" ca="1" si="53"/>
        <v>2074499.2443563705</v>
      </c>
      <c r="E178" s="77">
        <f t="shared" ca="1" si="54"/>
        <v>3.7249622178185324E-2</v>
      </c>
      <c r="F178" s="137">
        <f t="shared" ca="1" si="55"/>
        <v>74499.244356370647</v>
      </c>
      <c r="G178" s="139">
        <f t="shared" ca="1" si="56"/>
        <v>2071742.3741891822</v>
      </c>
      <c r="H178" s="77">
        <f t="shared" ca="1" si="57"/>
        <v>3.5871187094591125E-2</v>
      </c>
      <c r="I178" s="137">
        <f t="shared" ca="1" si="58"/>
        <v>71742.374189182286</v>
      </c>
      <c r="J178" s="139">
        <f t="shared" ca="1" si="59"/>
        <v>2069257.2423957358</v>
      </c>
      <c r="K178" s="77">
        <f t="shared" ca="1" si="60"/>
        <v>3.4628621197867832E-2</v>
      </c>
      <c r="L178" s="137">
        <f t="shared" ca="1" si="61"/>
        <v>69257.242395735666</v>
      </c>
      <c r="M178" s="139">
        <f t="shared" ca="1" si="62"/>
        <v>2095899.605018229</v>
      </c>
      <c r="N178" s="77">
        <f t="shared" ca="1" si="63"/>
        <v>4.7949802509114611E-2</v>
      </c>
      <c r="O178" s="137">
        <f t="shared" ca="1" si="64"/>
        <v>95899.605018229224</v>
      </c>
    </row>
    <row r="179" spans="1:15" ht="16.5" customHeight="1">
      <c r="A179" s="153">
        <v>6</v>
      </c>
      <c r="B179" s="153" t="str">
        <f>TEXT(투자전략!$G$1+5, "[$-ko-KR]yyyy.mm.dd")</f>
        <v>2021.08.06</v>
      </c>
      <c r="C179" s="135">
        <f t="shared" ca="1" si="52"/>
        <v>2000000</v>
      </c>
      <c r="D179" s="139">
        <f t="shared" ca="1" si="53"/>
        <v>2056578.9832230208</v>
      </c>
      <c r="E179" s="77">
        <f t="shared" ca="1" si="54"/>
        <v>2.8289491611510419E-2</v>
      </c>
      <c r="F179" s="137">
        <f t="shared" ca="1" si="55"/>
        <v>56578.983223020827</v>
      </c>
      <c r="G179" s="139">
        <f t="shared" ca="1" si="56"/>
        <v>2062951.6326512194</v>
      </c>
      <c r="H179" s="77">
        <f t="shared" ca="1" si="57"/>
        <v>3.1475816325609737E-2</v>
      </c>
      <c r="I179" s="137">
        <f t="shared" ca="1" si="58"/>
        <v>62951.632651219486</v>
      </c>
      <c r="J179" s="139">
        <f t="shared" ca="1" si="59"/>
        <v>2070501.1456591662</v>
      </c>
      <c r="K179" s="77">
        <f t="shared" ca="1" si="60"/>
        <v>3.5250572829583035E-2</v>
      </c>
      <c r="L179" s="137">
        <f t="shared" ca="1" si="61"/>
        <v>70501.145659166083</v>
      </c>
      <c r="M179" s="139">
        <f t="shared" ca="1" si="62"/>
        <v>2093416.8994849292</v>
      </c>
      <c r="N179" s="77">
        <f t="shared" ca="1" si="63"/>
        <v>4.6708449742464568E-2</v>
      </c>
      <c r="O179" s="137">
        <f t="shared" ca="1" si="64"/>
        <v>93416.899484929134</v>
      </c>
    </row>
    <row r="180" spans="1:15" ht="16.5" customHeight="1" thickBot="1">
      <c r="A180" s="155">
        <v>7</v>
      </c>
      <c r="B180" s="155" t="str">
        <f>TEXT(투자전략!$G$1+6, "[$-ko-KR]yyyy.mm.dd")</f>
        <v>2021.08.07</v>
      </c>
      <c r="C180" s="135">
        <f t="shared" ca="1" si="52"/>
        <v>2000000</v>
      </c>
      <c r="D180" s="139">
        <f t="shared" ca="1" si="53"/>
        <v>2110961.2819726518</v>
      </c>
      <c r="E180" s="77">
        <f t="shared" ca="1" si="54"/>
        <v>5.5480640986325956E-2</v>
      </c>
      <c r="F180" s="137">
        <f t="shared" ca="1" si="55"/>
        <v>110961.28197265191</v>
      </c>
      <c r="G180" s="139">
        <f t="shared" ca="1" si="56"/>
        <v>2141863.8537884159</v>
      </c>
      <c r="H180" s="77">
        <f t="shared" ca="1" si="57"/>
        <v>7.0931926894207936E-2</v>
      </c>
      <c r="I180" s="137">
        <f t="shared" ca="1" si="58"/>
        <v>141863.85378841593</v>
      </c>
      <c r="J180" s="139">
        <f t="shared" ca="1" si="59"/>
        <v>2134090.3951161774</v>
      </c>
      <c r="K180" s="77">
        <f t="shared" ca="1" si="60"/>
        <v>6.7045197558088826E-2</v>
      </c>
      <c r="L180" s="137">
        <f t="shared" ca="1" si="61"/>
        <v>134090.39511617768</v>
      </c>
      <c r="M180" s="139">
        <f t="shared" ca="1" si="62"/>
        <v>2096579.9121482118</v>
      </c>
      <c r="N180" s="77">
        <f t="shared" ca="1" si="63"/>
        <v>4.828995607410598E-2</v>
      </c>
      <c r="O180" s="137">
        <f t="shared" ca="1" si="64"/>
        <v>96579.912148211966</v>
      </c>
    </row>
    <row r="181" spans="1:15" ht="16.5" customHeight="1">
      <c r="A181" s="154">
        <v>8</v>
      </c>
      <c r="B181" s="154" t="str">
        <f>TEXT(투자전략!$G$1+7, "[$-ko-KR]yyyy.mm.dd")</f>
        <v>2021.08.08</v>
      </c>
      <c r="C181" s="134">
        <f t="shared" ca="1" si="52"/>
        <v>1800000</v>
      </c>
      <c r="D181" s="142">
        <f t="shared" ca="1" si="53"/>
        <v>1783854.6590659348</v>
      </c>
      <c r="E181" s="76">
        <f t="shared" ca="1" si="54"/>
        <v>-8.969633852258508E-3</v>
      </c>
      <c r="F181" s="141">
        <f t="shared" ca="1" si="55"/>
        <v>-16145.340934065312</v>
      </c>
      <c r="G181" s="142">
        <f t="shared" ca="1" si="56"/>
        <v>1804436.8004066923</v>
      </c>
      <c r="H181" s="76">
        <f t="shared" ca="1" si="57"/>
        <v>2.4648891148290547E-3</v>
      </c>
      <c r="I181" s="141">
        <f t="shared" ca="1" si="58"/>
        <v>4436.8004066922995</v>
      </c>
      <c r="J181" s="142">
        <f t="shared" ca="1" si="59"/>
        <v>1795550.0872227107</v>
      </c>
      <c r="K181" s="76">
        <f t="shared" ca="1" si="60"/>
        <v>-2.4721737651607414E-3</v>
      </c>
      <c r="L181" s="141">
        <f t="shared" ca="1" si="61"/>
        <v>-4449.9127772893316</v>
      </c>
      <c r="M181" s="142">
        <f t="shared" ca="1" si="62"/>
        <v>1800000</v>
      </c>
      <c r="N181" s="76">
        <f t="shared" ca="1" si="63"/>
        <v>0</v>
      </c>
      <c r="O181" s="141">
        <f t="shared" ca="1" si="64"/>
        <v>0</v>
      </c>
    </row>
    <row r="182" spans="1:15" ht="16.5" customHeight="1">
      <c r="A182" s="153">
        <v>9</v>
      </c>
      <c r="B182" s="153" t="str">
        <f>TEXT(투자전략!$G$1+8, "[$-ko-KR]yyyy.mm.dd")</f>
        <v>2021.08.09</v>
      </c>
      <c r="C182" s="135">
        <f t="shared" ca="1" si="52"/>
        <v>2000000</v>
      </c>
      <c r="D182" s="139">
        <f t="shared" ca="1" si="53"/>
        <v>2016219.1564066752</v>
      </c>
      <c r="E182" s="77">
        <f t="shared" ca="1" si="54"/>
        <v>8.1095782033375977E-3</v>
      </c>
      <c r="F182" s="137">
        <f t="shared" ca="1" si="55"/>
        <v>16219.156406675193</v>
      </c>
      <c r="G182" s="139">
        <f t="shared" ca="1" si="56"/>
        <v>2049390.0460320259</v>
      </c>
      <c r="H182" s="77">
        <f t="shared" ca="1" si="57"/>
        <v>2.4695023016013059E-2</v>
      </c>
      <c r="I182" s="137">
        <f t="shared" ca="1" si="58"/>
        <v>49390.046032026119</v>
      </c>
      <c r="J182" s="139">
        <f t="shared" ca="1" si="59"/>
        <v>2069935.5970067903</v>
      </c>
      <c r="K182" s="77">
        <f t="shared" ca="1" si="60"/>
        <v>3.496779850339516E-2</v>
      </c>
      <c r="L182" s="137">
        <f t="shared" ca="1" si="61"/>
        <v>69935.597006790311</v>
      </c>
      <c r="M182" s="139">
        <f t="shared" ca="1" si="62"/>
        <v>2059235.6804477214</v>
      </c>
      <c r="N182" s="77">
        <f t="shared" ca="1" si="63"/>
        <v>2.9617840223860749E-2</v>
      </c>
      <c r="O182" s="137">
        <f t="shared" ca="1" si="64"/>
        <v>59235.680447721512</v>
      </c>
    </row>
    <row r="183" spans="1:15" ht="16.5" customHeight="1">
      <c r="A183" s="153">
        <v>10</v>
      </c>
      <c r="B183" s="153" t="str">
        <f>TEXT(투자전략!$G$1+9, "[$-ko-KR]yyyy.mm.dd")</f>
        <v>2021.08.10</v>
      </c>
      <c r="C183" s="135">
        <f t="shared" ca="1" si="52"/>
        <v>1800000</v>
      </c>
      <c r="D183" s="139">
        <f t="shared" ca="1" si="53"/>
        <v>1818899.4806794254</v>
      </c>
      <c r="E183" s="77">
        <f t="shared" ca="1" si="54"/>
        <v>1.0499711488569726E-2</v>
      </c>
      <c r="F183" s="137">
        <f t="shared" ca="1" si="55"/>
        <v>18899.480679425509</v>
      </c>
      <c r="G183" s="139">
        <f t="shared" ca="1" si="56"/>
        <v>1842748.3554756248</v>
      </c>
      <c r="H183" s="77">
        <f t="shared" ca="1" si="57"/>
        <v>2.3749086375347221E-2</v>
      </c>
      <c r="I183" s="137">
        <f t="shared" ca="1" si="58"/>
        <v>42748.355475624987</v>
      </c>
      <c r="J183" s="139">
        <f t="shared" ca="1" si="59"/>
        <v>1818737.1070886063</v>
      </c>
      <c r="K183" s="77">
        <f t="shared" ca="1" si="60"/>
        <v>1.0409503938114661E-2</v>
      </c>
      <c r="L183" s="137">
        <f t="shared" ca="1" si="61"/>
        <v>18737.107088606386</v>
      </c>
      <c r="M183" s="139">
        <f t="shared" ca="1" si="62"/>
        <v>1813599.8950606664</v>
      </c>
      <c r="N183" s="77">
        <f t="shared" ca="1" si="63"/>
        <v>7.5554972559257732E-3</v>
      </c>
      <c r="O183" s="137">
        <f t="shared" ca="1" si="64"/>
        <v>13599.895060666389</v>
      </c>
    </row>
    <row r="184" spans="1:15" ht="16.5" customHeight="1">
      <c r="A184" s="153">
        <v>11</v>
      </c>
      <c r="B184" s="153" t="str">
        <f>TEXT(투자전략!$G$1+10, "[$-ko-KR]yyyy.mm.dd")</f>
        <v>2021.08.11</v>
      </c>
      <c r="C184" s="135">
        <f t="shared" ca="1" si="52"/>
        <v>1800000</v>
      </c>
      <c r="D184" s="139">
        <f t="shared" ca="1" si="53"/>
        <v>1863783.6799108451</v>
      </c>
      <c r="E184" s="77">
        <f t="shared" ca="1" si="54"/>
        <v>3.5435377728247258E-2</v>
      </c>
      <c r="F184" s="137">
        <f t="shared" ca="1" si="55"/>
        <v>63783.679910845065</v>
      </c>
      <c r="G184" s="139">
        <f t="shared" ca="1" si="56"/>
        <v>1906022.8707645715</v>
      </c>
      <c r="H184" s="77">
        <f t="shared" ca="1" si="57"/>
        <v>5.8901594869206333E-2</v>
      </c>
      <c r="I184" s="137">
        <f t="shared" ca="1" si="58"/>
        <v>106022.87076457139</v>
      </c>
      <c r="J184" s="139">
        <f t="shared" ca="1" si="59"/>
        <v>1894568.2179449624</v>
      </c>
      <c r="K184" s="77">
        <f t="shared" ca="1" si="60"/>
        <v>5.2537898858312476E-2</v>
      </c>
      <c r="L184" s="137">
        <f t="shared" ca="1" si="61"/>
        <v>94568.217944962424</v>
      </c>
      <c r="M184" s="139">
        <f t="shared" ca="1" si="62"/>
        <v>1948710.7560345037</v>
      </c>
      <c r="N184" s="77">
        <f t="shared" ca="1" si="63"/>
        <v>8.2617086685835284E-2</v>
      </c>
      <c r="O184" s="137">
        <f t="shared" ca="1" si="64"/>
        <v>148710.75603450349</v>
      </c>
    </row>
    <row r="185" spans="1:15" ht="16.5" customHeight="1">
      <c r="A185" s="153">
        <v>12</v>
      </c>
      <c r="B185" s="153" t="str">
        <f>TEXT(투자전략!$G$1+11, "[$-ko-KR]yyyy.mm.dd")</f>
        <v>2021.08.12</v>
      </c>
      <c r="C185" s="135">
        <f t="shared" ca="1" si="52"/>
        <v>1800000</v>
      </c>
      <c r="D185" s="139">
        <f t="shared" ca="1" si="53"/>
        <v>1854190.4115156569</v>
      </c>
      <c r="E185" s="77">
        <f t="shared" ca="1" si="54"/>
        <v>3.0105784175364875E-2</v>
      </c>
      <c r="F185" s="137">
        <f t="shared" ca="1" si="55"/>
        <v>54190.411515656771</v>
      </c>
      <c r="G185" s="139">
        <f t="shared" ca="1" si="56"/>
        <v>1811992.8425473114</v>
      </c>
      <c r="H185" s="77">
        <f t="shared" ca="1" si="57"/>
        <v>6.6626903040617885E-3</v>
      </c>
      <c r="I185" s="137">
        <f t="shared" ca="1" si="58"/>
        <v>11992.842547311218</v>
      </c>
      <c r="J185" s="139">
        <f t="shared" ca="1" si="59"/>
        <v>1782765.9477877172</v>
      </c>
      <c r="K185" s="77">
        <f t="shared" ca="1" si="60"/>
        <v>-9.5744734512683196E-3</v>
      </c>
      <c r="L185" s="137">
        <f t="shared" ca="1" si="61"/>
        <v>-17234.052212282972</v>
      </c>
      <c r="M185" s="139">
        <f t="shared" ca="1" si="62"/>
        <v>1759399.1102913728</v>
      </c>
      <c r="N185" s="77">
        <f t="shared" ca="1" si="63"/>
        <v>-2.2556049838126216E-2</v>
      </c>
      <c r="O185" s="137">
        <f t="shared" ca="1" si="64"/>
        <v>-40600.889708627183</v>
      </c>
    </row>
    <row r="186" spans="1:15" ht="16.5" customHeight="1">
      <c r="A186" s="153">
        <v>13</v>
      </c>
      <c r="B186" s="153" t="str">
        <f>TEXT(투자전략!$G$1+12, "[$-ko-KR]yyyy.mm.dd")</f>
        <v>2021.08.13</v>
      </c>
      <c r="C186" s="135">
        <f t="shared" ca="1" si="52"/>
        <v>1800000</v>
      </c>
      <c r="D186" s="139">
        <f t="shared" ca="1" si="53"/>
        <v>1873541.2955045453</v>
      </c>
      <c r="E186" s="77">
        <f t="shared" ca="1" si="54"/>
        <v>4.085627528030298E-2</v>
      </c>
      <c r="F186" s="137">
        <f t="shared" ca="1" si="55"/>
        <v>73541.295504545385</v>
      </c>
      <c r="G186" s="139">
        <f t="shared" ca="1" si="56"/>
        <v>1904445.3449554569</v>
      </c>
      <c r="H186" s="77">
        <f t="shared" ca="1" si="57"/>
        <v>5.8025191641920472E-2</v>
      </c>
      <c r="I186" s="137">
        <f t="shared" ca="1" si="58"/>
        <v>104445.34495545685</v>
      </c>
      <c r="J186" s="139">
        <f t="shared" ca="1" si="59"/>
        <v>1892900.1590908121</v>
      </c>
      <c r="K186" s="77">
        <f t="shared" ca="1" si="60"/>
        <v>5.1611199494895642E-2</v>
      </c>
      <c r="L186" s="137">
        <f t="shared" ca="1" si="61"/>
        <v>92900.159090812143</v>
      </c>
      <c r="M186" s="139">
        <f t="shared" ca="1" si="62"/>
        <v>1882722.6614657538</v>
      </c>
      <c r="N186" s="77">
        <f t="shared" ca="1" si="63"/>
        <v>4.5957034147640886E-2</v>
      </c>
      <c r="O186" s="137">
        <f t="shared" ca="1" si="64"/>
        <v>82722.661465753568</v>
      </c>
    </row>
    <row r="187" spans="1:15" ht="16.5" customHeight="1" thickBot="1">
      <c r="A187" s="155">
        <v>14</v>
      </c>
      <c r="B187" s="155" t="str">
        <f>TEXT(투자전략!$G$1+13, "[$-ko-KR]yyyy.mm.dd")</f>
        <v>2021.08.14</v>
      </c>
      <c r="C187" s="136">
        <f t="shared" ca="1" si="52"/>
        <v>1700000</v>
      </c>
      <c r="D187" s="140">
        <f t="shared" ca="1" si="53"/>
        <v>1744639.2200355434</v>
      </c>
      <c r="E187" s="79">
        <f t="shared" ca="1" si="54"/>
        <v>2.625836472679011E-2</v>
      </c>
      <c r="F187" s="138">
        <f t="shared" ca="1" si="55"/>
        <v>44639.220035543185</v>
      </c>
      <c r="G187" s="140">
        <f t="shared" ca="1" si="56"/>
        <v>1721332.4234656629</v>
      </c>
      <c r="H187" s="79">
        <f t="shared" ca="1" si="57"/>
        <v>1.2548484391566337E-2</v>
      </c>
      <c r="I187" s="138">
        <f t="shared" ca="1" si="58"/>
        <v>21332.42346566277</v>
      </c>
      <c r="J187" s="140">
        <f t="shared" ca="1" si="59"/>
        <v>1706866.3271011377</v>
      </c>
      <c r="K187" s="79">
        <f t="shared" ca="1" si="60"/>
        <v>4.0390159418457238E-3</v>
      </c>
      <c r="L187" s="138">
        <f t="shared" ca="1" si="61"/>
        <v>6866.3271011377319</v>
      </c>
      <c r="M187" s="140">
        <f t="shared" ca="1" si="62"/>
        <v>1741879.8941712494</v>
      </c>
      <c r="N187" s="79">
        <f t="shared" ca="1" si="63"/>
        <v>2.463523186544072E-2</v>
      </c>
      <c r="O187" s="138">
        <f t="shared" ca="1" si="64"/>
        <v>41879.894171249216</v>
      </c>
    </row>
    <row r="188" spans="1:15" ht="16.5" customHeight="1">
      <c r="A188" s="154">
        <v>15</v>
      </c>
      <c r="B188" s="154" t="str">
        <f>TEXT(투자전략!$G$1+14, "[$-ko-KR]yyyy.mm.dd")</f>
        <v>2021.08.15</v>
      </c>
      <c r="C188" s="135">
        <f t="shared" ca="1" si="52"/>
        <v>1700000</v>
      </c>
      <c r="D188" s="139">
        <f t="shared" ca="1" si="53"/>
        <v>1712728.8968238221</v>
      </c>
      <c r="E188" s="77">
        <f t="shared" ca="1" si="54"/>
        <v>7.4875863669541555E-3</v>
      </c>
      <c r="F188" s="137">
        <f t="shared" ca="1" si="55"/>
        <v>12728.896823822062</v>
      </c>
      <c r="G188" s="139">
        <f t="shared" ca="1" si="56"/>
        <v>1699536.9049634538</v>
      </c>
      <c r="H188" s="77">
        <f t="shared" ca="1" si="57"/>
        <v>-2.7240884502722297E-4</v>
      </c>
      <c r="I188" s="137">
        <f t="shared" ca="1" si="58"/>
        <v>-463.09503654627815</v>
      </c>
      <c r="J188" s="139">
        <f t="shared" ca="1" si="59"/>
        <v>1692365.237079802</v>
      </c>
      <c r="K188" s="77">
        <f t="shared" ca="1" si="60"/>
        <v>-4.4910370118811721E-3</v>
      </c>
      <c r="L188" s="137">
        <f t="shared" ca="1" si="61"/>
        <v>-7634.7629201979926</v>
      </c>
      <c r="M188" s="139">
        <f t="shared" ca="1" si="62"/>
        <v>1692394.0882860119</v>
      </c>
      <c r="N188" s="77">
        <f t="shared" ca="1" si="63"/>
        <v>-4.4740657141106232E-3</v>
      </c>
      <c r="O188" s="137">
        <f t="shared" ca="1" si="64"/>
        <v>-7605.91171398806</v>
      </c>
    </row>
    <row r="189" spans="1:15" ht="16.5" customHeight="1">
      <c r="A189" s="153">
        <v>16</v>
      </c>
      <c r="B189" s="153" t="str">
        <f>TEXT(투자전략!$G$1+15, "[$-ko-KR]yyyy.mm.dd")</f>
        <v>2021.08.16</v>
      </c>
      <c r="C189" s="135">
        <f t="shared" ca="1" si="52"/>
        <v>1700000</v>
      </c>
      <c r="D189" s="139">
        <f t="shared" ca="1" si="53"/>
        <v>1749147.2938253307</v>
      </c>
      <c r="E189" s="77">
        <f t="shared" ca="1" si="54"/>
        <v>2.891017283842974E-2</v>
      </c>
      <c r="F189" s="137">
        <f t="shared" ca="1" si="55"/>
        <v>49147.293825330577</v>
      </c>
      <c r="G189" s="139">
        <f t="shared" ca="1" si="56"/>
        <v>1747854.151408148</v>
      </c>
      <c r="H189" s="77">
        <f t="shared" ca="1" si="57"/>
        <v>2.8149500828322266E-2</v>
      </c>
      <c r="I189" s="137">
        <f t="shared" ca="1" si="58"/>
        <v>47854.151408147867</v>
      </c>
      <c r="J189" s="139">
        <f t="shared" ca="1" si="59"/>
        <v>1763298.0723703599</v>
      </c>
      <c r="K189" s="77">
        <f t="shared" ca="1" si="60"/>
        <v>3.7234160217858699E-2</v>
      </c>
      <c r="L189" s="137">
        <f t="shared" ca="1" si="61"/>
        <v>63298.072370359805</v>
      </c>
      <c r="M189" s="139">
        <f t="shared" ca="1" si="62"/>
        <v>1718379.1901380336</v>
      </c>
      <c r="N189" s="77">
        <f t="shared" ca="1" si="63"/>
        <v>1.0811288316490454E-2</v>
      </c>
      <c r="O189" s="137">
        <f t="shared" ca="1" si="64"/>
        <v>18379.190138033773</v>
      </c>
    </row>
    <row r="190" spans="1:15" ht="16.5" customHeight="1">
      <c r="A190" s="153">
        <v>17</v>
      </c>
      <c r="B190" s="153" t="str">
        <f>TEXT(투자전략!$G$1+16, "[$-ko-KR]yyyy.mm.dd")</f>
        <v>2021.08.17</v>
      </c>
      <c r="C190" s="135">
        <f t="shared" ca="1" si="52"/>
        <v>1700000</v>
      </c>
      <c r="D190" s="139">
        <f t="shared" ca="1" si="53"/>
        <v>1670123.6591798658</v>
      </c>
      <c r="E190" s="77">
        <f t="shared" ca="1" si="54"/>
        <v>-1.7574318129490656E-2</v>
      </c>
      <c r="F190" s="137">
        <f t="shared" ca="1" si="55"/>
        <v>-29876.340820134123</v>
      </c>
      <c r="G190" s="139">
        <f t="shared" ca="1" si="56"/>
        <v>1689741.2077663168</v>
      </c>
      <c r="H190" s="77">
        <f t="shared" ca="1" si="57"/>
        <v>-6.0345836668724917E-3</v>
      </c>
      <c r="I190" s="137">
        <f t="shared" ca="1" si="58"/>
        <v>-10258.792233683238</v>
      </c>
      <c r="J190" s="139">
        <f t="shared" ca="1" si="59"/>
        <v>1691909.9301463212</v>
      </c>
      <c r="K190" s="77">
        <f t="shared" ca="1" si="60"/>
        <v>-4.7588646198110244E-3</v>
      </c>
      <c r="L190" s="137">
        <f t="shared" ca="1" si="61"/>
        <v>-8090.069853678744</v>
      </c>
      <c r="M190" s="139">
        <f t="shared" ca="1" si="62"/>
        <v>1700000</v>
      </c>
      <c r="N190" s="77">
        <f t="shared" ca="1" si="63"/>
        <v>0</v>
      </c>
      <c r="O190" s="137">
        <f t="shared" ca="1" si="64"/>
        <v>0</v>
      </c>
    </row>
    <row r="191" spans="1:15" ht="16.5" customHeight="1">
      <c r="A191" s="153">
        <v>18</v>
      </c>
      <c r="B191" s="153" t="str">
        <f>TEXT(투자전략!$G$1+17, "[$-ko-KR]yyyy.mm.dd")</f>
        <v>2021.08.18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2021.08.19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2021.08.20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2021.08.21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2021.08.22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2021.08.23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2021.08.24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2021.08.25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2021.08.26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2021.08.27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2021.08.28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2021.08.29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2021.08.30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2021.08.31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77" t="s">
        <v>283</v>
      </c>
      <c r="B205" s="279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70"/>
      <c r="B206" s="272"/>
      <c r="C206" s="136">
        <f ca="1">SUM(C174:C204)</f>
        <v>31800000</v>
      </c>
      <c r="D206" s="140">
        <f ca="1">SUM(D174:D204)</f>
        <v>32426748.944481149</v>
      </c>
      <c r="E206" s="79">
        <f ca="1">IFERROR(F206 / (SUM($C174:$C204) / COUNT($C174:$C204)), 0)</f>
        <v>0.33505446717545562</v>
      </c>
      <c r="F206" s="138">
        <f ca="1">SUM(F174:F204)</f>
        <v>626748.94448114641</v>
      </c>
      <c r="G206" s="140">
        <f ca="1">SUM(G174:G204)</f>
        <v>32573207.158028815</v>
      </c>
      <c r="H206" s="79">
        <f ca="1">IFERROR(I206 / (SUM($C174:$C204) / COUNT($C174:$C204)), 0)</f>
        <v>0.41334973856886642</v>
      </c>
      <c r="I206" s="138">
        <f ca="1">SUM(I174:I204)</f>
        <v>773207.15802882065</v>
      </c>
      <c r="J206" s="140">
        <f ca="1">SUM(J174:J204)</f>
        <v>32454973.814246714</v>
      </c>
      <c r="K206" s="79">
        <f ca="1">IFERROR(L206 / (SUM($C174:$C204) / COUNT($C174:$C204)), 0)</f>
        <v>0.35014323403126052</v>
      </c>
      <c r="L206" s="138">
        <f ca="1">SUM(L174:L204)</f>
        <v>654973.81424671086</v>
      </c>
      <c r="M206" s="140">
        <f ca="1">SUM(M174:M204)</f>
        <v>32526964.630370516</v>
      </c>
      <c r="N206" s="79">
        <f ca="1">IFERROR(O206 / (SUM($C174:$C204) / COUNT($C174:$C204)), 0)</f>
        <v>0.38862889044964721</v>
      </c>
      <c r="O206" s="138">
        <f ca="1">SUM(O174:O204)</f>
        <v>726964.63037051656</v>
      </c>
    </row>
    <row r="208" spans="1:15" ht="16.5" customHeight="1" thickBot="1"/>
    <row r="209" spans="1:15" ht="16.5" customHeight="1" thickBot="1">
      <c r="A209" s="249" t="str">
        <f>TEXT(투자전략!$G$1, "[$-ko-KR]yyyy년 mm월 ") &amp; "[동전코인] 전일대비 상승률 Bottom20 월말결산"</f>
        <v>2021년 08월 [동전코인] 전일대비 상승률 Bottom20 월말결산</v>
      </c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50"/>
      <c r="M209" s="250"/>
      <c r="N209" s="250"/>
      <c r="O209" s="251"/>
    </row>
    <row r="210" spans="1:15" ht="16.5" customHeight="1" thickBot="1">
      <c r="A210" s="293" t="s">
        <v>284</v>
      </c>
      <c r="B210" s="270" t="s">
        <v>282</v>
      </c>
      <c r="C210" s="272"/>
      <c r="D210" s="270" t="s">
        <v>274</v>
      </c>
      <c r="E210" s="271"/>
      <c r="F210" s="272"/>
      <c r="G210" s="270" t="s">
        <v>275</v>
      </c>
      <c r="H210" s="271"/>
      <c r="I210" s="272"/>
      <c r="J210" s="270" t="s">
        <v>276</v>
      </c>
      <c r="K210" s="271"/>
      <c r="L210" s="272"/>
      <c r="M210" s="270" t="s">
        <v>277</v>
      </c>
      <c r="N210" s="271"/>
      <c r="O210" s="272"/>
    </row>
    <row r="211" spans="1:15" ht="16.5" customHeight="1" thickBot="1">
      <c r="A211" s="286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2021.08.01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2015460.4839251854</v>
      </c>
      <c r="E212" s="76">
        <f ca="1">IFERROR(INDIRECT($B212&amp;"!E172"), "")</f>
        <v>7.7302419625926199E-3</v>
      </c>
      <c r="F212" s="141">
        <f ca="1">IFERROR(INDIRECT($B212&amp;"!F172"), "")</f>
        <v>15460.483925185239</v>
      </c>
      <c r="G212" s="142">
        <f ca="1">IFERROR($C212 * (1 + H212), "")</f>
        <v>2038122.8229152341</v>
      </c>
      <c r="H212" s="76">
        <f ca="1">IFERROR(INDIRECT($B212&amp;"!H172"), "")</f>
        <v>1.9061411457617097E-2</v>
      </c>
      <c r="I212" s="141">
        <f ca="1">IFERROR(INDIRECT($B212&amp;"!I172"), "")</f>
        <v>38122.822915234188</v>
      </c>
      <c r="J212" s="142">
        <f ca="1">IFERROR($C212 * (1 + K212), "")</f>
        <v>2000239.8847040022</v>
      </c>
      <c r="K212" s="76">
        <f ca="1">IFERROR(INDIRECT($B212&amp;"!K172"), "")</f>
        <v>1.1994235200101303E-4</v>
      </c>
      <c r="L212" s="141">
        <f ca="1">IFERROR(INDIRECT($B212&amp;"!L172"), "")</f>
        <v>239.88470400202823</v>
      </c>
      <c r="M212" s="142">
        <f ca="1">IFERROR($C212 * (1 + N212), "")</f>
        <v>1999807.7012101654</v>
      </c>
      <c r="N212" s="76">
        <f ca="1">IFERROR(INDIRECT($B212&amp;"!N172"), "")</f>
        <v>-9.6149394917307424E-5</v>
      </c>
      <c r="O212" s="141">
        <f ca="1">IFERROR(INDIRECT($B212&amp;"!O172"), "")</f>
        <v>-192.2987898346164</v>
      </c>
    </row>
    <row r="213" spans="1:15" ht="16.5" customHeight="1">
      <c r="A213" s="153">
        <v>2</v>
      </c>
      <c r="B213" s="153" t="str">
        <f>TEXT(투자전략!$G$1+1, "[$-ko-KR]yyyy.mm.dd")</f>
        <v>2021.08.02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2000000</v>
      </c>
      <c r="E213" s="77">
        <f t="shared" ref="E213:E242" ca="1" si="67">IFERROR(INDIRECT($B213&amp;"!E172"), "")</f>
        <v>0</v>
      </c>
      <c r="F213" s="137">
        <f t="shared" ref="F213:F242" ca="1" si="68">IFERROR(INDIRECT($B213&amp;"!F172"), "")</f>
        <v>0</v>
      </c>
      <c r="G213" s="139">
        <f t="shared" ref="G213:G242" ca="1" si="69">IFERROR($C213 * (1 + H213), "")</f>
        <v>2011072.114755573</v>
      </c>
      <c r="H213" s="77">
        <f t="shared" ref="H213:H242" ca="1" si="70">IFERROR(INDIRECT($B213&amp;"!H172"), "")</f>
        <v>5.5360573777865768E-3</v>
      </c>
      <c r="I213" s="137">
        <f t="shared" ref="I213:I242" ca="1" si="71">IFERROR(INDIRECT($B213&amp;"!I172"), "")</f>
        <v>11072.114755573155</v>
      </c>
      <c r="J213" s="139">
        <f t="shared" ref="J213:J242" ca="1" si="72">IFERROR($C213 * (1 + K213), "")</f>
        <v>2005173.3140717829</v>
      </c>
      <c r="K213" s="77">
        <f t="shared" ref="K213:K242" ca="1" si="73">IFERROR(INDIRECT($B213&amp;"!K172"), "")</f>
        <v>2.5866570358914279E-3</v>
      </c>
      <c r="L213" s="137">
        <f t="shared" ref="L213:L242" ca="1" si="74">IFERROR(INDIRECT($B213&amp;"!L172"), "")</f>
        <v>5173.3140717828564</v>
      </c>
      <c r="M213" s="139">
        <f t="shared" ref="M213:M242" ca="1" si="75">IFERROR($C213 * (1 + N213), "")</f>
        <v>2034196.8102686629</v>
      </c>
      <c r="N213" s="77">
        <f t="shared" ref="N213:N242" ca="1" si="76">IFERROR(INDIRECT($B213&amp;"!N172"), "")</f>
        <v>1.7098405134331512E-2</v>
      </c>
      <c r="O213" s="137">
        <f t="shared" ref="O213:O242" ca="1" si="77">IFERROR(INDIRECT($B213&amp;"!O172"), "")</f>
        <v>34196.810268663023</v>
      </c>
    </row>
    <row r="214" spans="1:15" ht="16.5" customHeight="1">
      <c r="A214" s="153">
        <v>3</v>
      </c>
      <c r="B214" s="153" t="str">
        <f>TEXT(투자전략!$G$1+2, "[$-ko-KR]yyyy.mm.dd")</f>
        <v>2021.08.03</v>
      </c>
      <c r="C214" s="135">
        <f t="shared" ca="1" si="65"/>
        <v>2000000</v>
      </c>
      <c r="D214" s="139">
        <f t="shared" ca="1" si="66"/>
        <v>2038465.5238499669</v>
      </c>
      <c r="E214" s="77">
        <f t="shared" ca="1" si="67"/>
        <v>1.9232761924983469E-2</v>
      </c>
      <c r="F214" s="137">
        <f t="shared" ca="1" si="68"/>
        <v>38465.523849966936</v>
      </c>
      <c r="G214" s="139">
        <f t="shared" ca="1" si="69"/>
        <v>2063414.5685032692</v>
      </c>
      <c r="H214" s="77">
        <f t="shared" ca="1" si="70"/>
        <v>3.1707284251634563E-2</v>
      </c>
      <c r="I214" s="137">
        <f t="shared" ca="1" si="71"/>
        <v>63414.568503269118</v>
      </c>
      <c r="J214" s="139">
        <f t="shared" ca="1" si="72"/>
        <v>2036397.2525513431</v>
      </c>
      <c r="K214" s="77">
        <f t="shared" ca="1" si="73"/>
        <v>1.8198626275671537E-2</v>
      </c>
      <c r="L214" s="137">
        <f t="shared" ca="1" si="74"/>
        <v>36397.252551343074</v>
      </c>
      <c r="M214" s="139">
        <f t="shared" ca="1" si="75"/>
        <v>2051715.1935631519</v>
      </c>
      <c r="N214" s="77">
        <f t="shared" ca="1" si="76"/>
        <v>2.5857596781576019E-2</v>
      </c>
      <c r="O214" s="137">
        <f t="shared" ca="1" si="77"/>
        <v>51715.193563152039</v>
      </c>
    </row>
    <row r="215" spans="1:15" ht="16.5" customHeight="1">
      <c r="A215" s="153">
        <v>4</v>
      </c>
      <c r="B215" s="153" t="str">
        <f>TEXT(투자전략!$G$1+3, "[$-ko-KR]yyyy.mm.dd")</f>
        <v>2021.08.04</v>
      </c>
      <c r="C215" s="135">
        <f t="shared" ca="1" si="65"/>
        <v>2000000</v>
      </c>
      <c r="D215" s="139">
        <f t="shared" ca="1" si="66"/>
        <v>1987405.7195553642</v>
      </c>
      <c r="E215" s="77">
        <f t="shared" ca="1" si="67"/>
        <v>-6.297140222317821E-3</v>
      </c>
      <c r="F215" s="137">
        <f t="shared" ca="1" si="68"/>
        <v>-12594.280444635642</v>
      </c>
      <c r="G215" s="139">
        <f t="shared" ca="1" si="69"/>
        <v>1973708.3119830161</v>
      </c>
      <c r="H215" s="77">
        <f t="shared" ca="1" si="70"/>
        <v>-1.3145844008491999E-2</v>
      </c>
      <c r="I215" s="137">
        <f t="shared" ca="1" si="71"/>
        <v>-26291.688016984001</v>
      </c>
      <c r="J215" s="139">
        <f t="shared" ca="1" si="72"/>
        <v>1991829.0857619538</v>
      </c>
      <c r="K215" s="77">
        <f t="shared" ca="1" si="73"/>
        <v>-4.0854571190230907E-3</v>
      </c>
      <c r="L215" s="137">
        <f t="shared" ca="1" si="74"/>
        <v>-8170.9142380461781</v>
      </c>
      <c r="M215" s="139">
        <f t="shared" ca="1" si="75"/>
        <v>2024808.1544666544</v>
      </c>
      <c r="N215" s="77">
        <f t="shared" ca="1" si="76"/>
        <v>1.2404077233327085E-2</v>
      </c>
      <c r="O215" s="137">
        <f t="shared" ca="1" si="77"/>
        <v>24808.154466654163</v>
      </c>
    </row>
    <row r="216" spans="1:15" ht="16.5" customHeight="1">
      <c r="A216" s="153">
        <v>5</v>
      </c>
      <c r="B216" s="153" t="str">
        <f>TEXT(투자전략!$G$1+4, "[$-ko-KR]yyyy.mm.dd")</f>
        <v>2021.08.05</v>
      </c>
      <c r="C216" s="135">
        <f t="shared" ca="1" si="65"/>
        <v>2000000</v>
      </c>
      <c r="D216" s="139">
        <f t="shared" ca="1" si="66"/>
        <v>2105304.7782487669</v>
      </c>
      <c r="E216" s="77">
        <f t="shared" ca="1" si="67"/>
        <v>5.2652389124383567E-2</v>
      </c>
      <c r="F216" s="137">
        <f t="shared" ca="1" si="68"/>
        <v>105304.77824876715</v>
      </c>
      <c r="G216" s="139">
        <f t="shared" ca="1" si="69"/>
        <v>2096973.8018462141</v>
      </c>
      <c r="H216" s="77">
        <f t="shared" ca="1" si="70"/>
        <v>4.8486900923107132E-2</v>
      </c>
      <c r="I216" s="137">
        <f t="shared" ca="1" si="71"/>
        <v>96973.801846214265</v>
      </c>
      <c r="J216" s="139">
        <f t="shared" ca="1" si="72"/>
        <v>2097649.7761117327</v>
      </c>
      <c r="K216" s="77">
        <f t="shared" ca="1" si="73"/>
        <v>4.8824888055866419E-2</v>
      </c>
      <c r="L216" s="137">
        <f t="shared" ca="1" si="74"/>
        <v>97649.776111732834</v>
      </c>
      <c r="M216" s="139">
        <f t="shared" ca="1" si="75"/>
        <v>2129054.9228856163</v>
      </c>
      <c r="N216" s="77">
        <f t="shared" ca="1" si="76"/>
        <v>6.4527461442808104E-2</v>
      </c>
      <c r="O216" s="137">
        <f t="shared" ca="1" si="77"/>
        <v>129054.92288561618</v>
      </c>
    </row>
    <row r="217" spans="1:15" ht="16.5" customHeight="1">
      <c r="A217" s="153">
        <v>6</v>
      </c>
      <c r="B217" s="153" t="str">
        <f>TEXT(투자전략!$G$1+5, "[$-ko-KR]yyyy.mm.dd")</f>
        <v>2021.08.06</v>
      </c>
      <c r="C217" s="135">
        <f t="shared" ca="1" si="65"/>
        <v>2000000</v>
      </c>
      <c r="D217" s="139">
        <f t="shared" ca="1" si="66"/>
        <v>2024724.8953148448</v>
      </c>
      <c r="E217" s="77">
        <f t="shared" ca="1" si="67"/>
        <v>1.2362447657422403E-2</v>
      </c>
      <c r="F217" s="137">
        <f t="shared" ca="1" si="68"/>
        <v>24724.895314844798</v>
      </c>
      <c r="G217" s="139">
        <f t="shared" ca="1" si="69"/>
        <v>2023071.3561914123</v>
      </c>
      <c r="H217" s="77">
        <f t="shared" ca="1" si="70"/>
        <v>1.1535678095706178E-2</v>
      </c>
      <c r="I217" s="137">
        <f t="shared" ca="1" si="71"/>
        <v>23071.35619141236</v>
      </c>
      <c r="J217" s="139">
        <f t="shared" ca="1" si="72"/>
        <v>2028578.1910697315</v>
      </c>
      <c r="K217" s="77">
        <f t="shared" ca="1" si="73"/>
        <v>1.4289095534865803E-2</v>
      </c>
      <c r="L217" s="137">
        <f t="shared" ca="1" si="74"/>
        <v>28578.191069731609</v>
      </c>
      <c r="M217" s="139">
        <f t="shared" ca="1" si="75"/>
        <v>2057035.850469406</v>
      </c>
      <c r="N217" s="77">
        <f t="shared" ca="1" si="76"/>
        <v>2.8517925234702875E-2</v>
      </c>
      <c r="O217" s="137">
        <f t="shared" ca="1" si="77"/>
        <v>57035.850469405748</v>
      </c>
    </row>
    <row r="218" spans="1:15" ht="16.5" customHeight="1" thickBot="1">
      <c r="A218" s="155">
        <v>7</v>
      </c>
      <c r="B218" s="155" t="str">
        <f>TEXT(투자전략!$G$1+6, "[$-ko-KR]yyyy.mm.dd")</f>
        <v>2021.08.07</v>
      </c>
      <c r="C218" s="135">
        <f t="shared" ca="1" si="65"/>
        <v>2000000</v>
      </c>
      <c r="D218" s="139">
        <f t="shared" ca="1" si="66"/>
        <v>2050549.5711358064</v>
      </c>
      <c r="E218" s="77">
        <f t="shared" ca="1" si="67"/>
        <v>2.5274785567903291E-2</v>
      </c>
      <c r="F218" s="137">
        <f t="shared" ca="1" si="68"/>
        <v>50549.571135806582</v>
      </c>
      <c r="G218" s="139">
        <f t="shared" ca="1" si="69"/>
        <v>2075787.948343093</v>
      </c>
      <c r="H218" s="77">
        <f t="shared" ca="1" si="70"/>
        <v>3.789397417154651E-2</v>
      </c>
      <c r="I218" s="137">
        <f t="shared" ca="1" si="71"/>
        <v>75787.948343093012</v>
      </c>
      <c r="J218" s="139">
        <f t="shared" ca="1" si="72"/>
        <v>2080013.8641122184</v>
      </c>
      <c r="K218" s="77">
        <f t="shared" ca="1" si="73"/>
        <v>4.0006932056109119E-2</v>
      </c>
      <c r="L218" s="137">
        <f t="shared" ca="1" si="74"/>
        <v>80013.864112218216</v>
      </c>
      <c r="M218" s="139">
        <f t="shared" ca="1" si="75"/>
        <v>2053645.913753194</v>
      </c>
      <c r="N218" s="77">
        <f t="shared" ca="1" si="76"/>
        <v>2.682295687659687E-2</v>
      </c>
      <c r="O218" s="137">
        <f t="shared" ca="1" si="77"/>
        <v>53645.913753193738</v>
      </c>
    </row>
    <row r="219" spans="1:15" ht="16.5" customHeight="1">
      <c r="A219" s="154">
        <v>8</v>
      </c>
      <c r="B219" s="154" t="str">
        <f>TEXT(투자전략!$G$1+7, "[$-ko-KR]yyyy.mm.dd")</f>
        <v>2021.08.08</v>
      </c>
      <c r="C219" s="134">
        <f t="shared" ca="1" si="65"/>
        <v>2000000</v>
      </c>
      <c r="D219" s="142">
        <f t="shared" ca="1" si="66"/>
        <v>1997463.1961249304</v>
      </c>
      <c r="E219" s="76">
        <f t="shared" ca="1" si="67"/>
        <v>-1.2684019375346974E-3</v>
      </c>
      <c r="F219" s="141">
        <f t="shared" ca="1" si="68"/>
        <v>-2536.803875069395</v>
      </c>
      <c r="G219" s="142">
        <f t="shared" ca="1" si="69"/>
        <v>2007489.8837326702</v>
      </c>
      <c r="H219" s="76">
        <f t="shared" ca="1" si="70"/>
        <v>3.7449418663350977E-3</v>
      </c>
      <c r="I219" s="141">
        <f t="shared" ca="1" si="71"/>
        <v>7489.8837326701969</v>
      </c>
      <c r="J219" s="142">
        <f t="shared" ca="1" si="72"/>
        <v>2002322.9321240103</v>
      </c>
      <c r="K219" s="76">
        <f t="shared" ca="1" si="73"/>
        <v>1.1614660620052485E-3</v>
      </c>
      <c r="L219" s="141">
        <f t="shared" ca="1" si="74"/>
        <v>2322.9321240104946</v>
      </c>
      <c r="M219" s="142">
        <f t="shared" ca="1" si="75"/>
        <v>2000000</v>
      </c>
      <c r="N219" s="76">
        <f t="shared" ca="1" si="76"/>
        <v>0</v>
      </c>
      <c r="O219" s="141">
        <f t="shared" ca="1" si="77"/>
        <v>0</v>
      </c>
    </row>
    <row r="220" spans="1:15" ht="16.5" customHeight="1">
      <c r="A220" s="153">
        <v>9</v>
      </c>
      <c r="B220" s="153" t="str">
        <f>TEXT(투자전략!$G$1+8, "[$-ko-KR]yyyy.mm.dd")</f>
        <v>2021.08.09</v>
      </c>
      <c r="C220" s="135">
        <f t="shared" ca="1" si="65"/>
        <v>2000000</v>
      </c>
      <c r="D220" s="139">
        <f t="shared" ca="1" si="66"/>
        <v>2015329.506148723</v>
      </c>
      <c r="E220" s="77">
        <f t="shared" ca="1" si="67"/>
        <v>7.6647530743615185E-3</v>
      </c>
      <c r="F220" s="137">
        <f t="shared" ca="1" si="68"/>
        <v>15329.506148723032</v>
      </c>
      <c r="G220" s="139">
        <f t="shared" ca="1" si="69"/>
        <v>2048297.6071338342</v>
      </c>
      <c r="H220" s="77">
        <f t="shared" ca="1" si="70"/>
        <v>2.4148803566917031E-2</v>
      </c>
      <c r="I220" s="137">
        <f t="shared" ca="1" si="71"/>
        <v>48297.607133834063</v>
      </c>
      <c r="J220" s="139">
        <f t="shared" ca="1" si="72"/>
        <v>2067654.7836747603</v>
      </c>
      <c r="K220" s="77">
        <f t="shared" ca="1" si="73"/>
        <v>3.3827391837380226E-2</v>
      </c>
      <c r="L220" s="137">
        <f t="shared" ca="1" si="74"/>
        <v>67654.783674760445</v>
      </c>
      <c r="M220" s="139">
        <f t="shared" ca="1" si="75"/>
        <v>2058554.4544049231</v>
      </c>
      <c r="N220" s="77">
        <f t="shared" ca="1" si="76"/>
        <v>2.9277227202461613E-2</v>
      </c>
      <c r="O220" s="137">
        <f t="shared" ca="1" si="77"/>
        <v>58554.454404923228</v>
      </c>
    </row>
    <row r="221" spans="1:15" ht="16.5" customHeight="1">
      <c r="A221" s="153">
        <v>10</v>
      </c>
      <c r="B221" s="153" t="str">
        <f>TEXT(투자전략!$G$1+9, "[$-ko-KR]yyyy.mm.dd")</f>
        <v>2021.08.10</v>
      </c>
      <c r="C221" s="135">
        <f t="shared" ca="1" si="65"/>
        <v>2000000</v>
      </c>
      <c r="D221" s="139">
        <f t="shared" ca="1" si="66"/>
        <v>2019183.901390861</v>
      </c>
      <c r="E221" s="77">
        <f t="shared" ca="1" si="67"/>
        <v>9.5919506954304269E-3</v>
      </c>
      <c r="F221" s="137">
        <f t="shared" ca="1" si="68"/>
        <v>19183.901390860847</v>
      </c>
      <c r="G221" s="139">
        <f t="shared" ca="1" si="69"/>
        <v>2035914.4821870357</v>
      </c>
      <c r="H221" s="77">
        <f t="shared" ca="1" si="70"/>
        <v>1.7957241093517727E-2</v>
      </c>
      <c r="I221" s="137">
        <f t="shared" ca="1" si="71"/>
        <v>35914.482187035464</v>
      </c>
      <c r="J221" s="139">
        <f t="shared" ca="1" si="72"/>
        <v>2030280.0961327022</v>
      </c>
      <c r="K221" s="77">
        <f t="shared" ca="1" si="73"/>
        <v>1.514004806635095E-2</v>
      </c>
      <c r="L221" s="137">
        <f t="shared" ca="1" si="74"/>
        <v>30280.096132701899</v>
      </c>
      <c r="M221" s="139">
        <f t="shared" ca="1" si="75"/>
        <v>2024684.1374963385</v>
      </c>
      <c r="N221" s="77">
        <f t="shared" ca="1" si="76"/>
        <v>1.2342068748169208E-2</v>
      </c>
      <c r="O221" s="137">
        <f t="shared" ca="1" si="77"/>
        <v>24684.137496338415</v>
      </c>
    </row>
    <row r="222" spans="1:15" ht="16.5" customHeight="1">
      <c r="A222" s="153">
        <v>11</v>
      </c>
      <c r="B222" s="153" t="str">
        <f>TEXT(투자전략!$G$1+10, "[$-ko-KR]yyyy.mm.dd")</f>
        <v>2021.08.11</v>
      </c>
      <c r="C222" s="135">
        <f t="shared" ca="1" si="65"/>
        <v>2000000</v>
      </c>
      <c r="D222" s="139">
        <f t="shared" ca="1" si="66"/>
        <v>2070409.3407259539</v>
      </c>
      <c r="E222" s="77">
        <f t="shared" ca="1" si="67"/>
        <v>3.520467036297685E-2</v>
      </c>
      <c r="F222" s="137">
        <f t="shared" ca="1" si="68"/>
        <v>70409.340725953705</v>
      </c>
      <c r="G222" s="139">
        <f t="shared" ca="1" si="69"/>
        <v>2087638.5646774848</v>
      </c>
      <c r="H222" s="77">
        <f t="shared" ca="1" si="70"/>
        <v>4.3819282338742452E-2</v>
      </c>
      <c r="I222" s="137">
        <f t="shared" ca="1" si="71"/>
        <v>87638.564677484901</v>
      </c>
      <c r="J222" s="139">
        <f t="shared" ca="1" si="72"/>
        <v>2069031.622912593</v>
      </c>
      <c r="K222" s="77">
        <f t="shared" ca="1" si="73"/>
        <v>3.451581145629655E-2</v>
      </c>
      <c r="L222" s="137">
        <f t="shared" ca="1" si="74"/>
        <v>69031.622912593084</v>
      </c>
      <c r="M222" s="139">
        <f t="shared" ca="1" si="75"/>
        <v>2119547.6756308796</v>
      </c>
      <c r="N222" s="77">
        <f t="shared" ca="1" si="76"/>
        <v>5.9773837815439858E-2</v>
      </c>
      <c r="O222" s="137">
        <f t="shared" ca="1" si="77"/>
        <v>119547.67563087969</v>
      </c>
    </row>
    <row r="223" spans="1:15" ht="16.5" customHeight="1">
      <c r="A223" s="153">
        <v>12</v>
      </c>
      <c r="B223" s="153" t="str">
        <f>TEXT(투자전략!$G$1+11, "[$-ko-KR]yyyy.mm.dd")</f>
        <v>2021.08.12</v>
      </c>
      <c r="C223" s="135">
        <f t="shared" ca="1" si="65"/>
        <v>2000000</v>
      </c>
      <c r="D223" s="139">
        <f t="shared" ca="1" si="66"/>
        <v>1987286.2647983325</v>
      </c>
      <c r="E223" s="77">
        <f t="shared" ca="1" si="67"/>
        <v>-6.3568676008337547E-3</v>
      </c>
      <c r="F223" s="137">
        <f t="shared" ca="1" si="68"/>
        <v>-12713.735201667505</v>
      </c>
      <c r="G223" s="139">
        <f t="shared" ca="1" si="69"/>
        <v>1953399.6417365673</v>
      </c>
      <c r="H223" s="77">
        <f t="shared" ca="1" si="70"/>
        <v>-2.3300179131716284E-2</v>
      </c>
      <c r="I223" s="137">
        <f t="shared" ca="1" si="71"/>
        <v>-46600.358263432565</v>
      </c>
      <c r="J223" s="139">
        <f t="shared" ca="1" si="72"/>
        <v>1923125.0802394822</v>
      </c>
      <c r="K223" s="77">
        <f t="shared" ca="1" si="73"/>
        <v>-3.8437459880258935E-2</v>
      </c>
      <c r="L223" s="137">
        <f t="shared" ca="1" si="74"/>
        <v>-76874.919760517863</v>
      </c>
      <c r="M223" s="139">
        <f t="shared" ca="1" si="75"/>
        <v>1908248.6258743398</v>
      </c>
      <c r="N223" s="77">
        <f t="shared" ca="1" si="76"/>
        <v>-4.5875687062830059E-2</v>
      </c>
      <c r="O223" s="137">
        <f t="shared" ca="1" si="77"/>
        <v>-91751.374125660092</v>
      </c>
    </row>
    <row r="224" spans="1:15" ht="16.5" customHeight="1">
      <c r="A224" s="153">
        <v>13</v>
      </c>
      <c r="B224" s="153" t="str">
        <f>TEXT(투자전략!$G$1+12, "[$-ko-KR]yyyy.mm.dd")</f>
        <v>2021.08.13</v>
      </c>
      <c r="C224" s="135">
        <f t="shared" ca="1" si="65"/>
        <v>2000000</v>
      </c>
      <c r="D224" s="139">
        <f t="shared" ca="1" si="66"/>
        <v>2058363.4163030707</v>
      </c>
      <c r="E224" s="77">
        <f t="shared" ca="1" si="67"/>
        <v>2.9181708151535351E-2</v>
      </c>
      <c r="F224" s="137">
        <f t="shared" ca="1" si="68"/>
        <v>58363.416303070706</v>
      </c>
      <c r="G224" s="139">
        <f t="shared" ca="1" si="69"/>
        <v>2089746.8934800157</v>
      </c>
      <c r="H224" s="77">
        <f t="shared" ca="1" si="70"/>
        <v>4.4873446740007851E-2</v>
      </c>
      <c r="I224" s="137">
        <f t="shared" ca="1" si="71"/>
        <v>89746.8934800157</v>
      </c>
      <c r="J224" s="139">
        <f t="shared" ca="1" si="72"/>
        <v>2080222.7055482883</v>
      </c>
      <c r="K224" s="77">
        <f t="shared" ca="1" si="73"/>
        <v>4.0111352774144224E-2</v>
      </c>
      <c r="L224" s="137">
        <f t="shared" ca="1" si="74"/>
        <v>80222.705548288475</v>
      </c>
      <c r="M224" s="139">
        <f t="shared" ca="1" si="75"/>
        <v>2065984.6253418094</v>
      </c>
      <c r="N224" s="77">
        <f t="shared" ca="1" si="76"/>
        <v>3.2992312670904619E-2</v>
      </c>
      <c r="O224" s="137">
        <f t="shared" ca="1" si="77"/>
        <v>65984.625341809238</v>
      </c>
    </row>
    <row r="225" spans="1:15" ht="16.5" customHeight="1" thickBot="1">
      <c r="A225" s="155">
        <v>14</v>
      </c>
      <c r="B225" s="155" t="str">
        <f>TEXT(투자전략!$G$1+13, "[$-ko-KR]yyyy.mm.dd")</f>
        <v>2021.08.14</v>
      </c>
      <c r="C225" s="136">
        <f t="shared" ca="1" si="65"/>
        <v>2000000</v>
      </c>
      <c r="D225" s="140">
        <f t="shared" ca="1" si="66"/>
        <v>2059521.9366992845</v>
      </c>
      <c r="E225" s="79">
        <f t="shared" ca="1" si="67"/>
        <v>2.9760968349642158E-2</v>
      </c>
      <c r="F225" s="138">
        <f t="shared" ca="1" si="68"/>
        <v>59521.936699284306</v>
      </c>
      <c r="G225" s="140">
        <f t="shared" ca="1" si="69"/>
        <v>2036225.9924467895</v>
      </c>
      <c r="H225" s="79">
        <f t="shared" ca="1" si="70"/>
        <v>1.8112996223394882E-2</v>
      </c>
      <c r="I225" s="138">
        <f t="shared" ca="1" si="71"/>
        <v>36225.992446789765</v>
      </c>
      <c r="J225" s="140">
        <f t="shared" ca="1" si="72"/>
        <v>2026779.9945852563</v>
      </c>
      <c r="K225" s="79">
        <f t="shared" ca="1" si="73"/>
        <v>1.3389997292628228E-2</v>
      </c>
      <c r="L225" s="138">
        <f t="shared" ca="1" si="74"/>
        <v>26779.994585256449</v>
      </c>
      <c r="M225" s="140">
        <f t="shared" ca="1" si="75"/>
        <v>2061175.4167837924</v>
      </c>
      <c r="N225" s="79">
        <f t="shared" ca="1" si="76"/>
        <v>3.058770839189625E-2</v>
      </c>
      <c r="O225" s="138">
        <f t="shared" ca="1" si="77"/>
        <v>61175.416783792527</v>
      </c>
    </row>
    <row r="226" spans="1:15" ht="16.5" customHeight="1">
      <c r="A226" s="154">
        <v>15</v>
      </c>
      <c r="B226" s="154" t="str">
        <f>TEXT(투자전략!$G$1+14, "[$-ko-KR]yyyy.mm.dd")</f>
        <v>2021.08.15</v>
      </c>
      <c r="C226" s="135">
        <f t="shared" ca="1" si="65"/>
        <v>2000000</v>
      </c>
      <c r="D226" s="139">
        <f t="shared" ca="1" si="66"/>
        <v>2001495.2562568102</v>
      </c>
      <c r="E226" s="77">
        <f t="shared" ca="1" si="67"/>
        <v>7.4762812840520007E-4</v>
      </c>
      <c r="F226" s="137">
        <f t="shared" ca="1" si="68"/>
        <v>1495.2562568104001</v>
      </c>
      <c r="G226" s="139">
        <f t="shared" ca="1" si="69"/>
        <v>1993830.882162831</v>
      </c>
      <c r="H226" s="77">
        <f t="shared" ca="1" si="70"/>
        <v>-3.08455891858447E-3</v>
      </c>
      <c r="I226" s="137">
        <f t="shared" ca="1" si="71"/>
        <v>-6169.1178371689402</v>
      </c>
      <c r="J226" s="139">
        <f t="shared" ca="1" si="72"/>
        <v>1998563.2900476714</v>
      </c>
      <c r="K226" s="77">
        <f t="shared" ca="1" si="73"/>
        <v>-7.1835497616427792E-4</v>
      </c>
      <c r="L226" s="137">
        <f t="shared" ca="1" si="74"/>
        <v>-1436.7099523285565</v>
      </c>
      <c r="M226" s="139">
        <f t="shared" ca="1" si="75"/>
        <v>1996213.6860623783</v>
      </c>
      <c r="N226" s="77">
        <f t="shared" ca="1" si="76"/>
        <v>-1.8931569688108774E-3</v>
      </c>
      <c r="O226" s="137">
        <f t="shared" ca="1" si="77"/>
        <v>-3786.313937621755</v>
      </c>
    </row>
    <row r="227" spans="1:15" ht="16.5" customHeight="1">
      <c r="A227" s="153">
        <v>16</v>
      </c>
      <c r="B227" s="153" t="str">
        <f>TEXT(투자전략!$G$1+15, "[$-ko-KR]yyyy.mm.dd")</f>
        <v>2021.08.16</v>
      </c>
      <c r="C227" s="135">
        <f t="shared" ca="1" si="65"/>
        <v>2000000</v>
      </c>
      <c r="D227" s="139">
        <f t="shared" ca="1" si="66"/>
        <v>2066221.5609608819</v>
      </c>
      <c r="E227" s="77">
        <f t="shared" ca="1" si="67"/>
        <v>3.3110780480440916E-2</v>
      </c>
      <c r="F227" s="137">
        <f t="shared" ca="1" si="68"/>
        <v>66221.560960881834</v>
      </c>
      <c r="G227" s="139">
        <f t="shared" ca="1" si="69"/>
        <v>2066661.7929288403</v>
      </c>
      <c r="H227" s="77">
        <f t="shared" ca="1" si="70"/>
        <v>3.3330896464420022E-2</v>
      </c>
      <c r="I227" s="137">
        <f t="shared" ca="1" si="71"/>
        <v>66661.792928840048</v>
      </c>
      <c r="J227" s="139">
        <f t="shared" ca="1" si="72"/>
        <v>2077770.0970968369</v>
      </c>
      <c r="K227" s="77">
        <f t="shared" ca="1" si="73"/>
        <v>3.8885048548418441E-2</v>
      </c>
      <c r="L227" s="137">
        <f t="shared" ca="1" si="74"/>
        <v>77770.097096836907</v>
      </c>
      <c r="M227" s="139">
        <f t="shared" ca="1" si="75"/>
        <v>2023237.0177096808</v>
      </c>
      <c r="N227" s="77">
        <f t="shared" ca="1" si="76"/>
        <v>1.1618508854840413E-2</v>
      </c>
      <c r="O227" s="137">
        <f t="shared" ca="1" si="77"/>
        <v>23237.017709680833</v>
      </c>
    </row>
    <row r="228" spans="1:15" ht="16.5" customHeight="1">
      <c r="A228" s="153">
        <v>17</v>
      </c>
      <c r="B228" s="153" t="str">
        <f>TEXT(투자전략!$G$1+16, "[$-ko-KR]yyyy.mm.dd")</f>
        <v>2021.08.17</v>
      </c>
      <c r="C228" s="135">
        <f t="shared" ca="1" si="65"/>
        <v>2000000</v>
      </c>
      <c r="D228" s="139">
        <f t="shared" ca="1" si="66"/>
        <v>1968918.7671404451</v>
      </c>
      <c r="E228" s="77">
        <f t="shared" ca="1" si="67"/>
        <v>-1.5540616429777415E-2</v>
      </c>
      <c r="F228" s="137">
        <f t="shared" ca="1" si="68"/>
        <v>-31081.232859554832</v>
      </c>
      <c r="G228" s="139">
        <f t="shared" ca="1" si="69"/>
        <v>1993654.4883780237</v>
      </c>
      <c r="H228" s="77">
        <f t="shared" ca="1" si="70"/>
        <v>-3.1727558109880482E-3</v>
      </c>
      <c r="I228" s="137">
        <f t="shared" ca="1" si="71"/>
        <v>-6345.5116219760966</v>
      </c>
      <c r="J228" s="139">
        <f t="shared" ca="1" si="72"/>
        <v>1996050.1078749015</v>
      </c>
      <c r="K228" s="77">
        <f t="shared" ca="1" si="73"/>
        <v>-1.974946062549254E-3</v>
      </c>
      <c r="L228" s="137">
        <f t="shared" ca="1" si="74"/>
        <v>-3949.8921250985081</v>
      </c>
      <c r="M228" s="139">
        <f t="shared" ca="1" si="75"/>
        <v>2000000</v>
      </c>
      <c r="N228" s="77">
        <f t="shared" ca="1" si="76"/>
        <v>0</v>
      </c>
      <c r="O228" s="137">
        <f t="shared" ca="1" si="77"/>
        <v>0</v>
      </c>
    </row>
    <row r="229" spans="1:15" ht="16.5" customHeight="1">
      <c r="A229" s="153">
        <v>18</v>
      </c>
      <c r="B229" s="153" t="str">
        <f>TEXT(투자전략!$G$1+17, "[$-ko-KR]yyyy.mm.dd")</f>
        <v>2021.08.18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2021.08.19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2021.08.20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2021.08.21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2021.08.22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2021.08.23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2021.08.24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2021.08.25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2021.08.26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2021.08.27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2021.08.28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2021.08.29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2021.08.30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2021.08.31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77" t="s">
        <v>283</v>
      </c>
      <c r="B243" s="279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70"/>
      <c r="B244" s="272"/>
      <c r="C244" s="136">
        <f ca="1">SUM(C212:C242)</f>
        <v>34000000</v>
      </c>
      <c r="D244" s="140">
        <f ca="1">SUM(D212:D242)</f>
        <v>34466104.118579231</v>
      </c>
      <c r="E244" s="79">
        <f ca="1">IFERROR(F244 / (SUM($C212:$C242) / COUNT($C212:$C242)), 0)</f>
        <v>0.23305205928961409</v>
      </c>
      <c r="F244" s="138">
        <f ca="1">SUM(F212:F242)</f>
        <v>466104.11857922818</v>
      </c>
      <c r="G244" s="140">
        <f ca="1">SUM(G212:G242)</f>
        <v>34595011.153401904</v>
      </c>
      <c r="H244" s="79">
        <f ca="1">IFERROR(I244 / (SUM($C212:$C242) / COUNT($C212:$C242)), 0)</f>
        <v>0.29750557670095235</v>
      </c>
      <c r="I244" s="138">
        <f ca="1">SUM(I212:I242)</f>
        <v>595011.15340190474</v>
      </c>
      <c r="J244" s="140">
        <f ca="1">SUM(J212:J242)</f>
        <v>34511682.078619272</v>
      </c>
      <c r="K244" s="79">
        <f ca="1">IFERROR(L244 / (SUM($C212:$C242) / COUNT($C212:$C242)), 0)</f>
        <v>0.25584103930963364</v>
      </c>
      <c r="L244" s="138">
        <f ca="1">SUM(L212:L242)</f>
        <v>511682.07861926733</v>
      </c>
      <c r="M244" s="140">
        <f ca="1">SUM(M212:M242)</f>
        <v>34607910.185920991</v>
      </c>
      <c r="N244" s="79">
        <f ca="1">IFERROR(O244 / (SUM($C212:$C242) / COUNT($C212:$C242)), 0)</f>
        <v>0.30395509296049622</v>
      </c>
      <c r="O244" s="138">
        <f ca="1">SUM(O212:O242)</f>
        <v>607910.1859209924</v>
      </c>
    </row>
    <row r="246" spans="1:15" ht="16.5" customHeight="1" thickBot="1"/>
    <row r="247" spans="1:15" ht="16.5" customHeight="1" thickBot="1">
      <c r="A247" s="249" t="str">
        <f>TEXT(투자전략!$G$1, "[$-ko-KR]yyyy년 mm월 ") &amp; "전일대비 상승률 Bottom20 월말결산"</f>
        <v>2021년 08월 전일대비 상승률 Bottom20 월말결산</v>
      </c>
      <c r="B247" s="250"/>
      <c r="C247" s="250"/>
      <c r="D247" s="250"/>
      <c r="E247" s="250"/>
      <c r="F247" s="250"/>
      <c r="G247" s="250"/>
      <c r="H247" s="250"/>
      <c r="I247" s="250"/>
      <c r="J247" s="250"/>
      <c r="K247" s="250"/>
      <c r="L247" s="250"/>
      <c r="M247" s="250"/>
      <c r="N247" s="250"/>
      <c r="O247" s="251"/>
    </row>
    <row r="248" spans="1:15" ht="16.5" customHeight="1" thickBot="1">
      <c r="A248" s="293" t="s">
        <v>284</v>
      </c>
      <c r="B248" s="270" t="s">
        <v>282</v>
      </c>
      <c r="C248" s="272"/>
      <c r="D248" s="270" t="s">
        <v>274</v>
      </c>
      <c r="E248" s="271"/>
      <c r="F248" s="272"/>
      <c r="G248" s="270" t="s">
        <v>275</v>
      </c>
      <c r="H248" s="271"/>
      <c r="I248" s="272"/>
      <c r="J248" s="270" t="s">
        <v>276</v>
      </c>
      <c r="K248" s="271"/>
      <c r="L248" s="272"/>
      <c r="M248" s="270" t="s">
        <v>277</v>
      </c>
      <c r="N248" s="271"/>
      <c r="O248" s="272"/>
    </row>
    <row r="249" spans="1:15" ht="16.5" customHeight="1" thickBot="1">
      <c r="A249" s="286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2021.08.01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2037607.8964329581</v>
      </c>
      <c r="E250" s="76">
        <f ca="1">IFERROR(INDIRECT($B250&amp;"!E199"), "")</f>
        <v>1.880394821647894E-2</v>
      </c>
      <c r="F250" s="141">
        <f ca="1">IFERROR(INDIRECT($B250&amp;"!F199"), "")</f>
        <v>37607.896432957881</v>
      </c>
      <c r="G250" s="142">
        <f ca="1">IFERROR($C250 * (1 + H250), "")</f>
        <v>2054928.1682110587</v>
      </c>
      <c r="H250" s="76">
        <f ca="1">IFERROR(INDIRECT($B250&amp;"!H199"), "")</f>
        <v>2.7464084105529408E-2</v>
      </c>
      <c r="I250" s="141">
        <f ca="1">IFERROR(INDIRECT($B250&amp;"!I199"), "")</f>
        <v>54928.168211058801</v>
      </c>
      <c r="J250" s="142">
        <f ca="1">IFERROR($C250 * (1 + K250), "")</f>
        <v>2014826.4081348479</v>
      </c>
      <c r="K250" s="76">
        <f ca="1">IFERROR(INDIRECT($B250&amp;"!K199"), "")</f>
        <v>7.4132040674239185E-3</v>
      </c>
      <c r="L250" s="141">
        <f ca="1">IFERROR(INDIRECT($B250&amp;"!L199"), "")</f>
        <v>14826.40813484785</v>
      </c>
      <c r="M250" s="142">
        <f ca="1">IFERROR($C250 * (1 + N250), "")</f>
        <v>2007351.3460118303</v>
      </c>
      <c r="N250" s="76">
        <f ca="1">IFERROR(INDIRECT($B250&amp;"!N199"), "")</f>
        <v>3.675673005915142E-3</v>
      </c>
      <c r="O250" s="141">
        <f ca="1">IFERROR(INDIRECT($B250&amp;"!O199"), "")</f>
        <v>7351.3460118302901</v>
      </c>
    </row>
    <row r="251" spans="1:15" ht="16.5" customHeight="1">
      <c r="A251" s="153">
        <v>2</v>
      </c>
      <c r="B251" s="153" t="str">
        <f>TEXT(투자전략!$G$1+1, "[$-ko-KR]yyyy.mm.dd")</f>
        <v>2021.08.02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2000000</v>
      </c>
      <c r="E251" s="77">
        <f t="shared" ref="E251:E280" ca="1" si="80">IFERROR(INDIRECT($B251&amp;"!E199"), "")</f>
        <v>0</v>
      </c>
      <c r="F251" s="137">
        <f t="shared" ref="F251:F280" ca="1" si="81">IFERROR(INDIRECT($B251&amp;"!F199"), "")</f>
        <v>0</v>
      </c>
      <c r="G251" s="139">
        <f t="shared" ref="G251:G280" ca="1" si="82">IFERROR($C251 * (1 + H251), "")</f>
        <v>2019337.7262494389</v>
      </c>
      <c r="H251" s="77">
        <f t="shared" ref="H251:H280" ca="1" si="83">IFERROR(INDIRECT($B251&amp;"!H199"), "")</f>
        <v>9.6688631247194047E-3</v>
      </c>
      <c r="I251" s="137">
        <f t="shared" ref="I251:I280" ca="1" si="84">IFERROR(INDIRECT($B251&amp;"!I199"), "")</f>
        <v>19337.726249438809</v>
      </c>
      <c r="J251" s="139">
        <f t="shared" ref="J251:J280" ca="1" si="85">IFERROR($C251 * (1 + K251), "")</f>
        <v>2010591.6822641322</v>
      </c>
      <c r="K251" s="77">
        <f t="shared" ref="K251:K280" ca="1" si="86">IFERROR(INDIRECT($B251&amp;"!K199"), "")</f>
        <v>5.2958411320660793E-3</v>
      </c>
      <c r="L251" s="137">
        <f t="shared" ref="L251:L280" ca="1" si="87">IFERROR(INDIRECT($B251&amp;"!L199"), "")</f>
        <v>10591.68226413216</v>
      </c>
      <c r="M251" s="139">
        <f t="shared" ref="M251:M280" ca="1" si="88">IFERROR($C251 * (1 + N251), "")</f>
        <v>2040793.6859480285</v>
      </c>
      <c r="N251" s="77">
        <f t="shared" ref="N251:N280" ca="1" si="89">IFERROR(INDIRECT($B251&amp;"!N199"), "")</f>
        <v>2.0396842974014288E-2</v>
      </c>
      <c r="O251" s="137">
        <f t="shared" ref="O251:O280" ca="1" si="90">IFERROR(INDIRECT($B251&amp;"!O199"), "")</f>
        <v>40793.685948028564</v>
      </c>
    </row>
    <row r="252" spans="1:15" ht="16.5" customHeight="1">
      <c r="A252" s="153">
        <v>3</v>
      </c>
      <c r="B252" s="153" t="str">
        <f>TEXT(투자전략!$G$1+2, "[$-ko-KR]yyyy.mm.dd")</f>
        <v>2021.08.03</v>
      </c>
      <c r="C252" s="135">
        <f t="shared" ca="1" si="78"/>
        <v>2000000</v>
      </c>
      <c r="D252" s="139">
        <f t="shared" ca="1" si="79"/>
        <v>2049331.3485200405</v>
      </c>
      <c r="E252" s="77">
        <f t="shared" ca="1" si="80"/>
        <v>2.4665674260020164E-2</v>
      </c>
      <c r="F252" s="137">
        <f t="shared" ca="1" si="81"/>
        <v>49331.348520040323</v>
      </c>
      <c r="G252" s="139">
        <f t="shared" ca="1" si="82"/>
        <v>2071292.2065430975</v>
      </c>
      <c r="H252" s="77">
        <f t="shared" ca="1" si="83"/>
        <v>3.5646103271548615E-2</v>
      </c>
      <c r="I252" s="137">
        <f t="shared" ca="1" si="84"/>
        <v>71292.206543097214</v>
      </c>
      <c r="J252" s="139">
        <f t="shared" ca="1" si="85"/>
        <v>2041705.3570665752</v>
      </c>
      <c r="K252" s="77">
        <f t="shared" ca="1" si="86"/>
        <v>2.0852678533287698E-2</v>
      </c>
      <c r="L252" s="137">
        <f t="shared" ca="1" si="87"/>
        <v>41705.357066575394</v>
      </c>
      <c r="M252" s="139">
        <f t="shared" ca="1" si="88"/>
        <v>2057146.0440032689</v>
      </c>
      <c r="N252" s="77">
        <f t="shared" ca="1" si="89"/>
        <v>2.8573022001634363E-2</v>
      </c>
      <c r="O252" s="137">
        <f t="shared" ca="1" si="90"/>
        <v>57146.044003268718</v>
      </c>
    </row>
    <row r="253" spans="1:15" ht="16.5" customHeight="1">
      <c r="A253" s="153">
        <v>4</v>
      </c>
      <c r="B253" s="153" t="str">
        <f>TEXT(투자전략!$G$1+3, "[$-ko-KR]yyyy.mm.dd")</f>
        <v>2021.08.04</v>
      </c>
      <c r="C253" s="135">
        <f t="shared" ca="1" si="78"/>
        <v>2000000</v>
      </c>
      <c r="D253" s="139">
        <f t="shared" ca="1" si="79"/>
        <v>1987277.0146820911</v>
      </c>
      <c r="E253" s="77">
        <f t="shared" ca="1" si="80"/>
        <v>-6.3614926589545141E-3</v>
      </c>
      <c r="F253" s="137">
        <f t="shared" ca="1" si="81"/>
        <v>-12722.98531790903</v>
      </c>
      <c r="G253" s="139">
        <f t="shared" ca="1" si="82"/>
        <v>1962478.1245458839</v>
      </c>
      <c r="H253" s="77">
        <f t="shared" ca="1" si="83"/>
        <v>-1.8760937727058089E-2</v>
      </c>
      <c r="I253" s="137">
        <f t="shared" ca="1" si="84"/>
        <v>-37521.875454116169</v>
      </c>
      <c r="J253" s="139">
        <f t="shared" ca="1" si="85"/>
        <v>1983926.1187519664</v>
      </c>
      <c r="K253" s="77">
        <f t="shared" ca="1" si="86"/>
        <v>-8.0369406240167768E-3</v>
      </c>
      <c r="L253" s="137">
        <f t="shared" ca="1" si="87"/>
        <v>-16073.881248033551</v>
      </c>
      <c r="M253" s="139">
        <f t="shared" ca="1" si="88"/>
        <v>2013117.8448397086</v>
      </c>
      <c r="N253" s="77">
        <f t="shared" ca="1" si="89"/>
        <v>6.5589224198543631E-3</v>
      </c>
      <c r="O253" s="137">
        <f t="shared" ca="1" si="90"/>
        <v>13117.844839708725</v>
      </c>
    </row>
    <row r="254" spans="1:15" ht="16.5" customHeight="1">
      <c r="A254" s="153">
        <v>5</v>
      </c>
      <c r="B254" s="153" t="str">
        <f>TEXT(투자전략!$G$1+4, "[$-ko-KR]yyyy.mm.dd")</f>
        <v>2021.08.05</v>
      </c>
      <c r="C254" s="135">
        <f t="shared" ca="1" si="78"/>
        <v>2000000</v>
      </c>
      <c r="D254" s="139">
        <f t="shared" ca="1" si="79"/>
        <v>2087331.8471356295</v>
      </c>
      <c r="E254" s="77">
        <f t="shared" ca="1" si="80"/>
        <v>4.3665923567814804E-2</v>
      </c>
      <c r="F254" s="137">
        <f t="shared" ca="1" si="81"/>
        <v>87331.847135629621</v>
      </c>
      <c r="G254" s="139">
        <f t="shared" ca="1" si="82"/>
        <v>2078336.6451671638</v>
      </c>
      <c r="H254" s="77">
        <f t="shared" ca="1" si="83"/>
        <v>3.916832258358191E-2</v>
      </c>
      <c r="I254" s="137">
        <f t="shared" ca="1" si="84"/>
        <v>78336.645167163821</v>
      </c>
      <c r="J254" s="139">
        <f t="shared" ca="1" si="85"/>
        <v>2078960.4446962997</v>
      </c>
      <c r="K254" s="77">
        <f t="shared" ca="1" si="86"/>
        <v>3.9480222348149893E-2</v>
      </c>
      <c r="L254" s="137">
        <f t="shared" ca="1" si="87"/>
        <v>78960.444696299775</v>
      </c>
      <c r="M254" s="139">
        <f t="shared" ca="1" si="88"/>
        <v>2111069.7687042798</v>
      </c>
      <c r="N254" s="77">
        <f t="shared" ca="1" si="89"/>
        <v>5.5534884352140025E-2</v>
      </c>
      <c r="O254" s="137">
        <f t="shared" ca="1" si="90"/>
        <v>111069.76870428005</v>
      </c>
    </row>
    <row r="255" spans="1:15" ht="16.5" customHeight="1">
      <c r="A255" s="153">
        <v>6</v>
      </c>
      <c r="B255" s="153" t="str">
        <f>TEXT(투자전략!$G$1+5, "[$-ko-KR]yyyy.mm.dd")</f>
        <v>2021.08.06</v>
      </c>
      <c r="C255" s="135">
        <f t="shared" ca="1" si="78"/>
        <v>2000000</v>
      </c>
      <c r="D255" s="139">
        <f t="shared" ca="1" si="79"/>
        <v>2025772.8697460173</v>
      </c>
      <c r="E255" s="77">
        <f t="shared" ca="1" si="80"/>
        <v>1.2886434873008664E-2</v>
      </c>
      <c r="F255" s="137">
        <f t="shared" ca="1" si="81"/>
        <v>25772.869746017324</v>
      </c>
      <c r="G255" s="139">
        <f t="shared" ca="1" si="82"/>
        <v>2032201.6805281069</v>
      </c>
      <c r="H255" s="77">
        <f t="shared" ca="1" si="83"/>
        <v>1.6100840264053458E-2</v>
      </c>
      <c r="I255" s="137">
        <f t="shared" ca="1" si="84"/>
        <v>32201.680528106914</v>
      </c>
      <c r="J255" s="139">
        <f t="shared" ca="1" si="85"/>
        <v>2040678.548401305</v>
      </c>
      <c r="K255" s="77">
        <f t="shared" ca="1" si="86"/>
        <v>2.033927420065253E-2</v>
      </c>
      <c r="L255" s="137">
        <f t="shared" ca="1" si="87"/>
        <v>40678.548401305059</v>
      </c>
      <c r="M255" s="139">
        <f t="shared" ca="1" si="88"/>
        <v>2069678.0927249922</v>
      </c>
      <c r="N255" s="77">
        <f t="shared" ca="1" si="89"/>
        <v>3.4839046362496115E-2</v>
      </c>
      <c r="O255" s="137">
        <f t="shared" ca="1" si="90"/>
        <v>69678.092724992224</v>
      </c>
    </row>
    <row r="256" spans="1:15" ht="16.5" customHeight="1" thickBot="1">
      <c r="A256" s="155">
        <v>7</v>
      </c>
      <c r="B256" s="155" t="str">
        <f>TEXT(투자전략!$G$1+6, "[$-ko-KR]yyyy.mm.dd")</f>
        <v>2021.08.07</v>
      </c>
      <c r="C256" s="135">
        <f t="shared" ca="1" si="78"/>
        <v>2000000</v>
      </c>
      <c r="D256" s="139">
        <f t="shared" ca="1" si="79"/>
        <v>2042008.8844670334</v>
      </c>
      <c r="E256" s="77">
        <f t="shared" ca="1" si="80"/>
        <v>2.1004442233516628E-2</v>
      </c>
      <c r="F256" s="137">
        <f t="shared" ca="1" si="81"/>
        <v>42008.884467033247</v>
      </c>
      <c r="G256" s="139">
        <f t="shared" ca="1" si="82"/>
        <v>2067030.9094909988</v>
      </c>
      <c r="H256" s="77">
        <f t="shared" ca="1" si="83"/>
        <v>3.3515454745499516E-2</v>
      </c>
      <c r="I256" s="137">
        <f t="shared" ca="1" si="84"/>
        <v>67030.909490999038</v>
      </c>
      <c r="J256" s="139">
        <f t="shared" ca="1" si="85"/>
        <v>2071227.0230670748</v>
      </c>
      <c r="K256" s="77">
        <f t="shared" ca="1" si="86"/>
        <v>3.5613511533537437E-2</v>
      </c>
      <c r="L256" s="137">
        <f t="shared" ca="1" si="87"/>
        <v>71227.023067074842</v>
      </c>
      <c r="M256" s="139">
        <f t="shared" ca="1" si="88"/>
        <v>2045016.9846272215</v>
      </c>
      <c r="N256" s="77">
        <f t="shared" ca="1" si="89"/>
        <v>2.2508492313610635E-2</v>
      </c>
      <c r="O256" s="137">
        <f t="shared" ca="1" si="90"/>
        <v>45016.984627221282</v>
      </c>
    </row>
    <row r="257" spans="1:15" ht="16.5" customHeight="1">
      <c r="A257" s="154">
        <v>8</v>
      </c>
      <c r="B257" s="154" t="str">
        <f>TEXT(투자전략!$G$1+7, "[$-ko-KR]yyyy.mm.dd")</f>
        <v>2021.08.08</v>
      </c>
      <c r="C257" s="134">
        <f t="shared" ca="1" si="78"/>
        <v>2000000</v>
      </c>
      <c r="D257" s="142">
        <f t="shared" ca="1" si="79"/>
        <v>1991765.2482718951</v>
      </c>
      <c r="E257" s="76">
        <f t="shared" ca="1" si="80"/>
        <v>-4.1173758640524862E-3</v>
      </c>
      <c r="F257" s="141">
        <f t="shared" ca="1" si="81"/>
        <v>-8234.7517281049713</v>
      </c>
      <c r="G257" s="142">
        <f t="shared" ca="1" si="82"/>
        <v>1997892.990737776</v>
      </c>
      <c r="H257" s="76">
        <f t="shared" ca="1" si="83"/>
        <v>-1.0535046311119537E-3</v>
      </c>
      <c r="I257" s="141">
        <f t="shared" ca="1" si="84"/>
        <v>-2107.0092622239067</v>
      </c>
      <c r="J257" s="142">
        <f t="shared" ca="1" si="85"/>
        <v>1987389.953114917</v>
      </c>
      <c r="K257" s="76">
        <f t="shared" ca="1" si="86"/>
        <v>-6.3050234425414964E-3</v>
      </c>
      <c r="L257" s="141">
        <f t="shared" ca="1" si="87"/>
        <v>-12610.046885082993</v>
      </c>
      <c r="M257" s="142">
        <f t="shared" ca="1" si="88"/>
        <v>2000000</v>
      </c>
      <c r="N257" s="76">
        <f t="shared" ca="1" si="89"/>
        <v>0</v>
      </c>
      <c r="O257" s="141">
        <f t="shared" ca="1" si="90"/>
        <v>0</v>
      </c>
    </row>
    <row r="258" spans="1:15" ht="16.5" customHeight="1">
      <c r="A258" s="153">
        <v>9</v>
      </c>
      <c r="B258" s="153" t="str">
        <f>TEXT(투자전략!$G$1+8, "[$-ko-KR]yyyy.mm.dd")</f>
        <v>2021.08.09</v>
      </c>
      <c r="C258" s="135">
        <f t="shared" ca="1" si="78"/>
        <v>2000000</v>
      </c>
      <c r="D258" s="139">
        <f t="shared" ca="1" si="79"/>
        <v>2018536.6796209009</v>
      </c>
      <c r="E258" s="77">
        <f t="shared" ca="1" si="80"/>
        <v>9.26833981045053E-3</v>
      </c>
      <c r="F258" s="137">
        <f t="shared" ca="1" si="81"/>
        <v>18536.679620901054</v>
      </c>
      <c r="G258" s="139">
        <f t="shared" ca="1" si="82"/>
        <v>2049464.1651034637</v>
      </c>
      <c r="H258" s="77">
        <f t="shared" ca="1" si="83"/>
        <v>2.4732082551731812E-2</v>
      </c>
      <c r="I258" s="137">
        <f t="shared" ca="1" si="84"/>
        <v>49464.165103463623</v>
      </c>
      <c r="J258" s="139">
        <f t="shared" ca="1" si="85"/>
        <v>2066917.9081728295</v>
      </c>
      <c r="K258" s="77">
        <f t="shared" ca="1" si="86"/>
        <v>3.3458954086414763E-2</v>
      </c>
      <c r="L258" s="137">
        <f t="shared" ca="1" si="87"/>
        <v>66917.908172829513</v>
      </c>
      <c r="M258" s="139">
        <f t="shared" ca="1" si="88"/>
        <v>2058889.3196329763</v>
      </c>
      <c r="N258" s="77">
        <f t="shared" ca="1" si="89"/>
        <v>2.9444659816488174E-2</v>
      </c>
      <c r="O258" s="137">
        <f t="shared" ca="1" si="90"/>
        <v>58889.319632976352</v>
      </c>
    </row>
    <row r="259" spans="1:15" ht="16.5" customHeight="1">
      <c r="A259" s="153">
        <v>10</v>
      </c>
      <c r="B259" s="153" t="str">
        <f>TEXT(투자전략!$G$1+9, "[$-ko-KR]yyyy.mm.dd")</f>
        <v>2021.08.10</v>
      </c>
      <c r="C259" s="135">
        <f t="shared" ca="1" si="78"/>
        <v>2000000</v>
      </c>
      <c r="D259" s="139">
        <f t="shared" ca="1" si="79"/>
        <v>2027146.807508151</v>
      </c>
      <c r="E259" s="77">
        <f t="shared" ca="1" si="80"/>
        <v>1.357340375407565E-2</v>
      </c>
      <c r="F259" s="137">
        <f t="shared" ca="1" si="81"/>
        <v>27146.807508151302</v>
      </c>
      <c r="G259" s="139">
        <f t="shared" ca="1" si="82"/>
        <v>2043573.3678662232</v>
      </c>
      <c r="H259" s="77">
        <f t="shared" ca="1" si="83"/>
        <v>2.1786683933111541E-2</v>
      </c>
      <c r="I259" s="137">
        <f t="shared" ca="1" si="84"/>
        <v>43573.367866223081</v>
      </c>
      <c r="J259" s="139">
        <f t="shared" ca="1" si="85"/>
        <v>2026028.7697680416</v>
      </c>
      <c r="K259" s="77">
        <f t="shared" ca="1" si="86"/>
        <v>1.3014384884020815E-2</v>
      </c>
      <c r="L259" s="137">
        <f t="shared" ca="1" si="87"/>
        <v>26028.769768041635</v>
      </c>
      <c r="M259" s="139">
        <f t="shared" ca="1" si="88"/>
        <v>2021335.7853268259</v>
      </c>
      <c r="N259" s="77">
        <f t="shared" ca="1" si="89"/>
        <v>1.0667892663412989E-2</v>
      </c>
      <c r="O259" s="137">
        <f t="shared" ca="1" si="90"/>
        <v>21335.785326825975</v>
      </c>
    </row>
    <row r="260" spans="1:15" ht="16.5" customHeight="1">
      <c r="A260" s="153">
        <v>11</v>
      </c>
      <c r="B260" s="153" t="str">
        <f>TEXT(투자전략!$G$1+10, "[$-ko-KR]yyyy.mm.dd")</f>
        <v>2021.08.11</v>
      </c>
      <c r="C260" s="135">
        <f t="shared" ca="1" si="78"/>
        <v>2000000</v>
      </c>
      <c r="D260" s="139">
        <f t="shared" ca="1" si="79"/>
        <v>2057577.2572709762</v>
      </c>
      <c r="E260" s="77">
        <f t="shared" ca="1" si="80"/>
        <v>2.878862863548811E-2</v>
      </c>
      <c r="F260" s="137">
        <f t="shared" ca="1" si="81"/>
        <v>57577.257270976224</v>
      </c>
      <c r="G260" s="139">
        <f t="shared" ca="1" si="82"/>
        <v>2077812.1231530507</v>
      </c>
      <c r="H260" s="77">
        <f t="shared" ca="1" si="83"/>
        <v>3.8906061576525222E-2</v>
      </c>
      <c r="I260" s="137">
        <f t="shared" ca="1" si="84"/>
        <v>77812.12315305043</v>
      </c>
      <c r="J260" s="139">
        <f t="shared" ca="1" si="85"/>
        <v>2063133.1149181498</v>
      </c>
      <c r="K260" s="77">
        <f t="shared" ca="1" si="86"/>
        <v>3.1566557459074919E-2</v>
      </c>
      <c r="L260" s="137">
        <f t="shared" ca="1" si="87"/>
        <v>63133.114918149819</v>
      </c>
      <c r="M260" s="139">
        <f t="shared" ca="1" si="88"/>
        <v>2108441.3615545547</v>
      </c>
      <c r="N260" s="77">
        <f t="shared" ca="1" si="89"/>
        <v>5.4220680777277389E-2</v>
      </c>
      <c r="O260" s="137">
        <f t="shared" ca="1" si="90"/>
        <v>108441.36155455472</v>
      </c>
    </row>
    <row r="261" spans="1:15" ht="16.5" customHeight="1">
      <c r="A261" s="153">
        <v>12</v>
      </c>
      <c r="B261" s="153" t="str">
        <f>TEXT(투자전략!$G$1+11, "[$-ko-KR]yyyy.mm.dd")</f>
        <v>2021.08.12</v>
      </c>
      <c r="C261" s="135">
        <f t="shared" ca="1" si="78"/>
        <v>2000000</v>
      </c>
      <c r="D261" s="139">
        <f t="shared" ca="1" si="79"/>
        <v>1997897.5585321204</v>
      </c>
      <c r="E261" s="77">
        <f t="shared" ca="1" si="80"/>
        <v>-1.0512207339397994E-3</v>
      </c>
      <c r="F261" s="137">
        <f t="shared" ca="1" si="81"/>
        <v>-2102.4414678795993</v>
      </c>
      <c r="G261" s="139">
        <f t="shared" ca="1" si="82"/>
        <v>1959493.5365116138</v>
      </c>
      <c r="H261" s="77">
        <f t="shared" ca="1" si="83"/>
        <v>-2.025323174419311E-2</v>
      </c>
      <c r="I261" s="137">
        <f t="shared" ca="1" si="84"/>
        <v>-40506.463488386224</v>
      </c>
      <c r="J261" s="139">
        <f t="shared" ca="1" si="85"/>
        <v>1932829.6044139038</v>
      </c>
      <c r="K261" s="77">
        <f t="shared" ca="1" si="86"/>
        <v>-3.3585197793048159E-2</v>
      </c>
      <c r="L261" s="137">
        <f t="shared" ca="1" si="87"/>
        <v>-67170.395586096347</v>
      </c>
      <c r="M261" s="139">
        <f t="shared" ca="1" si="88"/>
        <v>1913936.4952758008</v>
      </c>
      <c r="N261" s="77">
        <f t="shared" ca="1" si="89"/>
        <v>-4.3031752362099586E-2</v>
      </c>
      <c r="O261" s="137">
        <f t="shared" ca="1" si="90"/>
        <v>-86063.504724199156</v>
      </c>
    </row>
    <row r="262" spans="1:15" ht="16.5" customHeight="1">
      <c r="A262" s="153">
        <v>13</v>
      </c>
      <c r="B262" s="153" t="str">
        <f>TEXT(투자전략!$G$1+12, "[$-ko-KR]yyyy.mm.dd")</f>
        <v>2021.08.13</v>
      </c>
      <c r="C262" s="135">
        <f t="shared" ca="1" si="78"/>
        <v>2000000</v>
      </c>
      <c r="D262" s="139">
        <f t="shared" ca="1" si="79"/>
        <v>2060226.2592336263</v>
      </c>
      <c r="E262" s="77">
        <f t="shared" ca="1" si="80"/>
        <v>3.0113129616813138E-2</v>
      </c>
      <c r="F262" s="137">
        <f t="shared" ca="1" si="81"/>
        <v>60226.259233626275</v>
      </c>
      <c r="G262" s="139">
        <f t="shared" ca="1" si="82"/>
        <v>2106699.6247250084</v>
      </c>
      <c r="H262" s="77">
        <f t="shared" ca="1" si="83"/>
        <v>5.3349812362504231E-2</v>
      </c>
      <c r="I262" s="137">
        <f t="shared" ca="1" si="84"/>
        <v>106699.62472500849</v>
      </c>
      <c r="J262" s="139">
        <f t="shared" ca="1" si="85"/>
        <v>2093518.821180532</v>
      </c>
      <c r="K262" s="77">
        <f t="shared" ca="1" si="86"/>
        <v>4.6759410590265914E-2</v>
      </c>
      <c r="L262" s="137">
        <f t="shared" ca="1" si="87"/>
        <v>93518.821180531828</v>
      </c>
      <c r="M262" s="139">
        <f t="shared" ca="1" si="88"/>
        <v>2076994.03109224</v>
      </c>
      <c r="N262" s="77">
        <f t="shared" ca="1" si="89"/>
        <v>3.8497015546120048E-2</v>
      </c>
      <c r="O262" s="137">
        <f t="shared" ca="1" si="90"/>
        <v>76994.031092240097</v>
      </c>
    </row>
    <row r="263" spans="1:15" ht="16.5" customHeight="1" thickBot="1">
      <c r="A263" s="155">
        <v>14</v>
      </c>
      <c r="B263" s="155" t="str">
        <f>TEXT(투자전략!$G$1+13, "[$-ko-KR]yyyy.mm.dd")</f>
        <v>2021.08.14</v>
      </c>
      <c r="C263" s="136">
        <f t="shared" ca="1" si="78"/>
        <v>2000000</v>
      </c>
      <c r="D263" s="140">
        <f t="shared" ca="1" si="79"/>
        <v>2058575.8071940101</v>
      </c>
      <c r="E263" s="79">
        <f t="shared" ca="1" si="80"/>
        <v>2.9287903597005126E-2</v>
      </c>
      <c r="F263" s="138">
        <f t="shared" ca="1" si="81"/>
        <v>58575.807194010245</v>
      </c>
      <c r="G263" s="140">
        <f t="shared" ca="1" si="82"/>
        <v>2035102.0677131442</v>
      </c>
      <c r="H263" s="79">
        <f t="shared" ca="1" si="83"/>
        <v>1.7551033856572102E-2</v>
      </c>
      <c r="I263" s="138">
        <f t="shared" ca="1" si="84"/>
        <v>35102.067713144199</v>
      </c>
      <c r="J263" s="140">
        <f t="shared" ca="1" si="85"/>
        <v>2018504.314387596</v>
      </c>
      <c r="K263" s="79">
        <f t="shared" ca="1" si="86"/>
        <v>9.2521571937979157E-3</v>
      </c>
      <c r="L263" s="138">
        <f t="shared" ca="1" si="87"/>
        <v>18504.314387595819</v>
      </c>
      <c r="M263" s="140">
        <f t="shared" ca="1" si="88"/>
        <v>2047816.6285888059</v>
      </c>
      <c r="N263" s="79">
        <f t="shared" ca="1" si="89"/>
        <v>2.3908314294402978E-2</v>
      </c>
      <c r="O263" s="138">
        <f t="shared" ca="1" si="90"/>
        <v>47816.628588805957</v>
      </c>
    </row>
    <row r="264" spans="1:15" ht="16.5" customHeight="1">
      <c r="A264" s="154">
        <v>15</v>
      </c>
      <c r="B264" s="154" t="str">
        <f>TEXT(투자전략!$G$1+14, "[$-ko-KR]yyyy.mm.dd")</f>
        <v>2021.08.15</v>
      </c>
      <c r="C264" s="135">
        <f t="shared" ca="1" si="78"/>
        <v>2000000</v>
      </c>
      <c r="D264" s="139">
        <f t="shared" ca="1" si="79"/>
        <v>2005243.3281061021</v>
      </c>
      <c r="E264" s="77">
        <f t="shared" ca="1" si="80"/>
        <v>2.6216640530508694E-3</v>
      </c>
      <c r="F264" s="137">
        <f t="shared" ca="1" si="81"/>
        <v>5243.3281061017369</v>
      </c>
      <c r="G264" s="139">
        <f t="shared" ca="1" si="82"/>
        <v>1990180.8709173577</v>
      </c>
      <c r="H264" s="77">
        <f t="shared" ca="1" si="83"/>
        <v>-4.9095645413211519E-3</v>
      </c>
      <c r="I264" s="137">
        <f t="shared" ca="1" si="84"/>
        <v>-9819.1290826423028</v>
      </c>
      <c r="J264" s="139">
        <f t="shared" ca="1" si="85"/>
        <v>1997933.6674621834</v>
      </c>
      <c r="K264" s="77">
        <f t="shared" ca="1" si="86"/>
        <v>-1.0331662689082818E-3</v>
      </c>
      <c r="L264" s="137">
        <f t="shared" ca="1" si="87"/>
        <v>-2066.3325378165632</v>
      </c>
      <c r="M264" s="139">
        <f t="shared" ca="1" si="88"/>
        <v>1999167.3756901333</v>
      </c>
      <c r="N264" s="77">
        <f t="shared" ca="1" si="89"/>
        <v>-4.1631215493328837E-4</v>
      </c>
      <c r="O264" s="137">
        <f t="shared" ca="1" si="90"/>
        <v>-832.62430986657455</v>
      </c>
    </row>
    <row r="265" spans="1:15" ht="16.5" customHeight="1">
      <c r="A265" s="153">
        <v>16</v>
      </c>
      <c r="B265" s="153" t="str">
        <f>TEXT(투자전략!$G$1+15, "[$-ko-KR]yyyy.mm.dd")</f>
        <v>2021.08.16</v>
      </c>
      <c r="C265" s="135">
        <f t="shared" ca="1" si="78"/>
        <v>2000000</v>
      </c>
      <c r="D265" s="139">
        <f t="shared" ca="1" si="79"/>
        <v>2085777.1509626098</v>
      </c>
      <c r="E265" s="77">
        <f t="shared" ca="1" si="80"/>
        <v>4.2888575481304946E-2</v>
      </c>
      <c r="F265" s="137">
        <f t="shared" ca="1" si="81"/>
        <v>85777.150962609914</v>
      </c>
      <c r="G265" s="139">
        <f t="shared" ca="1" si="82"/>
        <v>2091680.5581667551</v>
      </c>
      <c r="H265" s="77">
        <f t="shared" ca="1" si="83"/>
        <v>4.5840279083377698E-2</v>
      </c>
      <c r="I265" s="137">
        <f t="shared" ca="1" si="84"/>
        <v>91680.558166755378</v>
      </c>
      <c r="J265" s="139">
        <f t="shared" ca="1" si="85"/>
        <v>2105614.9434745898</v>
      </c>
      <c r="K265" s="77">
        <f t="shared" ca="1" si="86"/>
        <v>5.2807471737294887E-2</v>
      </c>
      <c r="L265" s="137">
        <f t="shared" ca="1" si="87"/>
        <v>105614.9434745898</v>
      </c>
      <c r="M265" s="139">
        <f t="shared" ca="1" si="88"/>
        <v>2048839.7405210454</v>
      </c>
      <c r="N265" s="77">
        <f t="shared" ca="1" si="89"/>
        <v>2.4419870260522777E-2</v>
      </c>
      <c r="O265" s="137">
        <f t="shared" ca="1" si="90"/>
        <v>48839.74052104554</v>
      </c>
    </row>
    <row r="266" spans="1:15" ht="16.5" customHeight="1">
      <c r="A266" s="153">
        <v>17</v>
      </c>
      <c r="B266" s="153" t="str">
        <f>TEXT(투자전략!$G$1+16, "[$-ko-KR]yyyy.mm.dd")</f>
        <v>2021.08.17</v>
      </c>
      <c r="C266" s="135">
        <f t="shared" ca="1" si="78"/>
        <v>2000000</v>
      </c>
      <c r="D266" s="139">
        <f t="shared" ca="1" si="79"/>
        <v>1972668.9077917761</v>
      </c>
      <c r="E266" s="77">
        <f t="shared" ca="1" si="80"/>
        <v>-1.3665546104111987E-2</v>
      </c>
      <c r="F266" s="137">
        <f t="shared" ca="1" si="81"/>
        <v>-27331.092208223967</v>
      </c>
      <c r="G266" s="139">
        <f t="shared" ca="1" si="82"/>
        <v>1989042.2993244263</v>
      </c>
      <c r="H266" s="77">
        <f t="shared" ca="1" si="83"/>
        <v>-5.4788503377868145E-3</v>
      </c>
      <c r="I266" s="137">
        <f t="shared" ca="1" si="84"/>
        <v>-10957.700675573631</v>
      </c>
      <c r="J266" s="139">
        <f t="shared" ca="1" si="85"/>
        <v>1986775.0860691101</v>
      </c>
      <c r="K266" s="77">
        <f t="shared" ca="1" si="86"/>
        <v>-6.612456965445007E-3</v>
      </c>
      <c r="L266" s="137">
        <f t="shared" ca="1" si="87"/>
        <v>-13224.913930890016</v>
      </c>
      <c r="M266" s="139">
        <f t="shared" ca="1" si="88"/>
        <v>2000000</v>
      </c>
      <c r="N266" s="77">
        <f t="shared" ca="1" si="89"/>
        <v>0</v>
      </c>
      <c r="O266" s="137">
        <f t="shared" ca="1" si="90"/>
        <v>0</v>
      </c>
    </row>
    <row r="267" spans="1:15" ht="16.5" customHeight="1">
      <c r="A267" s="153">
        <v>18</v>
      </c>
      <c r="B267" s="153" t="str">
        <f>TEXT(투자전략!$G$1+17, "[$-ko-KR]yyyy.mm.dd")</f>
        <v>2021.08.18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2021.08.19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2021.08.20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2021.08.21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2021.08.22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2021.08.23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2021.08.24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2021.08.25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2021.08.26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2021.08.27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2021.08.28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2021.08.29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2021.08.30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2021.08.31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77" t="s">
        <v>283</v>
      </c>
      <c r="B281" s="279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70"/>
      <c r="B282" s="272"/>
      <c r="C282" s="136">
        <f ca="1">SUM(C250:C280)</f>
        <v>34000000</v>
      </c>
      <c r="D282" s="140">
        <f ca="1">SUM(D250:D280)</f>
        <v>34504744.865475938</v>
      </c>
      <c r="E282" s="79">
        <f ca="1">IFERROR(F282 / (SUM($C250:$C280) / COUNT($C250:$C280)), 0)</f>
        <v>0.25237243273796883</v>
      </c>
      <c r="F282" s="138">
        <f ca="1">SUM(F250:F280)</f>
        <v>504744.86547593767</v>
      </c>
      <c r="G282" s="140">
        <f ca="1">SUM(G250:G280)</f>
        <v>34626547.064954564</v>
      </c>
      <c r="H282" s="79">
        <f ca="1">IFERROR(I282 / (SUM($C250:$C280) / COUNT($C250:$C280)), 0)</f>
        <v>0.31327353247728379</v>
      </c>
      <c r="I282" s="138">
        <f ca="1">SUM(I250:I280)</f>
        <v>626547.06495456758</v>
      </c>
      <c r="J282" s="140">
        <f ca="1">SUM(J250:J280)</f>
        <v>34520561.765344061</v>
      </c>
      <c r="K282" s="79">
        <f ca="1">IFERROR(L282 / (SUM($C250:$C280) / COUNT($C250:$C280)), 0)</f>
        <v>0.26028088267202698</v>
      </c>
      <c r="L282" s="138">
        <f ca="1">SUM(L250:L280)</f>
        <v>520561.76534405397</v>
      </c>
      <c r="M282" s="140">
        <f ca="1">SUM(M250:M280)</f>
        <v>34619594.50454171</v>
      </c>
      <c r="N282" s="79">
        <f ca="1">IFERROR(O282 / (SUM($C250:$C280) / COUNT($C250:$C280)), 0)</f>
        <v>0.30979725227085636</v>
      </c>
      <c r="O282" s="138">
        <f ca="1">SUM(O250:O280)</f>
        <v>619594.5045417127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3316" priority="323">
      <formula>$E$54 &gt; 0</formula>
    </cfRule>
    <cfRule type="expression" dxfId="3315" priority="324">
      <formula>$E$54 = 0</formula>
    </cfRule>
    <cfRule type="expression" dxfId="3314" priority="325">
      <formula>$E$54 &lt; 0</formula>
    </cfRule>
  </conditionalFormatting>
  <conditionalFormatting sqref="G20:I21 H54:I54">
    <cfRule type="expression" dxfId="3313" priority="320">
      <formula>$H$54 &gt; 0</formula>
    </cfRule>
    <cfRule type="expression" dxfId="3312" priority="321">
      <formula>$H$54 = 0</formula>
    </cfRule>
    <cfRule type="expression" dxfId="3311" priority="322">
      <formula>$H$54 &lt; 0</formula>
    </cfRule>
  </conditionalFormatting>
  <conditionalFormatting sqref="J20:L21 K54:L54">
    <cfRule type="expression" dxfId="3310" priority="317">
      <formula>$K$54 &gt; 0</formula>
    </cfRule>
    <cfRule type="expression" dxfId="3309" priority="318">
      <formula>$K$54 = 0</formula>
    </cfRule>
    <cfRule type="expression" dxfId="3308" priority="319">
      <formula>$K$54 &lt; 0</formula>
    </cfRule>
  </conditionalFormatting>
  <conditionalFormatting sqref="M20:O21 N54:O54">
    <cfRule type="expression" dxfId="3307" priority="314">
      <formula>$N$54 &gt; 0</formula>
    </cfRule>
    <cfRule type="expression" dxfId="3306" priority="315">
      <formula>$N$54 = 0</formula>
    </cfRule>
    <cfRule type="expression" dxfId="3305" priority="316">
      <formula>$N$54 &lt; 0</formula>
    </cfRule>
  </conditionalFormatting>
  <conditionalFormatting sqref="D22:F52">
    <cfRule type="expression" dxfId="3304" priority="299">
      <formula>AND($E22 &gt; 0, ISNUMBER($E22))</formula>
    </cfRule>
    <cfRule type="expression" dxfId="3303" priority="300">
      <formula>AND($E22 = 0, ISNUMBER($E22))</formula>
    </cfRule>
    <cfRule type="expression" dxfId="3302" priority="301">
      <formula>AND($E22 &lt; 0, ISNUMBER($E22))</formula>
    </cfRule>
  </conditionalFormatting>
  <conditionalFormatting sqref="G22:I52">
    <cfRule type="expression" dxfId="3301" priority="296">
      <formula>AND($H22 &gt; 0, ISNUMBER($H22))</formula>
    </cfRule>
    <cfRule type="expression" dxfId="3300" priority="297">
      <formula>AND($H22 = 0, ISNUMBER($H22))</formula>
    </cfRule>
    <cfRule type="expression" dxfId="3299" priority="298">
      <formula>AND($H22 &lt; 0, ISNUMBER($H22))</formula>
    </cfRule>
  </conditionalFormatting>
  <conditionalFormatting sqref="J22:L52">
    <cfRule type="expression" dxfId="3298" priority="293">
      <formula>AND($K22 &gt; 0, ISNUMBER($K22))</formula>
    </cfRule>
    <cfRule type="expression" dxfId="3297" priority="294">
      <formula>AND($K22 = 0, ISNUMBER($K22))</formula>
    </cfRule>
    <cfRule type="expression" dxfId="3296" priority="295">
      <formula>AND($K22 &lt; 0, ISNUMBER($K22))</formula>
    </cfRule>
  </conditionalFormatting>
  <conditionalFormatting sqref="M22:O52">
    <cfRule type="expression" dxfId="3295" priority="290">
      <formula>AND($N22 &gt; 0, ISNUMBER($N22))</formula>
    </cfRule>
    <cfRule type="expression" dxfId="3294" priority="291">
      <formula>AND($N22 = 0, ISNUMBER($N22))</formula>
    </cfRule>
    <cfRule type="expression" dxfId="3293" priority="292">
      <formula>AND($N22 &lt; 0, ISNUMBER($N22))</formula>
    </cfRule>
  </conditionalFormatting>
  <conditionalFormatting sqref="D58:F59 E92:F92">
    <cfRule type="expression" dxfId="3292" priority="287">
      <formula>$E$92 &gt; 0</formula>
    </cfRule>
    <cfRule type="expression" dxfId="3291" priority="288">
      <formula>$E$92 = 0</formula>
    </cfRule>
    <cfRule type="expression" dxfId="3290" priority="289">
      <formula>$E$92 &lt; 0</formula>
    </cfRule>
  </conditionalFormatting>
  <conditionalFormatting sqref="G58:I59 H92:I92">
    <cfRule type="expression" dxfId="3289" priority="284">
      <formula>$H$92 &gt; 0</formula>
    </cfRule>
    <cfRule type="expression" dxfId="3288" priority="285">
      <formula>$H$92 = 0</formula>
    </cfRule>
    <cfRule type="expression" dxfId="3287" priority="286">
      <formula>$H$92 &lt; 0</formula>
    </cfRule>
  </conditionalFormatting>
  <conditionalFormatting sqref="J58:L59 K92:L92">
    <cfRule type="expression" dxfId="3286" priority="281">
      <formula>$K$92 &gt; 0</formula>
    </cfRule>
    <cfRule type="expression" dxfId="3285" priority="282">
      <formula>$K$92 = 0</formula>
    </cfRule>
    <cfRule type="expression" dxfId="3284" priority="283">
      <formula>$K$92 &lt; 0</formula>
    </cfRule>
  </conditionalFormatting>
  <conditionalFormatting sqref="M58:O59 N92:O92">
    <cfRule type="expression" dxfId="3283" priority="278">
      <formula>$N$92 &gt; 0</formula>
    </cfRule>
    <cfRule type="expression" dxfId="3282" priority="279">
      <formula>$N$92 = 0</formula>
    </cfRule>
    <cfRule type="expression" dxfId="3281" priority="280">
      <formula>$N$92 &lt; 0</formula>
    </cfRule>
  </conditionalFormatting>
  <conditionalFormatting sqref="D60:F90">
    <cfRule type="expression" dxfId="3280" priority="275">
      <formula>AND($E60 &gt; 0, ISNUMBER($E60))</formula>
    </cfRule>
    <cfRule type="expression" dxfId="3279" priority="276">
      <formula>AND($E60 = 0, ISNUMBER($E60))</formula>
    </cfRule>
    <cfRule type="expression" dxfId="3278" priority="277">
      <formula>AND($E60 &lt; 0, ISNUMBER($E60))</formula>
    </cfRule>
  </conditionalFormatting>
  <conditionalFormatting sqref="G60:I90">
    <cfRule type="expression" dxfId="3277" priority="272">
      <formula>AND($H60 &gt; 0, ISNUMBER($H60))</formula>
    </cfRule>
    <cfRule type="expression" dxfId="3276" priority="273">
      <formula>AND($H60 = 0, ISNUMBER($H60))</formula>
    </cfRule>
    <cfRule type="expression" dxfId="3275" priority="274">
      <formula>AND($H60 &lt; 0, ISNUMBER($H60))</formula>
    </cfRule>
  </conditionalFormatting>
  <conditionalFormatting sqref="J60:L90">
    <cfRule type="expression" dxfId="3274" priority="269">
      <formula>AND($K60 &gt; 0, ISNUMBER($K60))</formula>
    </cfRule>
    <cfRule type="expression" dxfId="3273" priority="270">
      <formula>AND($K60 = 0, ISNUMBER($K60))</formula>
    </cfRule>
    <cfRule type="expression" dxfId="3272" priority="271">
      <formula>AND($K60 &lt; 0, ISNUMBER($K60))</formula>
    </cfRule>
  </conditionalFormatting>
  <conditionalFormatting sqref="M60:O90">
    <cfRule type="expression" dxfId="3271" priority="266">
      <formula>AND($N60 &gt; 0, ISNUMBER($N60))</formula>
    </cfRule>
    <cfRule type="expression" dxfId="3270" priority="267">
      <formula>AND($N60 = 0, ISNUMBER($N60))</formula>
    </cfRule>
    <cfRule type="expression" dxfId="3269" priority="268">
      <formula>AND($N60 &lt; 0, ISNUMBER($N60))</formula>
    </cfRule>
  </conditionalFormatting>
  <conditionalFormatting sqref="D96:F97 E130:F130">
    <cfRule type="expression" dxfId="3268" priority="263">
      <formula>$E$130 &gt; 0</formula>
    </cfRule>
    <cfRule type="expression" dxfId="3267" priority="264">
      <formula>$E$130 = 0</formula>
    </cfRule>
    <cfRule type="expression" dxfId="3266" priority="265">
      <formula>$E$130 &lt; 0</formula>
    </cfRule>
  </conditionalFormatting>
  <conditionalFormatting sqref="G96:I97 H130:I130">
    <cfRule type="expression" dxfId="3265" priority="260">
      <formula>$H$130 &gt; 0</formula>
    </cfRule>
    <cfRule type="expression" dxfId="3264" priority="261">
      <formula>$H$130 = 0</formula>
    </cfRule>
    <cfRule type="expression" dxfId="3263" priority="262">
      <formula>$H$130 &lt; 0</formula>
    </cfRule>
  </conditionalFormatting>
  <conditionalFormatting sqref="J96:L97 K130:L130">
    <cfRule type="expression" dxfId="3262" priority="257">
      <formula>$K$130 &gt; 0</formula>
    </cfRule>
    <cfRule type="expression" dxfId="3261" priority="258">
      <formula>$K$130 = 0</formula>
    </cfRule>
    <cfRule type="expression" dxfId="3260" priority="259">
      <formula>$K$130 &lt; 0</formula>
    </cfRule>
  </conditionalFormatting>
  <conditionalFormatting sqref="M96:O97 N130:O130">
    <cfRule type="expression" dxfId="3259" priority="254">
      <formula>$N$130 &gt; 0</formula>
    </cfRule>
    <cfRule type="expression" dxfId="3258" priority="255">
      <formula>$N$130 = 0</formula>
    </cfRule>
    <cfRule type="expression" dxfId="3257" priority="256">
      <formula>$N$130 &lt; 0</formula>
    </cfRule>
  </conditionalFormatting>
  <conditionalFormatting sqref="D98:F128">
    <cfRule type="expression" dxfId="3256" priority="251">
      <formula>AND($E98 &gt; 0, ISNUMBER($E98))</formula>
    </cfRule>
    <cfRule type="expression" dxfId="3255" priority="252">
      <formula>AND($E98 = 0, ISNUMBER($E98))</formula>
    </cfRule>
    <cfRule type="expression" dxfId="3254" priority="253">
      <formula>AND($E98 &lt; 0, ISNUMBER($E98))</formula>
    </cfRule>
  </conditionalFormatting>
  <conditionalFormatting sqref="G98:I128">
    <cfRule type="expression" dxfId="3253" priority="248">
      <formula>AND($H98 &gt; 0, ISNUMBER($H98))</formula>
    </cfRule>
    <cfRule type="expression" dxfId="3252" priority="249">
      <formula>AND($H98 = 0, ISNUMBER($H98))</formula>
    </cfRule>
    <cfRule type="expression" dxfId="3251" priority="250">
      <formula>AND($H98 &lt; 0, ISNUMBER($H98))</formula>
    </cfRule>
  </conditionalFormatting>
  <conditionalFormatting sqref="J98:L128">
    <cfRule type="expression" dxfId="3250" priority="245">
      <formula>AND($K98 &gt; 0, ISNUMBER($K98))</formula>
    </cfRule>
    <cfRule type="expression" dxfId="3249" priority="246">
      <formula>AND($K98 = 0, ISNUMBER($K98))</formula>
    </cfRule>
    <cfRule type="expression" dxfId="3248" priority="247">
      <formula>AND($K98 &lt; 0, ISNUMBER($K98))</formula>
    </cfRule>
  </conditionalFormatting>
  <conditionalFormatting sqref="M98:O128">
    <cfRule type="expression" dxfId="3247" priority="242">
      <formula>AND($N98 &gt; 0, ISNUMBER($N98))</formula>
    </cfRule>
    <cfRule type="expression" dxfId="3246" priority="243">
      <formula>AND($N98 = 0, ISNUMBER($N98))</formula>
    </cfRule>
    <cfRule type="expression" dxfId="3245" priority="244">
      <formula>AND($N98 &lt; 0, ISNUMBER($N98))</formula>
    </cfRule>
  </conditionalFormatting>
  <conditionalFormatting sqref="D134:F135 E168:F168">
    <cfRule type="expression" dxfId="3244" priority="239">
      <formula>$E$168 &gt; 0</formula>
    </cfRule>
    <cfRule type="expression" dxfId="3243" priority="240">
      <formula>$E$168 = 0</formula>
    </cfRule>
    <cfRule type="expression" dxfId="3242" priority="241">
      <formula>$E$168 &lt; 0</formula>
    </cfRule>
  </conditionalFormatting>
  <conditionalFormatting sqref="G134:I135 H168:I168">
    <cfRule type="expression" dxfId="3241" priority="236">
      <formula>$H$168 &gt; 0</formula>
    </cfRule>
    <cfRule type="expression" dxfId="3240" priority="237">
      <formula>$H$168 = 0</formula>
    </cfRule>
    <cfRule type="expression" dxfId="3239" priority="238">
      <formula>$H$168 &lt; 0</formula>
    </cfRule>
  </conditionalFormatting>
  <conditionalFormatting sqref="J134:L135 K168:L168">
    <cfRule type="expression" dxfId="3238" priority="233">
      <formula>$K$168 &gt; 0</formula>
    </cfRule>
    <cfRule type="expression" dxfId="3237" priority="234">
      <formula>$K$168 = 0</formula>
    </cfRule>
    <cfRule type="expression" dxfId="3236" priority="235">
      <formula>$K$168 &lt; 0</formula>
    </cfRule>
  </conditionalFormatting>
  <conditionalFormatting sqref="M134:O135 N168:O168">
    <cfRule type="expression" dxfId="3235" priority="230">
      <formula>$N$168 &gt; 0</formula>
    </cfRule>
    <cfRule type="expression" dxfId="3234" priority="231">
      <formula>$N$168 = 0</formula>
    </cfRule>
    <cfRule type="expression" dxfId="3233" priority="232">
      <formula>$N$168 &lt; 0</formula>
    </cfRule>
  </conditionalFormatting>
  <conditionalFormatting sqref="D136:F166">
    <cfRule type="expression" dxfId="3232" priority="227">
      <formula>AND($E136 &gt; 0, ISNUMBER($E136))</formula>
    </cfRule>
    <cfRule type="expression" dxfId="3231" priority="228">
      <formula>AND($E136 = 0, ISNUMBER($E136))</formula>
    </cfRule>
    <cfRule type="expression" dxfId="3230" priority="229">
      <formula>AND($E136 &lt; 0, ISNUMBER($E136))</formula>
    </cfRule>
  </conditionalFormatting>
  <conditionalFormatting sqref="G136:I166">
    <cfRule type="expression" dxfId="3229" priority="224">
      <formula>AND($H136 &gt; 0, ISNUMBER($H136))</formula>
    </cfRule>
    <cfRule type="expression" dxfId="3228" priority="225">
      <formula>AND($H136 = 0, ISNUMBER($H136))</formula>
    </cfRule>
    <cfRule type="expression" dxfId="3227" priority="226">
      <formula>AND($H136 &lt; 0, ISNUMBER($H136))</formula>
    </cfRule>
  </conditionalFormatting>
  <conditionalFormatting sqref="J136:L166">
    <cfRule type="expression" dxfId="3226" priority="221">
      <formula>AND($K136 &gt; 0, ISNUMBER($K136))</formula>
    </cfRule>
    <cfRule type="expression" dxfId="3225" priority="222">
      <formula>AND($K136 = 0, ISNUMBER($K136))</formula>
    </cfRule>
    <cfRule type="expression" dxfId="3224" priority="223">
      <formula>AND($K136 &lt; 0, ISNUMBER($K136))</formula>
    </cfRule>
  </conditionalFormatting>
  <conditionalFormatting sqref="M136:O166">
    <cfRule type="expression" dxfId="3223" priority="218">
      <formula>AND($N136 &gt; 0, ISNUMBER($N136))</formula>
    </cfRule>
    <cfRule type="expression" dxfId="3222" priority="219">
      <formula>AND($N136 = 0, ISNUMBER($N136))</formula>
    </cfRule>
    <cfRule type="expression" dxfId="3221" priority="220">
      <formula>AND($N136 &lt; 0, ISNUMBER($N136))</formula>
    </cfRule>
  </conditionalFormatting>
  <conditionalFormatting sqref="D172:F173 E206:F206">
    <cfRule type="expression" dxfId="3220" priority="215">
      <formula>$E$206 &gt; 0</formula>
    </cfRule>
    <cfRule type="expression" dxfId="3219" priority="216">
      <formula>$E$206 = 0</formula>
    </cfRule>
    <cfRule type="expression" dxfId="3218" priority="217">
      <formula>$E$206 &lt; 0</formula>
    </cfRule>
  </conditionalFormatting>
  <conditionalFormatting sqref="G172:I173 H206:I206">
    <cfRule type="expression" dxfId="3217" priority="212">
      <formula>$H$206 &gt; 0</formula>
    </cfRule>
    <cfRule type="expression" dxfId="3216" priority="213">
      <formula>$H$206 = 0</formula>
    </cfRule>
    <cfRule type="expression" dxfId="3215" priority="214">
      <formula>$H$206 &lt; 0</formula>
    </cfRule>
  </conditionalFormatting>
  <conditionalFormatting sqref="J172:L173 K206:L206">
    <cfRule type="expression" dxfId="3214" priority="209">
      <formula>$K$206 &gt; 0</formula>
    </cfRule>
    <cfRule type="expression" dxfId="3213" priority="210">
      <formula>$K$206 = 0</formula>
    </cfRule>
    <cfRule type="expression" dxfId="3212" priority="211">
      <formula>$K$206 &lt; 0</formula>
    </cfRule>
  </conditionalFormatting>
  <conditionalFormatting sqref="M172:O173 N206:O206">
    <cfRule type="expression" dxfId="3211" priority="206">
      <formula>$N$206 &gt; 0</formula>
    </cfRule>
    <cfRule type="expression" dxfId="3210" priority="207">
      <formula>$N$206 = 0</formula>
    </cfRule>
    <cfRule type="expression" dxfId="3209" priority="208">
      <formula>$N$206 &lt; 0</formula>
    </cfRule>
  </conditionalFormatting>
  <conditionalFormatting sqref="D174:F204">
    <cfRule type="expression" dxfId="3208" priority="203">
      <formula>AND($E174 &gt; 0, ISNUMBER($E174))</formula>
    </cfRule>
    <cfRule type="expression" dxfId="3207" priority="204">
      <formula>AND($E174 = 0, ISNUMBER($E174))</formula>
    </cfRule>
    <cfRule type="expression" dxfId="3206" priority="205">
      <formula>AND($E174 &lt; 0, ISNUMBER($E174))</formula>
    </cfRule>
  </conditionalFormatting>
  <conditionalFormatting sqref="G174:I204">
    <cfRule type="expression" dxfId="3205" priority="200">
      <formula>AND($H174 &gt; 0, ISNUMBER($H174))</formula>
    </cfRule>
    <cfRule type="expression" dxfId="3204" priority="201">
      <formula>AND($H174 = 0, ISNUMBER($H174))</formula>
    </cfRule>
    <cfRule type="expression" dxfId="3203" priority="202">
      <formula>AND($H174 &lt; 0, ISNUMBER($H174))</formula>
    </cfRule>
  </conditionalFormatting>
  <conditionalFormatting sqref="J174:L204">
    <cfRule type="expression" dxfId="3202" priority="197">
      <formula>AND($K174 &gt; 0, ISNUMBER($K174))</formula>
    </cfRule>
    <cfRule type="expression" dxfId="3201" priority="198">
      <formula>AND($K174 = 0, ISNUMBER($K174))</formula>
    </cfRule>
    <cfRule type="expression" dxfId="3200" priority="199">
      <formula>AND($K174 &lt; 0, ISNUMBER($K174))</formula>
    </cfRule>
  </conditionalFormatting>
  <conditionalFormatting sqref="M174:O204">
    <cfRule type="expression" dxfId="3199" priority="194">
      <formula>AND($N174 &gt; 0, ISNUMBER($N174))</formula>
    </cfRule>
    <cfRule type="expression" dxfId="3198" priority="195">
      <formula>AND($N174 = 0, ISNUMBER($N174))</formula>
    </cfRule>
    <cfRule type="expression" dxfId="3197" priority="196">
      <formula>AND($N174 &lt; 0, ISNUMBER($N174))</formula>
    </cfRule>
  </conditionalFormatting>
  <conditionalFormatting sqref="D210:F211 E244:F244">
    <cfRule type="expression" dxfId="3196" priority="191">
      <formula>$E$244 &gt; 0</formula>
    </cfRule>
    <cfRule type="expression" dxfId="3195" priority="192">
      <formula>$E$244 = 0</formula>
    </cfRule>
    <cfRule type="expression" dxfId="3194" priority="193">
      <formula>$E$244 &lt; 0</formula>
    </cfRule>
  </conditionalFormatting>
  <conditionalFormatting sqref="G210:I211 H244:I244">
    <cfRule type="expression" dxfId="3193" priority="188">
      <formula>$H$244 &gt; 0</formula>
    </cfRule>
    <cfRule type="expression" dxfId="3192" priority="189">
      <formula>$H$244 = 0</formula>
    </cfRule>
    <cfRule type="expression" dxfId="3191" priority="190">
      <formula>$H$244 &lt; 0</formula>
    </cfRule>
  </conditionalFormatting>
  <conditionalFormatting sqref="J210:L211 K244:L244">
    <cfRule type="expression" dxfId="3190" priority="185">
      <formula>$K$244 &gt; 0</formula>
    </cfRule>
    <cfRule type="expression" dxfId="3189" priority="186">
      <formula>$K$244 = 0</formula>
    </cfRule>
    <cfRule type="expression" dxfId="3188" priority="187">
      <formula>$K$244 &lt; 0</formula>
    </cfRule>
  </conditionalFormatting>
  <conditionalFormatting sqref="M210:O211 N244:O244">
    <cfRule type="expression" dxfId="3187" priority="182">
      <formula>$N$244 &gt; 0</formula>
    </cfRule>
    <cfRule type="expression" dxfId="3186" priority="183">
      <formula>$N$244 = 0</formula>
    </cfRule>
    <cfRule type="expression" dxfId="3185" priority="184">
      <formula>$N$244 &lt; 0</formula>
    </cfRule>
  </conditionalFormatting>
  <conditionalFormatting sqref="D212:F242">
    <cfRule type="expression" dxfId="3184" priority="179">
      <formula>AND($E212 &gt; 0, ISNUMBER($E212))</formula>
    </cfRule>
    <cfRule type="expression" dxfId="3183" priority="180">
      <formula>AND($E212 = 0, ISNUMBER($E212))</formula>
    </cfRule>
    <cfRule type="expression" dxfId="3182" priority="181">
      <formula>AND($E212 &lt; 0, ISNUMBER($E212))</formula>
    </cfRule>
  </conditionalFormatting>
  <conditionalFormatting sqref="G212:I242">
    <cfRule type="expression" dxfId="3181" priority="176">
      <formula>AND($H212 &gt; 0, ISNUMBER($H212))</formula>
    </cfRule>
    <cfRule type="expression" dxfId="3180" priority="177">
      <formula>AND($H212 = 0, ISNUMBER($H212))</formula>
    </cfRule>
    <cfRule type="expression" dxfId="3179" priority="178">
      <formula>AND($H212 &lt; 0, ISNUMBER($H212))</formula>
    </cfRule>
  </conditionalFormatting>
  <conditionalFormatting sqref="J212:L242">
    <cfRule type="expression" dxfId="3178" priority="173">
      <formula>AND($K212 &gt; 0, ISNUMBER($K212))</formula>
    </cfRule>
    <cfRule type="expression" dxfId="3177" priority="174">
      <formula>AND($K212 = 0, ISNUMBER($K212))</formula>
    </cfRule>
    <cfRule type="expression" dxfId="3176" priority="175">
      <formula>AND($K212 &lt; 0, ISNUMBER($K212))</formula>
    </cfRule>
  </conditionalFormatting>
  <conditionalFormatting sqref="M212:O242">
    <cfRule type="expression" dxfId="3175" priority="170">
      <formula>AND($N212 &gt; 0, ISNUMBER($N212))</formula>
    </cfRule>
    <cfRule type="expression" dxfId="3174" priority="171">
      <formula>AND($N212 = 0, ISNUMBER($N212))</formula>
    </cfRule>
    <cfRule type="expression" dxfId="3173" priority="172">
      <formula>AND($N212 &lt; 0, ISNUMBER($N212))</formula>
    </cfRule>
  </conditionalFormatting>
  <conditionalFormatting sqref="D248:F249 E282:F282">
    <cfRule type="expression" dxfId="3172" priority="167">
      <formula>$E$282 &gt; 0</formula>
    </cfRule>
    <cfRule type="expression" dxfId="3171" priority="168">
      <formula>$E$282 = 0</formula>
    </cfRule>
    <cfRule type="expression" dxfId="3170" priority="169">
      <formula>$E$282 &lt; 0</formula>
    </cfRule>
  </conditionalFormatting>
  <conditionalFormatting sqref="G248:I249 H282:I282">
    <cfRule type="expression" dxfId="3169" priority="164">
      <formula>$H$282 &gt; 0</formula>
    </cfRule>
    <cfRule type="expression" dxfId="3168" priority="165">
      <formula>$H$282 = 0</formula>
    </cfRule>
    <cfRule type="expression" dxfId="3167" priority="166">
      <formula>$H$282 &lt; 0</formula>
    </cfRule>
  </conditionalFormatting>
  <conditionalFormatting sqref="J248:L249 K282:L282">
    <cfRule type="expression" dxfId="3166" priority="161">
      <formula>$K$282 &gt; 0</formula>
    </cfRule>
    <cfRule type="expression" dxfId="3165" priority="162">
      <formula>$K$282 = 0</formula>
    </cfRule>
    <cfRule type="expression" dxfId="3164" priority="163">
      <formula>$K$282 &lt; 0</formula>
    </cfRule>
  </conditionalFormatting>
  <conditionalFormatting sqref="M248:O249 N282:O282">
    <cfRule type="expression" dxfId="3163" priority="158">
      <formula>$N$282 &gt; 0</formula>
    </cfRule>
    <cfRule type="expression" dxfId="3162" priority="159">
      <formula>$N$282 = 0</formula>
    </cfRule>
    <cfRule type="expression" dxfId="3161" priority="160">
      <formula>$N$282 &lt; 0</formula>
    </cfRule>
  </conditionalFormatting>
  <conditionalFormatting sqref="D250:F280">
    <cfRule type="expression" dxfId="3160" priority="155">
      <formula>AND($E250 &gt; 0, ISNUMBER($E250))</formula>
    </cfRule>
    <cfRule type="expression" dxfId="3159" priority="156">
      <formula>AND($E250 = 0, ISNUMBER($E250))</formula>
    </cfRule>
    <cfRule type="expression" dxfId="3158" priority="157">
      <formula>AND($E250 &lt; 0, ISNUMBER($E250))</formula>
    </cfRule>
  </conditionalFormatting>
  <conditionalFormatting sqref="G250:I280">
    <cfRule type="expression" dxfId="3157" priority="152">
      <formula>AND($H250 &gt; 0, ISNUMBER($H250))</formula>
    </cfRule>
    <cfRule type="expression" dxfId="3156" priority="153">
      <formula>AND($H250 = 0, ISNUMBER($H250))</formula>
    </cfRule>
    <cfRule type="expression" dxfId="3155" priority="154">
      <formula>AND($H250 &lt; 0, ISNUMBER($H250))</formula>
    </cfRule>
  </conditionalFormatting>
  <conditionalFormatting sqref="J250:L280">
    <cfRule type="expression" dxfId="3154" priority="149">
      <formula>AND($K250 &gt; 0, ISNUMBER($K250))</formula>
    </cfRule>
    <cfRule type="expression" dxfId="3153" priority="150">
      <formula>AND($K250 = 0, ISNUMBER($K250))</formula>
    </cfRule>
    <cfRule type="expression" dxfId="3152" priority="151">
      <formula>AND($K250 &lt; 0, ISNUMBER($K250))</formula>
    </cfRule>
  </conditionalFormatting>
  <conditionalFormatting sqref="M250:O280">
    <cfRule type="expression" dxfId="3151" priority="146">
      <formula>AND($N250 &gt; 0, ISNUMBER($N250))</formula>
    </cfRule>
    <cfRule type="expression" dxfId="3150" priority="147">
      <formula>AND($N250 = 0, ISNUMBER($N250))</formula>
    </cfRule>
    <cfRule type="expression" dxfId="3149" priority="148">
      <formula>AND($N250 &lt; 0, ISNUMBER($N250))</formula>
    </cfRule>
  </conditionalFormatting>
  <conditionalFormatting sqref="D5:F6">
    <cfRule type="expression" dxfId="3148" priority="143">
      <formula>$F$130 &gt; 0</formula>
    </cfRule>
    <cfRule type="expression" dxfId="3147" priority="144">
      <formula>$F$130 = 0</formula>
    </cfRule>
    <cfRule type="expression" dxfId="3146" priority="145">
      <formula>$F$130 &lt; 0</formula>
    </cfRule>
  </conditionalFormatting>
  <conditionalFormatting sqref="D7:F8">
    <cfRule type="expression" dxfId="3145" priority="140">
      <formula>$F$206 &gt; 0</formula>
    </cfRule>
    <cfRule type="expression" dxfId="3144" priority="141">
      <formula>$F$206 = 0</formula>
    </cfRule>
    <cfRule type="expression" dxfId="3143" priority="142">
      <formula>$F$206 &lt; 0</formula>
    </cfRule>
  </conditionalFormatting>
  <conditionalFormatting sqref="D9:F10">
    <cfRule type="expression" dxfId="3142" priority="137">
      <formula>$F$244 &gt; 0</formula>
    </cfRule>
    <cfRule type="expression" dxfId="3141" priority="138">
      <formula>$F$244 = 0</formula>
    </cfRule>
    <cfRule type="expression" dxfId="3140" priority="139">
      <formula>$F$244 &lt; 0</formula>
    </cfRule>
  </conditionalFormatting>
  <conditionalFormatting sqref="D11:F12">
    <cfRule type="expression" dxfId="3139" priority="134">
      <formula>$F$168 &gt; 0</formula>
    </cfRule>
    <cfRule type="expression" dxfId="3138" priority="135">
      <formula>$F$168 = 0</formula>
    </cfRule>
    <cfRule type="expression" dxfId="3137" priority="136">
      <formula>$F$168 &lt; 0</formula>
    </cfRule>
  </conditionalFormatting>
  <conditionalFormatting sqref="D13:F14">
    <cfRule type="expression" dxfId="3136" priority="92">
      <formula>$F$282 &gt; 0</formula>
    </cfRule>
    <cfRule type="expression" dxfId="3135" priority="93">
      <formula>$F$282 = 0</formula>
    </cfRule>
    <cfRule type="expression" dxfId="3134" priority="94">
      <formula>$F$282 &lt; 0</formula>
    </cfRule>
  </conditionalFormatting>
  <conditionalFormatting sqref="D15:F16">
    <cfRule type="expression" dxfId="3133" priority="77">
      <formula>$F$54 &gt; 0</formula>
    </cfRule>
    <cfRule type="expression" dxfId="3132" priority="78">
      <formula>$F$54 = 0</formula>
    </cfRule>
    <cfRule type="expression" dxfId="3131" priority="79">
      <formula>$F$54 &lt; 0</formula>
    </cfRule>
  </conditionalFormatting>
  <conditionalFormatting sqref="G5:I6">
    <cfRule type="expression" dxfId="3130" priority="65">
      <formula>$I$130 &gt; 0</formula>
    </cfRule>
    <cfRule type="expression" dxfId="3129" priority="66">
      <formula>$I$130 = 0</formula>
    </cfRule>
    <cfRule type="expression" dxfId="3128" priority="67">
      <formula>$I$130 &lt; 0</formula>
    </cfRule>
  </conditionalFormatting>
  <conditionalFormatting sqref="G7:I8">
    <cfRule type="expression" dxfId="3127" priority="62">
      <formula>$I$206 &gt; 0</formula>
    </cfRule>
    <cfRule type="expression" dxfId="3126" priority="63">
      <formula>$I$206 = 0</formula>
    </cfRule>
    <cfRule type="expression" dxfId="3125" priority="64">
      <formula>$I$206 &lt; 0</formula>
    </cfRule>
  </conditionalFormatting>
  <conditionalFormatting sqref="G9:I10">
    <cfRule type="expression" dxfId="3124" priority="59">
      <formula>$I$244 &gt; 0</formula>
    </cfRule>
    <cfRule type="expression" dxfId="3123" priority="60">
      <formula>$I$244 = 0</formula>
    </cfRule>
    <cfRule type="expression" dxfId="3122" priority="61">
      <formula>$I$244 &lt; 0</formula>
    </cfRule>
  </conditionalFormatting>
  <conditionalFormatting sqref="G11:I12">
    <cfRule type="expression" dxfId="3121" priority="56">
      <formula>$I$168 &gt; 0</formula>
    </cfRule>
    <cfRule type="expression" dxfId="3120" priority="57">
      <formula>$I$168 = 0</formula>
    </cfRule>
    <cfRule type="expression" dxfId="3119" priority="58">
      <formula>$I$168 &lt; 0</formula>
    </cfRule>
  </conditionalFormatting>
  <conditionalFormatting sqref="G13:I14">
    <cfRule type="expression" dxfId="3118" priority="53">
      <formula>$I$282 &gt; 0</formula>
    </cfRule>
    <cfRule type="expression" dxfId="3117" priority="54">
      <formula>$I$282 = 0</formula>
    </cfRule>
    <cfRule type="expression" dxfId="3116" priority="55">
      <formula>$I$282 &lt; 0</formula>
    </cfRule>
  </conditionalFormatting>
  <conditionalFormatting sqref="G15:I16">
    <cfRule type="expression" dxfId="3115" priority="50">
      <formula>$I$54 &gt; 0</formula>
    </cfRule>
    <cfRule type="expression" dxfId="3114" priority="51">
      <formula>$I$54 = 0</formula>
    </cfRule>
    <cfRule type="expression" dxfId="3113" priority="52">
      <formula>$I$54 &lt; 0</formula>
    </cfRule>
  </conditionalFormatting>
  <conditionalFormatting sqref="J5:L6">
    <cfRule type="expression" dxfId="3112" priority="47">
      <formula>$L$130 &gt; 0</formula>
    </cfRule>
    <cfRule type="expression" dxfId="3111" priority="48">
      <formula>$L$130 = 0</formula>
    </cfRule>
    <cfRule type="expression" dxfId="3110" priority="49">
      <formula>$L$130 &lt; 0</formula>
    </cfRule>
  </conditionalFormatting>
  <conditionalFormatting sqref="J7:L8">
    <cfRule type="expression" dxfId="3109" priority="44">
      <formula>$L$206 &gt; 0</formula>
    </cfRule>
    <cfRule type="expression" dxfId="3108" priority="45">
      <formula>$L$206 = 0</formula>
    </cfRule>
    <cfRule type="expression" dxfId="3107" priority="46">
      <formula>$L$206 &lt; 0</formula>
    </cfRule>
  </conditionalFormatting>
  <conditionalFormatting sqref="J9:L10">
    <cfRule type="expression" dxfId="3106" priority="41">
      <formula>$L$244 &gt; 0</formula>
    </cfRule>
    <cfRule type="expression" dxfId="3105" priority="42">
      <formula>$L$244 = 0</formula>
    </cfRule>
    <cfRule type="expression" dxfId="3104" priority="43">
      <formula>$L$244 &lt; 0</formula>
    </cfRule>
  </conditionalFormatting>
  <conditionalFormatting sqref="J11:L12">
    <cfRule type="expression" dxfId="3103" priority="38">
      <formula>$L$168 &gt; 0</formula>
    </cfRule>
    <cfRule type="expression" dxfId="3102" priority="39">
      <formula>$L$168 = 0</formula>
    </cfRule>
    <cfRule type="expression" dxfId="3101" priority="40">
      <formula>$L$168 &lt; 0</formula>
    </cfRule>
  </conditionalFormatting>
  <conditionalFormatting sqref="J13:L14">
    <cfRule type="expression" dxfId="3100" priority="35">
      <formula>$L$282 &gt; 0</formula>
    </cfRule>
    <cfRule type="expression" dxfId="3099" priority="36">
      <formula>$L$282 = 0</formula>
    </cfRule>
    <cfRule type="expression" dxfId="3098" priority="37">
      <formula>$L$282 &lt; 0</formula>
    </cfRule>
  </conditionalFormatting>
  <conditionalFormatting sqref="J15:L16">
    <cfRule type="expression" dxfId="3097" priority="32">
      <formula>$L$54 &gt; 0</formula>
    </cfRule>
    <cfRule type="expression" dxfId="3096" priority="33">
      <formula>$L$54 = 0</formula>
    </cfRule>
    <cfRule type="expression" dxfId="3095" priority="34">
      <formula>$L$54 &lt; 0</formula>
    </cfRule>
  </conditionalFormatting>
  <conditionalFormatting sqref="M5:O6">
    <cfRule type="expression" dxfId="3094" priority="29">
      <formula>$O$130 &gt; 0</formula>
    </cfRule>
    <cfRule type="expression" dxfId="3093" priority="30">
      <formula>$O$130 = 0</formula>
    </cfRule>
    <cfRule type="expression" dxfId="3092" priority="31">
      <formula>$O$130 &lt; 0</formula>
    </cfRule>
  </conditionalFormatting>
  <conditionalFormatting sqref="M7:O8">
    <cfRule type="expression" dxfId="3091" priority="26">
      <formula>$O$206 &gt; 0</formula>
    </cfRule>
    <cfRule type="expression" dxfId="3090" priority="27">
      <formula>$O$206 = 0</formula>
    </cfRule>
    <cfRule type="expression" dxfId="3089" priority="28">
      <formula>$O$206 &lt; 0</formula>
    </cfRule>
  </conditionalFormatting>
  <conditionalFormatting sqref="M9:O10">
    <cfRule type="expression" dxfId="3088" priority="23">
      <formula>$O$244 &gt; 0</formula>
    </cfRule>
    <cfRule type="expression" dxfId="3087" priority="24">
      <formula>$O$244 = 0</formula>
    </cfRule>
    <cfRule type="expression" dxfId="3086" priority="25">
      <formula>$O$244 &lt; 0</formula>
    </cfRule>
  </conditionalFormatting>
  <conditionalFormatting sqref="M11:O12">
    <cfRule type="expression" dxfId="3085" priority="20">
      <formula>$O$168 &gt; 0</formula>
    </cfRule>
    <cfRule type="expression" dxfId="3084" priority="21">
      <formula>$O$168 = 0</formula>
    </cfRule>
    <cfRule type="expression" dxfId="3083" priority="22">
      <formula>$O$168 &lt; 0</formula>
    </cfRule>
  </conditionalFormatting>
  <conditionalFormatting sqref="M13:O14">
    <cfRule type="expression" dxfId="3082" priority="17">
      <formula>$O$282 &gt; 0</formula>
    </cfRule>
    <cfRule type="expression" dxfId="3081" priority="18">
      <formula>$O$282 = 0</formula>
    </cfRule>
    <cfRule type="expression" dxfId="3080" priority="19">
      <formula>$O$282 &lt; 0</formula>
    </cfRule>
  </conditionalFormatting>
  <conditionalFormatting sqref="M15:O16">
    <cfRule type="expression" dxfId="3079" priority="14">
      <formula>$O$54 &gt; 0</formula>
    </cfRule>
    <cfRule type="expression" dxfId="3078" priority="15">
      <formula>$O$54 = 0</formula>
    </cfRule>
    <cfRule type="expression" dxfId="3077" priority="16">
      <formula>$O$54 &lt; 0</formula>
    </cfRule>
  </conditionalFormatting>
  <conditionalFormatting sqref="D3:F4">
    <cfRule type="expression" dxfId="3076" priority="13">
      <formula>$F$92 &lt; 0</formula>
    </cfRule>
    <cfRule type="expression" dxfId="3075" priority="12">
      <formula>$F$92 = 0</formula>
    </cfRule>
    <cfRule type="expression" dxfId="3074" priority="11">
      <formula>$F$92 &gt; 0</formula>
    </cfRule>
  </conditionalFormatting>
  <conditionalFormatting sqref="G3:I4">
    <cfRule type="expression" dxfId="3073" priority="10">
      <formula>$I$92 &lt; 0</formula>
    </cfRule>
    <cfRule type="expression" dxfId="3072" priority="9">
      <formula>$I$92 = 0</formula>
    </cfRule>
    <cfRule type="expression" dxfId="3071" priority="8">
      <formula>$I$92 &gt; 0</formula>
    </cfRule>
  </conditionalFormatting>
  <conditionalFormatting sqref="J3:L4">
    <cfRule type="expression" dxfId="3070" priority="5">
      <formula>$L$92 &gt; 0</formula>
    </cfRule>
    <cfRule type="expression" dxfId="3069" priority="6">
      <formula>$L$92 = 0</formula>
    </cfRule>
    <cfRule type="expression" dxfId="3068" priority="7">
      <formula>$L$92 &lt; 0</formula>
    </cfRule>
  </conditionalFormatting>
  <conditionalFormatting sqref="M3:O4">
    <cfRule type="expression" dxfId="3067" priority="2">
      <formula>$O$92 &gt; 0</formula>
    </cfRule>
    <cfRule type="expression" dxfId="3066" priority="3">
      <formula>$O$92 = 0</formula>
    </cfRule>
    <cfRule type="expression" dxfId="3065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A8963-7BCC-4F2B-AD92-53A02CAE8514}">
  <sheetPr codeName="Sheet6"/>
  <dimension ref="A1:S199"/>
  <sheetViews>
    <sheetView topLeftCell="A172" zoomScaleNormal="100" workbookViewId="0">
      <selection activeCell="M191" sqref="M19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6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80">
        <v>44409</v>
      </c>
      <c r="H1" s="281"/>
      <c r="I1" s="282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83" t="s">
        <v>8</v>
      </c>
      <c r="C2" s="284"/>
      <c r="D2" s="284"/>
      <c r="E2" s="284"/>
      <c r="F2" s="285"/>
      <c r="G2" s="277" t="s">
        <v>46</v>
      </c>
      <c r="H2" s="278"/>
      <c r="I2" s="279"/>
      <c r="J2" s="1" t="s">
        <v>3</v>
      </c>
      <c r="K2" s="283" t="s">
        <v>320</v>
      </c>
      <c r="L2" s="284"/>
      <c r="M2" s="284"/>
      <c r="N2" s="284"/>
      <c r="O2" s="285"/>
      <c r="Q2" s="2" t="s">
        <v>6</v>
      </c>
      <c r="R2" s="3">
        <v>0.375</v>
      </c>
    </row>
    <row r="3" spans="1:19" ht="17.25" customHeight="1" thickBot="1">
      <c r="A3" s="118" t="s">
        <v>7</v>
      </c>
      <c r="B3" s="274" t="s">
        <v>328</v>
      </c>
      <c r="C3" s="275"/>
      <c r="D3" s="275"/>
      <c r="E3" s="275"/>
      <c r="F3" s="276"/>
      <c r="G3" s="27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-35,515 KRW (-1.78%)</v>
      </c>
      <c r="H3" s="271"/>
      <c r="I3" s="272"/>
      <c r="J3" s="4" t="s">
        <v>7</v>
      </c>
      <c r="K3" s="274" t="s">
        <v>321</v>
      </c>
      <c r="L3" s="275"/>
      <c r="M3" s="275"/>
      <c r="N3" s="275"/>
      <c r="O3" s="27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4" t="s">
        <v>16</v>
      </c>
      <c r="C4" s="275"/>
      <c r="D4" s="275"/>
      <c r="E4" s="275"/>
      <c r="F4" s="276"/>
      <c r="G4" s="277" t="s">
        <v>44</v>
      </c>
      <c r="H4" s="278"/>
      <c r="I4" s="279"/>
      <c r="J4" s="4" t="s">
        <v>11</v>
      </c>
      <c r="K4" s="274" t="s">
        <v>322</v>
      </c>
      <c r="L4" s="275"/>
      <c r="M4" s="275"/>
      <c r="N4" s="275"/>
      <c r="O4" s="27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4" t="s">
        <v>319</v>
      </c>
      <c r="C5" s="275"/>
      <c r="D5" s="275"/>
      <c r="E5" s="275"/>
      <c r="F5" s="276"/>
      <c r="G5" s="27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88,668 KRW (4.43%)</v>
      </c>
      <c r="H5" s="271"/>
      <c r="I5" s="272"/>
      <c r="J5" s="4" t="s">
        <v>15</v>
      </c>
      <c r="K5" s="274" t="s">
        <v>323</v>
      </c>
      <c r="L5" s="275"/>
      <c r="M5" s="275"/>
      <c r="N5" s="275"/>
      <c r="O5" s="276"/>
    </row>
    <row r="6" spans="1:19">
      <c r="A6" s="118" t="s">
        <v>18</v>
      </c>
      <c r="B6" s="274"/>
      <c r="C6" s="275"/>
      <c r="D6" s="275"/>
      <c r="E6" s="275"/>
      <c r="F6" s="276"/>
      <c r="G6" s="277" t="s">
        <v>45</v>
      </c>
      <c r="H6" s="278"/>
      <c r="I6" s="279"/>
      <c r="J6" s="4" t="s">
        <v>18</v>
      </c>
      <c r="K6" s="274" t="s">
        <v>324</v>
      </c>
      <c r="L6" s="275"/>
      <c r="M6" s="275"/>
      <c r="N6" s="275"/>
      <c r="O6" s="276"/>
    </row>
    <row r="7" spans="1:19" ht="17.25" thickBot="1">
      <c r="A7" s="118" t="s">
        <v>21</v>
      </c>
      <c r="B7" s="274"/>
      <c r="C7" s="275"/>
      <c r="D7" s="275"/>
      <c r="E7" s="275"/>
      <c r="F7" s="276"/>
      <c r="G7" s="27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-14,086 KRW (-0.70%)</v>
      </c>
      <c r="H7" s="271"/>
      <c r="I7" s="272"/>
      <c r="J7" s="4" t="s">
        <v>21</v>
      </c>
      <c r="K7" s="274" t="s">
        <v>325</v>
      </c>
      <c r="L7" s="275"/>
      <c r="M7" s="275"/>
      <c r="N7" s="275"/>
      <c r="O7" s="276"/>
    </row>
    <row r="8" spans="1:19" ht="17.25" thickBot="1">
      <c r="A8" s="118" t="s">
        <v>24</v>
      </c>
      <c r="B8" s="274"/>
      <c r="C8" s="275"/>
      <c r="D8" s="275"/>
      <c r="E8" s="275"/>
      <c r="F8" s="276"/>
      <c r="G8" s="277" t="s">
        <v>255</v>
      </c>
      <c r="H8" s="278"/>
      <c r="I8" s="279"/>
      <c r="J8" s="4" t="s">
        <v>24</v>
      </c>
      <c r="K8" s="274"/>
      <c r="L8" s="275"/>
      <c r="M8" s="275"/>
      <c r="N8" s="275"/>
      <c r="O8" s="276"/>
      <c r="Q8" s="249" t="s">
        <v>27</v>
      </c>
      <c r="R8" s="251"/>
    </row>
    <row r="9" spans="1:19" ht="17.25" thickBot="1">
      <c r="A9" s="118" t="s">
        <v>28</v>
      </c>
      <c r="B9" s="274"/>
      <c r="C9" s="275"/>
      <c r="D9" s="275"/>
      <c r="E9" s="275"/>
      <c r="F9" s="276"/>
      <c r="G9" s="27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7,351 KRW (0.37%)</v>
      </c>
      <c r="H9" s="271"/>
      <c r="I9" s="272"/>
      <c r="J9" s="4" t="s">
        <v>28</v>
      </c>
      <c r="K9" s="274"/>
      <c r="L9" s="275"/>
      <c r="M9" s="275"/>
      <c r="N9" s="275"/>
      <c r="O9" s="276"/>
      <c r="Q9" s="2" t="s">
        <v>29</v>
      </c>
      <c r="R9" s="6">
        <v>10</v>
      </c>
    </row>
    <row r="10" spans="1:19">
      <c r="A10" s="118" t="s">
        <v>30</v>
      </c>
      <c r="B10" s="274"/>
      <c r="C10" s="275"/>
      <c r="D10" s="275"/>
      <c r="E10" s="275"/>
      <c r="F10" s="276"/>
      <c r="G10" s="277" t="s">
        <v>47</v>
      </c>
      <c r="H10" s="278"/>
      <c r="I10" s="279"/>
      <c r="J10" s="4" t="s">
        <v>30</v>
      </c>
      <c r="K10" s="274" t="s">
        <v>326</v>
      </c>
      <c r="L10" s="275"/>
      <c r="M10" s="275"/>
      <c r="N10" s="275"/>
      <c r="O10" s="276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7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1"/>
      <c r="I11" s="272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48"/>
      <c r="R13" s="248"/>
      <c r="S13" s="248"/>
    </row>
    <row r="14" spans="1:19" ht="17.25" customHeight="1" thickBot="1">
      <c r="A14" s="157" t="s">
        <v>35</v>
      </c>
      <c r="B14" s="249" t="s">
        <v>36</v>
      </c>
      <c r="C14" s="251"/>
      <c r="D14" s="249" t="s">
        <v>37</v>
      </c>
      <c r="E14" s="250"/>
      <c r="F14" s="251"/>
      <c r="G14" s="252">
        <f>_xlfn.IFNA(VLOOKUP(B14, 현재가테이블!$B$2:$D$200, 2, FALSE), "-")</f>
        <v>54440000</v>
      </c>
      <c r="H14" s="253"/>
      <c r="I14" s="254"/>
      <c r="J14" s="249" t="s">
        <v>38</v>
      </c>
      <c r="K14" s="250"/>
      <c r="L14" s="251"/>
      <c r="M14" s="255">
        <f>_xlfn.IFNA(VLOOKUP(B14, 현재가테이블!$B$2:$D$200, 3, FALSE), "-")</f>
        <v>1.07123628E-2</v>
      </c>
      <c r="N14" s="256"/>
      <c r="O14" s="257"/>
      <c r="Q14" s="248"/>
      <c r="R14" s="248"/>
      <c r="S14" s="248"/>
    </row>
    <row r="15" spans="1:19" ht="17.25" customHeight="1" thickBot="1">
      <c r="A15" s="286" t="s">
        <v>39</v>
      </c>
      <c r="B15" s="287" t="str">
        <f>TEXT($G$1, "[$-ko-KR]yyyy-mm-dd(ddd) ") &amp; "오전 00:00"</f>
        <v>2021-08-01(일) 오전 00:00</v>
      </c>
      <c r="C15" s="288"/>
      <c r="D15" s="262" t="str">
        <f>TEXT($G$1, "[$-ko-KR]yyyy-mm-dd(ddd) ") &amp; "오후 14:00"</f>
        <v>2021-08-01(일) 오후 14:00</v>
      </c>
      <c r="E15" s="263"/>
      <c r="F15" s="264"/>
      <c r="G15" s="262" t="str">
        <f>TEXT($G$1, "[$-ko-KR]yyyy-mm-dd(ddd) ") &amp; "오후 19:00"</f>
        <v>2021-08-01(일) 오후 19:00</v>
      </c>
      <c r="H15" s="263"/>
      <c r="I15" s="264"/>
      <c r="J15" s="262" t="str">
        <f>TEXT($G$1, "[$-ko-KR]yyyy-mm-dd(ddd) ") &amp; "오후 21:00"</f>
        <v>2021-08-01(일) 오후 21:00</v>
      </c>
      <c r="K15" s="263"/>
      <c r="L15" s="264"/>
      <c r="M15" s="262" t="str">
        <f>TEXT($G$1+1, "[$-ko-KR]yyyy-mm-dd(ddd) ") &amp; "오전 00:00"</f>
        <v>2021-08-02(월) 오전 00:00</v>
      </c>
      <c r="N15" s="263"/>
      <c r="O15" s="264"/>
      <c r="Q15" s="248"/>
      <c r="R15" s="248"/>
      <c r="S15" s="248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8"/>
      <c r="R17" s="248"/>
      <c r="S17" s="24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8"/>
      <c r="R18" s="248"/>
      <c r="S18" s="24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8"/>
      <c r="R19" s="238"/>
      <c r="S19" s="23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8"/>
      <c r="R20" s="238"/>
      <c r="S20" s="23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8"/>
      <c r="R21" s="238"/>
      <c r="S21" s="23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8"/>
      <c r="R22" s="238"/>
      <c r="S22" s="23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8"/>
      <c r="R23" s="238"/>
      <c r="S23" s="23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8"/>
      <c r="R24" s="238"/>
      <c r="S24" s="23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9"/>
      <c r="R26" s="240"/>
      <c r="S26" s="24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2"/>
      <c r="R27" s="243"/>
      <c r="S27" s="24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5"/>
      <c r="R28" s="246"/>
      <c r="S28" s="24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8"/>
      <c r="R29" s="238"/>
      <c r="S29" s="23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8"/>
      <c r="R30" s="248"/>
      <c r="S30" s="24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8"/>
      <c r="R31" s="248"/>
      <c r="S31" s="24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8"/>
      <c r="R32" s="238"/>
      <c r="S32" s="23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7"/>
      <c r="R35" s="228"/>
      <c r="S35" s="22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0"/>
      <c r="R36" s="231"/>
      <c r="S36" s="232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3"/>
      <c r="R37" s="234"/>
      <c r="S37" s="23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48"/>
      <c r="R40" s="248"/>
      <c r="S40" s="248"/>
    </row>
    <row r="41" spans="1:19" ht="17.25" customHeight="1" thickBot="1">
      <c r="A41" s="157" t="s">
        <v>267</v>
      </c>
      <c r="B41" s="249" t="s">
        <v>49</v>
      </c>
      <c r="C41" s="251"/>
      <c r="D41" s="249" t="s">
        <v>58</v>
      </c>
      <c r="E41" s="250"/>
      <c r="F41" s="251"/>
      <c r="G41" s="252">
        <f>_xlfn.IFNA(VLOOKUP(B41, 현재가테이블!$B$2:$D$200, 2, FALSE), "-")</f>
        <v>54440000</v>
      </c>
      <c r="H41" s="253"/>
      <c r="I41" s="254"/>
      <c r="J41" s="249" t="s">
        <v>59</v>
      </c>
      <c r="K41" s="250"/>
      <c r="L41" s="251"/>
      <c r="M41" s="255">
        <f>_xlfn.IFNA(VLOOKUP(B41, 현재가테이블!$B$2:$D$200, 3, FALSE), "-")</f>
        <v>1.07123628E-2</v>
      </c>
      <c r="N41" s="256"/>
      <c r="O41" s="257"/>
      <c r="Q41" s="248"/>
      <c r="R41" s="248"/>
      <c r="S41" s="248"/>
    </row>
    <row r="42" spans="1:19" ht="17.25" customHeight="1" thickBot="1">
      <c r="A42" s="293" t="s">
        <v>55</v>
      </c>
      <c r="B42" s="289" t="str">
        <f>TEXT($G$1, "[$-ko-KR]yyyy-mm-dd(ddd) ") &amp; "오전 00:00"</f>
        <v>2021-08-01(일) 오전 00:00</v>
      </c>
      <c r="C42" s="290"/>
      <c r="D42" s="262" t="str">
        <f>TEXT($G$1, "[$-ko-KR]yyyy-mm-dd(ddd) ") &amp; "오후 14:00"</f>
        <v>2021-08-01(일) 오후 14:00</v>
      </c>
      <c r="E42" s="263"/>
      <c r="F42" s="264"/>
      <c r="G42" s="262" t="str">
        <f>TEXT($G$1, "[$-ko-KR]yyyy-mm-dd(ddd) ") &amp; "오후 19:00"</f>
        <v>2021-08-01(일) 오후 19:00</v>
      </c>
      <c r="H42" s="263"/>
      <c r="I42" s="264"/>
      <c r="J42" s="262" t="str">
        <f>TEXT($G$1, "[$-ko-KR]yyyy-mm-dd(ddd) ") &amp; "오후 21:00"</f>
        <v>2021-08-01(일) 오후 21:00</v>
      </c>
      <c r="K42" s="263"/>
      <c r="L42" s="264"/>
      <c r="M42" s="262" t="str">
        <f>TEXT($G$1+1, "[$-ko-KR]yyyy-mm-dd(ddd) ") &amp; "오전 00:00"</f>
        <v>2021-08-02(월) 오전 00:00</v>
      </c>
      <c r="N42" s="263"/>
      <c r="O42" s="264"/>
      <c r="Q42" s="248"/>
      <c r="R42" s="248"/>
      <c r="S42" s="248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8"/>
      <c r="R43" s="238"/>
      <c r="S43" s="238"/>
    </row>
    <row r="44" spans="1:19" ht="17.25" customHeight="1" thickBot="1">
      <c r="A44" s="123" t="s">
        <v>130</v>
      </c>
      <c r="B44" s="124">
        <v>98.6</v>
      </c>
      <c r="C44" s="76">
        <v>9.7995545700000006E-2</v>
      </c>
      <c r="D44" s="13">
        <v>99.4</v>
      </c>
      <c r="E44" s="14">
        <f>IF(ISNUMBER(D44), (D44 - $B44) / $B44, "")</f>
        <v>8.1135902636917997E-3</v>
      </c>
      <c r="F44" s="16">
        <f>IF(ISNUMBER(D44), $B64 * E44, "")</f>
        <v>811.35902636918001</v>
      </c>
      <c r="G44" s="29">
        <v>98.9</v>
      </c>
      <c r="H44" s="14">
        <f>IF(ISNUMBER(G44), (G44 - $B44) / $B44, "")</f>
        <v>3.0425963488844967E-3</v>
      </c>
      <c r="I44" s="100">
        <f>IF(ISNUMBER(G44), $B64 * H44, "")</f>
        <v>304.25963488844968</v>
      </c>
      <c r="J44" s="13">
        <v>96.6</v>
      </c>
      <c r="K44" s="14">
        <f>IF(ISNUMBER(J44), (J44 - $B44) / $B44, "")</f>
        <v>-2.0283975659229209E-2</v>
      </c>
      <c r="L44" s="16">
        <f>IF(ISNUMBER(J44), $B64 * K44, "")</f>
        <v>-2028.3975659229209</v>
      </c>
      <c r="M44" s="29">
        <v>96.1</v>
      </c>
      <c r="N44" s="14">
        <f>IF(ISNUMBER(M44), (M44 - $B44) / $B44, "")</f>
        <v>-2.5354969574036514E-2</v>
      </c>
      <c r="O44" s="16">
        <f>IF(ISNUMBER(M44), $B64 * N44, "")</f>
        <v>-2535.4969574036513</v>
      </c>
      <c r="Q44" s="248"/>
      <c r="R44" s="248"/>
      <c r="S44" s="248"/>
    </row>
    <row r="45" spans="1:19" ht="17.25" customHeight="1" thickBot="1">
      <c r="A45" s="125" t="s">
        <v>148</v>
      </c>
      <c r="B45" s="126">
        <v>17.3</v>
      </c>
      <c r="C45" s="77">
        <v>6.7901234599999999E-2</v>
      </c>
      <c r="D45" s="15">
        <v>21.7</v>
      </c>
      <c r="E45" s="32">
        <f t="shared" ref="E45:E48" si="14">IF(ISNUMBER(D45), (D45 - $B45) / $B45, "")</f>
        <v>0.25433526011560686</v>
      </c>
      <c r="F45" s="18">
        <f>IF(ISNUMBER(D45), $B64 * E45, "")</f>
        <v>25433.526011560687</v>
      </c>
      <c r="G45" s="31">
        <v>20.7</v>
      </c>
      <c r="H45" s="32">
        <f t="shared" ref="H45:H48" si="15">IF(ISNUMBER(G45), (G45 - $B45) / $B45, "")</f>
        <v>0.19653179190751435</v>
      </c>
      <c r="I45" s="101">
        <f>IF(ISNUMBER(G45), $B64 * H45, "")</f>
        <v>19653.179190751434</v>
      </c>
      <c r="J45" s="15">
        <v>20</v>
      </c>
      <c r="K45" s="32">
        <f t="shared" ref="K45:K48" si="16">IF(ISNUMBER(J45), (J45 - $B45) / $B45, "")</f>
        <v>0.15606936416184966</v>
      </c>
      <c r="L45" s="18">
        <f>IF(ISNUMBER(J45), $B64 * K45, "")</f>
        <v>15606.936416184966</v>
      </c>
      <c r="M45" s="31">
        <v>20.2</v>
      </c>
      <c r="N45" s="32">
        <f t="shared" ref="N45:N48" si="17">IF(ISNUMBER(M45), (M45 - $B45) / $B45, "")</f>
        <v>0.16763005780346812</v>
      </c>
      <c r="O45" s="18">
        <f>IF(ISNUMBER(M45), $B64 * N45, "")</f>
        <v>16763.005780346812</v>
      </c>
      <c r="Q45" s="248"/>
      <c r="R45" s="248"/>
      <c r="S45" s="248"/>
    </row>
    <row r="46" spans="1:19" ht="17.25" customHeight="1" thickBot="1">
      <c r="A46" s="125" t="s">
        <v>65</v>
      </c>
      <c r="B46" s="126">
        <v>31.4</v>
      </c>
      <c r="C46" s="77">
        <v>4.3189368800000003E-2</v>
      </c>
      <c r="D46" s="15">
        <v>32.1</v>
      </c>
      <c r="E46" s="32">
        <f t="shared" si="14"/>
        <v>2.2292993630573341E-2</v>
      </c>
      <c r="F46" s="18">
        <f>IF(ISNUMBER(D46), $B64 * E46, "")</f>
        <v>2229.2993630573342</v>
      </c>
      <c r="G46" s="31">
        <v>31.7</v>
      </c>
      <c r="H46" s="32">
        <f t="shared" si="15"/>
        <v>9.5541401273885589E-3</v>
      </c>
      <c r="I46" s="101">
        <f>IF(ISNUMBER(G46), $B64 * H46, "")</f>
        <v>955.41401273885594</v>
      </c>
      <c r="J46" s="15">
        <v>31.1</v>
      </c>
      <c r="K46" s="32">
        <f t="shared" si="16"/>
        <v>-9.5541401273884444E-3</v>
      </c>
      <c r="L46" s="18">
        <f>IF(ISNUMBER(J46), $B64 * K46, "")</f>
        <v>-955.41401273884446</v>
      </c>
      <c r="M46" s="31">
        <v>30.8</v>
      </c>
      <c r="N46" s="32">
        <f t="shared" si="17"/>
        <v>-1.9108280254777003E-2</v>
      </c>
      <c r="O46" s="18">
        <f>IF(ISNUMBER(M46), $B64 * N46, "")</f>
        <v>-1910.8280254777003</v>
      </c>
      <c r="Q46" s="238"/>
      <c r="R46" s="238"/>
      <c r="S46" s="238"/>
    </row>
    <row r="47" spans="1:19" ht="17.25" customHeight="1" thickBot="1">
      <c r="A47" s="125" t="s">
        <v>250</v>
      </c>
      <c r="B47" s="126">
        <v>60.3</v>
      </c>
      <c r="C47" s="77">
        <v>3.4305317299999999E-2</v>
      </c>
      <c r="D47" s="15">
        <v>63.5</v>
      </c>
      <c r="E47" s="32">
        <f t="shared" si="14"/>
        <v>5.3067993366500879E-2</v>
      </c>
      <c r="F47" s="18">
        <f>IF(ISNUMBER(D47), $B64 * E47, "")</f>
        <v>5306.7993366500878</v>
      </c>
      <c r="G47" s="31">
        <v>64.2</v>
      </c>
      <c r="H47" s="32">
        <f t="shared" si="15"/>
        <v>6.467661691542298E-2</v>
      </c>
      <c r="I47" s="101">
        <f>IF(ISNUMBER(G47), $B64 * H47, "")</f>
        <v>6467.6616915422983</v>
      </c>
      <c r="J47" s="15">
        <v>62.6</v>
      </c>
      <c r="K47" s="32">
        <f t="shared" si="16"/>
        <v>3.814262023217254E-2</v>
      </c>
      <c r="L47" s="18">
        <f>IF(ISNUMBER(J47), $B64 * K47, "")</f>
        <v>3814.262023217254</v>
      </c>
      <c r="M47" s="31">
        <v>62.3</v>
      </c>
      <c r="N47" s="32">
        <f t="shared" si="17"/>
        <v>3.316749585406302E-2</v>
      </c>
      <c r="O47" s="18">
        <f>IF(ISNUMBER(M47), $B64 * N47, "")</f>
        <v>3316.7495854063018</v>
      </c>
      <c r="Q47" s="238"/>
      <c r="R47" s="238"/>
      <c r="S47" s="238"/>
    </row>
    <row r="48" spans="1:19" ht="17.25" customHeight="1" thickBot="1">
      <c r="A48" s="127" t="s">
        <v>132</v>
      </c>
      <c r="B48" s="128">
        <v>95.2</v>
      </c>
      <c r="C48" s="78">
        <v>2.4757804099999999E-2</v>
      </c>
      <c r="D48" s="20">
        <v>99.1</v>
      </c>
      <c r="E48" s="21">
        <f t="shared" si="14"/>
        <v>4.0966386554621759E-2</v>
      </c>
      <c r="F48" s="22">
        <f>IF(ISNUMBER(D48), $B64 * E48, "")</f>
        <v>4096.6386554621758</v>
      </c>
      <c r="G48" s="30">
        <v>101</v>
      </c>
      <c r="H48" s="21">
        <f t="shared" si="15"/>
        <v>6.0924369747899131E-2</v>
      </c>
      <c r="I48" s="105">
        <f>IF(ISNUMBER(G48), $B64 * H48, "")</f>
        <v>6092.4369747899127</v>
      </c>
      <c r="J48" s="20">
        <v>99</v>
      </c>
      <c r="K48" s="21">
        <f t="shared" si="16"/>
        <v>3.9915966386554591E-2</v>
      </c>
      <c r="L48" s="22">
        <f>IF(ISNUMBER(J48), $B64 * K48, "")</f>
        <v>3991.5966386554592</v>
      </c>
      <c r="M48" s="30">
        <v>96.8</v>
      </c>
      <c r="N48" s="21">
        <f t="shared" si="17"/>
        <v>1.6806722689075571E-2</v>
      </c>
      <c r="O48" s="22">
        <f>IF(ISNUMBER(M48), $B64 * N48, "")</f>
        <v>1680.6722689075571</v>
      </c>
      <c r="Q48" s="238"/>
      <c r="R48" s="238"/>
      <c r="S48" s="238"/>
    </row>
    <row r="49" spans="1:19" ht="17.25" customHeight="1" thickBot="1">
      <c r="A49" s="125" t="s">
        <v>204</v>
      </c>
      <c r="B49" s="129">
        <v>12.9</v>
      </c>
      <c r="C49" s="80">
        <v>2.3809523799999999E-2</v>
      </c>
      <c r="D49" s="106">
        <v>13.6</v>
      </c>
      <c r="E49" s="107">
        <f>IF(ISNUMBER(D49), (D49 - $B49) / $B49, "")</f>
        <v>5.4263565891472812E-2</v>
      </c>
      <c r="F49" s="108">
        <f>IF(ISNUMBER(D49), $B64 * E49, "")</f>
        <v>5426.3565891472808</v>
      </c>
      <c r="G49" s="109">
        <v>13.7</v>
      </c>
      <c r="H49" s="107">
        <f>IF(ISNUMBER(G49), (G49 - $B49) / $B49, "")</f>
        <v>6.2015503875968908E-2</v>
      </c>
      <c r="I49" s="110">
        <f>IF(ISNUMBER(G49), $B64 * H49, "")</f>
        <v>6201.5503875968907</v>
      </c>
      <c r="J49" s="106">
        <v>13.4</v>
      </c>
      <c r="K49" s="107">
        <f>IF(ISNUMBER(J49), (J49 - $B49) / $B49, "")</f>
        <v>3.875968992248062E-2</v>
      </c>
      <c r="L49" s="108">
        <f>IF(ISNUMBER(J49), $B64 * K49, "")</f>
        <v>3875.968992248062</v>
      </c>
      <c r="M49" s="109">
        <v>13.3</v>
      </c>
      <c r="N49" s="107">
        <f>IF(ISNUMBER(M49), (M49 - $B49) / $B49, "")</f>
        <v>3.1007751937984523E-2</v>
      </c>
      <c r="O49" s="108">
        <f>IF(ISNUMBER(M49), $B64 * N49, "")</f>
        <v>3100.7751937984522</v>
      </c>
      <c r="Q49" s="238"/>
      <c r="R49" s="238"/>
      <c r="S49" s="238"/>
    </row>
    <row r="50" spans="1:19" ht="17.25" customHeight="1" thickBot="1">
      <c r="A50" s="125" t="s">
        <v>208</v>
      </c>
      <c r="B50" s="126">
        <v>11.6</v>
      </c>
      <c r="C50" s="77">
        <v>1.75438596E-2</v>
      </c>
      <c r="D50" s="15">
        <v>12</v>
      </c>
      <c r="E50" s="32">
        <f t="shared" ref="E50:E53" si="18">IF(ISNUMBER(D50), (D50 - $B50) / $B50, "")</f>
        <v>3.4482758620689689E-2</v>
      </c>
      <c r="F50" s="18">
        <f>IF(ISNUMBER(D50), $B64 * E50, "")</f>
        <v>3448.2758620689688</v>
      </c>
      <c r="G50" s="31">
        <v>12</v>
      </c>
      <c r="H50" s="32">
        <f t="shared" ref="H50:H53" si="19">IF(ISNUMBER(G50), (G50 - $B50) / $B50, "")</f>
        <v>3.4482758620689689E-2</v>
      </c>
      <c r="I50" s="101">
        <f>IF(ISNUMBER(G50), $B64 * H50, "")</f>
        <v>3448.2758620689688</v>
      </c>
      <c r="J50" s="15">
        <v>11.9</v>
      </c>
      <c r="K50" s="32">
        <f t="shared" ref="K50:K53" si="20">IF(ISNUMBER(J50), (J50 - $B50) / $B50, "")</f>
        <v>2.5862068965517303E-2</v>
      </c>
      <c r="L50" s="18">
        <f>IF(ISNUMBER(J50), $B64 * K50, "")</f>
        <v>2586.2068965517306</v>
      </c>
      <c r="M50" s="31">
        <v>11.5</v>
      </c>
      <c r="N50" s="32">
        <f t="shared" ref="N50:N53" si="21">IF(ISNUMBER(M50), (M50 - $B50) / $B50, "")</f>
        <v>-8.6206896551723842E-3</v>
      </c>
      <c r="O50" s="18">
        <f>IF(ISNUMBER(M50), $B64 * N50, "")</f>
        <v>-862.06896551723844</v>
      </c>
      <c r="Q50" s="238"/>
      <c r="R50" s="238"/>
      <c r="S50" s="238"/>
    </row>
    <row r="51" spans="1:19" ht="17.25" customHeight="1" thickBot="1">
      <c r="A51" s="125" t="s">
        <v>152</v>
      </c>
      <c r="B51" s="126">
        <v>73.900000000000006</v>
      </c>
      <c r="C51" s="77">
        <v>1.37174211E-2</v>
      </c>
      <c r="D51" s="15">
        <v>76.2</v>
      </c>
      <c r="E51" s="32">
        <f t="shared" si="18"/>
        <v>3.1123139377537173E-2</v>
      </c>
      <c r="F51" s="18">
        <f>IF(ISNUMBER(D51), $B64 * E51, "")</f>
        <v>3112.3139377537173</v>
      </c>
      <c r="G51" s="31">
        <v>77</v>
      </c>
      <c r="H51" s="32">
        <f t="shared" si="19"/>
        <v>4.1948579161028336E-2</v>
      </c>
      <c r="I51" s="101">
        <f>IF(ISNUMBER(G51), $B64 * H51, "")</f>
        <v>4194.8579161028338</v>
      </c>
      <c r="J51" s="15">
        <v>75.599999999999994</v>
      </c>
      <c r="K51" s="32">
        <f t="shared" si="20"/>
        <v>2.3004059539918655E-2</v>
      </c>
      <c r="L51" s="18">
        <f>IF(ISNUMBER(J51), $B64 * K51, "")</f>
        <v>2300.4059539918653</v>
      </c>
      <c r="M51" s="31">
        <v>75.7</v>
      </c>
      <c r="N51" s="32">
        <f t="shared" si="21"/>
        <v>2.4357239512855171E-2</v>
      </c>
      <c r="O51" s="18">
        <f>IF(ISNUMBER(M51), $B64 * N51, "")</f>
        <v>2435.7239512855172</v>
      </c>
      <c r="Q51" s="238"/>
      <c r="R51" s="238"/>
      <c r="S51" s="238"/>
    </row>
    <row r="52" spans="1:19" ht="17.25" customHeight="1" thickBot="1">
      <c r="A52" s="125" t="s">
        <v>188</v>
      </c>
      <c r="B52" s="126">
        <v>11.3</v>
      </c>
      <c r="C52" s="77">
        <v>8.9285713999999999E-3</v>
      </c>
      <c r="D52" s="15">
        <v>11.9</v>
      </c>
      <c r="E52" s="32">
        <f t="shared" si="18"/>
        <v>5.3097345132743327E-2</v>
      </c>
      <c r="F52" s="18">
        <f>IF(ISNUMBER(D52), $B64 * E52, "")</f>
        <v>5309.734513274333</v>
      </c>
      <c r="G52" s="31">
        <v>11.9</v>
      </c>
      <c r="H52" s="32">
        <f t="shared" si="19"/>
        <v>5.3097345132743327E-2</v>
      </c>
      <c r="I52" s="101">
        <f>IF(ISNUMBER(G52), $B64 * H52, "")</f>
        <v>5309.734513274333</v>
      </c>
      <c r="J52" s="15">
        <v>11.5</v>
      </c>
      <c r="K52" s="32">
        <f t="shared" si="20"/>
        <v>1.7699115044247725E-2</v>
      </c>
      <c r="L52" s="18">
        <f>IF(ISNUMBER(J52), $B64 * K52, "")</f>
        <v>1769.9115044247726</v>
      </c>
      <c r="M52" s="31">
        <v>11.4</v>
      </c>
      <c r="N52" s="32">
        <f t="shared" si="21"/>
        <v>8.8495575221238625E-3</v>
      </c>
      <c r="O52" s="18">
        <f>IF(ISNUMBER(M52), $B64 * N52, "")</f>
        <v>884.9557522123863</v>
      </c>
      <c r="Q52" s="33"/>
      <c r="R52" s="33"/>
    </row>
    <row r="53" spans="1:19" ht="17.25" customHeight="1" thickBot="1">
      <c r="A53" s="130" t="s">
        <v>178</v>
      </c>
      <c r="B53" s="131">
        <v>15.4</v>
      </c>
      <c r="C53" s="79">
        <v>6.5359477000000001E-3</v>
      </c>
      <c r="D53" s="24">
        <v>16.100000000000001</v>
      </c>
      <c r="E53" s="25">
        <f t="shared" si="18"/>
        <v>4.5454545454545525E-2</v>
      </c>
      <c r="F53" s="104">
        <f>IF(ISNUMBER(D53), $B64 * E53, "")</f>
        <v>4545.4545454545523</v>
      </c>
      <c r="G53" s="102">
        <v>16.3</v>
      </c>
      <c r="H53" s="25">
        <f t="shared" si="19"/>
        <v>5.8441558441558461E-2</v>
      </c>
      <c r="I53" s="103">
        <f>IF(ISNUMBER(G53), $B64 * H53, "")</f>
        <v>5844.1558441558464</v>
      </c>
      <c r="J53" s="24">
        <v>15.9</v>
      </c>
      <c r="K53" s="25">
        <f t="shared" si="20"/>
        <v>3.2467532467532464E-2</v>
      </c>
      <c r="L53" s="104">
        <f>IF(ISNUMBER(J53), $B64 * K53, "")</f>
        <v>3246.7532467532465</v>
      </c>
      <c r="M53" s="102">
        <v>15.6</v>
      </c>
      <c r="N53" s="25">
        <f t="shared" si="21"/>
        <v>1.2987012987012941E-2</v>
      </c>
      <c r="O53" s="104">
        <f>IF(ISNUMBER(M53), $B64 * N53, "")</f>
        <v>1298.701298701294</v>
      </c>
      <c r="Q53" s="239"/>
      <c r="R53" s="240"/>
      <c r="S53" s="241"/>
    </row>
    <row r="54" spans="1:19" ht="17.25" customHeight="1">
      <c r="A54" s="123" t="s">
        <v>72</v>
      </c>
      <c r="B54" s="124">
        <v>21</v>
      </c>
      <c r="C54" s="76">
        <v>4.784689E-3</v>
      </c>
      <c r="D54" s="13">
        <v>22.3</v>
      </c>
      <c r="E54" s="14">
        <f>IF(ISNUMBER(D54), (D54 - $B54) / $B54, "")</f>
        <v>6.1904761904761942E-2</v>
      </c>
      <c r="F54" s="16">
        <f>IF(ISNUMBER(D54), $B64 * E54, "")</f>
        <v>6190.4761904761945</v>
      </c>
      <c r="G54" s="29">
        <v>22.4</v>
      </c>
      <c r="H54" s="14">
        <f>IF(ISNUMBER(G54), (G54 - $B54) / $B54, "")</f>
        <v>6.6666666666666596E-2</v>
      </c>
      <c r="I54" s="100">
        <f>IF(ISNUMBER(G54), $B64 * H54, "")</f>
        <v>6666.6666666666597</v>
      </c>
      <c r="J54" s="13">
        <v>22</v>
      </c>
      <c r="K54" s="14">
        <f>IF(ISNUMBER(J54), (J54 - $B54) / $B54, "")</f>
        <v>4.7619047619047616E-2</v>
      </c>
      <c r="L54" s="16">
        <f>IF(ISNUMBER(J54), $B64 * K54, "")</f>
        <v>4761.9047619047615</v>
      </c>
      <c r="M54" s="29">
        <v>22</v>
      </c>
      <c r="N54" s="14">
        <f>IF(ISNUMBER(M54), (M54 - $B54) / $B54, "")</f>
        <v>4.7619047619047616E-2</v>
      </c>
      <c r="O54" s="16">
        <f>IF(ISNUMBER(M54), $B64 * N54, "")</f>
        <v>4761.9047619047615</v>
      </c>
      <c r="Q54" s="242"/>
      <c r="R54" s="243"/>
      <c r="S54" s="244"/>
    </row>
    <row r="55" spans="1:19" ht="17.25" customHeight="1" thickBot="1">
      <c r="A55" s="125" t="s">
        <v>150</v>
      </c>
      <c r="B55" s="126">
        <v>10.3</v>
      </c>
      <c r="C55" s="77">
        <v>0</v>
      </c>
      <c r="D55" s="15">
        <v>10.9</v>
      </c>
      <c r="E55" s="32">
        <f t="shared" ref="E55:E58" si="22">IF(ISNUMBER(D55), (D55 - $B55) / $B55, "")</f>
        <v>5.825242718446598E-2</v>
      </c>
      <c r="F55" s="18">
        <f>IF(ISNUMBER(D55), $B64 * E55, "")</f>
        <v>5825.2427184465978</v>
      </c>
      <c r="G55" s="31">
        <v>11</v>
      </c>
      <c r="H55" s="32">
        <f t="shared" ref="H55:H58" si="23">IF(ISNUMBER(G55), (G55 - $B55) / $B55, "")</f>
        <v>6.7961165048543618E-2</v>
      </c>
      <c r="I55" s="101">
        <f>IF(ISNUMBER(G55), $B64 * H55, "")</f>
        <v>6796.1165048543617</v>
      </c>
      <c r="J55" s="15">
        <v>10.8</v>
      </c>
      <c r="K55" s="32">
        <f t="shared" ref="K55:K58" si="24">IF(ISNUMBER(J55), (J55 - $B55) / $B55, "")</f>
        <v>4.8543689320388349E-2</v>
      </c>
      <c r="L55" s="18">
        <f>IF(ISNUMBER(J55), $B64 * K55, "")</f>
        <v>4854.3689320388348</v>
      </c>
      <c r="M55" s="31">
        <v>10.9</v>
      </c>
      <c r="N55" s="32">
        <f t="shared" ref="N55:N58" si="25">IF(ISNUMBER(M55), (M55 - $B55) / $B55, "")</f>
        <v>5.825242718446598E-2</v>
      </c>
      <c r="O55" s="18">
        <f>IF(ISNUMBER(M55), $B64 * N55, "")</f>
        <v>5825.2427184465978</v>
      </c>
      <c r="Q55" s="245"/>
      <c r="R55" s="246"/>
      <c r="S55" s="247"/>
    </row>
    <row r="56" spans="1:19" ht="17.25" customHeight="1" thickBot="1">
      <c r="A56" s="125" t="s">
        <v>122</v>
      </c>
      <c r="B56" s="126">
        <v>26.5</v>
      </c>
      <c r="C56" s="77">
        <v>0</v>
      </c>
      <c r="D56" s="15">
        <v>27.8</v>
      </c>
      <c r="E56" s="32">
        <f t="shared" si="22"/>
        <v>4.9056603773584929E-2</v>
      </c>
      <c r="F56" s="18">
        <f>IF(ISNUMBER(D56), $B64 * E56, "")</f>
        <v>4905.660377358493</v>
      </c>
      <c r="G56" s="31">
        <v>27.7</v>
      </c>
      <c r="H56" s="32">
        <f t="shared" si="23"/>
        <v>4.5283018867924504E-2</v>
      </c>
      <c r="I56" s="101">
        <f>IF(ISNUMBER(G56), $B64 * H56, "")</f>
        <v>4528.3018867924502</v>
      </c>
      <c r="J56" s="15">
        <v>26.8</v>
      </c>
      <c r="K56" s="32">
        <f t="shared" si="24"/>
        <v>1.1320754716981159E-2</v>
      </c>
      <c r="L56" s="18">
        <f>IF(ISNUMBER(J56), $B64 * K56, "")</f>
        <v>1132.075471698116</v>
      </c>
      <c r="M56" s="31">
        <v>26.5</v>
      </c>
      <c r="N56" s="32">
        <f t="shared" si="25"/>
        <v>0</v>
      </c>
      <c r="O56" s="18">
        <f>IF(ISNUMBER(M56), $B64 * N56, "")</f>
        <v>0</v>
      </c>
      <c r="Q56" s="238"/>
      <c r="R56" s="238"/>
      <c r="S56" s="238"/>
    </row>
    <row r="57" spans="1:19" ht="17.25" customHeight="1" thickBot="1">
      <c r="A57" s="125" t="s">
        <v>234</v>
      </c>
      <c r="B57" s="126">
        <v>60.1</v>
      </c>
      <c r="C57" s="77">
        <v>-1.3136289000000001E-2</v>
      </c>
      <c r="D57" s="15">
        <v>67.400000000000006</v>
      </c>
      <c r="E57" s="32">
        <f t="shared" si="22"/>
        <v>0.12146422628951754</v>
      </c>
      <c r="F57" s="18">
        <f>IF(ISNUMBER(D57), $B64 * E57, "")</f>
        <v>12146.422628951754</v>
      </c>
      <c r="G57" s="31">
        <v>67.3</v>
      </c>
      <c r="H57" s="32">
        <f t="shared" si="23"/>
        <v>0.11980033277870208</v>
      </c>
      <c r="I57" s="101">
        <f>IF(ISNUMBER(G57), $B64 * H57, "")</f>
        <v>11980.033277870209</v>
      </c>
      <c r="J57" s="15">
        <v>68.3</v>
      </c>
      <c r="K57" s="32">
        <f t="shared" si="24"/>
        <v>0.13643926788685518</v>
      </c>
      <c r="L57" s="18">
        <f>IF(ISNUMBER(J57), $B64 * K57, "")</f>
        <v>13643.926788685518</v>
      </c>
      <c r="M57" s="31">
        <v>66.7</v>
      </c>
      <c r="N57" s="32">
        <f t="shared" si="25"/>
        <v>0.10981697171381034</v>
      </c>
      <c r="O57" s="18">
        <f>IF(ISNUMBER(M57), $B64 * N57, "")</f>
        <v>10981.697171381034</v>
      </c>
      <c r="Q57" s="248"/>
      <c r="R57" s="248"/>
      <c r="S57" s="248"/>
    </row>
    <row r="58" spans="1:19" ht="17.25" customHeight="1" thickBot="1">
      <c r="A58" s="127" t="s">
        <v>240</v>
      </c>
      <c r="B58" s="128">
        <v>58.3</v>
      </c>
      <c r="C58" s="78">
        <v>-1.5202702699999999E-2</v>
      </c>
      <c r="D58" s="20">
        <v>60.8</v>
      </c>
      <c r="E58" s="21">
        <f t="shared" si="22"/>
        <v>4.2881646655231566E-2</v>
      </c>
      <c r="F58" s="22">
        <f>IF(ISNUMBER(D58), $B64 * E58, "")</f>
        <v>4288.1646655231561</v>
      </c>
      <c r="G58" s="30">
        <v>61.2</v>
      </c>
      <c r="H58" s="21">
        <f t="shared" si="23"/>
        <v>4.9742710120068707E-2</v>
      </c>
      <c r="I58" s="105">
        <f>IF(ISNUMBER(G58), $B64 * H58, "")</f>
        <v>4974.2710120068705</v>
      </c>
      <c r="J58" s="20">
        <v>60.6</v>
      </c>
      <c r="K58" s="21">
        <f t="shared" si="24"/>
        <v>3.9451114922813113E-2</v>
      </c>
      <c r="L58" s="22">
        <f>IF(ISNUMBER(J58), $B64 * K58, "")</f>
        <v>3945.1114922813113</v>
      </c>
      <c r="M58" s="30">
        <v>60</v>
      </c>
      <c r="N58" s="21">
        <f t="shared" si="25"/>
        <v>2.9159519725557512E-2</v>
      </c>
      <c r="O58" s="22">
        <f>IF(ISNUMBER(M58), $B64 * N58, "")</f>
        <v>2915.9519725557511</v>
      </c>
      <c r="Q58" s="248"/>
      <c r="R58" s="248"/>
      <c r="S58" s="248"/>
    </row>
    <row r="59" spans="1:19" ht="17.25" customHeight="1" thickBot="1">
      <c r="A59" s="125" t="s">
        <v>144</v>
      </c>
      <c r="B59" s="129">
        <v>96</v>
      </c>
      <c r="C59" s="80">
        <v>-1.5384615399999999E-2</v>
      </c>
      <c r="D59" s="106">
        <v>111</v>
      </c>
      <c r="E59" s="107">
        <f>IF(ISNUMBER(D59), (D59 - $B59) / $B59, "")</f>
        <v>0.15625</v>
      </c>
      <c r="F59" s="108">
        <f>IF(ISNUMBER(D59), $B64 * E59, "")</f>
        <v>15625</v>
      </c>
      <c r="G59" s="109">
        <v>107</v>
      </c>
      <c r="H59" s="107">
        <f>IF(ISNUMBER(G59), (G59 - $B59) / $B59, "")</f>
        <v>0.11458333333333333</v>
      </c>
      <c r="I59" s="110">
        <f>IF(ISNUMBER(G59), $B64 * H59, "")</f>
        <v>11458.333333333332</v>
      </c>
      <c r="J59" s="106">
        <v>105</v>
      </c>
      <c r="K59" s="107">
        <f>IF(ISNUMBER(J59), (J59 - $B59) / $B59, "")</f>
        <v>9.375E-2</v>
      </c>
      <c r="L59" s="108">
        <f>IF(ISNUMBER(J59), $B64 * K59, "")</f>
        <v>9375</v>
      </c>
      <c r="M59" s="109">
        <v>107</v>
      </c>
      <c r="N59" s="107">
        <f>IF(ISNUMBER(M59), (M59 - $B59) / $B59, "")</f>
        <v>0.11458333333333333</v>
      </c>
      <c r="O59" s="108">
        <f>IF(ISNUMBER(M59), $B64 * N59, "")</f>
        <v>11458.333333333332</v>
      </c>
      <c r="Q59" s="238"/>
      <c r="R59" s="238"/>
      <c r="S59" s="238"/>
    </row>
    <row r="60" spans="1:19" ht="17.25" customHeight="1" thickBot="1">
      <c r="A60" s="125" t="s">
        <v>98</v>
      </c>
      <c r="B60" s="126">
        <v>3.25</v>
      </c>
      <c r="C60" s="77">
        <v>-1.81268882E-2</v>
      </c>
      <c r="D60" s="15">
        <v>3.44</v>
      </c>
      <c r="E60" s="32">
        <f t="shared" ref="E60:E63" si="26">IF(ISNUMBER(D60), (D60 - $B60) / $B60, "")</f>
        <v>5.8461538461538447E-2</v>
      </c>
      <c r="F60" s="18">
        <f>IF(ISNUMBER(D60), $B64 * E60, "")</f>
        <v>5846.1538461538448</v>
      </c>
      <c r="G60" s="31">
        <v>3.45</v>
      </c>
      <c r="H60" s="32">
        <f t="shared" ref="H60:H63" si="27">IF(ISNUMBER(G60), (G60 - $B60) / $B60, "")</f>
        <v>6.153846153846159E-2</v>
      </c>
      <c r="I60" s="101">
        <f>IF(ISNUMBER(G60), $B64 * H60, "")</f>
        <v>6153.8461538461588</v>
      </c>
      <c r="J60" s="15">
        <v>3.41</v>
      </c>
      <c r="K60" s="32">
        <f t="shared" ref="K60:K63" si="28">IF(ISNUMBER(J60), (J60 - $B60) / $B60, "")</f>
        <v>4.9230769230769272E-2</v>
      </c>
      <c r="L60" s="18">
        <f>IF(ISNUMBER(J60), $B64 * K60, "")</f>
        <v>4923.0769230769274</v>
      </c>
      <c r="M60" s="31">
        <v>3.41</v>
      </c>
      <c r="N60" s="32">
        <f t="shared" ref="N60:N63" si="29">IF(ISNUMBER(M60), (M60 - $B60) / $B60, "")</f>
        <v>4.9230769230769272E-2</v>
      </c>
      <c r="O60" s="18">
        <f>IF(ISNUMBER(M60), $B64 * N60, "")</f>
        <v>4923.0769230769274</v>
      </c>
      <c r="Q60" s="238"/>
      <c r="R60" s="238"/>
      <c r="S60" s="238"/>
    </row>
    <row r="61" spans="1:19" ht="17.25" customHeight="1" thickBot="1">
      <c r="A61" s="125" t="s">
        <v>202</v>
      </c>
      <c r="B61" s="126">
        <v>60.1</v>
      </c>
      <c r="C61" s="77">
        <v>-2.1172638399999999E-2</v>
      </c>
      <c r="D61" s="15">
        <v>71.400000000000006</v>
      </c>
      <c r="E61" s="32">
        <f t="shared" si="26"/>
        <v>0.18801996672212984</v>
      </c>
      <c r="F61" s="18">
        <f>IF(ISNUMBER(D61), $B64 * E61, "")</f>
        <v>18801.996672212983</v>
      </c>
      <c r="G61" s="31">
        <v>73</v>
      </c>
      <c r="H61" s="32">
        <f t="shared" si="27"/>
        <v>0.21464226289517468</v>
      </c>
      <c r="I61" s="101">
        <f>IF(ISNUMBER(G61), $B64 * H61, "")</f>
        <v>21464.226289517468</v>
      </c>
      <c r="J61" s="15">
        <v>73.400000000000006</v>
      </c>
      <c r="K61" s="32">
        <f t="shared" si="28"/>
        <v>0.22129783693843599</v>
      </c>
      <c r="L61" s="18">
        <f>IF(ISNUMBER(J61), $B64 * K61, "")</f>
        <v>22129.783693843598</v>
      </c>
      <c r="M61" s="31">
        <v>72.3</v>
      </c>
      <c r="N61" s="32">
        <f t="shared" si="29"/>
        <v>0.20299500831946748</v>
      </c>
      <c r="O61" s="18">
        <f>IF(ISNUMBER(M61), $B64 * N61, "")</f>
        <v>20299.500831946749</v>
      </c>
      <c r="Q61" s="238"/>
      <c r="R61" s="238"/>
      <c r="S61" s="238"/>
    </row>
    <row r="62" spans="1:19" ht="17.25" customHeight="1">
      <c r="A62" s="125" t="s">
        <v>216</v>
      </c>
      <c r="B62" s="126">
        <v>9.1300000000000008</v>
      </c>
      <c r="C62" s="77">
        <v>-2.45726496E-2</v>
      </c>
      <c r="D62" s="15">
        <v>9.85</v>
      </c>
      <c r="E62" s="32">
        <f t="shared" si="26"/>
        <v>7.8860898138006438E-2</v>
      </c>
      <c r="F62" s="18">
        <f>IF(ISNUMBER(D62), $B64 * E62, "")</f>
        <v>7886.0898138006442</v>
      </c>
      <c r="G62" s="31">
        <v>9.83</v>
      </c>
      <c r="H62" s="32">
        <f t="shared" si="27"/>
        <v>7.6670317634172966E-2</v>
      </c>
      <c r="I62" s="101">
        <f>IF(ISNUMBER(G62), $B64 * H62, "")</f>
        <v>7667.0317634172961</v>
      </c>
      <c r="J62" s="15">
        <v>9.59</v>
      </c>
      <c r="K62" s="32">
        <f t="shared" si="28"/>
        <v>5.0383351588170762E-2</v>
      </c>
      <c r="L62" s="18">
        <f>IF(ISNUMBER(J62), $B64 * K62, "")</f>
        <v>5038.3351588170763</v>
      </c>
      <c r="M62" s="31">
        <v>9.6</v>
      </c>
      <c r="N62" s="32">
        <f t="shared" si="29"/>
        <v>5.1478641840087491E-2</v>
      </c>
      <c r="O62" s="18">
        <f>IF(ISNUMBER(M62), $B64 * N62, "")</f>
        <v>5147.8641840087494</v>
      </c>
      <c r="Q62" s="227"/>
      <c r="R62" s="228"/>
      <c r="S62" s="229"/>
    </row>
    <row r="63" spans="1:19" ht="17.25" customHeight="1" thickBot="1">
      <c r="A63" s="130" t="s">
        <v>210</v>
      </c>
      <c r="B63" s="131">
        <v>11</v>
      </c>
      <c r="C63" s="79">
        <v>-2.65486726E-2</v>
      </c>
      <c r="D63" s="24">
        <v>11.3</v>
      </c>
      <c r="E63" s="25">
        <f t="shared" si="26"/>
        <v>2.7272727272727337E-2</v>
      </c>
      <c r="F63" s="104">
        <f>IF(ISNUMBER(D63), $B64 * E63, "")</f>
        <v>2727.2727272727338</v>
      </c>
      <c r="G63" s="102">
        <v>11.4</v>
      </c>
      <c r="H63" s="25">
        <f t="shared" si="27"/>
        <v>3.6363636363636397E-2</v>
      </c>
      <c r="I63" s="103">
        <f>IF(ISNUMBER(G63), $B64 * H63, "")</f>
        <v>3636.3636363636397</v>
      </c>
      <c r="J63" s="24">
        <v>11.1</v>
      </c>
      <c r="K63" s="25">
        <f t="shared" si="28"/>
        <v>9.0909090909090592E-3</v>
      </c>
      <c r="L63" s="104">
        <f>IF(ISNUMBER(J63), $B64 * K63, "")</f>
        <v>909.09090909090594</v>
      </c>
      <c r="M63" s="102">
        <v>10.8</v>
      </c>
      <c r="N63" s="25">
        <f t="shared" si="29"/>
        <v>-1.8181818181818118E-2</v>
      </c>
      <c r="O63" s="104">
        <f>IF(ISNUMBER(M63), $B64 * N63, "")</f>
        <v>-1818.1818181818119</v>
      </c>
      <c r="Q63" s="230"/>
      <c r="R63" s="231"/>
      <c r="S63" s="232"/>
    </row>
    <row r="64" spans="1:19" ht="17.25" customHeight="1" thickBot="1">
      <c r="A64" s="132" t="s">
        <v>270</v>
      </c>
      <c r="B64" s="291">
        <f>$B$37</f>
        <v>100000</v>
      </c>
      <c r="C64" s="292"/>
      <c r="D64" s="26" t="s">
        <v>271</v>
      </c>
      <c r="E64" s="27">
        <f>IF(COUNT(E44:E63), SUM(E44:E63) / COUNT(E44:E63), 0)</f>
        <v>7.1981118740497341E-2</v>
      </c>
      <c r="F64" s="28">
        <f>SUM(F44:F63)</f>
        <v>143962.23748099472</v>
      </c>
      <c r="G64" s="26" t="s">
        <v>271</v>
      </c>
      <c r="H64" s="27">
        <f>IF(COUNT(H44:H63), SUM(H44:H63) / COUNT(H44:H63), 0)</f>
        <v>7.1898358276289126E-2</v>
      </c>
      <c r="I64" s="28">
        <f>SUM(I44:I63)</f>
        <v>143796.71655257829</v>
      </c>
      <c r="J64" s="26" t="s">
        <v>271</v>
      </c>
      <c r="K64" s="27">
        <f>IF(COUNT(K44:K63), SUM(K44:K63) / COUNT(K44:K63), 0)</f>
        <v>5.2460452112401322E-2</v>
      </c>
      <c r="L64" s="28">
        <f>SUM(L44:L63)</f>
        <v>104920.90422480264</v>
      </c>
      <c r="M64" s="26" t="s">
        <v>271</v>
      </c>
      <c r="N64" s="27">
        <f>IF(COUNT(N44:N63), SUM(N44:N63) / COUNT(N44:N63), 0)</f>
        <v>4.4333789980365912E-2</v>
      </c>
      <c r="O64" s="28">
        <f>SUM(O44:O63)</f>
        <v>88667.579960731833</v>
      </c>
      <c r="Q64" s="233"/>
      <c r="R64" s="234"/>
      <c r="S64" s="23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48"/>
      <c r="R67" s="248"/>
      <c r="S67" s="248"/>
    </row>
    <row r="68" spans="1:19" ht="17.25" thickBot="1">
      <c r="A68" s="157" t="s">
        <v>267</v>
      </c>
      <c r="B68" s="249" t="s">
        <v>49</v>
      </c>
      <c r="C68" s="251"/>
      <c r="D68" s="249" t="s">
        <v>58</v>
      </c>
      <c r="E68" s="250"/>
      <c r="F68" s="251"/>
      <c r="G68" s="252">
        <f>_xlfn.IFNA(VLOOKUP(B68, 현재가테이블!$B$2:$D$200, 2, FALSE), "-")</f>
        <v>54440000</v>
      </c>
      <c r="H68" s="253"/>
      <c r="I68" s="254"/>
      <c r="J68" s="249" t="s">
        <v>59</v>
      </c>
      <c r="K68" s="250"/>
      <c r="L68" s="251"/>
      <c r="M68" s="255">
        <f>_xlfn.IFNA(VLOOKUP(B68, 현재가테이블!$B$2:$D$200, 3, FALSE), "-")</f>
        <v>1.07123628E-2</v>
      </c>
      <c r="N68" s="256"/>
      <c r="O68" s="257"/>
      <c r="Q68" s="248"/>
      <c r="R68" s="248"/>
      <c r="S68" s="248"/>
    </row>
    <row r="69" spans="1:19" ht="17.25" thickBot="1">
      <c r="A69" s="293" t="s">
        <v>55</v>
      </c>
      <c r="B69" s="289" t="str">
        <f>TEXT($G$1, "[$-ko-KR]yyyy-mm-dd(ddd) ") &amp; "오전 00:00"</f>
        <v>2021-08-01(일) 오전 00:00</v>
      </c>
      <c r="C69" s="290"/>
      <c r="D69" s="262" t="str">
        <f>TEXT($G$1, "[$-ko-KR]yyyy-mm-dd(ddd) ") &amp; "오후 14:00"</f>
        <v>2021-08-01(일) 오후 14:00</v>
      </c>
      <c r="E69" s="263"/>
      <c r="F69" s="264"/>
      <c r="G69" s="262" t="str">
        <f>TEXT($G$1, "[$-ko-KR]yyyy-mm-dd(ddd) ") &amp; "오후 19:00"</f>
        <v>2021-08-01(일) 오후 19:00</v>
      </c>
      <c r="H69" s="263"/>
      <c r="I69" s="264"/>
      <c r="J69" s="262" t="str">
        <f>TEXT($G$1, "[$-ko-KR]yyyy-mm-dd(ddd) ") &amp; "오후 21:00"</f>
        <v>2021-08-01(일) 오후 21:00</v>
      </c>
      <c r="K69" s="263"/>
      <c r="L69" s="264"/>
      <c r="M69" s="262" t="str">
        <f>TEXT($G$1+1, "[$-ko-KR]yyyy-mm-dd(ddd) ") &amp; "오전 00:00"</f>
        <v>2021-08-02(월) 오전 00:00</v>
      </c>
      <c r="N69" s="263"/>
      <c r="O69" s="264"/>
      <c r="Q69" s="248"/>
      <c r="R69" s="248"/>
      <c r="S69" s="248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8"/>
      <c r="R70" s="238"/>
      <c r="S70" s="238"/>
    </row>
    <row r="71" spans="1:19" ht="17.25" thickBot="1">
      <c r="A71" s="123" t="s">
        <v>254</v>
      </c>
      <c r="B71" s="124">
        <v>363</v>
      </c>
      <c r="C71" s="76">
        <v>0.59210526320000001</v>
      </c>
      <c r="D71" s="13">
        <v>309</v>
      </c>
      <c r="E71" s="14">
        <f>IF(ISNUMBER(D71), (D71 - $B71) / $B71, "")</f>
        <v>-0.1487603305785124</v>
      </c>
      <c r="F71" s="16">
        <f>IF(ISNUMBER(D71), $B91 * E71, "")</f>
        <v>-14876.03305785124</v>
      </c>
      <c r="G71" s="29">
        <v>308</v>
      </c>
      <c r="H71" s="14">
        <f>IF(ISNUMBER(G71), (G71 - $B71) / $B71, "")</f>
        <v>-0.15151515151515152</v>
      </c>
      <c r="I71" s="100">
        <f>IF(ISNUMBER(G71), $B91 * H71, "")</f>
        <v>-15151.515151515152</v>
      </c>
      <c r="J71" s="13">
        <v>299</v>
      </c>
      <c r="K71" s="14">
        <f>IF(ISNUMBER(J71), (J71 - $B71) / $B71, "")</f>
        <v>-0.17630853994490359</v>
      </c>
      <c r="L71" s="16">
        <f>IF(ISNUMBER(J71), $B91 * K71, "")</f>
        <v>-17630.853994490357</v>
      </c>
      <c r="M71" s="29">
        <v>297</v>
      </c>
      <c r="N71" s="14">
        <f>IF(ISNUMBER(M71), (M71 - $B71) / $B71, "")</f>
        <v>-0.18181818181818182</v>
      </c>
      <c r="O71" s="16">
        <f>IF(ISNUMBER(M71), $B91 * N71, "")</f>
        <v>-18181.818181818184</v>
      </c>
      <c r="Q71" s="248"/>
      <c r="R71" s="248"/>
      <c r="S71" s="248"/>
    </row>
    <row r="72" spans="1:19" ht="17.25" thickBot="1">
      <c r="A72" s="125" t="s">
        <v>192</v>
      </c>
      <c r="B72" s="126">
        <v>243</v>
      </c>
      <c r="C72" s="77">
        <v>0.13023255810000001</v>
      </c>
      <c r="D72" s="15">
        <v>226</v>
      </c>
      <c r="E72" s="32">
        <f t="shared" ref="E72:E75" si="30">IF(ISNUMBER(D72), (D72 - $B72) / $B72, "")</f>
        <v>-6.9958847736625515E-2</v>
      </c>
      <c r="F72" s="18">
        <f>IF(ISNUMBER(D72), $B91 * E72, "")</f>
        <v>-6995.8847736625512</v>
      </c>
      <c r="G72" s="31">
        <v>226</v>
      </c>
      <c r="H72" s="32">
        <f t="shared" ref="H72:H75" si="31">IF(ISNUMBER(G72), (G72 - $B72) / $B72, "")</f>
        <v>-6.9958847736625515E-2</v>
      </c>
      <c r="I72" s="101">
        <f>IF(ISNUMBER(G72), $B91 * H72, "")</f>
        <v>-6995.8847736625512</v>
      </c>
      <c r="J72" s="15">
        <v>225</v>
      </c>
      <c r="K72" s="32">
        <f t="shared" ref="K72:K75" si="32">IF(ISNUMBER(J72), (J72 - $B72) / $B72, "")</f>
        <v>-7.407407407407407E-2</v>
      </c>
      <c r="L72" s="18">
        <f>IF(ISNUMBER(J72), $B91 * K72, "")</f>
        <v>-7407.4074074074069</v>
      </c>
      <c r="M72" s="31">
        <v>224</v>
      </c>
      <c r="N72" s="32">
        <f t="shared" ref="N72:N75" si="33">IF(ISNUMBER(M72), (M72 - $B72) / $B72, "")</f>
        <v>-7.8189300411522639E-2</v>
      </c>
      <c r="O72" s="18">
        <f>IF(ISNUMBER(M72), $B91 * N72, "")</f>
        <v>-7818.9300411522636</v>
      </c>
      <c r="Q72" s="248"/>
      <c r="R72" s="248"/>
      <c r="S72" s="248"/>
    </row>
    <row r="73" spans="1:19" ht="17.25" thickBot="1">
      <c r="A73" s="125" t="s">
        <v>252</v>
      </c>
      <c r="B73" s="126">
        <v>960</v>
      </c>
      <c r="C73" s="77">
        <v>7.7441077400000002E-2</v>
      </c>
      <c r="D73" s="15">
        <v>912</v>
      </c>
      <c r="E73" s="32">
        <f t="shared" si="30"/>
        <v>-0.05</v>
      </c>
      <c r="F73" s="18">
        <f>IF(ISNUMBER(D73), $B91 * E73, "")</f>
        <v>-5000</v>
      </c>
      <c r="G73" s="31">
        <v>927</v>
      </c>
      <c r="H73" s="32">
        <f t="shared" si="31"/>
        <v>-3.4375000000000003E-2</v>
      </c>
      <c r="I73" s="101">
        <f>IF(ISNUMBER(G73), $B91 * H73, "")</f>
        <v>-3437.5000000000005</v>
      </c>
      <c r="J73" s="15">
        <v>913</v>
      </c>
      <c r="K73" s="32">
        <f t="shared" si="32"/>
        <v>-4.8958333333333333E-2</v>
      </c>
      <c r="L73" s="18">
        <f>IF(ISNUMBER(J73), $B91 * K73, "")</f>
        <v>-4895.833333333333</v>
      </c>
      <c r="M73" s="31">
        <v>916</v>
      </c>
      <c r="N73" s="32">
        <f t="shared" si="33"/>
        <v>-4.583333333333333E-2</v>
      </c>
      <c r="O73" s="18">
        <f>IF(ISNUMBER(M73), $B91 * N73, "")</f>
        <v>-4583.333333333333</v>
      </c>
      <c r="Q73" s="238"/>
      <c r="R73" s="238"/>
      <c r="S73" s="238"/>
    </row>
    <row r="74" spans="1:19" ht="17.25" thickBot="1">
      <c r="A74" s="125" t="s">
        <v>104</v>
      </c>
      <c r="B74" s="126">
        <v>949</v>
      </c>
      <c r="C74" s="77">
        <v>5.3274139800000002E-2</v>
      </c>
      <c r="D74" s="15">
        <v>958</v>
      </c>
      <c r="E74" s="32">
        <f t="shared" si="30"/>
        <v>9.4836670179135937E-3</v>
      </c>
      <c r="F74" s="18">
        <f>IF(ISNUMBER(D74), $B91 * E74, "")</f>
        <v>948.36670179135933</v>
      </c>
      <c r="G74" s="31">
        <v>972</v>
      </c>
      <c r="H74" s="32">
        <f t="shared" si="31"/>
        <v>2.4236037934668071E-2</v>
      </c>
      <c r="I74" s="101">
        <f>IF(ISNUMBER(G74), $B91 * H74, "")</f>
        <v>2423.603793466807</v>
      </c>
      <c r="J74" s="15">
        <v>953</v>
      </c>
      <c r="K74" s="32">
        <f t="shared" si="32"/>
        <v>4.2149631190727078E-3</v>
      </c>
      <c r="L74" s="18">
        <f>IF(ISNUMBER(J74), $B91 * K74, "")</f>
        <v>421.49631190727081</v>
      </c>
      <c r="M74" s="31">
        <v>944</v>
      </c>
      <c r="N74" s="32">
        <f t="shared" si="33"/>
        <v>-5.268703898840885E-3</v>
      </c>
      <c r="O74" s="18">
        <f>IF(ISNUMBER(M74), $B91 * N74, "")</f>
        <v>-526.87038988408847</v>
      </c>
      <c r="Q74" s="238"/>
      <c r="R74" s="238"/>
      <c r="S74" s="238"/>
    </row>
    <row r="75" spans="1:19" ht="17.25" thickBot="1">
      <c r="A75" s="127" t="s">
        <v>164</v>
      </c>
      <c r="B75" s="128">
        <v>296</v>
      </c>
      <c r="C75" s="78">
        <v>4.2253521099999997E-2</v>
      </c>
      <c r="D75" s="20">
        <v>294</v>
      </c>
      <c r="E75" s="21">
        <f t="shared" si="30"/>
        <v>-6.7567567567567571E-3</v>
      </c>
      <c r="F75" s="22">
        <f>IF(ISNUMBER(D75), $B91 * E75, "")</f>
        <v>-675.67567567567573</v>
      </c>
      <c r="G75" s="30">
        <v>298</v>
      </c>
      <c r="H75" s="21">
        <f t="shared" si="31"/>
        <v>6.7567567567567571E-3</v>
      </c>
      <c r="I75" s="105">
        <f>IF(ISNUMBER(G75), $B91 * H75, "")</f>
        <v>675.67567567567573</v>
      </c>
      <c r="J75" s="20">
        <v>294</v>
      </c>
      <c r="K75" s="21">
        <f t="shared" si="32"/>
        <v>-6.7567567567567571E-3</v>
      </c>
      <c r="L75" s="22">
        <f>IF(ISNUMBER(J75), $B91 * K75, "")</f>
        <v>-675.67567567567573</v>
      </c>
      <c r="M75" s="30">
        <v>295</v>
      </c>
      <c r="N75" s="21">
        <f t="shared" si="33"/>
        <v>-3.3783783783783786E-3</v>
      </c>
      <c r="O75" s="22">
        <f>IF(ISNUMBER(M75), $B91 * N75, "")</f>
        <v>-337.83783783783787</v>
      </c>
      <c r="Q75" s="238"/>
      <c r="R75" s="238"/>
      <c r="S75" s="238"/>
    </row>
    <row r="76" spans="1:19" ht="17.25" thickBot="1">
      <c r="A76" s="125" t="s">
        <v>102</v>
      </c>
      <c r="B76" s="129">
        <v>975</v>
      </c>
      <c r="C76" s="80">
        <v>3.8338658099999999E-2</v>
      </c>
      <c r="D76" s="106">
        <v>986</v>
      </c>
      <c r="E76" s="107">
        <f>IF(ISNUMBER(D76), (D76 - $B76) / $B76, "")</f>
        <v>1.1282051282051283E-2</v>
      </c>
      <c r="F76" s="108">
        <f>IF(ISNUMBER(D76), $B91 * E76, "")</f>
        <v>1128.2051282051284</v>
      </c>
      <c r="G76" s="109">
        <v>990</v>
      </c>
      <c r="H76" s="107">
        <f>IF(ISNUMBER(G76), (G76 - $B76) / $B76, "")</f>
        <v>1.5384615384615385E-2</v>
      </c>
      <c r="I76" s="110">
        <f>IF(ISNUMBER(G76), $B91 * H76, "")</f>
        <v>1538.4615384615386</v>
      </c>
      <c r="J76" s="106">
        <v>968</v>
      </c>
      <c r="K76" s="107">
        <f>IF(ISNUMBER(J76), (J76 - $B76) / $B76, "")</f>
        <v>-7.1794871794871795E-3</v>
      </c>
      <c r="L76" s="108">
        <f>IF(ISNUMBER(J76), $B91 * K76, "")</f>
        <v>-717.9487179487179</v>
      </c>
      <c r="M76" s="109">
        <v>969</v>
      </c>
      <c r="N76" s="107">
        <f>IF(ISNUMBER(M76), (M76 - $B76) / $B76, "")</f>
        <v>-6.1538461538461538E-3</v>
      </c>
      <c r="O76" s="108">
        <f>IF(ISNUMBER(M76), $B91 * N76, "")</f>
        <v>-615.38461538461536</v>
      </c>
      <c r="Q76" s="238"/>
      <c r="R76" s="238"/>
      <c r="S76" s="238"/>
    </row>
    <row r="77" spans="1:19" ht="17.25" thickBot="1">
      <c r="A77" s="125" t="s">
        <v>80</v>
      </c>
      <c r="B77" s="126">
        <v>735</v>
      </c>
      <c r="C77" s="77">
        <v>2.9411764699999999E-2</v>
      </c>
      <c r="D77" s="15">
        <v>802</v>
      </c>
      <c r="E77" s="32">
        <f t="shared" ref="E77:E80" si="34">IF(ISNUMBER(D77), (D77 - $B77) / $B77, "")</f>
        <v>9.1156462585034015E-2</v>
      </c>
      <c r="F77" s="18">
        <f>IF(ISNUMBER(D77), $B91 * E77, "")</f>
        <v>9115.6462585034024</v>
      </c>
      <c r="G77" s="31">
        <v>808</v>
      </c>
      <c r="H77" s="32">
        <f t="shared" ref="H77:H80" si="35">IF(ISNUMBER(G77), (G77 - $B77) / $B77, "")</f>
        <v>9.9319727891156465E-2</v>
      </c>
      <c r="I77" s="101">
        <f>IF(ISNUMBER(G77), $B91 * H77, "")</f>
        <v>9931.9727891156472</v>
      </c>
      <c r="J77" s="15">
        <v>785</v>
      </c>
      <c r="K77" s="32">
        <f t="shared" ref="K77:K80" si="36">IF(ISNUMBER(J77), (J77 - $B77) / $B77, "")</f>
        <v>6.8027210884353748E-2</v>
      </c>
      <c r="L77" s="18">
        <f>IF(ISNUMBER(J77), $B91 * K77, "")</f>
        <v>6802.7210884353744</v>
      </c>
      <c r="M77" s="31">
        <v>788</v>
      </c>
      <c r="N77" s="32">
        <f t="shared" ref="N77:N80" si="37">IF(ISNUMBER(M77), (M77 - $B77) / $B77, "")</f>
        <v>7.2108843537414966E-2</v>
      </c>
      <c r="O77" s="18">
        <f>IF(ISNUMBER(M77), $B91 * N77, "")</f>
        <v>7210.8843537414969</v>
      </c>
      <c r="Q77" s="238"/>
      <c r="R77" s="238"/>
      <c r="S77" s="238"/>
    </row>
    <row r="78" spans="1:19" ht="17.25" thickBot="1">
      <c r="A78" s="125" t="s">
        <v>200</v>
      </c>
      <c r="B78" s="126">
        <v>131</v>
      </c>
      <c r="C78" s="77">
        <v>2.34375E-2</v>
      </c>
      <c r="D78" s="15">
        <v>135</v>
      </c>
      <c r="E78" s="32">
        <f t="shared" si="34"/>
        <v>3.0534351145038167E-2</v>
      </c>
      <c r="F78" s="18">
        <f>IF(ISNUMBER(D78), $B91 * E78, "")</f>
        <v>3053.4351145038167</v>
      </c>
      <c r="G78" s="31">
        <v>135</v>
      </c>
      <c r="H78" s="32">
        <f t="shared" si="35"/>
        <v>3.0534351145038167E-2</v>
      </c>
      <c r="I78" s="101">
        <f>IF(ISNUMBER(G78), $B91 * H78, "")</f>
        <v>3053.4351145038167</v>
      </c>
      <c r="J78" s="15">
        <v>133</v>
      </c>
      <c r="K78" s="32">
        <f t="shared" si="36"/>
        <v>1.5267175572519083E-2</v>
      </c>
      <c r="L78" s="18">
        <f>IF(ISNUMBER(J78), $B91 * K78, "")</f>
        <v>1526.7175572519084</v>
      </c>
      <c r="M78" s="31">
        <v>133</v>
      </c>
      <c r="N78" s="32">
        <f t="shared" si="37"/>
        <v>1.5267175572519083E-2</v>
      </c>
      <c r="O78" s="18">
        <f>IF(ISNUMBER(M78), $B91 * N78, "")</f>
        <v>1526.7175572519084</v>
      </c>
      <c r="Q78" s="238"/>
      <c r="R78" s="238"/>
      <c r="S78" s="238"/>
    </row>
    <row r="79" spans="1:19" ht="17.25" thickBot="1">
      <c r="A79" s="125" t="s">
        <v>128</v>
      </c>
      <c r="B79" s="126">
        <v>101</v>
      </c>
      <c r="C79" s="77">
        <v>2.1233569300000001E-2</v>
      </c>
      <c r="D79" s="15">
        <v>105</v>
      </c>
      <c r="E79" s="32">
        <f t="shared" si="34"/>
        <v>3.9603960396039604E-2</v>
      </c>
      <c r="F79" s="18">
        <f>IF(ISNUMBER(D79), $B91 * E79, "")</f>
        <v>3960.3960396039606</v>
      </c>
      <c r="G79" s="31">
        <v>106</v>
      </c>
      <c r="H79" s="32">
        <f t="shared" si="35"/>
        <v>4.9504950495049507E-2</v>
      </c>
      <c r="I79" s="101">
        <f>IF(ISNUMBER(G79), $B91 * H79, "")</f>
        <v>4950.4950495049507</v>
      </c>
      <c r="J79" s="15">
        <v>104</v>
      </c>
      <c r="K79" s="32">
        <f t="shared" si="36"/>
        <v>2.9702970297029702E-2</v>
      </c>
      <c r="L79" s="18">
        <f>IF(ISNUMBER(J79), $B91 * K79, "")</f>
        <v>2970.2970297029701</v>
      </c>
      <c r="M79" s="31">
        <v>103</v>
      </c>
      <c r="N79" s="32">
        <f t="shared" si="37"/>
        <v>1.9801980198019802E-2</v>
      </c>
      <c r="O79" s="18">
        <f>IF(ISNUMBER(M79), $B91 * N79, "")</f>
        <v>1980.1980198019803</v>
      </c>
      <c r="Q79" s="33"/>
      <c r="R79" s="33"/>
    </row>
    <row r="80" spans="1:19" ht="17.25" thickBot="1">
      <c r="A80" s="130" t="s">
        <v>242</v>
      </c>
      <c r="B80" s="131">
        <v>446</v>
      </c>
      <c r="C80" s="79">
        <v>1.5945330300000001E-2</v>
      </c>
      <c r="D80" s="24">
        <v>452</v>
      </c>
      <c r="E80" s="25">
        <f t="shared" si="34"/>
        <v>1.3452914798206279E-2</v>
      </c>
      <c r="F80" s="104">
        <f>IF(ISNUMBER(D80), $B91 * E80, "")</f>
        <v>1345.291479820628</v>
      </c>
      <c r="G80" s="102">
        <v>453</v>
      </c>
      <c r="H80" s="25">
        <f t="shared" si="35"/>
        <v>1.5695067264573991E-2</v>
      </c>
      <c r="I80" s="103">
        <f>IF(ISNUMBER(G80), $B91 * H80, "")</f>
        <v>1569.5067264573991</v>
      </c>
      <c r="J80" s="24">
        <v>442</v>
      </c>
      <c r="K80" s="25">
        <f t="shared" si="36"/>
        <v>-8.9686098654708519E-3</v>
      </c>
      <c r="L80" s="104">
        <f>IF(ISNUMBER(J80), $B91 * K80, "")</f>
        <v>-896.86098654708519</v>
      </c>
      <c r="M80" s="102">
        <v>442</v>
      </c>
      <c r="N80" s="25">
        <f t="shared" si="37"/>
        <v>-8.9686098654708519E-3</v>
      </c>
      <c r="O80" s="104">
        <f>IF(ISNUMBER(M80), $B91 * N80, "")</f>
        <v>-896.86098654708519</v>
      </c>
      <c r="Q80" s="239"/>
      <c r="R80" s="240"/>
      <c r="S80" s="241"/>
    </row>
    <row r="81" spans="1:19">
      <c r="A81" s="123" t="s">
        <v>124</v>
      </c>
      <c r="B81" s="124">
        <v>323</v>
      </c>
      <c r="C81" s="76">
        <v>1.5723270399999999E-2</v>
      </c>
      <c r="D81" s="13">
        <v>325</v>
      </c>
      <c r="E81" s="14">
        <f>IF(ISNUMBER(D81), (D81 - $B81) / $B81, "")</f>
        <v>6.1919504643962852E-3</v>
      </c>
      <c r="F81" s="16">
        <f>IF(ISNUMBER(D81), $B91 * E81, "")</f>
        <v>619.19504643962853</v>
      </c>
      <c r="G81" s="29">
        <v>327</v>
      </c>
      <c r="H81" s="14">
        <f>IF(ISNUMBER(G81), (G81 - $B81) / $B81, "")</f>
        <v>1.238390092879257E-2</v>
      </c>
      <c r="I81" s="100">
        <f>IF(ISNUMBER(G81), $B91 * H81, "")</f>
        <v>1238.3900928792571</v>
      </c>
      <c r="J81" s="13">
        <v>320</v>
      </c>
      <c r="K81" s="14">
        <f>IF(ISNUMBER(J81), (J81 - $B81) / $B81, "")</f>
        <v>-9.2879256965944269E-3</v>
      </c>
      <c r="L81" s="16">
        <f>IF(ISNUMBER(J81), $B91 * K81, "")</f>
        <v>-928.79256965944273</v>
      </c>
      <c r="M81" s="29">
        <v>317</v>
      </c>
      <c r="N81" s="14">
        <f>IF(ISNUMBER(M81), (M81 - $B81) / $B81, "")</f>
        <v>-1.8575851393188854E-2</v>
      </c>
      <c r="O81" s="16">
        <f>IF(ISNUMBER(M81), $B91 * N81, "")</f>
        <v>-1857.5851393188855</v>
      </c>
      <c r="Q81" s="242"/>
      <c r="R81" s="243"/>
      <c r="S81" s="244"/>
    </row>
    <row r="82" spans="1:19" ht="17.25" thickBot="1">
      <c r="A82" s="125" t="s">
        <v>57</v>
      </c>
      <c r="B82" s="126">
        <v>202</v>
      </c>
      <c r="C82" s="77">
        <v>0.01</v>
      </c>
      <c r="D82" s="15">
        <v>209</v>
      </c>
      <c r="E82" s="32">
        <f t="shared" ref="E82:E85" si="38">IF(ISNUMBER(D82), (D82 - $B82) / $B82, "")</f>
        <v>3.4653465346534656E-2</v>
      </c>
      <c r="F82" s="18">
        <f>IF(ISNUMBER(D82), $B91 * E82, "")</f>
        <v>3465.3465346534658</v>
      </c>
      <c r="G82" s="31">
        <v>211</v>
      </c>
      <c r="H82" s="32">
        <f t="shared" ref="H82:H85" si="39">IF(ISNUMBER(G82), (G82 - $B82) / $B82, "")</f>
        <v>4.4554455445544552E-2</v>
      </c>
      <c r="I82" s="101">
        <f>IF(ISNUMBER(G82), $B91 * H82, "")</f>
        <v>4455.4455445544554</v>
      </c>
      <c r="J82" s="15">
        <v>207</v>
      </c>
      <c r="K82" s="32">
        <f t="shared" ref="K82:K85" si="40">IF(ISNUMBER(J82), (J82 - $B82) / $B82, "")</f>
        <v>2.4752475247524754E-2</v>
      </c>
      <c r="L82" s="18">
        <f>IF(ISNUMBER(J82), $B91 * K82, "")</f>
        <v>2475.2475247524753</v>
      </c>
      <c r="M82" s="31">
        <v>205</v>
      </c>
      <c r="N82" s="32">
        <f t="shared" ref="N82:N85" si="41">IF(ISNUMBER(M82), (M82 - $B82) / $B82, "")</f>
        <v>1.4851485148514851E-2</v>
      </c>
      <c r="O82" s="18">
        <f>IF(ISNUMBER(M82), $B91 * N82, "")</f>
        <v>1485.1485148514851</v>
      </c>
      <c r="Q82" s="245"/>
      <c r="R82" s="246"/>
      <c r="S82" s="247"/>
    </row>
    <row r="83" spans="1:19" ht="17.25" thickBot="1">
      <c r="A83" s="125" t="s">
        <v>118</v>
      </c>
      <c r="B83" s="126">
        <v>148</v>
      </c>
      <c r="C83" s="77">
        <v>6.8027210999999999E-3</v>
      </c>
      <c r="D83" s="15">
        <v>152</v>
      </c>
      <c r="E83" s="32">
        <f t="shared" si="38"/>
        <v>2.7027027027027029E-2</v>
      </c>
      <c r="F83" s="18">
        <f>IF(ISNUMBER(D83), $B91 * E83, "")</f>
        <v>2702.7027027027029</v>
      </c>
      <c r="G83" s="31">
        <v>151</v>
      </c>
      <c r="H83" s="32">
        <f t="shared" si="39"/>
        <v>2.0270270270270271E-2</v>
      </c>
      <c r="I83" s="101">
        <f>IF(ISNUMBER(G83), $B91 * H83, "")</f>
        <v>2027.0270270270271</v>
      </c>
      <c r="J83" s="15">
        <v>150</v>
      </c>
      <c r="K83" s="32">
        <f t="shared" si="40"/>
        <v>1.3513513513513514E-2</v>
      </c>
      <c r="L83" s="18">
        <f>IF(ISNUMBER(J83), $B91 * K83, "")</f>
        <v>1351.3513513513515</v>
      </c>
      <c r="M83" s="31">
        <v>148</v>
      </c>
      <c r="N83" s="32">
        <f t="shared" si="41"/>
        <v>0</v>
      </c>
      <c r="O83" s="18">
        <f>IF(ISNUMBER(M83), $B91 * N83, "")</f>
        <v>0</v>
      </c>
      <c r="Q83" s="238"/>
      <c r="R83" s="238"/>
      <c r="S83" s="238"/>
    </row>
    <row r="84" spans="1:19" ht="17.25" thickBot="1">
      <c r="A84" s="125" t="s">
        <v>230</v>
      </c>
      <c r="B84" s="126">
        <v>179</v>
      </c>
      <c r="C84" s="77">
        <v>5.6179775000000003E-3</v>
      </c>
      <c r="D84" s="15">
        <v>178</v>
      </c>
      <c r="E84" s="32">
        <f t="shared" si="38"/>
        <v>-5.5865921787709499E-3</v>
      </c>
      <c r="F84" s="18">
        <f>IF(ISNUMBER(D84), $B91 * E84, "")</f>
        <v>-558.65921787709499</v>
      </c>
      <c r="G84" s="31">
        <v>179</v>
      </c>
      <c r="H84" s="32">
        <f t="shared" si="39"/>
        <v>0</v>
      </c>
      <c r="I84" s="101">
        <f>IF(ISNUMBER(G84), $B91 * H84, "")</f>
        <v>0</v>
      </c>
      <c r="J84" s="15">
        <v>178</v>
      </c>
      <c r="K84" s="32">
        <f t="shared" si="40"/>
        <v>-5.5865921787709499E-3</v>
      </c>
      <c r="L84" s="18">
        <f>IF(ISNUMBER(J84), $B91 * K84, "")</f>
        <v>-558.65921787709499</v>
      </c>
      <c r="M84" s="31">
        <v>179</v>
      </c>
      <c r="N84" s="32">
        <f t="shared" si="41"/>
        <v>0</v>
      </c>
      <c r="O84" s="18">
        <f>IF(ISNUMBER(M84), $B91 * N84, "")</f>
        <v>0</v>
      </c>
      <c r="Q84" s="248"/>
      <c r="R84" s="248"/>
      <c r="S84" s="248"/>
    </row>
    <row r="85" spans="1:19" ht="17.25" thickBot="1">
      <c r="A85" s="127" t="s">
        <v>236</v>
      </c>
      <c r="B85" s="128">
        <v>565</v>
      </c>
      <c r="C85" s="78">
        <v>3.5523979E-3</v>
      </c>
      <c r="D85" s="20">
        <v>575</v>
      </c>
      <c r="E85" s="21">
        <f t="shared" si="38"/>
        <v>1.7699115044247787E-2</v>
      </c>
      <c r="F85" s="22">
        <f>IF(ISNUMBER(D85), $B91 * E85, "")</f>
        <v>1769.9115044247787</v>
      </c>
      <c r="G85" s="30">
        <v>579</v>
      </c>
      <c r="H85" s="21">
        <f t="shared" si="39"/>
        <v>2.4778761061946902E-2</v>
      </c>
      <c r="I85" s="105">
        <f>IF(ISNUMBER(G85), $B91 * H85, "")</f>
        <v>2477.8761061946902</v>
      </c>
      <c r="J85" s="20">
        <v>571</v>
      </c>
      <c r="K85" s="21">
        <f t="shared" si="40"/>
        <v>1.0619469026548672E-2</v>
      </c>
      <c r="L85" s="22">
        <f>IF(ISNUMBER(J85), $B91 * K85, "")</f>
        <v>1061.9469026548672</v>
      </c>
      <c r="M85" s="30">
        <v>570</v>
      </c>
      <c r="N85" s="21">
        <f t="shared" si="41"/>
        <v>8.8495575221238937E-3</v>
      </c>
      <c r="O85" s="22">
        <f>IF(ISNUMBER(M85), $B91 * N85, "")</f>
        <v>884.95575221238937</v>
      </c>
      <c r="Q85" s="248"/>
      <c r="R85" s="248"/>
      <c r="S85" s="248"/>
    </row>
    <row r="86" spans="1:19" ht="17.25" thickBot="1">
      <c r="A86" s="125" t="s">
        <v>238</v>
      </c>
      <c r="B86" s="129">
        <v>105</v>
      </c>
      <c r="C86" s="80">
        <v>0</v>
      </c>
      <c r="D86" s="106">
        <v>99.6</v>
      </c>
      <c r="E86" s="107">
        <f>IF(ISNUMBER(D86), (D86 - $B86) / $B86, "")</f>
        <v>-5.1428571428571483E-2</v>
      </c>
      <c r="F86" s="108">
        <f>IF(ISNUMBER(D86), $B91 * E86, "")</f>
        <v>-5142.8571428571486</v>
      </c>
      <c r="G86" s="109">
        <v>99.9</v>
      </c>
      <c r="H86" s="107">
        <f>IF(ISNUMBER(G86), (G86 - $B86) / $B86, "")</f>
        <v>-4.8571428571428515E-2</v>
      </c>
      <c r="I86" s="110">
        <f>IF(ISNUMBER(G86), $B91 * H86, "")</f>
        <v>-4857.1428571428514</v>
      </c>
      <c r="J86" s="106">
        <v>99.3</v>
      </c>
      <c r="K86" s="107">
        <f>IF(ISNUMBER(J86), (J86 - $B86) / $B86, "")</f>
        <v>-5.4285714285714312E-2</v>
      </c>
      <c r="L86" s="108">
        <f>IF(ISNUMBER(J86), $B91 * K86, "")</f>
        <v>-5428.5714285714312</v>
      </c>
      <c r="M86" s="109">
        <v>97.9</v>
      </c>
      <c r="N86" s="107">
        <f>IF(ISNUMBER(M86), (M86 - $B86) / $B86, "")</f>
        <v>-6.7619047619047565E-2</v>
      </c>
      <c r="O86" s="108">
        <f>IF(ISNUMBER(M86), $B91 * N86, "")</f>
        <v>-6761.9047619047569</v>
      </c>
      <c r="Q86" s="238"/>
      <c r="R86" s="238"/>
      <c r="S86" s="238"/>
    </row>
    <row r="87" spans="1:19" ht="17.25" thickBot="1">
      <c r="A87" s="125" t="s">
        <v>266</v>
      </c>
      <c r="B87" s="126">
        <v>239</v>
      </c>
      <c r="C87" s="77">
        <v>-4.1666667000000001E-3</v>
      </c>
      <c r="D87" s="15">
        <v>247</v>
      </c>
      <c r="E87" s="32">
        <f t="shared" ref="E87:E90" si="42">IF(ISNUMBER(D87), (D87 - $B87) / $B87, "")</f>
        <v>3.3472803347280332E-2</v>
      </c>
      <c r="F87" s="18">
        <f>IF(ISNUMBER(D87), $B91 * E87, "")</f>
        <v>3347.2803347280333</v>
      </c>
      <c r="G87" s="31">
        <v>247</v>
      </c>
      <c r="H87" s="32">
        <f t="shared" ref="H87:H90" si="43">IF(ISNUMBER(G87), (G87 - $B87) / $B87, "")</f>
        <v>3.3472803347280332E-2</v>
      </c>
      <c r="I87" s="101">
        <f>IF(ISNUMBER(G87), $B91 * H87, "")</f>
        <v>3347.2803347280333</v>
      </c>
      <c r="J87" s="15">
        <v>244</v>
      </c>
      <c r="K87" s="32">
        <f t="shared" ref="K87:K90" si="44">IF(ISNUMBER(J87), (J87 - $B87) / $B87, "")</f>
        <v>2.0920502092050208E-2</v>
      </c>
      <c r="L87" s="18">
        <f>IF(ISNUMBER(J87), $B91 * K87, "")</f>
        <v>2092.050209205021</v>
      </c>
      <c r="M87" s="31">
        <v>243</v>
      </c>
      <c r="N87" s="32">
        <f t="shared" ref="N87:N90" si="45">IF(ISNUMBER(M87), (M87 - $B87) / $B87, "")</f>
        <v>1.6736401673640166E-2</v>
      </c>
      <c r="O87" s="18">
        <f>IF(ISNUMBER(M87), $B91 * N87, "")</f>
        <v>1673.6401673640166</v>
      </c>
      <c r="Q87" s="238"/>
      <c r="R87" s="238"/>
      <c r="S87" s="238"/>
    </row>
    <row r="88" spans="1:19" ht="17.25" thickBot="1">
      <c r="A88" s="125" t="s">
        <v>90</v>
      </c>
      <c r="B88" s="126">
        <v>859</v>
      </c>
      <c r="C88" s="77">
        <v>-8.0831409000000007E-3</v>
      </c>
      <c r="D88" s="15">
        <v>884</v>
      </c>
      <c r="E88" s="32">
        <f t="shared" si="42"/>
        <v>2.9103608847497089E-2</v>
      </c>
      <c r="F88" s="18">
        <f>IF(ISNUMBER(D88), $B91 * E88, "")</f>
        <v>2910.3608847497089</v>
      </c>
      <c r="G88" s="31">
        <v>888</v>
      </c>
      <c r="H88" s="32">
        <f t="shared" si="43"/>
        <v>3.3760186263096625E-2</v>
      </c>
      <c r="I88" s="101">
        <f>IF(ISNUMBER(G88), $B91 * H88, "")</f>
        <v>3376.0186263096625</v>
      </c>
      <c r="J88" s="15">
        <v>876</v>
      </c>
      <c r="K88" s="32">
        <f t="shared" si="44"/>
        <v>1.9790454016298021E-2</v>
      </c>
      <c r="L88" s="18">
        <f>IF(ISNUMBER(J88), $B91 * K88, "")</f>
        <v>1979.0454016298022</v>
      </c>
      <c r="M88" s="31">
        <v>875</v>
      </c>
      <c r="N88" s="32">
        <f t="shared" si="45"/>
        <v>1.8626309662398137E-2</v>
      </c>
      <c r="O88" s="18">
        <f>IF(ISNUMBER(M88), $B91 * N88, "")</f>
        <v>1862.6309662398137</v>
      </c>
      <c r="Q88" s="238"/>
      <c r="R88" s="238"/>
      <c r="S88" s="238"/>
    </row>
    <row r="89" spans="1:19">
      <c r="A89" s="125" t="s">
        <v>218</v>
      </c>
      <c r="B89" s="126">
        <v>108</v>
      </c>
      <c r="C89" s="77">
        <v>-9.1743119000000008E-3</v>
      </c>
      <c r="D89" s="15">
        <v>114</v>
      </c>
      <c r="E89" s="32">
        <f t="shared" si="42"/>
        <v>5.5555555555555552E-2</v>
      </c>
      <c r="F89" s="18">
        <f>IF(ISNUMBER(D89), $B91 * E89, "")</f>
        <v>5555.5555555555557</v>
      </c>
      <c r="G89" s="31">
        <v>116</v>
      </c>
      <c r="H89" s="32">
        <f t="shared" si="43"/>
        <v>7.407407407407407E-2</v>
      </c>
      <c r="I89" s="101">
        <f>IF(ISNUMBER(G89), $B91 * H89, "")</f>
        <v>7407.4074074074069</v>
      </c>
      <c r="J89" s="15">
        <v>114</v>
      </c>
      <c r="K89" s="32">
        <f t="shared" si="44"/>
        <v>5.5555555555555552E-2</v>
      </c>
      <c r="L89" s="18">
        <f>IF(ISNUMBER(J89), $B91 * K89, "")</f>
        <v>5555.5555555555557</v>
      </c>
      <c r="M89" s="31">
        <v>115</v>
      </c>
      <c r="N89" s="32">
        <f t="shared" si="45"/>
        <v>6.4814814814814811E-2</v>
      </c>
      <c r="O89" s="18">
        <f>IF(ISNUMBER(M89), $B91 * N89, "")</f>
        <v>6481.4814814814808</v>
      </c>
      <c r="Q89" s="227"/>
      <c r="R89" s="228"/>
      <c r="S89" s="229"/>
    </row>
    <row r="90" spans="1:19" ht="17.25" thickBot="1">
      <c r="A90" s="130" t="s">
        <v>51</v>
      </c>
      <c r="B90" s="131">
        <v>319</v>
      </c>
      <c r="C90" s="79">
        <v>-9.3167701999999995E-3</v>
      </c>
      <c r="D90" s="24">
        <v>341</v>
      </c>
      <c r="E90" s="25">
        <f t="shared" si="42"/>
        <v>6.8965517241379309E-2</v>
      </c>
      <c r="F90" s="104">
        <f>IF(ISNUMBER(D90), $B91 * E90, "")</f>
        <v>6896.5517241379312</v>
      </c>
      <c r="G90" s="102">
        <v>342</v>
      </c>
      <c r="H90" s="25">
        <f t="shared" si="43"/>
        <v>7.2100313479623826E-2</v>
      </c>
      <c r="I90" s="103">
        <f>IF(ISNUMBER(G90), $B91 * H90, "")</f>
        <v>7210.0313479623828</v>
      </c>
      <c r="J90" s="24">
        <v>333</v>
      </c>
      <c r="K90" s="25">
        <f t="shared" si="44"/>
        <v>4.3887147335423198E-2</v>
      </c>
      <c r="L90" s="104">
        <f>IF(ISNUMBER(J90), $B91 * K90, "")</f>
        <v>4388.7147335423197</v>
      </c>
      <c r="M90" s="102">
        <v>333</v>
      </c>
      <c r="N90" s="25">
        <f t="shared" si="45"/>
        <v>4.3887147335423198E-2</v>
      </c>
      <c r="O90" s="104">
        <f>IF(ISNUMBER(M90), $B91 * N90, "")</f>
        <v>4388.7147335423197</v>
      </c>
      <c r="Q90" s="230"/>
      <c r="R90" s="231"/>
      <c r="S90" s="232"/>
    </row>
    <row r="91" spans="1:19" ht="17.25" thickBot="1">
      <c r="A91" s="132" t="s">
        <v>270</v>
      </c>
      <c r="B91" s="291">
        <f>$B$37</f>
        <v>100000</v>
      </c>
      <c r="C91" s="292"/>
      <c r="D91" s="26" t="s">
        <v>271</v>
      </c>
      <c r="E91" s="27">
        <f>IF(COUNT(E71:E90), SUM(E71:E90) / COUNT(E71:E90), 0)</f>
        <v>6.7845675709481941E-3</v>
      </c>
      <c r="F91" s="28">
        <f>SUM(F71:F90)</f>
        <v>13569.135141896386</v>
      </c>
      <c r="G91" s="26" t="s">
        <v>271</v>
      </c>
      <c r="H91" s="27">
        <f>IF(COUNT(H71:H90), SUM(H71:H90) / COUNT(H71:H90), 0)</f>
        <v>1.2620292195964101E-2</v>
      </c>
      <c r="I91" s="28">
        <f>SUM(I71:I90)</f>
        <v>25240.584391928194</v>
      </c>
      <c r="J91" s="26" t="s">
        <v>271</v>
      </c>
      <c r="K91" s="27">
        <f>IF(COUNT(K71:K90), SUM(K71:K90) / COUNT(K71:K90), 0)</f>
        <v>-4.2577298327608135E-3</v>
      </c>
      <c r="L91" s="28">
        <f>SUM(L71:L90)</f>
        <v>-8515.4596655216319</v>
      </c>
      <c r="M91" s="26" t="s">
        <v>271</v>
      </c>
      <c r="N91" s="27">
        <f>IF(COUNT(N71:N90), SUM(N71:N90) / COUNT(N71:N90), 0)</f>
        <v>-7.0430768703470814E-3</v>
      </c>
      <c r="O91" s="28">
        <f>SUM(O71:O90)</f>
        <v>-14086.153740694155</v>
      </c>
      <c r="Q91" s="233"/>
      <c r="R91" s="234"/>
      <c r="S91" s="23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48"/>
      <c r="R94" s="248"/>
      <c r="S94" s="248"/>
    </row>
    <row r="95" spans="1:19" ht="17.25" thickBot="1">
      <c r="A95" s="157" t="s">
        <v>267</v>
      </c>
      <c r="B95" s="249" t="s">
        <v>49</v>
      </c>
      <c r="C95" s="251"/>
      <c r="D95" s="249" t="s">
        <v>58</v>
      </c>
      <c r="E95" s="250"/>
      <c r="F95" s="251"/>
      <c r="G95" s="252">
        <f>_xlfn.IFNA(VLOOKUP(B95, 현재가테이블!$B$2:$D$200, 2, FALSE), "-")</f>
        <v>54440000</v>
      </c>
      <c r="H95" s="253"/>
      <c r="I95" s="254"/>
      <c r="J95" s="249" t="s">
        <v>59</v>
      </c>
      <c r="K95" s="250"/>
      <c r="L95" s="251"/>
      <c r="M95" s="255">
        <f>_xlfn.IFNA(VLOOKUP(B95, 현재가테이블!$B$2:$D$200, 3, FALSE), "-")</f>
        <v>1.07123628E-2</v>
      </c>
      <c r="N95" s="256"/>
      <c r="O95" s="257"/>
      <c r="Q95" s="248"/>
      <c r="R95" s="248"/>
      <c r="S95" s="248"/>
    </row>
    <row r="96" spans="1:19" ht="17.25" thickBot="1">
      <c r="A96" s="293" t="s">
        <v>55</v>
      </c>
      <c r="B96" s="289" t="str">
        <f>TEXT($G$1, "[$-ko-KR]yyyy-mm-dd(ddd) ") &amp; "오전 00:00"</f>
        <v>2021-08-01(일) 오전 00:00</v>
      </c>
      <c r="C96" s="290"/>
      <c r="D96" s="262" t="str">
        <f>TEXT($G$1, "[$-ko-KR]yyyy-mm-dd(ddd) ") &amp; "오후 14:00"</f>
        <v>2021-08-01(일) 오후 14:00</v>
      </c>
      <c r="E96" s="263"/>
      <c r="F96" s="264"/>
      <c r="G96" s="262" t="str">
        <f>TEXT($G$1, "[$-ko-KR]yyyy-mm-dd(ddd) ") &amp; "오후 19:00"</f>
        <v>2021-08-01(일) 오후 19:00</v>
      </c>
      <c r="H96" s="263"/>
      <c r="I96" s="264"/>
      <c r="J96" s="262" t="str">
        <f>TEXT($G$1, "[$-ko-KR]yyyy-mm-dd(ddd) ") &amp; "오후 21:00"</f>
        <v>2021-08-01(일) 오후 21:00</v>
      </c>
      <c r="K96" s="263"/>
      <c r="L96" s="264"/>
      <c r="M96" s="262" t="str">
        <f>TEXT($G$1+1, "[$-ko-KR]yyyy-mm-dd(ddd) ") &amp; "오전 00:00"</f>
        <v>2021-08-02(월) 오전 00:00</v>
      </c>
      <c r="N96" s="263"/>
      <c r="O96" s="264"/>
      <c r="Q96" s="248"/>
      <c r="R96" s="248"/>
      <c r="S96" s="248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8"/>
      <c r="R97" s="238"/>
      <c r="S97" s="238"/>
    </row>
    <row r="98" spans="1:19" ht="17.25" thickBot="1">
      <c r="A98" s="123" t="s">
        <v>254</v>
      </c>
      <c r="B98" s="124">
        <v>363</v>
      </c>
      <c r="C98" s="76">
        <v>0.59210526320000001</v>
      </c>
      <c r="D98" s="13">
        <v>309</v>
      </c>
      <c r="E98" s="14">
        <f>IF(ISNUMBER(D98), (D98 - $B98) / $B98, "")</f>
        <v>-0.1487603305785124</v>
      </c>
      <c r="F98" s="16">
        <f>IF(ISNUMBER(D98), $B118 * E98, "")</f>
        <v>-14876.03305785124</v>
      </c>
      <c r="G98" s="29">
        <v>308</v>
      </c>
      <c r="H98" s="14">
        <f>IF(ISNUMBER(G98), (G98 - $B98) / $B98, "")</f>
        <v>-0.15151515151515152</v>
      </c>
      <c r="I98" s="100">
        <f>IF(ISNUMBER(G98), $B118 * H98, "")</f>
        <v>-15151.515151515152</v>
      </c>
      <c r="J98" s="13">
        <v>299</v>
      </c>
      <c r="K98" s="14">
        <f>IF(ISNUMBER(J98), (J98 - $B98) / $B98, "")</f>
        <v>-0.17630853994490359</v>
      </c>
      <c r="L98" s="16">
        <f>IF(ISNUMBER(J98), $B118 * K98, "")</f>
        <v>-17630.853994490357</v>
      </c>
      <c r="M98" s="29">
        <v>297</v>
      </c>
      <c r="N98" s="14">
        <f>IF(ISNUMBER(M98), (M98 - $B98) / $B98, "")</f>
        <v>-0.18181818181818182</v>
      </c>
      <c r="O98" s="16">
        <f>IF(ISNUMBER(M98), $B118 * N98, "")</f>
        <v>-18181.818181818184</v>
      </c>
      <c r="Q98" s="248"/>
      <c r="R98" s="248"/>
      <c r="S98" s="248"/>
    </row>
    <row r="99" spans="1:19" ht="17.25" thickBot="1">
      <c r="A99" s="125" t="s">
        <v>176</v>
      </c>
      <c r="B99" s="126">
        <v>1650</v>
      </c>
      <c r="C99" s="77">
        <v>0.3043478261</v>
      </c>
      <c r="D99" s="15">
        <v>1430</v>
      </c>
      <c r="E99" s="32">
        <f t="shared" ref="E99:E102" si="46">IF(ISNUMBER(D99), (D99 - $B99) / $B99, "")</f>
        <v>-0.13333333333333333</v>
      </c>
      <c r="F99" s="18">
        <f>IF(ISNUMBER(D99), $B118 * E99, "")</f>
        <v>-13333.333333333334</v>
      </c>
      <c r="G99" s="31">
        <v>1445</v>
      </c>
      <c r="H99" s="32">
        <f t="shared" ref="H99:H102" si="47">IF(ISNUMBER(G99), (G99 - $B99) / $B99, "")</f>
        <v>-0.12424242424242424</v>
      </c>
      <c r="I99" s="101">
        <f>IF(ISNUMBER(G99), $B118 * H99, "")</f>
        <v>-12424.242424242424</v>
      </c>
      <c r="J99" s="15">
        <v>1415</v>
      </c>
      <c r="K99" s="32">
        <f t="shared" ref="K99:K102" si="48">IF(ISNUMBER(J99), (J99 - $B99) / $B99, "")</f>
        <v>-0.14242424242424243</v>
      </c>
      <c r="L99" s="18">
        <f>IF(ISNUMBER(J99), $B118 * K99, "")</f>
        <v>-14242.424242424242</v>
      </c>
      <c r="M99" s="31">
        <v>1410</v>
      </c>
      <c r="N99" s="32">
        <f t="shared" ref="N99:N102" si="49">IF(ISNUMBER(M99), (M99 - $B99) / $B99, "")</f>
        <v>-0.14545454545454545</v>
      </c>
      <c r="O99" s="18">
        <f>IF(ISNUMBER(M99), $B118 * N99, "")</f>
        <v>-14545.454545454544</v>
      </c>
      <c r="Q99" s="248"/>
      <c r="R99" s="248"/>
      <c r="S99" s="248"/>
    </row>
    <row r="100" spans="1:19" ht="17.25" thickBot="1">
      <c r="A100" s="125" t="s">
        <v>172</v>
      </c>
      <c r="B100" s="126">
        <v>2595</v>
      </c>
      <c r="C100" s="77">
        <v>0.15333333330000001</v>
      </c>
      <c r="D100" s="15">
        <v>2410</v>
      </c>
      <c r="E100" s="32">
        <f t="shared" si="46"/>
        <v>-7.1290944123314062E-2</v>
      </c>
      <c r="F100" s="18">
        <f>IF(ISNUMBER(D100), $B118 * E100, "")</f>
        <v>-7129.0944123314066</v>
      </c>
      <c r="G100" s="31">
        <v>2425</v>
      </c>
      <c r="H100" s="32">
        <f t="shared" si="47"/>
        <v>-6.5510597302504817E-2</v>
      </c>
      <c r="I100" s="101">
        <f>IF(ISNUMBER(G100), $B118 * H100, "")</f>
        <v>-6551.0597302504821</v>
      </c>
      <c r="J100" s="15">
        <v>2415</v>
      </c>
      <c r="K100" s="32">
        <f t="shared" si="48"/>
        <v>-6.9364161849710976E-2</v>
      </c>
      <c r="L100" s="18">
        <f>IF(ISNUMBER(J100), $B118 * K100, "")</f>
        <v>-6936.4161849710972</v>
      </c>
      <c r="M100" s="31">
        <v>2410</v>
      </c>
      <c r="N100" s="32">
        <f t="shared" si="49"/>
        <v>-7.1290944123314062E-2</v>
      </c>
      <c r="O100" s="18">
        <f>IF(ISNUMBER(M100), $B118 * N100, "")</f>
        <v>-7129.0944123314066</v>
      </c>
      <c r="Q100" s="238"/>
      <c r="R100" s="238"/>
      <c r="S100" s="238"/>
    </row>
    <row r="101" spans="1:19" ht="17.25" thickBot="1">
      <c r="A101" s="125" t="s">
        <v>192</v>
      </c>
      <c r="B101" s="126">
        <v>243</v>
      </c>
      <c r="C101" s="77">
        <v>0.13023255810000001</v>
      </c>
      <c r="D101" s="15">
        <v>226</v>
      </c>
      <c r="E101" s="32">
        <f t="shared" si="46"/>
        <v>-6.9958847736625515E-2</v>
      </c>
      <c r="F101" s="18">
        <f>IF(ISNUMBER(D101), $B118 * E101, "")</f>
        <v>-6995.8847736625512</v>
      </c>
      <c r="G101" s="31">
        <v>226</v>
      </c>
      <c r="H101" s="32">
        <f t="shared" si="47"/>
        <v>-6.9958847736625515E-2</v>
      </c>
      <c r="I101" s="101">
        <f>IF(ISNUMBER(G101), $B118 * H101, "")</f>
        <v>-6995.8847736625512</v>
      </c>
      <c r="J101" s="15">
        <v>225</v>
      </c>
      <c r="K101" s="32">
        <f t="shared" si="48"/>
        <v>-7.407407407407407E-2</v>
      </c>
      <c r="L101" s="18">
        <f>IF(ISNUMBER(J101), $B118 * K101, "")</f>
        <v>-7407.4074074074069</v>
      </c>
      <c r="M101" s="31">
        <v>224</v>
      </c>
      <c r="N101" s="32">
        <f t="shared" si="49"/>
        <v>-7.8189300411522639E-2</v>
      </c>
      <c r="O101" s="18">
        <f>IF(ISNUMBER(M101), $B118 * N101, "")</f>
        <v>-7818.9300411522636</v>
      </c>
      <c r="Q101" s="238"/>
      <c r="R101" s="238"/>
      <c r="S101" s="238"/>
    </row>
    <row r="102" spans="1:19" ht="17.25" thickBot="1">
      <c r="A102" s="127" t="s">
        <v>63</v>
      </c>
      <c r="B102" s="128">
        <v>53410</v>
      </c>
      <c r="C102" s="78">
        <v>0.1136363636</v>
      </c>
      <c r="D102" s="20">
        <v>51700</v>
      </c>
      <c r="E102" s="21">
        <f t="shared" si="46"/>
        <v>-3.2016476315296763E-2</v>
      </c>
      <c r="F102" s="22">
        <f>IF(ISNUMBER(D102), $B118 * E102, "")</f>
        <v>-3201.6476315296763</v>
      </c>
      <c r="G102" s="30">
        <v>51750</v>
      </c>
      <c r="H102" s="21">
        <f t="shared" si="47"/>
        <v>-3.1080322037071711E-2</v>
      </c>
      <c r="I102" s="105">
        <f>IF(ISNUMBER(G102), $B118 * H102, "")</f>
        <v>-3108.032203707171</v>
      </c>
      <c r="J102" s="20">
        <v>50430</v>
      </c>
      <c r="K102" s="21">
        <f t="shared" si="48"/>
        <v>-5.579479498221307E-2</v>
      </c>
      <c r="L102" s="22">
        <f>IF(ISNUMBER(J102), $B118 * K102, "")</f>
        <v>-5579.479498221307</v>
      </c>
      <c r="M102" s="30">
        <v>50880</v>
      </c>
      <c r="N102" s="21">
        <f t="shared" si="49"/>
        <v>-4.7369406478187603E-2</v>
      </c>
      <c r="O102" s="22">
        <f>IF(ISNUMBER(M102), $B118 * N102, "")</f>
        <v>-4736.9406478187602</v>
      </c>
      <c r="Q102" s="238"/>
      <c r="R102" s="238"/>
      <c r="S102" s="238"/>
    </row>
    <row r="103" spans="1:19" ht="17.25" thickBot="1">
      <c r="A103" s="125" t="s">
        <v>180</v>
      </c>
      <c r="B103" s="129">
        <v>9230</v>
      </c>
      <c r="C103" s="80">
        <v>0.1113786875</v>
      </c>
      <c r="D103" s="106">
        <v>9095</v>
      </c>
      <c r="E103" s="107">
        <f>IF(ISNUMBER(D103), (D103 - $B103) / $B103, "")</f>
        <v>-1.4626218851570965E-2</v>
      </c>
      <c r="F103" s="108">
        <f>IF(ISNUMBER(D103), $B118 * E103, "")</f>
        <v>-1462.6218851570964</v>
      </c>
      <c r="G103" s="109">
        <v>9130</v>
      </c>
      <c r="H103" s="107">
        <f>IF(ISNUMBER(G103), (G103 - $B103) / $B103, "")</f>
        <v>-1.0834236186348862E-2</v>
      </c>
      <c r="I103" s="110">
        <f>IF(ISNUMBER(G103), $B118 * H103, "")</f>
        <v>-1083.4236186348862</v>
      </c>
      <c r="J103" s="106">
        <v>8855</v>
      </c>
      <c r="K103" s="107">
        <f>IF(ISNUMBER(J103), (J103 - $B103) / $B103, "")</f>
        <v>-4.0628385698808236E-2</v>
      </c>
      <c r="L103" s="108">
        <f>IF(ISNUMBER(J103), $B118 * K103, "")</f>
        <v>-4062.8385698808238</v>
      </c>
      <c r="M103" s="109">
        <v>8885</v>
      </c>
      <c r="N103" s="107">
        <f>IF(ISNUMBER(M103), (M103 - $B103) / $B103, "")</f>
        <v>-3.7378114842903577E-2</v>
      </c>
      <c r="O103" s="108">
        <f>IF(ISNUMBER(M103), $B118 * N103, "")</f>
        <v>-3737.8114842903578</v>
      </c>
      <c r="Q103" s="238"/>
      <c r="R103" s="238"/>
      <c r="S103" s="238"/>
    </row>
    <row r="104" spans="1:19" ht="17.25" thickBot="1">
      <c r="A104" s="125" t="s">
        <v>130</v>
      </c>
      <c r="B104" s="126">
        <v>98.6</v>
      </c>
      <c r="C104" s="77">
        <v>9.7995545700000006E-2</v>
      </c>
      <c r="D104" s="15">
        <v>99.4</v>
      </c>
      <c r="E104" s="32">
        <f t="shared" ref="E104:E107" si="50">IF(ISNUMBER(D104), (D104 - $B104) / $B104, "")</f>
        <v>8.1135902636917997E-3</v>
      </c>
      <c r="F104" s="18">
        <f>IF(ISNUMBER(D104), $B118 * E104, "")</f>
        <v>811.35902636918001</v>
      </c>
      <c r="G104" s="31">
        <v>98.9</v>
      </c>
      <c r="H104" s="32">
        <f t="shared" ref="H104:H107" si="51">IF(ISNUMBER(G104), (G104 - $B104) / $B104, "")</f>
        <v>3.0425963488844967E-3</v>
      </c>
      <c r="I104" s="101">
        <f>IF(ISNUMBER(G104), $B118 * H104, "")</f>
        <v>304.25963488844968</v>
      </c>
      <c r="J104" s="15">
        <v>96.6</v>
      </c>
      <c r="K104" s="32">
        <f t="shared" ref="K104:K107" si="52">IF(ISNUMBER(J104), (J104 - $B104) / $B104, "")</f>
        <v>-2.0283975659229209E-2</v>
      </c>
      <c r="L104" s="18">
        <f>IF(ISNUMBER(J104), $B118 * K104, "")</f>
        <v>-2028.3975659229209</v>
      </c>
      <c r="M104" s="31">
        <v>96.1</v>
      </c>
      <c r="N104" s="32">
        <f t="shared" ref="N104:N107" si="53">IF(ISNUMBER(M104), (M104 - $B104) / $B104, "")</f>
        <v>-2.5354969574036514E-2</v>
      </c>
      <c r="O104" s="18">
        <f>IF(ISNUMBER(M104), $B118 * N104, "")</f>
        <v>-2535.4969574036513</v>
      </c>
      <c r="Q104" s="238"/>
      <c r="R104" s="238"/>
      <c r="S104" s="238"/>
    </row>
    <row r="105" spans="1:19" ht="17.25" thickBot="1">
      <c r="A105" s="125" t="s">
        <v>252</v>
      </c>
      <c r="B105" s="126">
        <v>960</v>
      </c>
      <c r="C105" s="77">
        <v>7.7441077400000002E-2</v>
      </c>
      <c r="D105" s="15">
        <v>912</v>
      </c>
      <c r="E105" s="32">
        <f t="shared" si="50"/>
        <v>-0.05</v>
      </c>
      <c r="F105" s="18">
        <f>IF(ISNUMBER(D105), $B118 * E105, "")</f>
        <v>-5000</v>
      </c>
      <c r="G105" s="31">
        <v>927</v>
      </c>
      <c r="H105" s="32">
        <f t="shared" si="51"/>
        <v>-3.4375000000000003E-2</v>
      </c>
      <c r="I105" s="101">
        <f>IF(ISNUMBER(G105), $B118 * H105, "")</f>
        <v>-3437.5000000000005</v>
      </c>
      <c r="J105" s="15">
        <v>913</v>
      </c>
      <c r="K105" s="32">
        <f t="shared" si="52"/>
        <v>-4.8958333333333333E-2</v>
      </c>
      <c r="L105" s="18">
        <f>IF(ISNUMBER(J105), $B118 * K105, "")</f>
        <v>-4895.833333333333</v>
      </c>
      <c r="M105" s="31">
        <v>916</v>
      </c>
      <c r="N105" s="32">
        <f t="shared" si="53"/>
        <v>-4.583333333333333E-2</v>
      </c>
      <c r="O105" s="18">
        <f>IF(ISNUMBER(M105), $B118 * N105, "")</f>
        <v>-4583.333333333333</v>
      </c>
      <c r="Q105" s="238"/>
      <c r="R105" s="238"/>
      <c r="S105" s="238"/>
    </row>
    <row r="106" spans="1:19" ht="17.25" thickBot="1">
      <c r="A106" s="125" t="s">
        <v>196</v>
      </c>
      <c r="B106" s="126">
        <v>4335</v>
      </c>
      <c r="C106" s="77">
        <v>7.4349442399999993E-2</v>
      </c>
      <c r="D106" s="15">
        <v>4130</v>
      </c>
      <c r="E106" s="32">
        <f t="shared" si="50"/>
        <v>-4.7289504036908882E-2</v>
      </c>
      <c r="F106" s="18">
        <f>IF(ISNUMBER(D106), $B118 * E106, "")</f>
        <v>-4728.9504036908884</v>
      </c>
      <c r="G106" s="31">
        <v>4150</v>
      </c>
      <c r="H106" s="32">
        <f t="shared" si="51"/>
        <v>-4.2675893886966548E-2</v>
      </c>
      <c r="I106" s="101">
        <f>IF(ISNUMBER(G106), $B118 * H106, "")</f>
        <v>-4267.5893886966551</v>
      </c>
      <c r="J106" s="15">
        <v>4045</v>
      </c>
      <c r="K106" s="32">
        <f t="shared" si="52"/>
        <v>-6.6897347174163777E-2</v>
      </c>
      <c r="L106" s="18">
        <f>IF(ISNUMBER(J106), $B118 * K106, "")</f>
        <v>-6689.7347174163779</v>
      </c>
      <c r="M106" s="31">
        <v>4045</v>
      </c>
      <c r="N106" s="32">
        <f t="shared" si="53"/>
        <v>-6.6897347174163777E-2</v>
      </c>
      <c r="O106" s="18">
        <f>IF(ISNUMBER(M106), $B118 * N106, "")</f>
        <v>-6689.7347174163779</v>
      </c>
      <c r="Q106" s="33"/>
      <c r="R106" s="33"/>
    </row>
    <row r="107" spans="1:19" ht="17.25" thickBot="1">
      <c r="A107" s="130" t="s">
        <v>148</v>
      </c>
      <c r="B107" s="131">
        <v>17.3</v>
      </c>
      <c r="C107" s="79">
        <v>6.7901234599999999E-2</v>
      </c>
      <c r="D107" s="24">
        <v>21.7</v>
      </c>
      <c r="E107" s="25">
        <f t="shared" si="50"/>
        <v>0.25433526011560686</v>
      </c>
      <c r="F107" s="104">
        <f>IF(ISNUMBER(D107), $B118 * E107, "")</f>
        <v>25433.526011560687</v>
      </c>
      <c r="G107" s="102">
        <v>20.7</v>
      </c>
      <c r="H107" s="25">
        <f t="shared" si="51"/>
        <v>0.19653179190751435</v>
      </c>
      <c r="I107" s="103">
        <f>IF(ISNUMBER(G107), $B118 * H107, "")</f>
        <v>19653.179190751434</v>
      </c>
      <c r="J107" s="24">
        <v>20</v>
      </c>
      <c r="K107" s="25">
        <f t="shared" si="52"/>
        <v>0.15606936416184966</v>
      </c>
      <c r="L107" s="104">
        <f>IF(ISNUMBER(J107), $B118 * K107, "")</f>
        <v>15606.936416184966</v>
      </c>
      <c r="M107" s="102">
        <v>20.2</v>
      </c>
      <c r="N107" s="25">
        <f t="shared" si="53"/>
        <v>0.16763005780346812</v>
      </c>
      <c r="O107" s="104">
        <f>IF(ISNUMBER(M107), $B118 * N107, "")</f>
        <v>16763.005780346812</v>
      </c>
      <c r="Q107" s="239"/>
      <c r="R107" s="240"/>
      <c r="S107" s="241"/>
    </row>
    <row r="108" spans="1:19">
      <c r="A108" s="123" t="s">
        <v>244</v>
      </c>
      <c r="B108" s="124">
        <v>1380</v>
      </c>
      <c r="C108" s="76">
        <v>6.1538461500000002E-2</v>
      </c>
      <c r="D108" s="13">
        <v>1385</v>
      </c>
      <c r="E108" s="14">
        <f>IF(ISNUMBER(D108), (D108 - $B108) / $B108, "")</f>
        <v>3.6231884057971015E-3</v>
      </c>
      <c r="F108" s="16">
        <f>IF(ISNUMBER(D108), $B118 * E108, "")</f>
        <v>362.31884057971013</v>
      </c>
      <c r="G108" s="29">
        <v>1395</v>
      </c>
      <c r="H108" s="14">
        <f>IF(ISNUMBER(G108), (G108 - $B108) / $B108, "")</f>
        <v>1.0869565217391304E-2</v>
      </c>
      <c r="I108" s="100">
        <f>IF(ISNUMBER(G108), $B118 * H108, "")</f>
        <v>1086.9565217391305</v>
      </c>
      <c r="J108" s="13">
        <v>1365</v>
      </c>
      <c r="K108" s="14">
        <f>IF(ISNUMBER(J108), (J108 - $B108) / $B108, "")</f>
        <v>-1.0869565217391304E-2</v>
      </c>
      <c r="L108" s="16">
        <f>IF(ISNUMBER(J108), $B118 * K108, "")</f>
        <v>-1086.9565217391305</v>
      </c>
      <c r="M108" s="29">
        <v>1360</v>
      </c>
      <c r="N108" s="14">
        <f>IF(ISNUMBER(M108), (M108 - $B108) / $B108, "")</f>
        <v>-1.4492753623188406E-2</v>
      </c>
      <c r="O108" s="16">
        <f>IF(ISNUMBER(M108), $B118 * N108, "")</f>
        <v>-1449.2753623188405</v>
      </c>
      <c r="Q108" s="242"/>
      <c r="R108" s="243"/>
      <c r="S108" s="244"/>
    </row>
    <row r="109" spans="1:19" ht="17.25" thickBot="1">
      <c r="A109" s="125" t="s">
        <v>224</v>
      </c>
      <c r="B109" s="126">
        <v>3635</v>
      </c>
      <c r="C109" s="77">
        <v>5.9766763799999997E-2</v>
      </c>
      <c r="D109" s="15">
        <v>4895</v>
      </c>
      <c r="E109" s="32">
        <f t="shared" ref="E109:E112" si="54">IF(ISNUMBER(D109), (D109 - $B109) / $B109, "")</f>
        <v>0.34662998624484181</v>
      </c>
      <c r="F109" s="18">
        <f>IF(ISNUMBER(D109), $B118 * E109, "")</f>
        <v>34662.998624484178</v>
      </c>
      <c r="G109" s="31">
        <v>4685</v>
      </c>
      <c r="H109" s="32">
        <f t="shared" ref="H109:H112" si="55">IF(ISNUMBER(G109), (G109 - $B109) / $B109, "")</f>
        <v>0.28885832187070154</v>
      </c>
      <c r="I109" s="101">
        <f>IF(ISNUMBER(G109), $B118 * H109, "")</f>
        <v>28885.832187070155</v>
      </c>
      <c r="J109" s="15">
        <v>4555</v>
      </c>
      <c r="K109" s="32">
        <f t="shared" ref="K109:K112" si="56">IF(ISNUMBER(J109), (J109 - $B109) / $B109, "")</f>
        <v>0.25309491059147182</v>
      </c>
      <c r="L109" s="18">
        <f>IF(ISNUMBER(J109), $B118 * K109, "")</f>
        <v>25309.491059147182</v>
      </c>
      <c r="M109" s="31">
        <v>4520</v>
      </c>
      <c r="N109" s="32">
        <f t="shared" ref="N109:N112" si="57">IF(ISNUMBER(M109), (M109 - $B109) / $B109, "")</f>
        <v>0.24346629986244842</v>
      </c>
      <c r="O109" s="18">
        <f>IF(ISNUMBER(M109), $B118 * N109, "")</f>
        <v>24346.629986244843</v>
      </c>
      <c r="Q109" s="245"/>
      <c r="R109" s="246"/>
      <c r="S109" s="247"/>
    </row>
    <row r="110" spans="1:19" ht="17.25" thickBot="1">
      <c r="A110" s="125" t="s">
        <v>104</v>
      </c>
      <c r="B110" s="126">
        <v>949</v>
      </c>
      <c r="C110" s="77">
        <v>5.3274139800000002E-2</v>
      </c>
      <c r="D110" s="15">
        <v>958</v>
      </c>
      <c r="E110" s="32">
        <f t="shared" si="54"/>
        <v>9.4836670179135937E-3</v>
      </c>
      <c r="F110" s="18">
        <f>IF(ISNUMBER(D110), $B118 * E110, "")</f>
        <v>948.36670179135933</v>
      </c>
      <c r="G110" s="31">
        <v>972</v>
      </c>
      <c r="H110" s="32">
        <f t="shared" si="55"/>
        <v>2.4236037934668071E-2</v>
      </c>
      <c r="I110" s="101">
        <f>IF(ISNUMBER(G110), $B118 * H110, "")</f>
        <v>2423.603793466807</v>
      </c>
      <c r="J110" s="15">
        <v>953</v>
      </c>
      <c r="K110" s="32">
        <f t="shared" si="56"/>
        <v>4.2149631190727078E-3</v>
      </c>
      <c r="L110" s="18">
        <f>IF(ISNUMBER(J110), $B118 * K110, "")</f>
        <v>421.49631190727081</v>
      </c>
      <c r="M110" s="31">
        <v>944</v>
      </c>
      <c r="N110" s="32">
        <f t="shared" si="57"/>
        <v>-5.268703898840885E-3</v>
      </c>
      <c r="O110" s="18">
        <f>IF(ISNUMBER(M110), $B118 * N110, "")</f>
        <v>-526.87038988408847</v>
      </c>
      <c r="Q110" s="238"/>
      <c r="R110" s="238"/>
      <c r="S110" s="238"/>
    </row>
    <row r="111" spans="1:19" ht="17.25" thickBot="1">
      <c r="A111" s="125" t="s">
        <v>106</v>
      </c>
      <c r="B111" s="126">
        <v>55430</v>
      </c>
      <c r="C111" s="77">
        <v>5.2601595100000002E-2</v>
      </c>
      <c r="D111" s="15">
        <v>52810</v>
      </c>
      <c r="E111" s="32">
        <f t="shared" si="54"/>
        <v>-4.7266823020025259E-2</v>
      </c>
      <c r="F111" s="18">
        <f>IF(ISNUMBER(D111), $B118 * E111, "")</f>
        <v>-4726.6823020025258</v>
      </c>
      <c r="G111" s="31">
        <v>53690</v>
      </c>
      <c r="H111" s="32">
        <f t="shared" si="55"/>
        <v>-3.1390943532383184E-2</v>
      </c>
      <c r="I111" s="101">
        <f>IF(ISNUMBER(G111), $B118 * H111, "")</f>
        <v>-3139.0943532383185</v>
      </c>
      <c r="J111" s="15">
        <v>52860</v>
      </c>
      <c r="K111" s="32">
        <f t="shared" si="56"/>
        <v>-4.6364784412772864E-2</v>
      </c>
      <c r="L111" s="18">
        <f>IF(ISNUMBER(J111), $B118 * K111, "")</f>
        <v>-4636.478441277286</v>
      </c>
      <c r="M111" s="31">
        <v>52170</v>
      </c>
      <c r="N111" s="32">
        <f t="shared" si="57"/>
        <v>-5.8812917192855856E-2</v>
      </c>
      <c r="O111" s="18">
        <f>IF(ISNUMBER(M111), $B118 * N111, "")</f>
        <v>-5881.2917192855857</v>
      </c>
      <c r="Q111" s="248"/>
      <c r="R111" s="248"/>
      <c r="S111" s="248"/>
    </row>
    <row r="112" spans="1:19" ht="17.25" thickBot="1">
      <c r="A112" s="127" t="s">
        <v>69</v>
      </c>
      <c r="B112" s="128">
        <v>4685</v>
      </c>
      <c r="C112" s="78">
        <v>4.5758928599999998E-2</v>
      </c>
      <c r="D112" s="20">
        <v>4780</v>
      </c>
      <c r="E112" s="21">
        <f t="shared" si="54"/>
        <v>2.0277481323372464E-2</v>
      </c>
      <c r="F112" s="22">
        <f>IF(ISNUMBER(D112), $B118 * E112, "")</f>
        <v>2027.7481323372465</v>
      </c>
      <c r="G112" s="30">
        <v>4770</v>
      </c>
      <c r="H112" s="21">
        <f t="shared" si="55"/>
        <v>1.8143009605122731E-2</v>
      </c>
      <c r="I112" s="105">
        <f>IF(ISNUMBER(G112), $B118 * H112, "")</f>
        <v>1814.3009605122732</v>
      </c>
      <c r="J112" s="20">
        <v>4650</v>
      </c>
      <c r="K112" s="21">
        <f t="shared" si="56"/>
        <v>-7.470651013874066E-3</v>
      </c>
      <c r="L112" s="22">
        <f>IF(ISNUMBER(J112), $B118 * K112, "")</f>
        <v>-747.06510138740657</v>
      </c>
      <c r="M112" s="30">
        <v>4590</v>
      </c>
      <c r="N112" s="21">
        <f t="shared" si="57"/>
        <v>-2.0277481323372464E-2</v>
      </c>
      <c r="O112" s="22">
        <f>IF(ISNUMBER(M112), $B118 * N112, "")</f>
        <v>-2027.7481323372465</v>
      </c>
      <c r="Q112" s="248"/>
      <c r="R112" s="248"/>
      <c r="S112" s="248"/>
    </row>
    <row r="113" spans="1:19" ht="17.25" thickBot="1">
      <c r="A113" s="125" t="s">
        <v>65</v>
      </c>
      <c r="B113" s="129">
        <v>31.4</v>
      </c>
      <c r="C113" s="80">
        <v>4.3189368800000003E-2</v>
      </c>
      <c r="D113" s="106">
        <v>32.1</v>
      </c>
      <c r="E113" s="107">
        <f>IF(ISNUMBER(D113), (D113 - $B113) / $B113, "")</f>
        <v>2.2292993630573341E-2</v>
      </c>
      <c r="F113" s="108">
        <f>IF(ISNUMBER(D113), $B118 * E113, "")</f>
        <v>2229.2993630573342</v>
      </c>
      <c r="G113" s="109">
        <v>31.7</v>
      </c>
      <c r="H113" s="107">
        <f>IF(ISNUMBER(G113), (G113 - $B113) / $B113, "")</f>
        <v>9.5541401273885589E-3</v>
      </c>
      <c r="I113" s="110">
        <f>IF(ISNUMBER(G113), $B118 * H113, "")</f>
        <v>955.41401273885594</v>
      </c>
      <c r="J113" s="106">
        <v>31.1</v>
      </c>
      <c r="K113" s="107">
        <f>IF(ISNUMBER(J113), (J113 - $B113) / $B113, "")</f>
        <v>-9.5541401273884444E-3</v>
      </c>
      <c r="L113" s="108">
        <f>IF(ISNUMBER(J113), $B118 * K113, "")</f>
        <v>-955.41401273884446</v>
      </c>
      <c r="M113" s="109">
        <v>30.8</v>
      </c>
      <c r="N113" s="107">
        <f>IF(ISNUMBER(M113), (M113 - $B113) / $B113, "")</f>
        <v>-1.9108280254777003E-2</v>
      </c>
      <c r="O113" s="108">
        <f>IF(ISNUMBER(M113), $B118 * N113, "")</f>
        <v>-1910.8280254777003</v>
      </c>
      <c r="Q113" s="238"/>
      <c r="R113" s="238"/>
      <c r="S113" s="238"/>
    </row>
    <row r="114" spans="1:19" ht="17.25" thickBot="1">
      <c r="A114" s="125" t="s">
        <v>164</v>
      </c>
      <c r="B114" s="126">
        <v>296</v>
      </c>
      <c r="C114" s="77">
        <v>4.2253521099999997E-2</v>
      </c>
      <c r="D114" s="15">
        <v>294</v>
      </c>
      <c r="E114" s="32">
        <f t="shared" ref="E114:E117" si="58">IF(ISNUMBER(D114), (D114 - $B114) / $B114, "")</f>
        <v>-6.7567567567567571E-3</v>
      </c>
      <c r="F114" s="18">
        <f>IF(ISNUMBER(D114), $B118 * E114, "")</f>
        <v>-675.67567567567573</v>
      </c>
      <c r="G114" s="31">
        <v>298</v>
      </c>
      <c r="H114" s="32">
        <f t="shared" ref="H114:H117" si="59">IF(ISNUMBER(G114), (G114 - $B114) / $B114, "")</f>
        <v>6.7567567567567571E-3</v>
      </c>
      <c r="I114" s="101">
        <f>IF(ISNUMBER(G114), $B118 * H114, "")</f>
        <v>675.67567567567573</v>
      </c>
      <c r="J114" s="15">
        <v>294</v>
      </c>
      <c r="K114" s="32">
        <f t="shared" ref="K114:K117" si="60">IF(ISNUMBER(J114), (J114 - $B114) / $B114, "")</f>
        <v>-6.7567567567567571E-3</v>
      </c>
      <c r="L114" s="18">
        <f>IF(ISNUMBER(J114), $B118 * K114, "")</f>
        <v>-675.67567567567573</v>
      </c>
      <c r="M114" s="31">
        <v>295</v>
      </c>
      <c r="N114" s="32">
        <f t="shared" ref="N114:N117" si="61">IF(ISNUMBER(M114), (M114 - $B114) / $B114, "")</f>
        <v>-3.3783783783783786E-3</v>
      </c>
      <c r="O114" s="18">
        <f>IF(ISNUMBER(M114), $B118 * N114, "")</f>
        <v>-337.83783783783787</v>
      </c>
      <c r="Q114" s="238"/>
      <c r="R114" s="238"/>
      <c r="S114" s="238"/>
    </row>
    <row r="115" spans="1:19" ht="17.25" thickBot="1">
      <c r="A115" s="125" t="s">
        <v>102</v>
      </c>
      <c r="B115" s="126">
        <v>975</v>
      </c>
      <c r="C115" s="77">
        <v>3.8338658099999999E-2</v>
      </c>
      <c r="D115" s="15">
        <v>986</v>
      </c>
      <c r="E115" s="32">
        <f t="shared" si="58"/>
        <v>1.1282051282051283E-2</v>
      </c>
      <c r="F115" s="18">
        <f>IF(ISNUMBER(D115), $B118 * E115, "")</f>
        <v>1128.2051282051284</v>
      </c>
      <c r="G115" s="31">
        <v>990</v>
      </c>
      <c r="H115" s="32">
        <f t="shared" si="59"/>
        <v>1.5384615384615385E-2</v>
      </c>
      <c r="I115" s="101">
        <f>IF(ISNUMBER(G115), $B118 * H115, "")</f>
        <v>1538.4615384615386</v>
      </c>
      <c r="J115" s="15">
        <v>968</v>
      </c>
      <c r="K115" s="32">
        <f t="shared" si="60"/>
        <v>-7.1794871794871795E-3</v>
      </c>
      <c r="L115" s="18">
        <f>IF(ISNUMBER(J115), $B118 * K115, "")</f>
        <v>-717.9487179487179</v>
      </c>
      <c r="M115" s="31">
        <v>969</v>
      </c>
      <c r="N115" s="32">
        <f t="shared" si="61"/>
        <v>-6.1538461538461538E-3</v>
      </c>
      <c r="O115" s="18">
        <f>IF(ISNUMBER(M115), $B118 * N115, "")</f>
        <v>-615.38461538461536</v>
      </c>
      <c r="Q115" s="238"/>
      <c r="R115" s="238"/>
      <c r="S115" s="238"/>
    </row>
    <row r="116" spans="1:19">
      <c r="A116" s="125" t="s">
        <v>140</v>
      </c>
      <c r="B116" s="126">
        <v>5060</v>
      </c>
      <c r="C116" s="77">
        <v>3.4764826200000001E-2</v>
      </c>
      <c r="D116" s="15">
        <v>5330</v>
      </c>
      <c r="E116" s="32">
        <f t="shared" si="58"/>
        <v>5.33596837944664E-2</v>
      </c>
      <c r="F116" s="18">
        <f>IF(ISNUMBER(D116), $B118 * E116, "")</f>
        <v>5335.96837944664</v>
      </c>
      <c r="G116" s="31">
        <v>5335</v>
      </c>
      <c r="H116" s="32">
        <f t="shared" si="59"/>
        <v>5.434782608695652E-2</v>
      </c>
      <c r="I116" s="101">
        <f>IF(ISNUMBER(G116), $B118 * H116, "")</f>
        <v>5434.782608695652</v>
      </c>
      <c r="J116" s="15">
        <v>5225</v>
      </c>
      <c r="K116" s="32">
        <f t="shared" si="60"/>
        <v>3.2608695652173912E-2</v>
      </c>
      <c r="L116" s="18">
        <f>IF(ISNUMBER(J116), $B118 * K116, "")</f>
        <v>3260.869565217391</v>
      </c>
      <c r="M116" s="31">
        <v>5200</v>
      </c>
      <c r="N116" s="32">
        <f t="shared" si="61"/>
        <v>2.766798418972332E-2</v>
      </c>
      <c r="O116" s="18">
        <f>IF(ISNUMBER(M116), $B118 * N116, "")</f>
        <v>2766.798418972332</v>
      </c>
      <c r="Q116" s="227"/>
      <c r="R116" s="228"/>
      <c r="S116" s="229"/>
    </row>
    <row r="117" spans="1:19" ht="17.25" thickBot="1">
      <c r="A117" s="130" t="s">
        <v>250</v>
      </c>
      <c r="B117" s="131">
        <v>60.3</v>
      </c>
      <c r="C117" s="79">
        <v>3.4305317299999999E-2</v>
      </c>
      <c r="D117" s="24">
        <v>63.5</v>
      </c>
      <c r="E117" s="25">
        <f t="shared" si="58"/>
        <v>5.3067993366500879E-2</v>
      </c>
      <c r="F117" s="104">
        <f>IF(ISNUMBER(D117), $B118 * E117, "")</f>
        <v>5306.7993366500878</v>
      </c>
      <c r="G117" s="102">
        <v>64.2</v>
      </c>
      <c r="H117" s="25">
        <f t="shared" si="59"/>
        <v>6.467661691542298E-2</v>
      </c>
      <c r="I117" s="103">
        <f>IF(ISNUMBER(G117), $B118 * H117, "")</f>
        <v>6467.6616915422983</v>
      </c>
      <c r="J117" s="24">
        <v>62.6</v>
      </c>
      <c r="K117" s="25">
        <f t="shared" si="60"/>
        <v>3.814262023217254E-2</v>
      </c>
      <c r="L117" s="104">
        <f>IF(ISNUMBER(J117), $B118 * K117, "")</f>
        <v>3814.262023217254</v>
      </c>
      <c r="M117" s="102">
        <v>62.3</v>
      </c>
      <c r="N117" s="25">
        <f t="shared" si="61"/>
        <v>3.316749585406302E-2</v>
      </c>
      <c r="O117" s="104">
        <f>IF(ISNUMBER(M117), $B118 * N117, "")</f>
        <v>3316.7495854063018</v>
      </c>
      <c r="Q117" s="230"/>
      <c r="R117" s="231"/>
      <c r="S117" s="232"/>
    </row>
    <row r="118" spans="1:19" ht="17.25" thickBot="1">
      <c r="A118" s="132" t="s">
        <v>270</v>
      </c>
      <c r="B118" s="291">
        <f>$B$37</f>
        <v>100000</v>
      </c>
      <c r="C118" s="292"/>
      <c r="D118" s="26" t="s">
        <v>271</v>
      </c>
      <c r="E118" s="27">
        <f>IF(COUNT(E98:E117), SUM(E98:E117) / COUNT(E98:E117), 0)</f>
        <v>8.0583330346235792E-3</v>
      </c>
      <c r="F118" s="28">
        <f>SUM(F98:F117)</f>
        <v>16116.66606924716</v>
      </c>
      <c r="G118" s="26" t="s">
        <v>271</v>
      </c>
      <c r="H118" s="27">
        <f>IF(COUNT(H98:H117), SUM(H98:H117) / COUNT(H98:H117), 0)</f>
        <v>6.540893085797311E-3</v>
      </c>
      <c r="I118" s="28">
        <f>SUM(I98:I117)</f>
        <v>13081.786171594626</v>
      </c>
      <c r="J118" s="26" t="s">
        <v>271</v>
      </c>
      <c r="K118" s="27">
        <f>IF(COUNT(K98:K117), SUM(K98:K117) / COUNT(K98:K117), 0)</f>
        <v>-1.4939934304580432E-2</v>
      </c>
      <c r="L118" s="28">
        <f>SUM(L98:L117)</f>
        <v>-29879.868609160854</v>
      </c>
      <c r="M118" s="26" t="s">
        <v>271</v>
      </c>
      <c r="N118" s="27">
        <f>IF(COUNT(N98:N117), SUM(N98:N117) / COUNT(N98:N117), 0)</f>
        <v>-1.7757333316287243E-2</v>
      </c>
      <c r="O118" s="28">
        <f>SUM(O98:O117)</f>
        <v>-35514.666632574503</v>
      </c>
      <c r="Q118" s="233"/>
      <c r="R118" s="234"/>
      <c r="S118" s="23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48"/>
      <c r="R121" s="248"/>
      <c r="S121" s="248"/>
    </row>
    <row r="122" spans="1:19" ht="17.25" thickBot="1">
      <c r="A122" s="157" t="s">
        <v>267</v>
      </c>
      <c r="B122" s="249" t="s">
        <v>49</v>
      </c>
      <c r="C122" s="251"/>
      <c r="D122" s="249" t="s">
        <v>58</v>
      </c>
      <c r="E122" s="250"/>
      <c r="F122" s="251"/>
      <c r="G122" s="252">
        <f>_xlfn.IFNA(VLOOKUP(B122, 현재가테이블!$B$2:$D$200, 2, FALSE), "-")</f>
        <v>54440000</v>
      </c>
      <c r="H122" s="253"/>
      <c r="I122" s="254"/>
      <c r="J122" s="249" t="s">
        <v>59</v>
      </c>
      <c r="K122" s="250"/>
      <c r="L122" s="251"/>
      <c r="M122" s="255">
        <f>_xlfn.IFNA(VLOOKUP(B122, 현재가테이블!$B$2:$D$200, 3, FALSE), "-")</f>
        <v>1.07123628E-2</v>
      </c>
      <c r="N122" s="256"/>
      <c r="O122" s="257"/>
      <c r="Q122" s="248"/>
      <c r="R122" s="248"/>
      <c r="S122" s="248"/>
    </row>
    <row r="123" spans="1:19" ht="17.25" thickBot="1">
      <c r="A123" s="293" t="s">
        <v>55</v>
      </c>
      <c r="B123" s="289" t="str">
        <f>TEXT($G$1, "[$-ko-KR]yyyy-mm-dd(ddd) ") &amp; "오전 00:00"</f>
        <v>2021-08-01(일) 오전 00:00</v>
      </c>
      <c r="C123" s="290"/>
      <c r="D123" s="262" t="str">
        <f>TEXT($G$1, "[$-ko-KR]yyyy-mm-dd(ddd) ") &amp; "오후 14:00"</f>
        <v>2021-08-01(일) 오후 14:00</v>
      </c>
      <c r="E123" s="263"/>
      <c r="F123" s="264"/>
      <c r="G123" s="262" t="str">
        <f>TEXT($G$1, "[$-ko-KR]yyyy-mm-dd(ddd) ") &amp; "오후 19:00"</f>
        <v>2021-08-01(일) 오후 19:00</v>
      </c>
      <c r="H123" s="263"/>
      <c r="I123" s="264"/>
      <c r="J123" s="262" t="str">
        <f>TEXT($G$1, "[$-ko-KR]yyyy-mm-dd(ddd) ") &amp; "오후 21:00"</f>
        <v>2021-08-01(일) 오후 21:00</v>
      </c>
      <c r="K123" s="263"/>
      <c r="L123" s="264"/>
      <c r="M123" s="262" t="str">
        <f>TEXT($G$1+1, "[$-ko-KR]yyyy-mm-dd(ddd) ") &amp; "오전 00:00"</f>
        <v>2021-08-02(월) 오전 00:00</v>
      </c>
      <c r="N123" s="263"/>
      <c r="O123" s="264"/>
      <c r="Q123" s="248"/>
      <c r="R123" s="248"/>
      <c r="S123" s="248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8"/>
      <c r="R124" s="238"/>
      <c r="S124" s="238"/>
    </row>
    <row r="125" spans="1:19" ht="17.25" thickBot="1">
      <c r="A125" s="123" t="s">
        <v>65</v>
      </c>
      <c r="B125" s="124">
        <v>31.4</v>
      </c>
      <c r="C125" s="76">
        <v>4.3189368800000003E-2</v>
      </c>
      <c r="D125" s="13">
        <v>32.1</v>
      </c>
      <c r="E125" s="14">
        <f>IF(ISNUMBER(D125), (D125 - $B125) / $B125, "")</f>
        <v>2.2292993630573341E-2</v>
      </c>
      <c r="F125" s="16">
        <f>IF(ISNUMBER(D125), $B145 * E125, "")</f>
        <v>2229.2993630573342</v>
      </c>
      <c r="G125" s="29">
        <v>31.7</v>
      </c>
      <c r="H125" s="14">
        <f>IF(ISNUMBER(G125), (G125 - $B125) / $B125, "")</f>
        <v>9.5541401273885589E-3</v>
      </c>
      <c r="I125" s="100">
        <f>IF(ISNUMBER(G125), $B145 * H125, "")</f>
        <v>955.41401273885594</v>
      </c>
      <c r="J125" s="13">
        <v>31.1</v>
      </c>
      <c r="K125" s="14">
        <f>IF(ISNUMBER(J125), (J125 - $B125) / $B125, "")</f>
        <v>-9.5541401273884444E-3</v>
      </c>
      <c r="L125" s="16">
        <f>IF(ISNUMBER(J125), $B145 * K125, "")</f>
        <v>-955.41401273884446</v>
      </c>
      <c r="M125" s="29">
        <v>30.8</v>
      </c>
      <c r="N125" s="14">
        <f>IF(ISNUMBER(M125), (M125 - $B125) / $B125, "")</f>
        <v>-1.9108280254777003E-2</v>
      </c>
      <c r="O125" s="16">
        <f>IF(ISNUMBER(M125), $B145 * N125, "")</f>
        <v>-1910.8280254777003</v>
      </c>
      <c r="Q125" s="248"/>
      <c r="R125" s="248"/>
      <c r="S125" s="248"/>
    </row>
    <row r="126" spans="1:19" ht="17.25" thickBot="1">
      <c r="A126" s="125" t="s">
        <v>250</v>
      </c>
      <c r="B126" s="126">
        <v>60.3</v>
      </c>
      <c r="C126" s="77">
        <v>3.4305317299999999E-2</v>
      </c>
      <c r="D126" s="15">
        <v>63.5</v>
      </c>
      <c r="E126" s="32">
        <f t="shared" ref="E126:E129" si="62">IF(ISNUMBER(D126), (D126 - $B126) / $B126, "")</f>
        <v>5.3067993366500879E-2</v>
      </c>
      <c r="F126" s="18">
        <f>IF(ISNUMBER(D126), $B145 * E126, "")</f>
        <v>5306.7993366500878</v>
      </c>
      <c r="G126" s="31">
        <v>64.2</v>
      </c>
      <c r="H126" s="32">
        <f t="shared" ref="H126:H129" si="63">IF(ISNUMBER(G126), (G126 - $B126) / $B126, "")</f>
        <v>6.467661691542298E-2</v>
      </c>
      <c r="I126" s="101">
        <f>IF(ISNUMBER(G126), $B145 * H126, "")</f>
        <v>6467.6616915422983</v>
      </c>
      <c r="J126" s="15">
        <v>62.6</v>
      </c>
      <c r="K126" s="32">
        <f t="shared" ref="K126:K129" si="64">IF(ISNUMBER(J126), (J126 - $B126) / $B126, "")</f>
        <v>3.814262023217254E-2</v>
      </c>
      <c r="L126" s="18">
        <f>IF(ISNUMBER(J126), $B145 * K126, "")</f>
        <v>3814.262023217254</v>
      </c>
      <c r="M126" s="31">
        <v>62.3</v>
      </c>
      <c r="N126" s="32">
        <f t="shared" ref="N126:N129" si="65">IF(ISNUMBER(M126), (M126 - $B126) / $B126, "")</f>
        <v>3.316749585406302E-2</v>
      </c>
      <c r="O126" s="18">
        <f>IF(ISNUMBER(M126), $B145 * N126, "")</f>
        <v>3316.7495854063018</v>
      </c>
      <c r="Q126" s="248"/>
      <c r="R126" s="248"/>
      <c r="S126" s="248"/>
    </row>
    <row r="127" spans="1:19" ht="17.25" thickBot="1">
      <c r="A127" s="125" t="s">
        <v>132</v>
      </c>
      <c r="B127" s="126">
        <v>95.2</v>
      </c>
      <c r="C127" s="77">
        <v>2.4757804099999999E-2</v>
      </c>
      <c r="D127" s="15">
        <v>99.1</v>
      </c>
      <c r="E127" s="32">
        <f t="shared" si="62"/>
        <v>4.0966386554621759E-2</v>
      </c>
      <c r="F127" s="18">
        <f>IF(ISNUMBER(D127), $B145 * E127, "")</f>
        <v>4096.6386554621758</v>
      </c>
      <c r="G127" s="31">
        <v>101</v>
      </c>
      <c r="H127" s="32">
        <f t="shared" si="63"/>
        <v>6.0924369747899131E-2</v>
      </c>
      <c r="I127" s="101">
        <f>IF(ISNUMBER(G127), $B145 * H127, "")</f>
        <v>6092.4369747899127</v>
      </c>
      <c r="J127" s="15">
        <v>99</v>
      </c>
      <c r="K127" s="32">
        <f t="shared" si="64"/>
        <v>3.9915966386554591E-2</v>
      </c>
      <c r="L127" s="18">
        <f>IF(ISNUMBER(J127), $B145 * K127, "")</f>
        <v>3991.5966386554592</v>
      </c>
      <c r="M127" s="31">
        <v>96.8</v>
      </c>
      <c r="N127" s="32">
        <f t="shared" si="65"/>
        <v>1.6806722689075571E-2</v>
      </c>
      <c r="O127" s="18">
        <f>IF(ISNUMBER(M127), $B145 * N127, "")</f>
        <v>1680.6722689075571</v>
      </c>
      <c r="Q127" s="238"/>
      <c r="R127" s="238"/>
      <c r="S127" s="238"/>
    </row>
    <row r="128" spans="1:19" ht="17.25" thickBot="1">
      <c r="A128" s="125" t="s">
        <v>204</v>
      </c>
      <c r="B128" s="126">
        <v>12.9</v>
      </c>
      <c r="C128" s="77">
        <v>2.3809523799999999E-2</v>
      </c>
      <c r="D128" s="15">
        <v>13.6</v>
      </c>
      <c r="E128" s="32">
        <f t="shared" si="62"/>
        <v>5.4263565891472812E-2</v>
      </c>
      <c r="F128" s="18">
        <f>IF(ISNUMBER(D128), $B145 * E128, "")</f>
        <v>5426.3565891472808</v>
      </c>
      <c r="G128" s="31">
        <v>13.7</v>
      </c>
      <c r="H128" s="32">
        <f t="shared" si="63"/>
        <v>6.2015503875968908E-2</v>
      </c>
      <c r="I128" s="101">
        <f>IF(ISNUMBER(G128), $B145 * H128, "")</f>
        <v>6201.5503875968907</v>
      </c>
      <c r="J128" s="15">
        <v>13.4</v>
      </c>
      <c r="K128" s="32">
        <f t="shared" si="64"/>
        <v>3.875968992248062E-2</v>
      </c>
      <c r="L128" s="18">
        <f>IF(ISNUMBER(J128), $B145 * K128, "")</f>
        <v>3875.968992248062</v>
      </c>
      <c r="M128" s="31">
        <v>13.3</v>
      </c>
      <c r="N128" s="32">
        <f t="shared" si="65"/>
        <v>3.1007751937984523E-2</v>
      </c>
      <c r="O128" s="18">
        <f>IF(ISNUMBER(M128), $B145 * N128, "")</f>
        <v>3100.7751937984522</v>
      </c>
      <c r="Q128" s="238"/>
      <c r="R128" s="238"/>
      <c r="S128" s="238"/>
    </row>
    <row r="129" spans="1:19" ht="17.25" thickBot="1">
      <c r="A129" s="127" t="s">
        <v>208</v>
      </c>
      <c r="B129" s="128">
        <v>11.6</v>
      </c>
      <c r="C129" s="78">
        <v>1.75438596E-2</v>
      </c>
      <c r="D129" s="20">
        <v>12</v>
      </c>
      <c r="E129" s="21">
        <f t="shared" si="62"/>
        <v>3.4482758620689689E-2</v>
      </c>
      <c r="F129" s="22">
        <f>IF(ISNUMBER(D129), $B145 * E129, "")</f>
        <v>3448.2758620689688</v>
      </c>
      <c r="G129" s="30">
        <v>12</v>
      </c>
      <c r="H129" s="21">
        <f t="shared" si="63"/>
        <v>3.4482758620689689E-2</v>
      </c>
      <c r="I129" s="105">
        <f>IF(ISNUMBER(G129), $B145 * H129, "")</f>
        <v>3448.2758620689688</v>
      </c>
      <c r="J129" s="20">
        <v>11.9</v>
      </c>
      <c r="K129" s="21">
        <f t="shared" si="64"/>
        <v>2.5862068965517303E-2</v>
      </c>
      <c r="L129" s="22">
        <f>IF(ISNUMBER(J129), $B145 * K129, "")</f>
        <v>2586.2068965517306</v>
      </c>
      <c r="M129" s="30">
        <v>11.5</v>
      </c>
      <c r="N129" s="21">
        <f t="shared" si="65"/>
        <v>-8.6206896551723842E-3</v>
      </c>
      <c r="O129" s="22">
        <f>IF(ISNUMBER(M129), $B145 * N129, "")</f>
        <v>-862.06896551723844</v>
      </c>
      <c r="Q129" s="238"/>
      <c r="R129" s="238"/>
      <c r="S129" s="238"/>
    </row>
    <row r="130" spans="1:19" ht="17.25" thickBot="1">
      <c r="A130" s="125" t="s">
        <v>152</v>
      </c>
      <c r="B130" s="129">
        <v>73.900000000000006</v>
      </c>
      <c r="C130" s="80">
        <v>1.37174211E-2</v>
      </c>
      <c r="D130" s="106">
        <v>76.2</v>
      </c>
      <c r="E130" s="107">
        <f>IF(ISNUMBER(D130), (D130 - $B130) / $B130, "")</f>
        <v>3.1123139377537173E-2</v>
      </c>
      <c r="F130" s="108">
        <f>IF(ISNUMBER(D130), $B145 * E130, "")</f>
        <v>3112.3139377537173</v>
      </c>
      <c r="G130" s="109">
        <v>77</v>
      </c>
      <c r="H130" s="107">
        <f>IF(ISNUMBER(G130), (G130 - $B130) / $B130, "")</f>
        <v>4.1948579161028336E-2</v>
      </c>
      <c r="I130" s="110">
        <f>IF(ISNUMBER(G130), $B145 * H130, "")</f>
        <v>4194.8579161028338</v>
      </c>
      <c r="J130" s="106">
        <v>75.599999999999994</v>
      </c>
      <c r="K130" s="107">
        <f>IF(ISNUMBER(J130), (J130 - $B130) / $B130, "")</f>
        <v>2.3004059539918655E-2</v>
      </c>
      <c r="L130" s="108">
        <f>IF(ISNUMBER(J130), $B145 * K130, "")</f>
        <v>2300.4059539918653</v>
      </c>
      <c r="M130" s="109">
        <v>75.7</v>
      </c>
      <c r="N130" s="107">
        <f>IF(ISNUMBER(M130), (M130 - $B130) / $B130, "")</f>
        <v>2.4357239512855171E-2</v>
      </c>
      <c r="O130" s="108">
        <f>IF(ISNUMBER(M130), $B145 * N130, "")</f>
        <v>2435.7239512855172</v>
      </c>
      <c r="Q130" s="238"/>
      <c r="R130" s="238"/>
      <c r="S130" s="238"/>
    </row>
    <row r="131" spans="1:19" ht="17.25" thickBot="1">
      <c r="A131" s="125" t="s">
        <v>188</v>
      </c>
      <c r="B131" s="126">
        <v>11.3</v>
      </c>
      <c r="C131" s="77">
        <v>8.9285713999999999E-3</v>
      </c>
      <c r="D131" s="15">
        <v>11.9</v>
      </c>
      <c r="E131" s="32">
        <f t="shared" ref="E131:E134" si="66">IF(ISNUMBER(D131), (D131 - $B131) / $B131, "")</f>
        <v>5.3097345132743327E-2</v>
      </c>
      <c r="F131" s="18">
        <f>IF(ISNUMBER(D131), $B145 * E131, "")</f>
        <v>5309.734513274333</v>
      </c>
      <c r="G131" s="31">
        <v>11.9</v>
      </c>
      <c r="H131" s="32">
        <f t="shared" ref="H131:H134" si="67">IF(ISNUMBER(G131), (G131 - $B131) / $B131, "")</f>
        <v>5.3097345132743327E-2</v>
      </c>
      <c r="I131" s="101">
        <f>IF(ISNUMBER(G131), $B145 * H131, "")</f>
        <v>5309.734513274333</v>
      </c>
      <c r="J131" s="15">
        <v>11.5</v>
      </c>
      <c r="K131" s="32">
        <f t="shared" ref="K131:K134" si="68">IF(ISNUMBER(J131), (J131 - $B131) / $B131, "")</f>
        <v>1.7699115044247725E-2</v>
      </c>
      <c r="L131" s="18">
        <f>IF(ISNUMBER(J131), $B145 * K131, "")</f>
        <v>1769.9115044247726</v>
      </c>
      <c r="M131" s="31">
        <v>11.4</v>
      </c>
      <c r="N131" s="32">
        <f t="shared" ref="N131:N134" si="69">IF(ISNUMBER(M131), (M131 - $B131) / $B131, "")</f>
        <v>8.8495575221238625E-3</v>
      </c>
      <c r="O131" s="18">
        <f>IF(ISNUMBER(M131), $B145 * N131, "")</f>
        <v>884.9557522123863</v>
      </c>
      <c r="Q131" s="238"/>
      <c r="R131" s="238"/>
      <c r="S131" s="238"/>
    </row>
    <row r="132" spans="1:19" ht="17.25" thickBot="1">
      <c r="A132" s="125" t="s">
        <v>178</v>
      </c>
      <c r="B132" s="126">
        <v>15.4</v>
      </c>
      <c r="C132" s="77">
        <v>6.5359477000000001E-3</v>
      </c>
      <c r="D132" s="15">
        <v>16.100000000000001</v>
      </c>
      <c r="E132" s="32">
        <f t="shared" si="66"/>
        <v>4.5454545454545525E-2</v>
      </c>
      <c r="F132" s="18">
        <f>IF(ISNUMBER(D132), $B145 * E132, "")</f>
        <v>4545.4545454545523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15.9</v>
      </c>
      <c r="K132" s="32">
        <f t="shared" si="68"/>
        <v>3.2467532467532464E-2</v>
      </c>
      <c r="L132" s="18">
        <f>IF(ISNUMBER(J132), $B145 * K132, "")</f>
        <v>3246.7532467532465</v>
      </c>
      <c r="M132" s="31">
        <v>15.6</v>
      </c>
      <c r="N132" s="32">
        <f t="shared" si="69"/>
        <v>1.2987012987012941E-2</v>
      </c>
      <c r="O132" s="18">
        <f>IF(ISNUMBER(M132), $B145 * N132, "")</f>
        <v>1298.701298701294</v>
      </c>
      <c r="Q132" s="238"/>
      <c r="R132" s="238"/>
      <c r="S132" s="238"/>
    </row>
    <row r="133" spans="1:19" ht="17.25" thickBot="1">
      <c r="A133" s="125" t="s">
        <v>72</v>
      </c>
      <c r="B133" s="126">
        <v>21</v>
      </c>
      <c r="C133" s="77">
        <v>4.784689E-3</v>
      </c>
      <c r="D133" s="15">
        <v>22.3</v>
      </c>
      <c r="E133" s="32">
        <f t="shared" si="66"/>
        <v>6.1904761904761942E-2</v>
      </c>
      <c r="F133" s="18">
        <f>IF(ISNUMBER(D133), $B145 * E133, "")</f>
        <v>6190.4761904761945</v>
      </c>
      <c r="G133" s="31">
        <v>22.4</v>
      </c>
      <c r="H133" s="32">
        <f t="shared" si="67"/>
        <v>6.6666666666666596E-2</v>
      </c>
      <c r="I133" s="101">
        <f>IF(ISNUMBER(G133), $B145 * H133, "")</f>
        <v>6666.6666666666597</v>
      </c>
      <c r="J133" s="15">
        <v>22</v>
      </c>
      <c r="K133" s="32">
        <f t="shared" si="68"/>
        <v>4.7619047619047616E-2</v>
      </c>
      <c r="L133" s="18">
        <f>IF(ISNUMBER(J133), $B145 * K133, "")</f>
        <v>4761.9047619047615</v>
      </c>
      <c r="M133" s="31">
        <v>22</v>
      </c>
      <c r="N133" s="32">
        <f t="shared" si="69"/>
        <v>4.7619047619047616E-2</v>
      </c>
      <c r="O133" s="18">
        <f>IF(ISNUMBER(M133), $B145 * N133, "")</f>
        <v>4761.9047619047615</v>
      </c>
      <c r="Q133" s="33"/>
      <c r="R133" s="33"/>
    </row>
    <row r="134" spans="1:19" ht="17.25" thickBot="1">
      <c r="A134" s="130" t="s">
        <v>150</v>
      </c>
      <c r="B134" s="131">
        <v>10.3</v>
      </c>
      <c r="C134" s="79">
        <v>0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</v>
      </c>
      <c r="H134" s="25">
        <f t="shared" si="67"/>
        <v>6.7961165048543618E-2</v>
      </c>
      <c r="I134" s="103">
        <f>IF(ISNUMBER(G134), $B145 * H134, "")</f>
        <v>6796.1165048543617</v>
      </c>
      <c r="J134" s="24">
        <v>10.8</v>
      </c>
      <c r="K134" s="25">
        <f t="shared" si="68"/>
        <v>4.8543689320388349E-2</v>
      </c>
      <c r="L134" s="104">
        <f>IF(ISNUMBER(J134), $B145 * K134, "")</f>
        <v>4854.3689320388348</v>
      </c>
      <c r="M134" s="102">
        <v>10.9</v>
      </c>
      <c r="N134" s="25">
        <f t="shared" si="69"/>
        <v>5.825242718446598E-2</v>
      </c>
      <c r="O134" s="104">
        <f>IF(ISNUMBER(M134), $B145 * N134, "")</f>
        <v>5825.2427184465978</v>
      </c>
      <c r="Q134" s="239"/>
      <c r="R134" s="240"/>
      <c r="S134" s="241"/>
    </row>
    <row r="135" spans="1:19">
      <c r="A135" s="123" t="s">
        <v>122</v>
      </c>
      <c r="B135" s="124">
        <v>26.5</v>
      </c>
      <c r="C135" s="76">
        <v>0</v>
      </c>
      <c r="D135" s="13">
        <v>27.8</v>
      </c>
      <c r="E135" s="14">
        <f>IF(ISNUMBER(D135), (D135 - $B135) / $B135, "")</f>
        <v>4.9056603773584929E-2</v>
      </c>
      <c r="F135" s="16">
        <f>IF(ISNUMBER(D135), $B145 * E135, "")</f>
        <v>4905.660377358493</v>
      </c>
      <c r="G135" s="29">
        <v>27.7</v>
      </c>
      <c r="H135" s="14">
        <f>IF(ISNUMBER(G135), (G135 - $B135) / $B135, "")</f>
        <v>4.5283018867924504E-2</v>
      </c>
      <c r="I135" s="100">
        <f>IF(ISNUMBER(G135), $B145 * H135, "")</f>
        <v>4528.3018867924502</v>
      </c>
      <c r="J135" s="13">
        <v>26.8</v>
      </c>
      <c r="K135" s="14">
        <f>IF(ISNUMBER(J135), (J135 - $B135) / $B135, "")</f>
        <v>1.1320754716981159E-2</v>
      </c>
      <c r="L135" s="16">
        <f>IF(ISNUMBER(J135), $B145 * K135, "")</f>
        <v>1132.075471698116</v>
      </c>
      <c r="M135" s="29">
        <v>26.5</v>
      </c>
      <c r="N135" s="14">
        <f>IF(ISNUMBER(M135), (M135 - $B135) / $B135, "")</f>
        <v>0</v>
      </c>
      <c r="O135" s="16">
        <f>IF(ISNUMBER(M135), $B145 * N135, "")</f>
        <v>0</v>
      </c>
      <c r="Q135" s="242"/>
      <c r="R135" s="243"/>
      <c r="S135" s="244"/>
    </row>
    <row r="136" spans="1:19" ht="17.25" thickBot="1">
      <c r="A136" s="125" t="s">
        <v>234</v>
      </c>
      <c r="B136" s="126">
        <v>60.1</v>
      </c>
      <c r="C136" s="77">
        <v>-1.3136289000000001E-2</v>
      </c>
      <c r="D136" s="15">
        <v>67.400000000000006</v>
      </c>
      <c r="E136" s="32">
        <f t="shared" ref="E136:E139" si="70">IF(ISNUMBER(D136), (D136 - $B136) / $B136, "")</f>
        <v>0.12146422628951754</v>
      </c>
      <c r="F136" s="18">
        <f>IF(ISNUMBER(D136), $B145 * E136, "")</f>
        <v>12146.422628951754</v>
      </c>
      <c r="G136" s="31">
        <v>67.3</v>
      </c>
      <c r="H136" s="32">
        <f t="shared" ref="H136:H139" si="71">IF(ISNUMBER(G136), (G136 - $B136) / $B136, "")</f>
        <v>0.11980033277870208</v>
      </c>
      <c r="I136" s="101">
        <f>IF(ISNUMBER(G136), $B145 * H136, "")</f>
        <v>11980.033277870209</v>
      </c>
      <c r="J136" s="15">
        <v>68.3</v>
      </c>
      <c r="K136" s="32">
        <f t="shared" ref="K136:K139" si="72">IF(ISNUMBER(J136), (J136 - $B136) / $B136, "")</f>
        <v>0.13643926788685518</v>
      </c>
      <c r="L136" s="18">
        <f>IF(ISNUMBER(J136), $B145 * K136, "")</f>
        <v>13643.926788685518</v>
      </c>
      <c r="M136" s="31">
        <v>66.7</v>
      </c>
      <c r="N136" s="32">
        <f t="shared" ref="N136:N139" si="73">IF(ISNUMBER(M136), (M136 - $B136) / $B136, "")</f>
        <v>0.10981697171381034</v>
      </c>
      <c r="O136" s="18">
        <f>IF(ISNUMBER(M136), $B145 * N136, "")</f>
        <v>10981.697171381034</v>
      </c>
      <c r="Q136" s="245"/>
      <c r="R136" s="246"/>
      <c r="S136" s="247"/>
    </row>
    <row r="137" spans="1:19" ht="17.25" thickBot="1">
      <c r="A137" s="125" t="s">
        <v>240</v>
      </c>
      <c r="B137" s="126">
        <v>58.3</v>
      </c>
      <c r="C137" s="77">
        <v>-1.5202702699999999E-2</v>
      </c>
      <c r="D137" s="15">
        <v>60.8</v>
      </c>
      <c r="E137" s="32">
        <f t="shared" si="70"/>
        <v>4.2881646655231566E-2</v>
      </c>
      <c r="F137" s="18">
        <f>IF(ISNUMBER(D137), $B145 * E137, "")</f>
        <v>4288.1646655231561</v>
      </c>
      <c r="G137" s="31">
        <v>61.2</v>
      </c>
      <c r="H137" s="32">
        <f t="shared" si="71"/>
        <v>4.9742710120068707E-2</v>
      </c>
      <c r="I137" s="101">
        <f>IF(ISNUMBER(G137), $B145 * H137, "")</f>
        <v>4974.2710120068705</v>
      </c>
      <c r="J137" s="15">
        <v>60.6</v>
      </c>
      <c r="K137" s="32">
        <f t="shared" si="72"/>
        <v>3.9451114922813113E-2</v>
      </c>
      <c r="L137" s="18">
        <f>IF(ISNUMBER(J137), $B145 * K137, "")</f>
        <v>3945.1114922813113</v>
      </c>
      <c r="M137" s="31">
        <v>60</v>
      </c>
      <c r="N137" s="32">
        <f t="shared" si="73"/>
        <v>2.9159519725557512E-2</v>
      </c>
      <c r="O137" s="18">
        <f>IF(ISNUMBER(M137), $B145 * N137, "")</f>
        <v>2915.9519725557511</v>
      </c>
      <c r="Q137" s="238"/>
      <c r="R137" s="238"/>
      <c r="S137" s="238"/>
    </row>
    <row r="138" spans="1:19" ht="17.25" thickBot="1">
      <c r="A138" s="125" t="s">
        <v>144</v>
      </c>
      <c r="B138" s="126">
        <v>96</v>
      </c>
      <c r="C138" s="77">
        <v>-1.5384615399999999E-2</v>
      </c>
      <c r="D138" s="15">
        <v>111</v>
      </c>
      <c r="E138" s="32">
        <f t="shared" si="70"/>
        <v>0.15625</v>
      </c>
      <c r="F138" s="18">
        <f>IF(ISNUMBER(D138), $B145 * E138, "")</f>
        <v>15625</v>
      </c>
      <c r="G138" s="31">
        <v>107</v>
      </c>
      <c r="H138" s="32">
        <f t="shared" si="71"/>
        <v>0.11458333333333333</v>
      </c>
      <c r="I138" s="101">
        <f>IF(ISNUMBER(G138), $B145 * H138, "")</f>
        <v>11458.333333333332</v>
      </c>
      <c r="J138" s="15">
        <v>105</v>
      </c>
      <c r="K138" s="32">
        <f t="shared" si="72"/>
        <v>9.375E-2</v>
      </c>
      <c r="L138" s="18">
        <f>IF(ISNUMBER(J138), $B145 * K138, "")</f>
        <v>9375</v>
      </c>
      <c r="M138" s="31">
        <v>107</v>
      </c>
      <c r="N138" s="32">
        <f t="shared" si="73"/>
        <v>0.11458333333333333</v>
      </c>
      <c r="O138" s="18">
        <f>IF(ISNUMBER(M138), $B145 * N138, "")</f>
        <v>11458.333333333332</v>
      </c>
      <c r="Q138" s="248"/>
      <c r="R138" s="248"/>
      <c r="S138" s="248"/>
    </row>
    <row r="139" spans="1:19" ht="17.25" thickBot="1">
      <c r="A139" s="127" t="s">
        <v>98</v>
      </c>
      <c r="B139" s="128">
        <v>3.25</v>
      </c>
      <c r="C139" s="78">
        <v>-1.81268882E-2</v>
      </c>
      <c r="D139" s="20">
        <v>3.44</v>
      </c>
      <c r="E139" s="21">
        <f t="shared" si="70"/>
        <v>5.8461538461538447E-2</v>
      </c>
      <c r="F139" s="22">
        <f>IF(ISNUMBER(D139), $B145 * E139, "")</f>
        <v>5846.1538461538448</v>
      </c>
      <c r="G139" s="30">
        <v>3.45</v>
      </c>
      <c r="H139" s="21">
        <f t="shared" si="71"/>
        <v>6.153846153846159E-2</v>
      </c>
      <c r="I139" s="105">
        <f>IF(ISNUMBER(G139), $B145 * H139, "")</f>
        <v>6153.8461538461588</v>
      </c>
      <c r="J139" s="20">
        <v>3.41</v>
      </c>
      <c r="K139" s="21">
        <f t="shared" si="72"/>
        <v>4.9230769230769272E-2</v>
      </c>
      <c r="L139" s="22">
        <f>IF(ISNUMBER(J139), $B145 * K139, "")</f>
        <v>4923.0769230769274</v>
      </c>
      <c r="M139" s="30">
        <v>3.41</v>
      </c>
      <c r="N139" s="21">
        <f t="shared" si="73"/>
        <v>4.9230769230769272E-2</v>
      </c>
      <c r="O139" s="22">
        <f>IF(ISNUMBER(M139), $B145 * N139, "")</f>
        <v>4923.0769230769274</v>
      </c>
      <c r="Q139" s="248"/>
      <c r="R139" s="248"/>
      <c r="S139" s="248"/>
    </row>
    <row r="140" spans="1:19" ht="17.25" thickBot="1">
      <c r="A140" s="125" t="s">
        <v>202</v>
      </c>
      <c r="B140" s="129">
        <v>60.1</v>
      </c>
      <c r="C140" s="80">
        <v>-2.1172638399999999E-2</v>
      </c>
      <c r="D140" s="106">
        <v>71.400000000000006</v>
      </c>
      <c r="E140" s="107">
        <f>IF(ISNUMBER(D140), (D140 - $B140) / $B140, "")</f>
        <v>0.18801996672212984</v>
      </c>
      <c r="F140" s="108">
        <f>IF(ISNUMBER(D140), $B145 * E140, "")</f>
        <v>18801.996672212983</v>
      </c>
      <c r="G140" s="109">
        <v>73</v>
      </c>
      <c r="H140" s="107">
        <f>IF(ISNUMBER(G140), (G140 - $B140) / $B140, "")</f>
        <v>0.21464226289517468</v>
      </c>
      <c r="I140" s="110">
        <f>IF(ISNUMBER(G140), $B145 * H140, "")</f>
        <v>21464.226289517468</v>
      </c>
      <c r="J140" s="106">
        <v>73.400000000000006</v>
      </c>
      <c r="K140" s="107">
        <f>IF(ISNUMBER(J140), (J140 - $B140) / $B140, "")</f>
        <v>0.22129783693843599</v>
      </c>
      <c r="L140" s="108">
        <f>IF(ISNUMBER(J140), $B145 * K140, "")</f>
        <v>22129.783693843598</v>
      </c>
      <c r="M140" s="109">
        <v>72.3</v>
      </c>
      <c r="N140" s="107">
        <f>IF(ISNUMBER(M140), (M140 - $B140) / $B140, "")</f>
        <v>0.20299500831946748</v>
      </c>
      <c r="O140" s="108">
        <f>IF(ISNUMBER(M140), $B145 * N140, "")</f>
        <v>20299.500831946749</v>
      </c>
      <c r="Q140" s="238"/>
      <c r="R140" s="238"/>
      <c r="S140" s="238"/>
    </row>
    <row r="141" spans="1:19" ht="17.25" thickBot="1">
      <c r="A141" s="125" t="s">
        <v>216</v>
      </c>
      <c r="B141" s="126">
        <v>9.1300000000000008</v>
      </c>
      <c r="C141" s="77">
        <v>-2.45726496E-2</v>
      </c>
      <c r="D141" s="15">
        <v>9.85</v>
      </c>
      <c r="E141" s="32">
        <f t="shared" ref="E141:E144" si="74">IF(ISNUMBER(D141), (D141 - $B141) / $B141, "")</f>
        <v>7.8860898138006438E-2</v>
      </c>
      <c r="F141" s="18">
        <f>IF(ISNUMBER(D141), $B145 * E141, "")</f>
        <v>7886.0898138006442</v>
      </c>
      <c r="G141" s="31">
        <v>9.83</v>
      </c>
      <c r="H141" s="32">
        <f t="shared" ref="H141:H144" si="75">IF(ISNUMBER(G141), (G141 - $B141) / $B141, "")</f>
        <v>7.6670317634172966E-2</v>
      </c>
      <c r="I141" s="101">
        <f>IF(ISNUMBER(G141), $B145 * H141, "")</f>
        <v>7667.0317634172961</v>
      </c>
      <c r="J141" s="15">
        <v>9.59</v>
      </c>
      <c r="K141" s="32">
        <f t="shared" ref="K141:K144" si="76">IF(ISNUMBER(J141), (J141 - $B141) / $B141, "")</f>
        <v>5.0383351588170762E-2</v>
      </c>
      <c r="L141" s="18">
        <f>IF(ISNUMBER(J141), $B145 * K141, "")</f>
        <v>5038.3351588170763</v>
      </c>
      <c r="M141" s="31">
        <v>9.6</v>
      </c>
      <c r="N141" s="32">
        <f t="shared" ref="N141:N144" si="77">IF(ISNUMBER(M141), (M141 - $B141) / $B141, "")</f>
        <v>5.1478641840087491E-2</v>
      </c>
      <c r="O141" s="18">
        <f>IF(ISNUMBER(M141), $B145 * N141, "")</f>
        <v>5147.8641840087494</v>
      </c>
      <c r="Q141" s="238"/>
      <c r="R141" s="238"/>
      <c r="S141" s="238"/>
    </row>
    <row r="142" spans="1:19" ht="17.25" thickBot="1">
      <c r="A142" s="125" t="s">
        <v>210</v>
      </c>
      <c r="B142" s="126">
        <v>11</v>
      </c>
      <c r="C142" s="77">
        <v>-2.65486726E-2</v>
      </c>
      <c r="D142" s="15">
        <v>11.3</v>
      </c>
      <c r="E142" s="32">
        <f t="shared" si="74"/>
        <v>2.7272727272727337E-2</v>
      </c>
      <c r="F142" s="18">
        <f>IF(ISNUMBER(D142), $B145 * E142, "")</f>
        <v>2727.2727272727338</v>
      </c>
      <c r="G142" s="31">
        <v>11.4</v>
      </c>
      <c r="H142" s="32">
        <f t="shared" si="75"/>
        <v>3.6363636363636397E-2</v>
      </c>
      <c r="I142" s="101">
        <f>IF(ISNUMBER(G142), $B145 * H142, "")</f>
        <v>3636.3636363636397</v>
      </c>
      <c r="J142" s="15">
        <v>11.1</v>
      </c>
      <c r="K142" s="32">
        <f t="shared" si="76"/>
        <v>9.0909090909090592E-3</v>
      </c>
      <c r="L142" s="18">
        <f>IF(ISNUMBER(J142), $B145 * K142, "")</f>
        <v>909.09090909090594</v>
      </c>
      <c r="M142" s="31">
        <v>10.8</v>
      </c>
      <c r="N142" s="32">
        <f t="shared" si="77"/>
        <v>-1.8181818181818118E-2</v>
      </c>
      <c r="O142" s="18">
        <f>IF(ISNUMBER(M142), $B145 * N142, "")</f>
        <v>-1818.1818181818119</v>
      </c>
      <c r="Q142" s="238"/>
      <c r="R142" s="238"/>
      <c r="S142" s="238"/>
    </row>
    <row r="143" spans="1:19">
      <c r="A143" s="125" t="s">
        <v>190</v>
      </c>
      <c r="B143" s="126">
        <v>15.8</v>
      </c>
      <c r="C143" s="77">
        <v>-3.06748466E-2</v>
      </c>
      <c r="D143" s="15">
        <v>16.7</v>
      </c>
      <c r="E143" s="32">
        <f t="shared" si="74"/>
        <v>5.6962025316455604E-2</v>
      </c>
      <c r="F143" s="18">
        <f>IF(ISNUMBER(D143), $B145 * E143, "")</f>
        <v>5696.2025316455602</v>
      </c>
      <c r="G143" s="31">
        <v>16.7</v>
      </c>
      <c r="H143" s="32">
        <f t="shared" si="75"/>
        <v>5.6962025316455604E-2</v>
      </c>
      <c r="I143" s="101">
        <f>IF(ISNUMBER(G143), $B145 * H143, "")</f>
        <v>5696.2025316455602</v>
      </c>
      <c r="J143" s="15">
        <v>16.100000000000001</v>
      </c>
      <c r="K143" s="32">
        <f t="shared" si="76"/>
        <v>1.8987341772151944E-2</v>
      </c>
      <c r="L143" s="18">
        <f>IF(ISNUMBER(J143), $B145 * K143, "")</f>
        <v>1898.7341772151944</v>
      </c>
      <c r="M143" s="31">
        <v>16</v>
      </c>
      <c r="N143" s="32">
        <f t="shared" si="77"/>
        <v>1.2658227848101221E-2</v>
      </c>
      <c r="O143" s="18">
        <f>IF(ISNUMBER(M143), $B145 * N143, "")</f>
        <v>1265.8227848101221</v>
      </c>
      <c r="Q143" s="227"/>
      <c r="R143" s="228"/>
      <c r="S143" s="229"/>
    </row>
    <row r="144" spans="1:19" ht="17.25" thickBot="1">
      <c r="A144" s="130" t="s">
        <v>162</v>
      </c>
      <c r="B144" s="131">
        <v>94</v>
      </c>
      <c r="C144" s="79">
        <v>-3.3915724600000002E-2</v>
      </c>
      <c r="D144" s="24">
        <v>98.4</v>
      </c>
      <c r="E144" s="25">
        <f t="shared" si="74"/>
        <v>4.6808510638297933E-2</v>
      </c>
      <c r="F144" s="104">
        <f>IF(ISNUMBER(D144), $B145 * E144, "")</f>
        <v>4680.851063829793</v>
      </c>
      <c r="G144" s="102">
        <v>98.9</v>
      </c>
      <c r="H144" s="25">
        <f t="shared" si="75"/>
        <v>5.2127659574468146E-2</v>
      </c>
      <c r="I144" s="103">
        <f>IF(ISNUMBER(G144), $B145 * H144, "")</f>
        <v>5212.7659574468144</v>
      </c>
      <c r="J144" s="24">
        <v>97</v>
      </c>
      <c r="K144" s="25">
        <f t="shared" si="76"/>
        <v>3.1914893617021274E-2</v>
      </c>
      <c r="L144" s="104">
        <f>IF(ISNUMBER(J144), $B145 * K144, "")</f>
        <v>3191.4893617021276</v>
      </c>
      <c r="M144" s="102">
        <v>96.5</v>
      </c>
      <c r="N144" s="25">
        <f t="shared" si="77"/>
        <v>2.6595744680851064E-2</v>
      </c>
      <c r="O144" s="104">
        <f>IF(ISNUMBER(M144), $B145 * N144, "")</f>
        <v>2659.5744680851062</v>
      </c>
      <c r="Q144" s="230"/>
      <c r="R144" s="231"/>
      <c r="S144" s="232"/>
    </row>
    <row r="145" spans="1:19" ht="17.25" thickBot="1">
      <c r="A145" s="132" t="s">
        <v>270</v>
      </c>
      <c r="B145" s="291">
        <f>$B$37</f>
        <v>100000</v>
      </c>
      <c r="C145" s="292"/>
      <c r="D145" s="26" t="s">
        <v>271</v>
      </c>
      <c r="E145" s="27">
        <f>IF(COUNT(E125:E144), SUM(E125:E144) / COUNT(E125:E144), 0)</f>
        <v>6.4047203019270096E-2</v>
      </c>
      <c r="F145" s="28">
        <f>SUM(F125:F144)</f>
        <v>128094.4060385402</v>
      </c>
      <c r="G145" s="26" t="s">
        <v>271</v>
      </c>
      <c r="H145" s="27">
        <f>IF(COUNT(H125:H144), SUM(H125:H144) / COUNT(H125:H144), 0)</f>
        <v>6.7374123108015382E-2</v>
      </c>
      <c r="I145" s="28">
        <f>SUM(I125:I144)</f>
        <v>134748.24621603073</v>
      </c>
      <c r="J145" s="26" t="s">
        <v>271</v>
      </c>
      <c r="K145" s="27">
        <f>IF(COUNT(K125:K144), SUM(K125:K144) / COUNT(K125:K144), 0)</f>
        <v>4.821629445672896E-2</v>
      </c>
      <c r="L145" s="28">
        <f>SUM(L125:L144)</f>
        <v>96432.588913457934</v>
      </c>
      <c r="M145" s="26" t="s">
        <v>271</v>
      </c>
      <c r="N145" s="27">
        <f>IF(COUNT(N125:N144), SUM(N125:N144) / COUNT(N125:N144), 0)</f>
        <v>3.9182734195341941E-2</v>
      </c>
      <c r="O145" s="28">
        <f>SUM(O125:O144)</f>
        <v>78365.468390683905</v>
      </c>
      <c r="Q145" s="233"/>
      <c r="R145" s="234"/>
      <c r="S145" s="23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48"/>
      <c r="R148" s="248"/>
      <c r="S148" s="248"/>
    </row>
    <row r="149" spans="1:19" ht="17.25" thickBot="1">
      <c r="A149" s="157" t="s">
        <v>267</v>
      </c>
      <c r="B149" s="249" t="s">
        <v>49</v>
      </c>
      <c r="C149" s="251"/>
      <c r="D149" s="249" t="s">
        <v>58</v>
      </c>
      <c r="E149" s="250"/>
      <c r="F149" s="251"/>
      <c r="G149" s="252">
        <f>_xlfn.IFNA(VLOOKUP(B149, 현재가테이블!$B$2:$D$200, 2, FALSE), "-")</f>
        <v>54440000</v>
      </c>
      <c r="H149" s="253"/>
      <c r="I149" s="254"/>
      <c r="J149" s="249" t="s">
        <v>59</v>
      </c>
      <c r="K149" s="250"/>
      <c r="L149" s="251"/>
      <c r="M149" s="255">
        <f>_xlfn.IFNA(VLOOKUP(B149, 현재가테이블!$B$2:$D$200, 3, FALSE), "-")</f>
        <v>1.07123628E-2</v>
      </c>
      <c r="N149" s="256"/>
      <c r="O149" s="257"/>
      <c r="Q149" s="248"/>
      <c r="R149" s="248"/>
      <c r="S149" s="248"/>
    </row>
    <row r="150" spans="1:19" ht="17.25" thickBot="1">
      <c r="A150" s="293" t="s">
        <v>55</v>
      </c>
      <c r="B150" s="289" t="str">
        <f>TEXT($G$1, "[$-ko-KR]yyyy-mm-dd(ddd) ") &amp; "오전 00:00"</f>
        <v>2021-08-01(일) 오전 00:00</v>
      </c>
      <c r="C150" s="290"/>
      <c r="D150" s="262" t="str">
        <f>TEXT($G$1, "[$-ko-KR]yyyy-mm-dd(ddd) ") &amp; "오후 14:00"</f>
        <v>2021-08-01(일) 오후 14:00</v>
      </c>
      <c r="E150" s="263"/>
      <c r="F150" s="264"/>
      <c r="G150" s="262" t="str">
        <f>TEXT($G$1, "[$-ko-KR]yyyy-mm-dd(ddd) ") &amp; "오후 19:00"</f>
        <v>2021-08-01(일) 오후 19:00</v>
      </c>
      <c r="H150" s="263"/>
      <c r="I150" s="264"/>
      <c r="J150" s="262" t="str">
        <f>TEXT($G$1, "[$-ko-KR]yyyy-mm-dd(ddd) ") &amp; "오후 21:00"</f>
        <v>2021-08-01(일) 오후 21:00</v>
      </c>
      <c r="K150" s="263"/>
      <c r="L150" s="264"/>
      <c r="M150" s="262" t="str">
        <f>TEXT($G$1+1, "[$-ko-KR]yyyy-mm-dd(ddd) ") &amp; "오전 00:00"</f>
        <v>2021-08-02(월) 오전 00:00</v>
      </c>
      <c r="N150" s="263"/>
      <c r="O150" s="264"/>
      <c r="Q150" s="248"/>
      <c r="R150" s="248"/>
      <c r="S150" s="248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8"/>
      <c r="R151" s="238"/>
      <c r="S151" s="238"/>
    </row>
    <row r="152" spans="1:19" ht="17.25" thickBot="1">
      <c r="A152" s="123" t="s">
        <v>266</v>
      </c>
      <c r="B152" s="124">
        <v>239</v>
      </c>
      <c r="C152" s="76">
        <v>-4.1666667000000001E-3</v>
      </c>
      <c r="D152" s="13">
        <v>247</v>
      </c>
      <c r="E152" s="14">
        <f>IF(ISNUMBER(D152), (D152 - $B152) / $B152, "")</f>
        <v>3.3472803347280332E-2</v>
      </c>
      <c r="F152" s="16">
        <f>IF(ISNUMBER(D152), $B172 * E152, "")</f>
        <v>3347.2803347280333</v>
      </c>
      <c r="G152" s="29">
        <v>247</v>
      </c>
      <c r="H152" s="14">
        <f>IF(ISNUMBER(G152), (G152 - $B152) / $B152, "")</f>
        <v>3.3472803347280332E-2</v>
      </c>
      <c r="I152" s="100">
        <f>IF(ISNUMBER(G152), $B172 * H152, "")</f>
        <v>3347.2803347280333</v>
      </c>
      <c r="J152" s="13">
        <v>244</v>
      </c>
      <c r="K152" s="14">
        <f>IF(ISNUMBER(J152), (J152 - $B152) / $B152, "")</f>
        <v>2.0920502092050208E-2</v>
      </c>
      <c r="L152" s="16">
        <f>IF(ISNUMBER(J152), $B172 * K152, "")</f>
        <v>2092.050209205021</v>
      </c>
      <c r="M152" s="29">
        <v>243</v>
      </c>
      <c r="N152" s="14">
        <f>IF(ISNUMBER(M152), (M152 - $B152) / $B152, "")</f>
        <v>1.6736401673640166E-2</v>
      </c>
      <c r="O152" s="16">
        <f>IF(ISNUMBER(M152), $B172 * N152, "")</f>
        <v>1673.6401673640166</v>
      </c>
      <c r="Q152" s="248"/>
      <c r="R152" s="248"/>
      <c r="S152" s="248"/>
    </row>
    <row r="153" spans="1:19" ht="17.25" thickBot="1">
      <c r="A153" s="125" t="s">
        <v>90</v>
      </c>
      <c r="B153" s="126">
        <v>859</v>
      </c>
      <c r="C153" s="77">
        <v>-8.0831409000000007E-3</v>
      </c>
      <c r="D153" s="15">
        <v>884</v>
      </c>
      <c r="E153" s="32">
        <f t="shared" ref="E153:E156" si="78">IF(ISNUMBER(D153), (D153 - $B153) / $B153, "")</f>
        <v>2.9103608847497089E-2</v>
      </c>
      <c r="F153" s="18">
        <f>IF(ISNUMBER(D153), $B172 * E153, "")</f>
        <v>2910.3608847497089</v>
      </c>
      <c r="G153" s="31">
        <v>888</v>
      </c>
      <c r="H153" s="32">
        <f t="shared" ref="H153:H156" si="79">IF(ISNUMBER(G153), (G153 - $B153) / $B153, "")</f>
        <v>3.3760186263096625E-2</v>
      </c>
      <c r="I153" s="101">
        <f>IF(ISNUMBER(G153), $B172 * H153, "")</f>
        <v>3376.0186263096625</v>
      </c>
      <c r="J153" s="15">
        <v>876</v>
      </c>
      <c r="K153" s="32">
        <f t="shared" ref="K153:K156" si="80">IF(ISNUMBER(J153), (J153 - $B153) / $B153, "")</f>
        <v>1.9790454016298021E-2</v>
      </c>
      <c r="L153" s="18">
        <f>IF(ISNUMBER(J153), $B172 * K153, "")</f>
        <v>1979.0454016298022</v>
      </c>
      <c r="M153" s="31">
        <v>875</v>
      </c>
      <c r="N153" s="32">
        <f t="shared" ref="N153:N156" si="81">IF(ISNUMBER(M153), (M153 - $B153) / $B153, "")</f>
        <v>1.8626309662398137E-2</v>
      </c>
      <c r="O153" s="18">
        <f>IF(ISNUMBER(M153), $B172 * N153, "")</f>
        <v>1862.6309662398137</v>
      </c>
      <c r="Q153" s="248"/>
      <c r="R153" s="248"/>
      <c r="S153" s="248"/>
    </row>
    <row r="154" spans="1:19" ht="17.25" thickBot="1">
      <c r="A154" s="125" t="s">
        <v>218</v>
      </c>
      <c r="B154" s="126">
        <v>108</v>
      </c>
      <c r="C154" s="77">
        <v>-9.1743119000000008E-3</v>
      </c>
      <c r="D154" s="15">
        <v>114</v>
      </c>
      <c r="E154" s="32">
        <f t="shared" si="78"/>
        <v>5.5555555555555552E-2</v>
      </c>
      <c r="F154" s="18">
        <f>IF(ISNUMBER(D154), $B172 * E154, "")</f>
        <v>5555.5555555555557</v>
      </c>
      <c r="G154" s="31">
        <v>116</v>
      </c>
      <c r="H154" s="32">
        <f t="shared" si="79"/>
        <v>7.407407407407407E-2</v>
      </c>
      <c r="I154" s="101">
        <f>IF(ISNUMBER(G154), $B172 * H154, "")</f>
        <v>7407.4074074074069</v>
      </c>
      <c r="J154" s="15">
        <v>114</v>
      </c>
      <c r="K154" s="32">
        <f t="shared" si="80"/>
        <v>5.5555555555555552E-2</v>
      </c>
      <c r="L154" s="18">
        <f>IF(ISNUMBER(J154), $B172 * K154, "")</f>
        <v>5555.5555555555557</v>
      </c>
      <c r="M154" s="31">
        <v>115</v>
      </c>
      <c r="N154" s="32">
        <f t="shared" si="81"/>
        <v>6.4814814814814811E-2</v>
      </c>
      <c r="O154" s="18">
        <f>IF(ISNUMBER(M154), $B172 * N154, "")</f>
        <v>6481.4814814814808</v>
      </c>
      <c r="Q154" s="238"/>
      <c r="R154" s="238"/>
      <c r="S154" s="238"/>
    </row>
    <row r="155" spans="1:19" ht="17.25" thickBot="1">
      <c r="A155" s="125" t="s">
        <v>51</v>
      </c>
      <c r="B155" s="126">
        <v>319</v>
      </c>
      <c r="C155" s="77">
        <v>-9.3167701999999995E-3</v>
      </c>
      <c r="D155" s="15">
        <v>341</v>
      </c>
      <c r="E155" s="32">
        <f t="shared" si="78"/>
        <v>6.8965517241379309E-2</v>
      </c>
      <c r="F155" s="18">
        <f>IF(ISNUMBER(D155), $B172 * E155, "")</f>
        <v>6896.5517241379312</v>
      </c>
      <c r="G155" s="31">
        <v>342</v>
      </c>
      <c r="H155" s="32">
        <f t="shared" si="79"/>
        <v>7.2100313479623826E-2</v>
      </c>
      <c r="I155" s="101">
        <f>IF(ISNUMBER(G155), $B172 * H155, "")</f>
        <v>7210.0313479623828</v>
      </c>
      <c r="J155" s="15">
        <v>333</v>
      </c>
      <c r="K155" s="32">
        <f t="shared" si="80"/>
        <v>4.3887147335423198E-2</v>
      </c>
      <c r="L155" s="18">
        <f>IF(ISNUMBER(J155), $B172 * K155, "")</f>
        <v>4388.7147335423197</v>
      </c>
      <c r="M155" s="31">
        <v>333</v>
      </c>
      <c r="N155" s="32">
        <f t="shared" si="81"/>
        <v>4.3887147335423198E-2</v>
      </c>
      <c r="O155" s="18">
        <f>IF(ISNUMBER(M155), $B172 * N155, "")</f>
        <v>4388.7147335423197</v>
      </c>
      <c r="Q155" s="238"/>
      <c r="R155" s="238"/>
      <c r="S155" s="238"/>
    </row>
    <row r="156" spans="1:19" ht="17.25" thickBot="1">
      <c r="A156" s="127" t="s">
        <v>184</v>
      </c>
      <c r="B156" s="128">
        <v>933</v>
      </c>
      <c r="C156" s="78">
        <v>-1.16525424E-2</v>
      </c>
      <c r="D156" s="20">
        <v>933</v>
      </c>
      <c r="E156" s="21">
        <f t="shared" si="78"/>
        <v>0</v>
      </c>
      <c r="F156" s="22">
        <f>IF(ISNUMBER(D156), $B172 * E156, "")</f>
        <v>0</v>
      </c>
      <c r="G156" s="30">
        <v>939</v>
      </c>
      <c r="H156" s="21">
        <f t="shared" si="79"/>
        <v>6.4308681672025723E-3</v>
      </c>
      <c r="I156" s="105">
        <f>IF(ISNUMBER(G156), $B172 * H156, "")</f>
        <v>643.08681672025727</v>
      </c>
      <c r="J156" s="20">
        <v>920</v>
      </c>
      <c r="K156" s="21">
        <f t="shared" si="80"/>
        <v>-1.3933547695605574E-2</v>
      </c>
      <c r="L156" s="22">
        <f>IF(ISNUMBER(J156), $B172 * K156, "")</f>
        <v>-1393.3547695605573</v>
      </c>
      <c r="M156" s="30">
        <v>925</v>
      </c>
      <c r="N156" s="21">
        <f t="shared" si="81"/>
        <v>-8.5744908896034297E-3</v>
      </c>
      <c r="O156" s="22">
        <f>IF(ISNUMBER(M156), $B172 * N156, "")</f>
        <v>-857.44908896034292</v>
      </c>
      <c r="Q156" s="238"/>
      <c r="R156" s="238"/>
      <c r="S156" s="238"/>
    </row>
    <row r="157" spans="1:19" ht="17.25" thickBot="1">
      <c r="A157" s="125" t="s">
        <v>61</v>
      </c>
      <c r="B157" s="129">
        <v>819</v>
      </c>
      <c r="C157" s="80">
        <v>-1.20627262E-2</v>
      </c>
      <c r="D157" s="106">
        <v>838</v>
      </c>
      <c r="E157" s="107">
        <f>IF(ISNUMBER(D157), (D157 - $B157) / $B157, "")</f>
        <v>2.31990231990232E-2</v>
      </c>
      <c r="F157" s="108">
        <f>IF(ISNUMBER(D157), $B172 * E157, "")</f>
        <v>2319.90231990232</v>
      </c>
      <c r="G157" s="109">
        <v>845</v>
      </c>
      <c r="H157" s="107">
        <f>IF(ISNUMBER(G157), (G157 - $B157) / $B157, "")</f>
        <v>3.1746031746031744E-2</v>
      </c>
      <c r="I157" s="110">
        <f>IF(ISNUMBER(G157), $B172 * H157, "")</f>
        <v>3174.6031746031745</v>
      </c>
      <c r="J157" s="106">
        <v>828</v>
      </c>
      <c r="K157" s="107">
        <f>IF(ISNUMBER(J157), (J157 - $B157) / $B157, "")</f>
        <v>1.098901098901099E-2</v>
      </c>
      <c r="L157" s="108">
        <f>IF(ISNUMBER(J157), $B172 * K157, "")</f>
        <v>1098.901098901099</v>
      </c>
      <c r="M157" s="109">
        <v>823</v>
      </c>
      <c r="N157" s="107">
        <f>IF(ISNUMBER(M157), (M157 - $B157) / $B157, "")</f>
        <v>4.884004884004884E-3</v>
      </c>
      <c r="O157" s="108">
        <f>IF(ISNUMBER(M157), $B172 * N157, "")</f>
        <v>488.40048840048843</v>
      </c>
      <c r="Q157" s="238"/>
      <c r="R157" s="238"/>
      <c r="S157" s="238"/>
    </row>
    <row r="158" spans="1:19" ht="17.25" thickBot="1">
      <c r="A158" s="125" t="s">
        <v>194</v>
      </c>
      <c r="B158" s="126">
        <v>130</v>
      </c>
      <c r="C158" s="77">
        <v>-1.51515152E-2</v>
      </c>
      <c r="D158" s="15">
        <v>136</v>
      </c>
      <c r="E158" s="32">
        <f t="shared" ref="E158:E161" si="82">IF(ISNUMBER(D158), (D158 - $B158) / $B158, "")</f>
        <v>4.6153846153846156E-2</v>
      </c>
      <c r="F158" s="18">
        <f>IF(ISNUMBER(D158), $B172 * E158, "")</f>
        <v>4615.3846153846152</v>
      </c>
      <c r="G158" s="31">
        <v>141</v>
      </c>
      <c r="H158" s="32">
        <f t="shared" ref="H158:H161" si="83">IF(ISNUMBER(G158), (G158 - $B158) / $B158, "")</f>
        <v>8.461538461538462E-2</v>
      </c>
      <c r="I158" s="101">
        <f>IF(ISNUMBER(G158), $B172 * H158, "")</f>
        <v>8461.5384615384628</v>
      </c>
      <c r="J158" s="15">
        <v>139</v>
      </c>
      <c r="K158" s="32">
        <f t="shared" ref="K158:K161" si="84">IF(ISNUMBER(J158), (J158 - $B158) / $B158, "")</f>
        <v>6.9230769230769235E-2</v>
      </c>
      <c r="L158" s="18">
        <f>IF(ISNUMBER(J158), $B172 * K158, "")</f>
        <v>6923.0769230769238</v>
      </c>
      <c r="M158" s="31">
        <v>141</v>
      </c>
      <c r="N158" s="32">
        <f t="shared" ref="N158:N161" si="85">IF(ISNUMBER(M158), (M158 - $B158) / $B158, "")</f>
        <v>8.461538461538462E-2</v>
      </c>
      <c r="O158" s="18">
        <f>IF(ISNUMBER(M158), $B172 * N158, "")</f>
        <v>8461.5384615384628</v>
      </c>
      <c r="Q158" s="238"/>
      <c r="R158" s="238"/>
      <c r="S158" s="238"/>
    </row>
    <row r="159" spans="1:19" ht="17.25" thickBot="1">
      <c r="A159" s="125" t="s">
        <v>138</v>
      </c>
      <c r="B159" s="126">
        <v>378</v>
      </c>
      <c r="C159" s="77">
        <v>-1.5625E-2</v>
      </c>
      <c r="D159" s="15">
        <v>385</v>
      </c>
      <c r="E159" s="32">
        <f t="shared" si="82"/>
        <v>1.8518518518518517E-2</v>
      </c>
      <c r="F159" s="18">
        <f>IF(ISNUMBER(D159), $B172 * E159, "")</f>
        <v>1851.8518518518517</v>
      </c>
      <c r="G159" s="31">
        <v>385</v>
      </c>
      <c r="H159" s="32">
        <f t="shared" si="83"/>
        <v>1.8518518518518517E-2</v>
      </c>
      <c r="I159" s="101">
        <f>IF(ISNUMBER(G159), $B172 * H159, "")</f>
        <v>1851.8518518518517</v>
      </c>
      <c r="J159" s="15">
        <v>378</v>
      </c>
      <c r="K159" s="32">
        <f t="shared" si="84"/>
        <v>0</v>
      </c>
      <c r="L159" s="18">
        <f>IF(ISNUMBER(J159), $B172 * K159, "")</f>
        <v>0</v>
      </c>
      <c r="M159" s="31">
        <v>379</v>
      </c>
      <c r="N159" s="32">
        <f t="shared" si="85"/>
        <v>2.6455026455026454E-3</v>
      </c>
      <c r="O159" s="18">
        <f>IF(ISNUMBER(M159), $B172 * N159, "")</f>
        <v>264.55026455026456</v>
      </c>
      <c r="Q159" s="238"/>
      <c r="R159" s="238"/>
      <c r="S159" s="238"/>
    </row>
    <row r="160" spans="1:19" ht="17.25" thickBot="1">
      <c r="A160" s="125" t="s">
        <v>54</v>
      </c>
      <c r="B160" s="126">
        <v>244</v>
      </c>
      <c r="C160" s="77">
        <v>-1.6129032299999999E-2</v>
      </c>
      <c r="D160" s="15">
        <v>248</v>
      </c>
      <c r="E160" s="32">
        <f t="shared" si="82"/>
        <v>1.6393442622950821E-2</v>
      </c>
      <c r="F160" s="18">
        <f>IF(ISNUMBER(D160), $B172 * E160, "")</f>
        <v>1639.344262295082</v>
      </c>
      <c r="G160" s="31">
        <v>250</v>
      </c>
      <c r="H160" s="32">
        <f t="shared" si="83"/>
        <v>2.4590163934426229E-2</v>
      </c>
      <c r="I160" s="101">
        <f>IF(ISNUMBER(G160), $B172 * H160, "")</f>
        <v>2459.0163934426228</v>
      </c>
      <c r="J160" s="15">
        <v>245</v>
      </c>
      <c r="K160" s="32">
        <f t="shared" si="84"/>
        <v>4.0983606557377051E-3</v>
      </c>
      <c r="L160" s="18">
        <f>IF(ISNUMBER(J160), $B172 * K160, "")</f>
        <v>409.8360655737705</v>
      </c>
      <c r="M160" s="31">
        <v>244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86</v>
      </c>
      <c r="B161" s="131">
        <v>302</v>
      </c>
      <c r="C161" s="79">
        <v>-1.6286644999999999E-2</v>
      </c>
      <c r="D161" s="24">
        <v>310</v>
      </c>
      <c r="E161" s="25">
        <f t="shared" si="82"/>
        <v>2.6490066225165563E-2</v>
      </c>
      <c r="F161" s="104">
        <f>IF(ISNUMBER(D161), $B172 * E161, "")</f>
        <v>2649.0066225165565</v>
      </c>
      <c r="G161" s="102">
        <v>319</v>
      </c>
      <c r="H161" s="25">
        <f t="shared" si="83"/>
        <v>5.6291390728476824E-2</v>
      </c>
      <c r="I161" s="103">
        <f>IF(ISNUMBER(G161), $B172 * H161, "")</f>
        <v>5629.1390728476827</v>
      </c>
      <c r="J161" s="24">
        <v>310</v>
      </c>
      <c r="K161" s="25">
        <f t="shared" si="84"/>
        <v>2.6490066225165563E-2</v>
      </c>
      <c r="L161" s="104">
        <f>IF(ISNUMBER(J161), $B172 * K161, "")</f>
        <v>2649.0066225165565</v>
      </c>
      <c r="M161" s="102">
        <v>308</v>
      </c>
      <c r="N161" s="25">
        <f t="shared" si="85"/>
        <v>1.9867549668874173E-2</v>
      </c>
      <c r="O161" s="104">
        <f>IF(ISNUMBER(M161), $B172 * N161, "")</f>
        <v>1986.7549668874174</v>
      </c>
      <c r="Q161" s="239"/>
      <c r="R161" s="240"/>
      <c r="S161" s="241"/>
    </row>
    <row r="162" spans="1:19">
      <c r="A162" s="123" t="s">
        <v>228</v>
      </c>
      <c r="B162" s="124">
        <v>365</v>
      </c>
      <c r="C162" s="76">
        <v>-1.8817204300000001E-2</v>
      </c>
      <c r="D162" s="13">
        <v>363</v>
      </c>
      <c r="E162" s="14">
        <f>IF(ISNUMBER(D162), (D162 - $B162) / $B162, "")</f>
        <v>-5.4794520547945206E-3</v>
      </c>
      <c r="F162" s="16">
        <f>IF(ISNUMBER(D162), $B172 * E162, "")</f>
        <v>-547.94520547945206</v>
      </c>
      <c r="G162" s="29">
        <v>364</v>
      </c>
      <c r="H162" s="14">
        <f>IF(ISNUMBER(G162), (G162 - $B162) / $B162, "")</f>
        <v>-2.7397260273972603E-3</v>
      </c>
      <c r="I162" s="100">
        <f>IF(ISNUMBER(G162), $B172 * H162, "")</f>
        <v>-273.97260273972603</v>
      </c>
      <c r="J162" s="13">
        <v>361</v>
      </c>
      <c r="K162" s="14">
        <f>IF(ISNUMBER(J162), (J162 - $B162) / $B162, "")</f>
        <v>-1.0958904109589041E-2</v>
      </c>
      <c r="L162" s="16">
        <f>IF(ISNUMBER(J162), $B172 * K162, "")</f>
        <v>-1095.8904109589041</v>
      </c>
      <c r="M162" s="29">
        <v>359</v>
      </c>
      <c r="N162" s="14">
        <f>IF(ISNUMBER(M162), (M162 - $B162) / $B162, "")</f>
        <v>-1.643835616438356E-2</v>
      </c>
      <c r="O162" s="16">
        <f>IF(ISNUMBER(M162), $B172 * N162, "")</f>
        <v>-1643.8356164383561</v>
      </c>
      <c r="Q162" s="242"/>
      <c r="R162" s="243"/>
      <c r="S162" s="244"/>
    </row>
    <row r="163" spans="1:19" ht="17.25" thickBot="1">
      <c r="A163" s="125" t="s">
        <v>110</v>
      </c>
      <c r="B163" s="126">
        <v>136</v>
      </c>
      <c r="C163" s="77">
        <v>-2.15827338E-2</v>
      </c>
      <c r="D163" s="15">
        <v>136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140</v>
      </c>
      <c r="H163" s="32">
        <f t="shared" ref="H163:H166" si="87">IF(ISNUMBER(G163), (G163 - $B163) / $B163, "")</f>
        <v>2.9411764705882353E-2</v>
      </c>
      <c r="I163" s="101">
        <f>IF(ISNUMBER(G163), $B172 * H163, "")</f>
        <v>2941.1764705882351</v>
      </c>
      <c r="J163" s="15">
        <v>136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136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45"/>
      <c r="R163" s="246"/>
      <c r="S163" s="247"/>
    </row>
    <row r="164" spans="1:19" ht="17.25" thickBot="1">
      <c r="A164" s="125" t="s">
        <v>206</v>
      </c>
      <c r="B164" s="126">
        <v>310</v>
      </c>
      <c r="C164" s="77">
        <v>-2.20820189E-2</v>
      </c>
      <c r="D164" s="15">
        <v>323</v>
      </c>
      <c r="E164" s="32">
        <f t="shared" si="86"/>
        <v>4.1935483870967745E-2</v>
      </c>
      <c r="F164" s="18">
        <f>IF(ISNUMBER(D164), $B172 * E164, "")</f>
        <v>4193.5483870967746</v>
      </c>
      <c r="G164" s="31">
        <v>323</v>
      </c>
      <c r="H164" s="32">
        <f t="shared" si="87"/>
        <v>4.1935483870967745E-2</v>
      </c>
      <c r="I164" s="101">
        <f>IF(ISNUMBER(G164), $B172 * H164, "")</f>
        <v>4193.5483870967746</v>
      </c>
      <c r="J164" s="15">
        <v>314</v>
      </c>
      <c r="K164" s="32">
        <f t="shared" si="88"/>
        <v>1.2903225806451613E-2</v>
      </c>
      <c r="L164" s="18">
        <f>IF(ISNUMBER(J164), $B172 * K164, "")</f>
        <v>1290.3225806451612</v>
      </c>
      <c r="M164" s="31">
        <v>313</v>
      </c>
      <c r="N164" s="32">
        <f t="shared" si="89"/>
        <v>9.6774193548387101E-3</v>
      </c>
      <c r="O164" s="18">
        <f>IF(ISNUMBER(M164), $B172 * N164, "")</f>
        <v>967.74193548387098</v>
      </c>
      <c r="Q164" s="238"/>
      <c r="R164" s="238"/>
      <c r="S164" s="238"/>
    </row>
    <row r="165" spans="1:19" ht="17.25" thickBot="1">
      <c r="A165" s="125" t="s">
        <v>220</v>
      </c>
      <c r="B165" s="126">
        <v>196</v>
      </c>
      <c r="C165" s="77">
        <v>-2.4875621899999999E-2</v>
      </c>
      <c r="D165" s="15">
        <v>200</v>
      </c>
      <c r="E165" s="32">
        <f t="shared" si="86"/>
        <v>2.0408163265306121E-2</v>
      </c>
      <c r="F165" s="18">
        <f>IF(ISNUMBER(D165), $B172 * E165, "")</f>
        <v>2040.8163265306121</v>
      </c>
      <c r="G165" s="31">
        <v>208</v>
      </c>
      <c r="H165" s="32">
        <f t="shared" si="87"/>
        <v>6.1224489795918366E-2</v>
      </c>
      <c r="I165" s="101">
        <f>IF(ISNUMBER(G165), $B172 * H165, "")</f>
        <v>6122.4489795918362</v>
      </c>
      <c r="J165" s="15">
        <v>202</v>
      </c>
      <c r="K165" s="32">
        <f t="shared" si="88"/>
        <v>3.0612244897959183E-2</v>
      </c>
      <c r="L165" s="18">
        <f>IF(ISNUMBER(J165), $B172 * K165, "")</f>
        <v>3061.2244897959181</v>
      </c>
      <c r="M165" s="31">
        <v>206</v>
      </c>
      <c r="N165" s="32">
        <f t="shared" si="89"/>
        <v>5.1020408163265307E-2</v>
      </c>
      <c r="O165" s="18">
        <f>IF(ISNUMBER(M165), $B172 * N165, "")</f>
        <v>5102.0408163265311</v>
      </c>
      <c r="Q165" s="248"/>
      <c r="R165" s="248"/>
      <c r="S165" s="248"/>
    </row>
    <row r="166" spans="1:19" ht="17.25" thickBot="1">
      <c r="A166" s="127" t="s">
        <v>114</v>
      </c>
      <c r="B166" s="128">
        <v>738</v>
      </c>
      <c r="C166" s="78">
        <v>-2.5099075299999999E-2</v>
      </c>
      <c r="D166" s="20">
        <v>723</v>
      </c>
      <c r="E166" s="21">
        <f t="shared" si="86"/>
        <v>-2.032520325203252E-2</v>
      </c>
      <c r="F166" s="22">
        <f>IF(ISNUMBER(D166), $B172 * E166, "")</f>
        <v>-2032.520325203252</v>
      </c>
      <c r="G166" s="30">
        <v>728</v>
      </c>
      <c r="H166" s="21">
        <f t="shared" si="87"/>
        <v>-1.3550135501355014E-2</v>
      </c>
      <c r="I166" s="105">
        <f>IF(ISNUMBER(G166), $B172 * H166, "")</f>
        <v>-1355.0135501355014</v>
      </c>
      <c r="J166" s="20">
        <v>716</v>
      </c>
      <c r="K166" s="21">
        <f t="shared" si="88"/>
        <v>-2.9810298102981029E-2</v>
      </c>
      <c r="L166" s="22">
        <f>IF(ISNUMBER(J166), $B172 * K166, "")</f>
        <v>-2981.0298102981028</v>
      </c>
      <c r="M166" s="30">
        <v>702</v>
      </c>
      <c r="N166" s="21">
        <f t="shared" si="89"/>
        <v>-4.878048780487805E-2</v>
      </c>
      <c r="O166" s="22">
        <f>IF(ISNUMBER(M166), $B172 * N166, "")</f>
        <v>-4878.0487804878048</v>
      </c>
      <c r="Q166" s="248"/>
      <c r="R166" s="248"/>
      <c r="S166" s="248"/>
    </row>
    <row r="167" spans="1:19" ht="17.25" thickBot="1">
      <c r="A167" s="125" t="s">
        <v>222</v>
      </c>
      <c r="B167" s="129">
        <v>122</v>
      </c>
      <c r="C167" s="80">
        <v>-3.1746031700000003E-2</v>
      </c>
      <c r="D167" s="106">
        <v>125</v>
      </c>
      <c r="E167" s="107">
        <f>IF(ISNUMBER(D167), (D167 - $B167) / $B167, "")</f>
        <v>2.4590163934426229E-2</v>
      </c>
      <c r="F167" s="108">
        <f>IF(ISNUMBER(D167), $B172 * E167, "")</f>
        <v>2459.0163934426228</v>
      </c>
      <c r="G167" s="109">
        <v>127</v>
      </c>
      <c r="H167" s="107">
        <f>IF(ISNUMBER(G167), (G167 - $B167) / $B167, "")</f>
        <v>4.0983606557377046E-2</v>
      </c>
      <c r="I167" s="110">
        <f>IF(ISNUMBER(G167), $B172 * H167, "")</f>
        <v>4098.3606557377043</v>
      </c>
      <c r="J167" s="106">
        <v>123</v>
      </c>
      <c r="K167" s="107">
        <f>IF(ISNUMBER(J167), (J167 - $B167) / $B167, "")</f>
        <v>8.1967213114754103E-3</v>
      </c>
      <c r="L167" s="108">
        <f>IF(ISNUMBER(J167), $B172 * K167, "")</f>
        <v>819.67213114754099</v>
      </c>
      <c r="M167" s="109">
        <v>123</v>
      </c>
      <c r="N167" s="107">
        <f>IF(ISNUMBER(M167), (M167 - $B167) / $B167, "")</f>
        <v>8.1967213114754103E-3</v>
      </c>
      <c r="O167" s="108">
        <f>IF(ISNUMBER(M167), $B172 * N167, "")</f>
        <v>819.67213114754099</v>
      </c>
      <c r="Q167" s="238"/>
      <c r="R167" s="238"/>
      <c r="S167" s="238"/>
    </row>
    <row r="168" spans="1:19" ht="17.25" thickBot="1">
      <c r="A168" s="125" t="s">
        <v>166</v>
      </c>
      <c r="B168" s="126">
        <v>167</v>
      </c>
      <c r="C168" s="77">
        <v>-3.4682080900000002E-2</v>
      </c>
      <c r="D168" s="15">
        <v>165</v>
      </c>
      <c r="E168" s="32">
        <f t="shared" ref="E168:E171" si="90">IF(ISNUMBER(D168), (D168 - $B168) / $B168, "")</f>
        <v>-1.1976047904191617E-2</v>
      </c>
      <c r="F168" s="18">
        <f>IF(ISNUMBER(D168), $B172 * E168, "")</f>
        <v>-1197.6047904191616</v>
      </c>
      <c r="G168" s="31">
        <v>165</v>
      </c>
      <c r="H168" s="32">
        <f t="shared" ref="H168:H171" si="91">IF(ISNUMBER(G168), (G168 - $B168) / $B168, "")</f>
        <v>-1.1976047904191617E-2</v>
      </c>
      <c r="I168" s="101">
        <f>IF(ISNUMBER(G168), $B172 * H168, "")</f>
        <v>-1197.6047904191616</v>
      </c>
      <c r="J168" s="15">
        <v>163</v>
      </c>
      <c r="K168" s="32">
        <f t="shared" ref="K168:K171" si="92">IF(ISNUMBER(J168), (J168 - $B168) / $B168, "")</f>
        <v>-2.3952095808383235E-2</v>
      </c>
      <c r="L168" s="18">
        <f>IF(ISNUMBER(J168), $B172 * K168, "")</f>
        <v>-2395.2095808383233</v>
      </c>
      <c r="M168" s="31">
        <v>162</v>
      </c>
      <c r="N168" s="32">
        <f t="shared" ref="N168:N171" si="93">IF(ISNUMBER(M168), (M168 - $B168) / $B168, "")</f>
        <v>-2.9940119760479042E-2</v>
      </c>
      <c r="O168" s="18">
        <f>IF(ISNUMBER(M168), $B172 * N168, "")</f>
        <v>-2994.0119760479042</v>
      </c>
      <c r="Q168" s="238"/>
      <c r="R168" s="238"/>
      <c r="S168" s="238"/>
    </row>
    <row r="169" spans="1:19" ht="17.25" thickBot="1">
      <c r="A169" s="125" t="s">
        <v>232</v>
      </c>
      <c r="B169" s="126">
        <v>485</v>
      </c>
      <c r="C169" s="77">
        <v>-4.15019763E-2</v>
      </c>
      <c r="D169" s="15">
        <v>461</v>
      </c>
      <c r="E169" s="32">
        <f t="shared" si="90"/>
        <v>-4.9484536082474224E-2</v>
      </c>
      <c r="F169" s="18">
        <f>IF(ISNUMBER(D169), $B172 * E169, "")</f>
        <v>-4948.4536082474224</v>
      </c>
      <c r="G169" s="31">
        <v>471</v>
      </c>
      <c r="H169" s="32">
        <f t="shared" si="91"/>
        <v>-2.88659793814433E-2</v>
      </c>
      <c r="I169" s="101">
        <f>IF(ISNUMBER(G169), $B172 * H169, "")</f>
        <v>-2886.5979381443299</v>
      </c>
      <c r="J169" s="15">
        <v>463</v>
      </c>
      <c r="K169" s="32">
        <f t="shared" si="92"/>
        <v>-4.536082474226804E-2</v>
      </c>
      <c r="L169" s="18">
        <f>IF(ISNUMBER(J169), $B172 * K169, "")</f>
        <v>-4536.0824742268042</v>
      </c>
      <c r="M169" s="31">
        <v>463</v>
      </c>
      <c r="N169" s="32">
        <f t="shared" si="93"/>
        <v>-4.536082474226804E-2</v>
      </c>
      <c r="O169" s="18">
        <f>IF(ISNUMBER(M169), $B172 * N169, "")</f>
        <v>-4536.0824742268042</v>
      </c>
      <c r="Q169" s="238"/>
      <c r="R169" s="238"/>
      <c r="S169" s="238"/>
    </row>
    <row r="170" spans="1:19">
      <c r="A170" s="125" t="s">
        <v>174</v>
      </c>
      <c r="B170" s="126">
        <v>344</v>
      </c>
      <c r="C170" s="77">
        <v>-7.7747989300000001E-2</v>
      </c>
      <c r="D170" s="15">
        <v>324</v>
      </c>
      <c r="E170" s="32">
        <f t="shared" si="90"/>
        <v>-5.8139534883720929E-2</v>
      </c>
      <c r="F170" s="18">
        <f>IF(ISNUMBER(D170), $B172 * E170, "")</f>
        <v>-5813.9534883720926</v>
      </c>
      <c r="G170" s="31">
        <v>325</v>
      </c>
      <c r="H170" s="32">
        <f t="shared" si="91"/>
        <v>-5.5232558139534885E-2</v>
      </c>
      <c r="I170" s="101">
        <f>IF(ISNUMBER(G170), $B172 * H170, "")</f>
        <v>-5523.2558139534885</v>
      </c>
      <c r="J170" s="15">
        <v>321</v>
      </c>
      <c r="K170" s="32">
        <f t="shared" si="92"/>
        <v>-6.6860465116279064E-2</v>
      </c>
      <c r="L170" s="18">
        <f>IF(ISNUMBER(J170), $B172 * K170, "")</f>
        <v>-6686.0465116279065</v>
      </c>
      <c r="M170" s="31">
        <v>321</v>
      </c>
      <c r="N170" s="32">
        <f t="shared" si="93"/>
        <v>-6.6860465116279064E-2</v>
      </c>
      <c r="O170" s="18">
        <f>IF(ISNUMBER(M170), $B172 * N170, "")</f>
        <v>-6686.0465116279065</v>
      </c>
      <c r="Q170" s="227"/>
      <c r="R170" s="228"/>
      <c r="S170" s="229"/>
    </row>
    <row r="171" spans="1:19" ht="17.25" thickBot="1">
      <c r="A171" s="130" t="s">
        <v>214</v>
      </c>
      <c r="B171" s="131">
        <v>649</v>
      </c>
      <c r="C171" s="79">
        <v>-7.9432624100000002E-2</v>
      </c>
      <c r="D171" s="24">
        <v>581</v>
      </c>
      <c r="E171" s="25">
        <f t="shared" si="90"/>
        <v>-0.10477657935285054</v>
      </c>
      <c r="F171" s="104">
        <f>IF(ISNUMBER(D171), $B172 * E171, "")</f>
        <v>-10477.657935285053</v>
      </c>
      <c r="G171" s="102">
        <v>574</v>
      </c>
      <c r="H171" s="25">
        <f t="shared" si="91"/>
        <v>-0.11556240369799692</v>
      </c>
      <c r="I171" s="103">
        <f>IF(ISNUMBER(G171), $B172 * H171, "")</f>
        <v>-11556.240369799692</v>
      </c>
      <c r="J171" s="24">
        <v>578</v>
      </c>
      <c r="K171" s="25">
        <f t="shared" si="92"/>
        <v>-0.10939907550077041</v>
      </c>
      <c r="L171" s="104">
        <f>IF(ISNUMBER(J171), $B172 * K171, "")</f>
        <v>-10939.907550077041</v>
      </c>
      <c r="M171" s="102">
        <v>577</v>
      </c>
      <c r="N171" s="25">
        <f t="shared" si="93"/>
        <v>-0.11093990755007704</v>
      </c>
      <c r="O171" s="104">
        <f>IF(ISNUMBER(M171), $B172 * N171, "")</f>
        <v>-11093.990755007704</v>
      </c>
      <c r="Q171" s="230"/>
      <c r="R171" s="231"/>
      <c r="S171" s="232"/>
    </row>
    <row r="172" spans="1:19" ht="17.25" thickBot="1">
      <c r="A172" s="132" t="s">
        <v>270</v>
      </c>
      <c r="B172" s="291">
        <f>$B$37</f>
        <v>100000</v>
      </c>
      <c r="C172" s="292"/>
      <c r="D172" s="26" t="s">
        <v>271</v>
      </c>
      <c r="E172" s="27">
        <f>IF(COUNT(E152:E171), SUM(E152:E171) / COUNT(E152:E171), 0)</f>
        <v>7.7302419625926199E-3</v>
      </c>
      <c r="F172" s="28">
        <f>SUM(F152:F171)</f>
        <v>15460.483925185239</v>
      </c>
      <c r="G172" s="26" t="s">
        <v>271</v>
      </c>
      <c r="H172" s="27">
        <f>IF(COUNT(H152:H171), SUM(H152:H171) / COUNT(H152:H171), 0)</f>
        <v>1.9061411457617097E-2</v>
      </c>
      <c r="I172" s="28">
        <f>SUM(I152:I171)</f>
        <v>38122.822915234188</v>
      </c>
      <c r="J172" s="26" t="s">
        <v>271</v>
      </c>
      <c r="K172" s="27">
        <f>IF(COUNT(K152:K171), SUM(K152:K171) / COUNT(K152:K171), 0)</f>
        <v>1.1994235200101303E-4</v>
      </c>
      <c r="L172" s="28">
        <f>SUM(L152:L171)</f>
        <v>239.88470400202823</v>
      </c>
      <c r="M172" s="26" t="s">
        <v>271</v>
      </c>
      <c r="N172" s="27">
        <f>IF(COUNT(N152:N171), SUM(N152:N171) / COUNT(N152:N171), 0)</f>
        <v>-9.6149394917307424E-5</v>
      </c>
      <c r="O172" s="28">
        <f>SUM(O152:O171)</f>
        <v>-192.2987898346164</v>
      </c>
      <c r="Q172" s="233"/>
      <c r="R172" s="234"/>
      <c r="S172" s="23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48"/>
      <c r="R175" s="248"/>
      <c r="S175" s="248"/>
    </row>
    <row r="176" spans="1:19" ht="17.25" thickBot="1">
      <c r="A176" s="157" t="s">
        <v>267</v>
      </c>
      <c r="B176" s="249" t="s">
        <v>49</v>
      </c>
      <c r="C176" s="251"/>
      <c r="D176" s="249" t="s">
        <v>58</v>
      </c>
      <c r="E176" s="250"/>
      <c r="F176" s="251"/>
      <c r="G176" s="252">
        <f>_xlfn.IFNA(VLOOKUP(B176, 현재가테이블!$B$2:$D$200, 2, FALSE), "-")</f>
        <v>54440000</v>
      </c>
      <c r="H176" s="253"/>
      <c r="I176" s="254"/>
      <c r="J176" s="249" t="s">
        <v>59</v>
      </c>
      <c r="K176" s="250"/>
      <c r="L176" s="251"/>
      <c r="M176" s="255">
        <f>_xlfn.IFNA(VLOOKUP(B176, 현재가테이블!$B$2:$D$200, 3, FALSE), "-")</f>
        <v>1.07123628E-2</v>
      </c>
      <c r="N176" s="256"/>
      <c r="O176" s="257"/>
      <c r="Q176" s="248"/>
      <c r="R176" s="248"/>
      <c r="S176" s="248"/>
    </row>
    <row r="177" spans="1:19" ht="17.25" thickBot="1">
      <c r="A177" s="293" t="s">
        <v>55</v>
      </c>
      <c r="B177" s="289" t="str">
        <f>TEXT($G$1, "[$-ko-KR]yyyy-mm-dd(ddd) ") &amp; "오전 00:00"</f>
        <v>2021-08-01(일) 오전 00:00</v>
      </c>
      <c r="C177" s="290"/>
      <c r="D177" s="262" t="str">
        <f>TEXT($G$1, "[$-ko-KR]yyyy-mm-dd(ddd) ") &amp; "오후 14:00"</f>
        <v>2021-08-01(일) 오후 14:00</v>
      </c>
      <c r="E177" s="263"/>
      <c r="F177" s="264"/>
      <c r="G177" s="262" t="str">
        <f>TEXT($G$1, "[$-ko-KR]yyyy-mm-dd(ddd) ") &amp; "오후 19:00"</f>
        <v>2021-08-01(일) 오후 19:00</v>
      </c>
      <c r="H177" s="263"/>
      <c r="I177" s="264"/>
      <c r="J177" s="262" t="str">
        <f>TEXT($G$1, "[$-ko-KR]yyyy-mm-dd(ddd) ") &amp; "오후 21:00"</f>
        <v>2021-08-01(일) 오후 21:00</v>
      </c>
      <c r="K177" s="263"/>
      <c r="L177" s="264"/>
      <c r="M177" s="262" t="str">
        <f>TEXT($G$1+1, "[$-ko-KR]yyyy-mm-dd(ddd) ") &amp; "오전 00:00"</f>
        <v>2021-08-02(월) 오전 00:00</v>
      </c>
      <c r="N177" s="263"/>
      <c r="O177" s="264"/>
      <c r="Q177" s="248"/>
      <c r="R177" s="248"/>
      <c r="S177" s="248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8"/>
      <c r="R178" s="238"/>
      <c r="S178" s="238"/>
    </row>
    <row r="179" spans="1:19" ht="17.25" thickBot="1">
      <c r="A179" s="123" t="s">
        <v>228</v>
      </c>
      <c r="B179" s="124">
        <v>365</v>
      </c>
      <c r="C179" s="76">
        <v>-1.8817204300000001E-2</v>
      </c>
      <c r="D179" s="13">
        <v>363</v>
      </c>
      <c r="E179" s="14">
        <f>IF(ISNUMBER(D179), (D179 - $B179) / $B179, "")</f>
        <v>-5.4794520547945206E-3</v>
      </c>
      <c r="F179" s="16">
        <f>IF(ISNUMBER(D179), $B199 * E179, "")</f>
        <v>-547.94520547945206</v>
      </c>
      <c r="G179" s="29">
        <v>364</v>
      </c>
      <c r="H179" s="14">
        <f>IF(ISNUMBER(G179), (G179 - $B179) / $B179, "")</f>
        <v>-2.7397260273972603E-3</v>
      </c>
      <c r="I179" s="100">
        <f>IF(ISNUMBER(G179), $B199 * H179, "")</f>
        <v>-273.97260273972603</v>
      </c>
      <c r="J179" s="13">
        <v>361</v>
      </c>
      <c r="K179" s="14">
        <f>IF(ISNUMBER(J179), (J179 - $B179) / $B179, "")</f>
        <v>-1.0958904109589041E-2</v>
      </c>
      <c r="L179" s="16">
        <f>IF(ISNUMBER(J179), $B199 * K179, "")</f>
        <v>-1095.8904109589041</v>
      </c>
      <c r="M179" s="29">
        <v>359</v>
      </c>
      <c r="N179" s="14">
        <f>IF(ISNUMBER(M179), (M179 - $B179) / $B179, "")</f>
        <v>-1.643835616438356E-2</v>
      </c>
      <c r="O179" s="16">
        <f>IF(ISNUMBER(M179), $B199 * N179, "")</f>
        <v>-1643.8356164383561</v>
      </c>
      <c r="Q179" s="248"/>
      <c r="R179" s="248"/>
      <c r="S179" s="248"/>
    </row>
    <row r="180" spans="1:19" ht="17.25" thickBot="1">
      <c r="A180" s="125" t="s">
        <v>92</v>
      </c>
      <c r="B180" s="126">
        <v>59150</v>
      </c>
      <c r="C180" s="77">
        <v>-1.8908608399999999E-2</v>
      </c>
      <c r="D180" s="15">
        <v>61410</v>
      </c>
      <c r="E180" s="32">
        <f t="shared" ref="E180:E183" si="94">IF(ISNUMBER(D180), (D180 - $B180) / $B180, "")</f>
        <v>3.8207945900253594E-2</v>
      </c>
      <c r="F180" s="18">
        <f>IF(ISNUMBER(D180), $B199 * E180, "")</f>
        <v>3820.7945900253594</v>
      </c>
      <c r="G180" s="31">
        <v>61310</v>
      </c>
      <c r="H180" s="32">
        <f t="shared" ref="H180:H183" si="95">IF(ISNUMBER(G180), (G180 - $B180) / $B180, "")</f>
        <v>3.6517328825021129E-2</v>
      </c>
      <c r="I180" s="101">
        <f>IF(ISNUMBER(G180), $B199 * H180, "")</f>
        <v>3651.7328825021132</v>
      </c>
      <c r="J180" s="15">
        <v>60020</v>
      </c>
      <c r="K180" s="32">
        <f t="shared" ref="K180:K183" si="96">IF(ISNUMBER(J180), (J180 - $B180) / $B180, "")</f>
        <v>1.4708368554522401E-2</v>
      </c>
      <c r="L180" s="18">
        <f>IF(ISNUMBER(J180), $B199 * K180, "")</f>
        <v>1470.8368554522401</v>
      </c>
      <c r="M180" s="31">
        <v>59740</v>
      </c>
      <c r="N180" s="32">
        <f t="shared" ref="N180:N183" si="97">IF(ISNUMBER(M180), (M180 - $B180) / $B180, "")</f>
        <v>9.9746407438715129E-3</v>
      </c>
      <c r="O180" s="18">
        <f>IF(ISNUMBER(M180), $B199 * N180, "")</f>
        <v>997.4640743871513</v>
      </c>
      <c r="Q180" s="248"/>
      <c r="R180" s="248"/>
      <c r="S180" s="248"/>
    </row>
    <row r="181" spans="1:19" ht="17.25" thickBot="1">
      <c r="A181" s="125" t="s">
        <v>212</v>
      </c>
      <c r="B181" s="126">
        <v>1220</v>
      </c>
      <c r="C181" s="77">
        <v>-2.0080321299999999E-2</v>
      </c>
      <c r="D181" s="15">
        <v>1250</v>
      </c>
      <c r="E181" s="32">
        <f t="shared" si="94"/>
        <v>2.4590163934426229E-2</v>
      </c>
      <c r="F181" s="18">
        <f>IF(ISNUMBER(D181), $B199 * E181, "")</f>
        <v>2459.0163934426228</v>
      </c>
      <c r="G181" s="31">
        <v>1270</v>
      </c>
      <c r="H181" s="32">
        <f t="shared" si="95"/>
        <v>4.0983606557377046E-2</v>
      </c>
      <c r="I181" s="101">
        <f>IF(ISNUMBER(G181), $B199 * H181, "")</f>
        <v>4098.3606557377043</v>
      </c>
      <c r="J181" s="15">
        <v>1230</v>
      </c>
      <c r="K181" s="32">
        <f t="shared" si="96"/>
        <v>8.1967213114754103E-3</v>
      </c>
      <c r="L181" s="18">
        <f>IF(ISNUMBER(J181), $B199 * K181, "")</f>
        <v>819.67213114754099</v>
      </c>
      <c r="M181" s="31">
        <v>1225</v>
      </c>
      <c r="N181" s="32">
        <f t="shared" si="97"/>
        <v>4.0983606557377051E-3</v>
      </c>
      <c r="O181" s="18">
        <f>IF(ISNUMBER(M181), $B199 * N181, "")</f>
        <v>409.8360655737705</v>
      </c>
      <c r="Q181" s="238"/>
      <c r="R181" s="238"/>
      <c r="S181" s="238"/>
    </row>
    <row r="182" spans="1:19" ht="17.25" thickBot="1">
      <c r="A182" s="125" t="s">
        <v>202</v>
      </c>
      <c r="B182" s="126">
        <v>60.1</v>
      </c>
      <c r="C182" s="77">
        <v>-2.1172638399999999E-2</v>
      </c>
      <c r="D182" s="15">
        <v>71.400000000000006</v>
      </c>
      <c r="E182" s="32">
        <f t="shared" si="94"/>
        <v>0.18801996672212984</v>
      </c>
      <c r="F182" s="18">
        <f>IF(ISNUMBER(D182), $B199 * E182, "")</f>
        <v>18801.996672212983</v>
      </c>
      <c r="G182" s="31">
        <v>73</v>
      </c>
      <c r="H182" s="32">
        <f t="shared" si="95"/>
        <v>0.21464226289517468</v>
      </c>
      <c r="I182" s="101">
        <f>IF(ISNUMBER(G182), $B199 * H182, "")</f>
        <v>21464.226289517468</v>
      </c>
      <c r="J182" s="15">
        <v>73.400000000000006</v>
      </c>
      <c r="K182" s="32">
        <f t="shared" si="96"/>
        <v>0.22129783693843599</v>
      </c>
      <c r="L182" s="18">
        <f>IF(ISNUMBER(J182), $B199 * K182, "")</f>
        <v>22129.783693843598</v>
      </c>
      <c r="M182" s="31">
        <v>72.3</v>
      </c>
      <c r="N182" s="32">
        <f t="shared" si="97"/>
        <v>0.20299500831946748</v>
      </c>
      <c r="O182" s="18">
        <f>IF(ISNUMBER(M182), $B199 * N182, "")</f>
        <v>20299.500831946749</v>
      </c>
      <c r="Q182" s="238"/>
      <c r="R182" s="238"/>
      <c r="S182" s="238"/>
    </row>
    <row r="183" spans="1:19" ht="17.25" thickBot="1">
      <c r="A183" s="127" t="s">
        <v>110</v>
      </c>
      <c r="B183" s="128">
        <v>136</v>
      </c>
      <c r="C183" s="78">
        <v>-2.15827338E-2</v>
      </c>
      <c r="D183" s="20">
        <v>136</v>
      </c>
      <c r="E183" s="21">
        <f t="shared" si="94"/>
        <v>0</v>
      </c>
      <c r="F183" s="22">
        <f>IF(ISNUMBER(D183), $B199 * E183, "")</f>
        <v>0</v>
      </c>
      <c r="G183" s="30">
        <v>140</v>
      </c>
      <c r="H183" s="21">
        <f t="shared" si="95"/>
        <v>2.9411764705882353E-2</v>
      </c>
      <c r="I183" s="105">
        <f>IF(ISNUMBER(G183), $B199 * H183, "")</f>
        <v>2941.1764705882351</v>
      </c>
      <c r="J183" s="20">
        <v>136</v>
      </c>
      <c r="K183" s="21">
        <f t="shared" si="96"/>
        <v>0</v>
      </c>
      <c r="L183" s="22">
        <f>IF(ISNUMBER(J183), $B199 * K183, "")</f>
        <v>0</v>
      </c>
      <c r="M183" s="30">
        <v>136</v>
      </c>
      <c r="N183" s="21">
        <f t="shared" si="97"/>
        <v>0</v>
      </c>
      <c r="O183" s="22">
        <f>IF(ISNUMBER(M183), $B199 * N183, "")</f>
        <v>0</v>
      </c>
      <c r="Q183" s="238"/>
      <c r="R183" s="238"/>
      <c r="S183" s="238"/>
    </row>
    <row r="184" spans="1:19" ht="17.25" thickBot="1">
      <c r="A184" s="125" t="s">
        <v>206</v>
      </c>
      <c r="B184" s="129">
        <v>310</v>
      </c>
      <c r="C184" s="80">
        <v>-2.20820189E-2</v>
      </c>
      <c r="D184" s="106">
        <v>323</v>
      </c>
      <c r="E184" s="107">
        <f>IF(ISNUMBER(D184), (D184 - $B184) / $B184, "")</f>
        <v>4.1935483870967745E-2</v>
      </c>
      <c r="F184" s="108">
        <f>IF(ISNUMBER(D184), $B199 * E184, "")</f>
        <v>4193.5483870967746</v>
      </c>
      <c r="G184" s="109">
        <v>323</v>
      </c>
      <c r="H184" s="107">
        <f>IF(ISNUMBER(G184), (G184 - $B184) / $B184, "")</f>
        <v>4.1935483870967745E-2</v>
      </c>
      <c r="I184" s="110">
        <f>IF(ISNUMBER(G184), $B199 * H184, "")</f>
        <v>4193.5483870967746</v>
      </c>
      <c r="J184" s="106">
        <v>314</v>
      </c>
      <c r="K184" s="107">
        <f>IF(ISNUMBER(J184), (J184 - $B184) / $B184, "")</f>
        <v>1.2903225806451613E-2</v>
      </c>
      <c r="L184" s="108">
        <f>IF(ISNUMBER(J184), $B199 * K184, "")</f>
        <v>1290.3225806451612</v>
      </c>
      <c r="M184" s="109">
        <v>313</v>
      </c>
      <c r="N184" s="107">
        <f>IF(ISNUMBER(M184), (M184 - $B184) / $B184, "")</f>
        <v>9.6774193548387101E-3</v>
      </c>
      <c r="O184" s="108">
        <f>IF(ISNUMBER(M184), $B199 * N184, "")</f>
        <v>967.74193548387098</v>
      </c>
      <c r="Q184" s="238"/>
      <c r="R184" s="238"/>
      <c r="S184" s="238"/>
    </row>
    <row r="185" spans="1:19" ht="17.25" thickBot="1">
      <c r="A185" s="125" t="s">
        <v>182</v>
      </c>
      <c r="B185" s="126">
        <v>57360</v>
      </c>
      <c r="C185" s="77">
        <v>-2.2994379200000001E-2</v>
      </c>
      <c r="D185" s="15">
        <v>57220</v>
      </c>
      <c r="E185" s="32">
        <f t="shared" ref="E185:E188" si="98">IF(ISNUMBER(D185), (D185 - $B185) / $B185, "")</f>
        <v>-2.4407252440725243E-3</v>
      </c>
      <c r="F185" s="18">
        <f>IF(ISNUMBER(D185), $B199 * E185, "")</f>
        <v>-244.07252440725242</v>
      </c>
      <c r="G185" s="31">
        <v>57210</v>
      </c>
      <c r="H185" s="32">
        <f t="shared" ref="H185:H188" si="99">IF(ISNUMBER(G185), (G185 - $B185) / $B185, "")</f>
        <v>-2.615062761506276E-3</v>
      </c>
      <c r="I185" s="101">
        <f>IF(ISNUMBER(G185), $B199 * H185, "")</f>
        <v>-261.50627615062763</v>
      </c>
      <c r="J185" s="15">
        <v>56640</v>
      </c>
      <c r="K185" s="32">
        <f t="shared" ref="K185:K188" si="100">IF(ISNUMBER(J185), (J185 - $B185) / $B185, "")</f>
        <v>-1.2552301255230125E-2</v>
      </c>
      <c r="L185" s="18">
        <f>IF(ISNUMBER(J185), $B199 * K185, "")</f>
        <v>-1255.2301255230125</v>
      </c>
      <c r="M185" s="31">
        <v>56170</v>
      </c>
      <c r="N185" s="32">
        <f t="shared" ref="N185:N188" si="101">IF(ISNUMBER(M185), (M185 - $B185) / $B185, "")</f>
        <v>-2.0746164574616456E-2</v>
      </c>
      <c r="O185" s="18">
        <f>IF(ISNUMBER(M185), $B199 * N185, "")</f>
        <v>-2074.6164574616455</v>
      </c>
      <c r="Q185" s="238"/>
      <c r="R185" s="238"/>
      <c r="S185" s="238"/>
    </row>
    <row r="186" spans="1:19" ht="17.25" thickBot="1">
      <c r="A186" s="125" t="s">
        <v>216</v>
      </c>
      <c r="B186" s="126">
        <v>9.1300000000000008</v>
      </c>
      <c r="C186" s="77">
        <v>-2.45726496E-2</v>
      </c>
      <c r="D186" s="15">
        <v>9.85</v>
      </c>
      <c r="E186" s="32">
        <f t="shared" si="98"/>
        <v>7.8860898138006438E-2</v>
      </c>
      <c r="F186" s="18">
        <f>IF(ISNUMBER(D186), $B199 * E186, "")</f>
        <v>7886.0898138006442</v>
      </c>
      <c r="G186" s="31">
        <v>9.83</v>
      </c>
      <c r="H186" s="32">
        <f t="shared" si="99"/>
        <v>7.6670317634172966E-2</v>
      </c>
      <c r="I186" s="101">
        <f>IF(ISNUMBER(G186), $B199 * H186, "")</f>
        <v>7667.0317634172961</v>
      </c>
      <c r="J186" s="15">
        <v>9.59</v>
      </c>
      <c r="K186" s="32">
        <f t="shared" si="100"/>
        <v>5.0383351588170762E-2</v>
      </c>
      <c r="L186" s="18">
        <f>IF(ISNUMBER(J186), $B199 * K186, "")</f>
        <v>5038.3351588170763</v>
      </c>
      <c r="M186" s="31">
        <v>9.6</v>
      </c>
      <c r="N186" s="32">
        <f t="shared" si="101"/>
        <v>5.1478641840087491E-2</v>
      </c>
      <c r="O186" s="18">
        <f>IF(ISNUMBER(M186), $B199 * N186, "")</f>
        <v>5147.8641840087494</v>
      </c>
      <c r="Q186" s="238"/>
      <c r="R186" s="238"/>
      <c r="S186" s="238"/>
    </row>
    <row r="187" spans="1:19" ht="17.25" thickBot="1">
      <c r="A187" s="125" t="s">
        <v>220</v>
      </c>
      <c r="B187" s="126">
        <v>196</v>
      </c>
      <c r="C187" s="77">
        <v>-2.4875621899999999E-2</v>
      </c>
      <c r="D187" s="15">
        <v>200</v>
      </c>
      <c r="E187" s="32">
        <f t="shared" si="98"/>
        <v>2.0408163265306121E-2</v>
      </c>
      <c r="F187" s="18">
        <f>IF(ISNUMBER(D187), $B199 * E187, "")</f>
        <v>2040.8163265306121</v>
      </c>
      <c r="G187" s="31">
        <v>208</v>
      </c>
      <c r="H187" s="32">
        <f t="shared" si="99"/>
        <v>6.1224489795918366E-2</v>
      </c>
      <c r="I187" s="101">
        <f>IF(ISNUMBER(G187), $B199 * H187, "")</f>
        <v>6122.4489795918362</v>
      </c>
      <c r="J187" s="15">
        <v>202</v>
      </c>
      <c r="K187" s="32">
        <f t="shared" si="100"/>
        <v>3.0612244897959183E-2</v>
      </c>
      <c r="L187" s="18">
        <f>IF(ISNUMBER(J187), $B199 * K187, "")</f>
        <v>3061.2244897959181</v>
      </c>
      <c r="M187" s="31">
        <v>206</v>
      </c>
      <c r="N187" s="32">
        <f t="shared" si="101"/>
        <v>5.1020408163265307E-2</v>
      </c>
      <c r="O187" s="18">
        <f>IF(ISNUMBER(M187), $B199 * N187, "")</f>
        <v>5102.0408163265311</v>
      </c>
      <c r="Q187" s="33"/>
      <c r="R187" s="33"/>
    </row>
    <row r="188" spans="1:19" ht="17.25" thickBot="1">
      <c r="A188" s="130" t="s">
        <v>114</v>
      </c>
      <c r="B188" s="131">
        <v>738</v>
      </c>
      <c r="C188" s="79">
        <v>-2.5099075299999999E-2</v>
      </c>
      <c r="D188" s="24">
        <v>723</v>
      </c>
      <c r="E188" s="25">
        <f t="shared" si="98"/>
        <v>-2.032520325203252E-2</v>
      </c>
      <c r="F188" s="104">
        <f>IF(ISNUMBER(D188), $B199 * E188, "")</f>
        <v>-2032.520325203252</v>
      </c>
      <c r="G188" s="102">
        <v>728</v>
      </c>
      <c r="H188" s="25">
        <f t="shared" si="99"/>
        <v>-1.3550135501355014E-2</v>
      </c>
      <c r="I188" s="103">
        <f>IF(ISNUMBER(G188), $B199 * H188, "")</f>
        <v>-1355.0135501355014</v>
      </c>
      <c r="J188" s="24">
        <v>716</v>
      </c>
      <c r="K188" s="25">
        <f t="shared" si="100"/>
        <v>-2.9810298102981029E-2</v>
      </c>
      <c r="L188" s="104">
        <f>IF(ISNUMBER(J188), $B199 * K188, "")</f>
        <v>-2981.0298102981028</v>
      </c>
      <c r="M188" s="102">
        <v>702</v>
      </c>
      <c r="N188" s="25">
        <f t="shared" si="101"/>
        <v>-4.878048780487805E-2</v>
      </c>
      <c r="O188" s="104">
        <f>IF(ISNUMBER(M188), $B199 * N188, "")</f>
        <v>-4878.0487804878048</v>
      </c>
      <c r="Q188" s="239"/>
      <c r="R188" s="240"/>
      <c r="S188" s="241"/>
    </row>
    <row r="189" spans="1:19">
      <c r="A189" s="123" t="s">
        <v>76</v>
      </c>
      <c r="B189" s="124">
        <v>25000</v>
      </c>
      <c r="C189" s="76">
        <v>-2.5341130600000001E-2</v>
      </c>
      <c r="D189" s="13">
        <v>26820</v>
      </c>
      <c r="E189" s="14">
        <f>IF(ISNUMBER(D189), (D189 - $B189) / $B189, "")</f>
        <v>7.2800000000000004E-2</v>
      </c>
      <c r="F189" s="16">
        <f>IF(ISNUMBER(D189), $B199 * E189, "")</f>
        <v>7280</v>
      </c>
      <c r="G189" s="29">
        <v>26770</v>
      </c>
      <c r="H189" s="14">
        <f>IF(ISNUMBER(G189), (G189 - $B189) / $B189, "")</f>
        <v>7.0800000000000002E-2</v>
      </c>
      <c r="I189" s="100">
        <f>IF(ISNUMBER(G189), $B199 * H189, "")</f>
        <v>7080</v>
      </c>
      <c r="J189" s="13">
        <v>26110</v>
      </c>
      <c r="K189" s="14">
        <f>IF(ISNUMBER(J189), (J189 - $B189) / $B189, "")</f>
        <v>4.4400000000000002E-2</v>
      </c>
      <c r="L189" s="16">
        <f>IF(ISNUMBER(J189), $B199 * K189, "")</f>
        <v>4440</v>
      </c>
      <c r="M189" s="29">
        <v>26440</v>
      </c>
      <c r="N189" s="14">
        <f>IF(ISNUMBER(M189), (M189 - $B189) / $B189, "")</f>
        <v>5.7599999999999998E-2</v>
      </c>
      <c r="O189" s="16">
        <f>IF(ISNUMBER(M189), $B199 * N189, "")</f>
        <v>5760</v>
      </c>
      <c r="Q189" s="242"/>
      <c r="R189" s="243"/>
      <c r="S189" s="244"/>
    </row>
    <row r="190" spans="1:19" ht="17.25" thickBot="1">
      <c r="A190" s="125" t="s">
        <v>67</v>
      </c>
      <c r="B190" s="126">
        <v>4245</v>
      </c>
      <c r="C190" s="77">
        <v>-2.63761468E-2</v>
      </c>
      <c r="D190" s="15">
        <v>4280</v>
      </c>
      <c r="E190" s="32">
        <f t="shared" ref="E190:E193" si="102">IF(ISNUMBER(D190), (D190 - $B190) / $B190, "")</f>
        <v>8.2449941107184919E-3</v>
      </c>
      <c r="F190" s="18">
        <f>IF(ISNUMBER(D190), $B199 * E190, "")</f>
        <v>824.49941107184918</v>
      </c>
      <c r="G190" s="31">
        <v>4335</v>
      </c>
      <c r="H190" s="32">
        <f t="shared" ref="H190:H193" si="103">IF(ISNUMBER(G190), (G190 - $B190) / $B190, "")</f>
        <v>2.1201413427561839E-2</v>
      </c>
      <c r="I190" s="101">
        <f>IF(ISNUMBER(G190), $B199 * H190, "")</f>
        <v>2120.1413427561838</v>
      </c>
      <c r="J190" s="15">
        <v>4230</v>
      </c>
      <c r="K190" s="32">
        <f t="shared" ref="K190:K193" si="104">IF(ISNUMBER(J190), (J190 - $B190) / $B190, "")</f>
        <v>-3.5335689045936395E-3</v>
      </c>
      <c r="L190" s="18">
        <f>IF(ISNUMBER(J190), $B199 * K190, "")</f>
        <v>-353.35689045936397</v>
      </c>
      <c r="M190" s="31">
        <v>4230</v>
      </c>
      <c r="N190" s="32">
        <f t="shared" ref="N190:N193" si="105">IF(ISNUMBER(M190), (M190 - $B190) / $B190, "")</f>
        <v>-3.5335689045936395E-3</v>
      </c>
      <c r="O190" s="18">
        <f>IF(ISNUMBER(M190), $B199 * N190, "")</f>
        <v>-353.35689045936397</v>
      </c>
      <c r="Q190" s="245"/>
      <c r="R190" s="246"/>
      <c r="S190" s="247"/>
    </row>
    <row r="191" spans="1:19" ht="17.25" thickBot="1">
      <c r="A191" s="125" t="s">
        <v>210</v>
      </c>
      <c r="B191" s="126">
        <v>11</v>
      </c>
      <c r="C191" s="77">
        <v>-2.65486726E-2</v>
      </c>
      <c r="D191" s="15">
        <v>11.3</v>
      </c>
      <c r="E191" s="32">
        <f t="shared" si="102"/>
        <v>2.7272727272727337E-2</v>
      </c>
      <c r="F191" s="18">
        <f>IF(ISNUMBER(D191), $B199 * E191, "")</f>
        <v>2727.2727272727338</v>
      </c>
      <c r="G191" s="31">
        <v>11.4</v>
      </c>
      <c r="H191" s="32">
        <f t="shared" si="103"/>
        <v>3.6363636363636397E-2</v>
      </c>
      <c r="I191" s="101">
        <f>IF(ISNUMBER(G191), $B199 * H191, "")</f>
        <v>3636.3636363636397</v>
      </c>
      <c r="J191" s="15">
        <v>11.1</v>
      </c>
      <c r="K191" s="32">
        <f t="shared" si="104"/>
        <v>9.0909090909090592E-3</v>
      </c>
      <c r="L191" s="18">
        <f>IF(ISNUMBER(J191), $B199 * K191, "")</f>
        <v>909.09090909090594</v>
      </c>
      <c r="M191" s="31">
        <v>10.8</v>
      </c>
      <c r="N191" s="32">
        <f t="shared" si="105"/>
        <v>-1.8181818181818118E-2</v>
      </c>
      <c r="O191" s="18">
        <f>IF(ISNUMBER(M191), $B199 * N191, "")</f>
        <v>-1818.1818181818119</v>
      </c>
      <c r="Q191" s="238"/>
      <c r="R191" s="238"/>
      <c r="S191" s="238"/>
    </row>
    <row r="192" spans="1:19" ht="17.25" thickBot="1">
      <c r="A192" s="125" t="s">
        <v>190</v>
      </c>
      <c r="B192" s="126">
        <v>15.8</v>
      </c>
      <c r="C192" s="77">
        <v>-3.06748466E-2</v>
      </c>
      <c r="D192" s="15">
        <v>16.7</v>
      </c>
      <c r="E192" s="32">
        <f t="shared" si="102"/>
        <v>5.6962025316455604E-2</v>
      </c>
      <c r="F192" s="18">
        <f>IF(ISNUMBER(D192), $B199 * E192, "")</f>
        <v>5696.2025316455602</v>
      </c>
      <c r="G192" s="31">
        <v>16.7</v>
      </c>
      <c r="H192" s="32">
        <f t="shared" si="103"/>
        <v>5.6962025316455604E-2</v>
      </c>
      <c r="I192" s="101">
        <f>IF(ISNUMBER(G192), $B199 * H192, "")</f>
        <v>5696.2025316455602</v>
      </c>
      <c r="J192" s="15">
        <v>16.100000000000001</v>
      </c>
      <c r="K192" s="32">
        <f t="shared" si="104"/>
        <v>1.8987341772151944E-2</v>
      </c>
      <c r="L192" s="18">
        <f>IF(ISNUMBER(J192), $B199 * K192, "")</f>
        <v>1898.7341772151944</v>
      </c>
      <c r="M192" s="31">
        <v>16</v>
      </c>
      <c r="N192" s="32">
        <f t="shared" si="105"/>
        <v>1.2658227848101221E-2</v>
      </c>
      <c r="O192" s="18">
        <f>IF(ISNUMBER(M192), $B199 * N192, "")</f>
        <v>1265.8227848101221</v>
      </c>
      <c r="Q192" s="248"/>
      <c r="R192" s="248"/>
      <c r="S192" s="248"/>
    </row>
    <row r="193" spans="1:19" ht="17.25" thickBot="1">
      <c r="A193" s="127" t="s">
        <v>222</v>
      </c>
      <c r="B193" s="128">
        <v>122</v>
      </c>
      <c r="C193" s="78">
        <v>-3.1746031700000003E-2</v>
      </c>
      <c r="D193" s="20">
        <v>125</v>
      </c>
      <c r="E193" s="21">
        <f t="shared" si="102"/>
        <v>2.4590163934426229E-2</v>
      </c>
      <c r="F193" s="22">
        <f>IF(ISNUMBER(D193), $B199 * E193, "")</f>
        <v>2459.0163934426228</v>
      </c>
      <c r="G193" s="30">
        <v>127</v>
      </c>
      <c r="H193" s="21">
        <f t="shared" si="103"/>
        <v>4.0983606557377046E-2</v>
      </c>
      <c r="I193" s="105">
        <f>IF(ISNUMBER(G193), $B199 * H193, "")</f>
        <v>4098.3606557377043</v>
      </c>
      <c r="J193" s="20">
        <v>123</v>
      </c>
      <c r="K193" s="21">
        <f t="shared" si="104"/>
        <v>8.1967213114754103E-3</v>
      </c>
      <c r="L193" s="22">
        <f>IF(ISNUMBER(J193), $B199 * K193, "")</f>
        <v>819.67213114754099</v>
      </c>
      <c r="M193" s="30">
        <v>123</v>
      </c>
      <c r="N193" s="21">
        <f t="shared" si="105"/>
        <v>8.1967213114754103E-3</v>
      </c>
      <c r="O193" s="22">
        <f>IF(ISNUMBER(M193), $B199 * N193, "")</f>
        <v>819.67213114754099</v>
      </c>
      <c r="Q193" s="248"/>
      <c r="R193" s="248"/>
      <c r="S193" s="248"/>
    </row>
    <row r="194" spans="1:19" ht="17.25" thickBot="1">
      <c r="A194" s="125" t="s">
        <v>162</v>
      </c>
      <c r="B194" s="129">
        <v>94</v>
      </c>
      <c r="C194" s="80">
        <v>-3.3915724600000002E-2</v>
      </c>
      <c r="D194" s="106">
        <v>98.4</v>
      </c>
      <c r="E194" s="107">
        <f>IF(ISNUMBER(D194), (D194 - $B194) / $B194, "")</f>
        <v>4.6808510638297933E-2</v>
      </c>
      <c r="F194" s="108">
        <f>IF(ISNUMBER(D194), $B199 * E194, "")</f>
        <v>4680.851063829793</v>
      </c>
      <c r="G194" s="109">
        <v>98.9</v>
      </c>
      <c r="H194" s="107">
        <f>IF(ISNUMBER(G194), (G194 - $B194) / $B194, "")</f>
        <v>5.2127659574468146E-2</v>
      </c>
      <c r="I194" s="110">
        <f>IF(ISNUMBER(G194), $B199 * H194, "")</f>
        <v>5212.7659574468144</v>
      </c>
      <c r="J194" s="106">
        <v>97</v>
      </c>
      <c r="K194" s="107">
        <f>IF(ISNUMBER(J194), (J194 - $B194) / $B194, "")</f>
        <v>3.1914893617021274E-2</v>
      </c>
      <c r="L194" s="108">
        <f>IF(ISNUMBER(J194), $B199 * K194, "")</f>
        <v>3191.4893617021276</v>
      </c>
      <c r="M194" s="109">
        <v>96.5</v>
      </c>
      <c r="N194" s="107">
        <f>IF(ISNUMBER(M194), (M194 - $B194) / $B194, "")</f>
        <v>2.6595744680851064E-2</v>
      </c>
      <c r="O194" s="108">
        <f>IF(ISNUMBER(M194), $B199 * N194, "")</f>
        <v>2659.5744680851062</v>
      </c>
      <c r="Q194" s="238"/>
      <c r="R194" s="238"/>
      <c r="S194" s="238"/>
    </row>
    <row r="195" spans="1:19" ht="17.25" thickBot="1">
      <c r="A195" s="125" t="s">
        <v>166</v>
      </c>
      <c r="B195" s="126">
        <v>167</v>
      </c>
      <c r="C195" s="77">
        <v>-3.4682080900000002E-2</v>
      </c>
      <c r="D195" s="15">
        <v>165</v>
      </c>
      <c r="E195" s="32">
        <f t="shared" ref="E195:E198" si="106">IF(ISNUMBER(D195), (D195 - $B195) / $B195, "")</f>
        <v>-1.1976047904191617E-2</v>
      </c>
      <c r="F195" s="18">
        <f>IF(ISNUMBER(D195), $B199 * E195, "")</f>
        <v>-1197.6047904191616</v>
      </c>
      <c r="G195" s="31">
        <v>165</v>
      </c>
      <c r="H195" s="32">
        <f t="shared" ref="H195:H198" si="107">IF(ISNUMBER(G195), (G195 - $B195) / $B195, "")</f>
        <v>-1.1976047904191617E-2</v>
      </c>
      <c r="I195" s="101">
        <f>IF(ISNUMBER(G195), $B199 * H195, "")</f>
        <v>-1197.6047904191616</v>
      </c>
      <c r="J195" s="15">
        <v>163</v>
      </c>
      <c r="K195" s="32">
        <f t="shared" ref="K195:K198" si="108">IF(ISNUMBER(J195), (J195 - $B195) / $B195, "")</f>
        <v>-2.3952095808383235E-2</v>
      </c>
      <c r="L195" s="18">
        <f>IF(ISNUMBER(J195), $B199 * K195, "")</f>
        <v>-2395.2095808383233</v>
      </c>
      <c r="M195" s="31">
        <v>162</v>
      </c>
      <c r="N195" s="32">
        <f t="shared" ref="N195:N198" si="109">IF(ISNUMBER(M195), (M195 - $B195) / $B195, "")</f>
        <v>-2.9940119760479042E-2</v>
      </c>
      <c r="O195" s="18">
        <f>IF(ISNUMBER(M195), $B199 * N195, "")</f>
        <v>-2994.0119760479042</v>
      </c>
      <c r="Q195" s="238"/>
      <c r="R195" s="238"/>
      <c r="S195" s="238"/>
    </row>
    <row r="196" spans="1:19" ht="17.25" thickBot="1">
      <c r="A196" s="125" t="s">
        <v>232</v>
      </c>
      <c r="B196" s="126">
        <v>485</v>
      </c>
      <c r="C196" s="77">
        <v>-4.15019763E-2</v>
      </c>
      <c r="D196" s="15">
        <v>461</v>
      </c>
      <c r="E196" s="32">
        <f t="shared" si="106"/>
        <v>-4.9484536082474224E-2</v>
      </c>
      <c r="F196" s="18">
        <f>IF(ISNUMBER(D196), $B199 * E196, "")</f>
        <v>-4948.4536082474224</v>
      </c>
      <c r="G196" s="31">
        <v>471</v>
      </c>
      <c r="H196" s="32">
        <f t="shared" si="107"/>
        <v>-2.88659793814433E-2</v>
      </c>
      <c r="I196" s="101">
        <f>IF(ISNUMBER(G196), $B199 * H196, "")</f>
        <v>-2886.5979381443299</v>
      </c>
      <c r="J196" s="15">
        <v>463</v>
      </c>
      <c r="K196" s="32">
        <f t="shared" si="108"/>
        <v>-4.536082474226804E-2</v>
      </c>
      <c r="L196" s="18">
        <f>IF(ISNUMBER(J196), $B199 * K196, "")</f>
        <v>-4536.0824742268042</v>
      </c>
      <c r="M196" s="31">
        <v>463</v>
      </c>
      <c r="N196" s="32">
        <f t="shared" si="109"/>
        <v>-4.536082474226804E-2</v>
      </c>
      <c r="O196" s="18">
        <f>IF(ISNUMBER(M196), $B199 * N196, "")</f>
        <v>-4536.0824742268042</v>
      </c>
      <c r="Q196" s="238"/>
      <c r="R196" s="238"/>
      <c r="S196" s="238"/>
    </row>
    <row r="197" spans="1:19">
      <c r="A197" s="125" t="s">
        <v>174</v>
      </c>
      <c r="B197" s="126">
        <v>344</v>
      </c>
      <c r="C197" s="77">
        <v>-7.7747989300000001E-2</v>
      </c>
      <c r="D197" s="15">
        <v>324</v>
      </c>
      <c r="E197" s="32">
        <f t="shared" si="106"/>
        <v>-5.8139534883720929E-2</v>
      </c>
      <c r="F197" s="18">
        <f>IF(ISNUMBER(D197), $B199 * E197, "")</f>
        <v>-5813.9534883720926</v>
      </c>
      <c r="G197" s="31">
        <v>325</v>
      </c>
      <c r="H197" s="32">
        <f t="shared" si="107"/>
        <v>-5.5232558139534885E-2</v>
      </c>
      <c r="I197" s="101">
        <f>IF(ISNUMBER(G197), $B199 * H197, "")</f>
        <v>-5523.2558139534885</v>
      </c>
      <c r="J197" s="15">
        <v>321</v>
      </c>
      <c r="K197" s="32">
        <f t="shared" si="108"/>
        <v>-6.6860465116279064E-2</v>
      </c>
      <c r="L197" s="18">
        <f>IF(ISNUMBER(J197), $B199 * K197, "")</f>
        <v>-6686.0465116279065</v>
      </c>
      <c r="M197" s="31">
        <v>321</v>
      </c>
      <c r="N197" s="32">
        <f t="shared" si="109"/>
        <v>-6.6860465116279064E-2</v>
      </c>
      <c r="O197" s="18">
        <f>IF(ISNUMBER(M197), $B199 * N197, "")</f>
        <v>-6686.0465116279065</v>
      </c>
      <c r="Q197" s="227"/>
      <c r="R197" s="228"/>
      <c r="S197" s="229"/>
    </row>
    <row r="198" spans="1:19" ht="17.25" thickBot="1">
      <c r="A198" s="130" t="s">
        <v>214</v>
      </c>
      <c r="B198" s="131">
        <v>649</v>
      </c>
      <c r="C198" s="79">
        <v>-7.9432624100000002E-2</v>
      </c>
      <c r="D198" s="24">
        <v>581</v>
      </c>
      <c r="E198" s="25">
        <f t="shared" si="106"/>
        <v>-0.10477657935285054</v>
      </c>
      <c r="F198" s="104">
        <f>IF(ISNUMBER(D198), $B199 * E198, "")</f>
        <v>-10477.657935285053</v>
      </c>
      <c r="G198" s="102">
        <v>574</v>
      </c>
      <c r="H198" s="25">
        <f t="shared" si="107"/>
        <v>-0.11556240369799692</v>
      </c>
      <c r="I198" s="103">
        <f>IF(ISNUMBER(G198), $B199 * H198, "")</f>
        <v>-11556.240369799692</v>
      </c>
      <c r="J198" s="24">
        <v>578</v>
      </c>
      <c r="K198" s="25">
        <f t="shared" si="108"/>
        <v>-0.10939907550077041</v>
      </c>
      <c r="L198" s="104">
        <f>IF(ISNUMBER(J198), $B199 * K198, "")</f>
        <v>-10939.907550077041</v>
      </c>
      <c r="M198" s="102">
        <v>577</v>
      </c>
      <c r="N198" s="25">
        <f t="shared" si="109"/>
        <v>-0.11093990755007704</v>
      </c>
      <c r="O198" s="104">
        <f>IF(ISNUMBER(M198), $B199 * N198, "")</f>
        <v>-11093.990755007704</v>
      </c>
      <c r="Q198" s="230"/>
      <c r="R198" s="231"/>
      <c r="S198" s="232"/>
    </row>
    <row r="199" spans="1:19" ht="17.25" thickBot="1">
      <c r="A199" s="132" t="s">
        <v>270</v>
      </c>
      <c r="B199" s="291">
        <f>$B$37</f>
        <v>100000</v>
      </c>
      <c r="C199" s="292"/>
      <c r="D199" s="26" t="s">
        <v>271</v>
      </c>
      <c r="E199" s="27">
        <f>IF(COUNT(E179:E198), SUM(E179:E198) / COUNT(E179:E198), 0)</f>
        <v>1.880394821647894E-2</v>
      </c>
      <c r="F199" s="28">
        <f>SUM(F179:F198)</f>
        <v>37607.896432957881</v>
      </c>
      <c r="G199" s="26" t="s">
        <v>271</v>
      </c>
      <c r="H199" s="27">
        <f>IF(COUNT(H179:H198), SUM(H179:H198) / COUNT(H179:H198), 0)</f>
        <v>2.7464084105529408E-2</v>
      </c>
      <c r="I199" s="28">
        <f>SUM(I179:I198)</f>
        <v>54928.168211058801</v>
      </c>
      <c r="J199" s="26" t="s">
        <v>271</v>
      </c>
      <c r="K199" s="27">
        <f>IF(COUNT(K179:K198), SUM(K179:K198) / COUNT(K179:K198), 0)</f>
        <v>7.4132040674239185E-3</v>
      </c>
      <c r="L199" s="28">
        <f>SUM(L179:L198)</f>
        <v>14826.40813484785</v>
      </c>
      <c r="M199" s="26" t="s">
        <v>271</v>
      </c>
      <c r="N199" s="27">
        <f>IF(COUNT(N179:N198), SUM(N179:N198) / COUNT(N179:N198), 0)</f>
        <v>3.675673005915142E-3</v>
      </c>
      <c r="O199" s="28">
        <f>SUM(O179:O198)</f>
        <v>7351.3460118302901</v>
      </c>
      <c r="Q199" s="233"/>
      <c r="R199" s="234"/>
      <c r="S199" s="23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6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6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6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6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6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5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5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5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5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5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54" priority="157">
      <formula>AND($N17 &gt; 0, ISNUMBER($N17))</formula>
    </cfRule>
    <cfRule type="expression" dxfId="3053" priority="158">
      <formula>AND($N17 = 0 * ISNUMBER($N17))</formula>
    </cfRule>
    <cfRule type="expression" dxfId="3052" priority="159">
      <formula>AND($N17 &lt; 0, ISNUMBER($N17))</formula>
    </cfRule>
  </conditionalFormatting>
  <conditionalFormatting sqref="A17:F36">
    <cfRule type="expression" dxfId="3051" priority="166">
      <formula>AND($E17 &gt; 0, ISNUMBER($E17))</formula>
    </cfRule>
    <cfRule type="expression" dxfId="3050" priority="167">
      <formula>AND($E17 = 0 * ISNUMBER($E17))</formula>
    </cfRule>
    <cfRule type="expression" dxfId="3049" priority="168">
      <formula>AND($E17 &lt; 0, ISNUMBER($E17))</formula>
    </cfRule>
  </conditionalFormatting>
  <conditionalFormatting sqref="A17:C36 G17:I36">
    <cfRule type="expression" dxfId="3048" priority="163">
      <formula>AND($H17 &gt; 0, ISNUMBER($H17))</formula>
    </cfRule>
    <cfRule type="expression" dxfId="3047" priority="164">
      <formula>AND($H17 = 0 * ISNUMBER($H17))</formula>
    </cfRule>
    <cfRule type="expression" dxfId="3046" priority="165">
      <formula>AND($H17 &lt; 0, ISNUMBER($H17))</formula>
    </cfRule>
  </conditionalFormatting>
  <conditionalFormatting sqref="A17:C36 J17:L36">
    <cfRule type="expression" dxfId="3045" priority="160">
      <formula>AND($K17 &gt; 0, ISNUMBER($K17))</formula>
    </cfRule>
    <cfRule type="expression" dxfId="3044" priority="161">
      <formula>AND($K17 = 0 * ISNUMBER($K17))</formula>
    </cfRule>
    <cfRule type="expression" dxfId="3043" priority="162">
      <formula>AND($K17 &lt; 0, ISNUMBER($K17))</formula>
    </cfRule>
  </conditionalFormatting>
  <conditionalFormatting sqref="D15:F16 E37:F37">
    <cfRule type="expression" dxfId="3042" priority="154">
      <formula>$E$37 &gt; 0</formula>
    </cfRule>
    <cfRule type="expression" dxfId="3041" priority="155">
      <formula>$E$37 = 0</formula>
    </cfRule>
    <cfRule type="expression" dxfId="3040" priority="156">
      <formula>$E$37 &lt; 0</formula>
    </cfRule>
  </conditionalFormatting>
  <conditionalFormatting sqref="G15:I16 H37:I37">
    <cfRule type="expression" dxfId="3039" priority="151">
      <formula>$H$37 &gt; 0</formula>
    </cfRule>
    <cfRule type="expression" dxfId="3038" priority="152">
      <formula>$H$37 = 0</formula>
    </cfRule>
    <cfRule type="expression" dxfId="3037" priority="153">
      <formula>$H$37 &lt; 0</formula>
    </cfRule>
  </conditionalFormatting>
  <conditionalFormatting sqref="J15:L16 K37:L37">
    <cfRule type="expression" dxfId="3036" priority="148">
      <formula>$K$37 &gt; 0</formula>
    </cfRule>
    <cfRule type="expression" dxfId="3035" priority="149">
      <formula>$K$37 = 0</formula>
    </cfRule>
    <cfRule type="expression" dxfId="3034" priority="150">
      <formula>$K$37 &lt; 0</formula>
    </cfRule>
  </conditionalFormatting>
  <conditionalFormatting sqref="M15:O16 N37:O37">
    <cfRule type="expression" dxfId="3033" priority="145">
      <formula>$N$37 &gt; 0</formula>
    </cfRule>
    <cfRule type="expression" dxfId="3032" priority="146">
      <formula>$N$37 = 0</formula>
    </cfRule>
    <cfRule type="expression" dxfId="3031" priority="147">
      <formula>$N$37 &lt; 0</formula>
    </cfRule>
  </conditionalFormatting>
  <conditionalFormatting sqref="A44:C63 M44:O63">
    <cfRule type="expression" dxfId="3030" priority="133">
      <formula>AND($N44 &gt; 0, ISNUMBER($N44))</formula>
    </cfRule>
    <cfRule type="expression" dxfId="3029" priority="134">
      <formula>AND($N44 = 0 * ISNUMBER($N44))</formula>
    </cfRule>
    <cfRule type="expression" dxfId="3028" priority="135">
      <formula>AND($N44 &lt; 0, ISNUMBER($N44))</formula>
    </cfRule>
  </conditionalFormatting>
  <conditionalFormatting sqref="A44:F63">
    <cfRule type="expression" dxfId="3027" priority="142">
      <formula>AND($E44 &gt; 0, ISNUMBER($E44))</formula>
    </cfRule>
    <cfRule type="expression" dxfId="3026" priority="143">
      <formula>AND($E44 = 0 * ISNUMBER($E44))</formula>
    </cfRule>
    <cfRule type="expression" dxfId="3025" priority="144">
      <formula>AND($E44 &lt; 0, ISNUMBER($E44))</formula>
    </cfRule>
  </conditionalFormatting>
  <conditionalFormatting sqref="A44:C63 G44:I63">
    <cfRule type="expression" dxfId="3024" priority="139">
      <formula>AND($H44 &gt; 0, ISNUMBER($H44))</formula>
    </cfRule>
    <cfRule type="expression" dxfId="3023" priority="140">
      <formula>AND($H44 = 0 * ISNUMBER($H44))</formula>
    </cfRule>
    <cfRule type="expression" dxfId="3022" priority="141">
      <formula>AND($H44 &lt; 0, ISNUMBER($H44))</formula>
    </cfRule>
  </conditionalFormatting>
  <conditionalFormatting sqref="A44:C63 J44:L63">
    <cfRule type="expression" dxfId="3021" priority="136">
      <formula>AND($K44 &gt; 0, ISNUMBER($K44))</formula>
    </cfRule>
    <cfRule type="expression" dxfId="3020" priority="137">
      <formula>AND($K44 = 0 * ISNUMBER($K44))</formula>
    </cfRule>
    <cfRule type="expression" dxfId="3019" priority="138">
      <formula>AND($K44 &lt; 0, ISNUMBER($K44))</formula>
    </cfRule>
  </conditionalFormatting>
  <conditionalFormatting sqref="D42:F43 E64:F64">
    <cfRule type="expression" dxfId="3018" priority="130">
      <formula>$E$64 &gt; 0</formula>
    </cfRule>
    <cfRule type="expression" dxfId="3017" priority="131">
      <formula>$E$64 = 0</formula>
    </cfRule>
    <cfRule type="expression" dxfId="3016" priority="132">
      <formula>$E$64 &lt; 0</formula>
    </cfRule>
  </conditionalFormatting>
  <conditionalFormatting sqref="G42:I43 H64:I64">
    <cfRule type="expression" dxfId="3015" priority="127">
      <formula>$H$64 &gt; 0</formula>
    </cfRule>
    <cfRule type="expression" dxfId="3014" priority="128">
      <formula>$H$64 = 0</formula>
    </cfRule>
    <cfRule type="expression" dxfId="3013" priority="129">
      <formula>$H$64 &lt; 0</formula>
    </cfRule>
  </conditionalFormatting>
  <conditionalFormatting sqref="J42:L43 K64:L64">
    <cfRule type="expression" dxfId="3012" priority="124">
      <formula>$K$64 &gt; 0</formula>
    </cfRule>
    <cfRule type="expression" dxfId="3011" priority="125">
      <formula>$K$64 = 0</formula>
    </cfRule>
    <cfRule type="expression" dxfId="3010" priority="126">
      <formula>$K$64 &lt; 0</formula>
    </cfRule>
  </conditionalFormatting>
  <conditionalFormatting sqref="M42:O43 N64:O64">
    <cfRule type="expression" dxfId="3009" priority="121">
      <formula>$N$64 &gt; 0</formula>
    </cfRule>
    <cfRule type="expression" dxfId="3008" priority="122">
      <formula>$N$64 = 0</formula>
    </cfRule>
    <cfRule type="expression" dxfId="3007" priority="123">
      <formula>$N$64 &lt; 0</formula>
    </cfRule>
  </conditionalFormatting>
  <conditionalFormatting sqref="A71:C90 M71:O90">
    <cfRule type="expression" dxfId="3006" priority="109">
      <formula>AND($N71 &gt; 0, ISNUMBER($N71))</formula>
    </cfRule>
    <cfRule type="expression" dxfId="3005" priority="110">
      <formula>AND($N71 = 0 * ISNUMBER($N71))</formula>
    </cfRule>
    <cfRule type="expression" dxfId="3004" priority="111">
      <formula>AND($N71 &lt; 0, ISNUMBER($N71))</formula>
    </cfRule>
  </conditionalFormatting>
  <conditionalFormatting sqref="A71:F90">
    <cfRule type="expression" dxfId="3003" priority="118">
      <formula>AND($E71 &gt; 0, ISNUMBER($E71))</formula>
    </cfRule>
    <cfRule type="expression" dxfId="3002" priority="119">
      <formula>AND($E71 = 0 * ISNUMBER($E71))</formula>
    </cfRule>
    <cfRule type="expression" dxfId="3001" priority="120">
      <formula>AND($E71 &lt; 0, ISNUMBER($E71))</formula>
    </cfRule>
  </conditionalFormatting>
  <conditionalFormatting sqref="A71:C90 G71:I90">
    <cfRule type="expression" dxfId="3000" priority="115">
      <formula>AND($H71 &gt; 0, ISNUMBER($H71))</formula>
    </cfRule>
    <cfRule type="expression" dxfId="2999" priority="116">
      <formula>AND($H71 = 0 * ISNUMBER($H71))</formula>
    </cfRule>
    <cfRule type="expression" dxfId="2998" priority="117">
      <formula>AND($H71 &lt; 0, ISNUMBER($H71))</formula>
    </cfRule>
  </conditionalFormatting>
  <conditionalFormatting sqref="A71:C90 J71:L90">
    <cfRule type="expression" dxfId="2997" priority="112">
      <formula>AND($K71 &gt; 0, ISNUMBER($K71))</formula>
    </cfRule>
    <cfRule type="expression" dxfId="2996" priority="113">
      <formula>AND($K71 = 0 * ISNUMBER($K71))</formula>
    </cfRule>
    <cfRule type="expression" dxfId="2995" priority="114">
      <formula>AND($K71 &lt; 0, ISNUMBER($K71))</formula>
    </cfRule>
  </conditionalFormatting>
  <conditionalFormatting sqref="D69:F70 E91:F91">
    <cfRule type="expression" dxfId="2994" priority="106">
      <formula>$E$91 &gt; 0</formula>
    </cfRule>
    <cfRule type="expression" dxfId="2993" priority="107">
      <formula>$E$91 = 0</formula>
    </cfRule>
    <cfRule type="expression" dxfId="2992" priority="108">
      <formula>$E$91 &lt; 0</formula>
    </cfRule>
  </conditionalFormatting>
  <conditionalFormatting sqref="G69:I70 H91:I91">
    <cfRule type="expression" dxfId="2991" priority="103">
      <formula>$H$91 &gt; 0</formula>
    </cfRule>
    <cfRule type="expression" dxfId="2990" priority="104">
      <formula>$H$91 = 0</formula>
    </cfRule>
    <cfRule type="expression" dxfId="2989" priority="105">
      <formula>$H$91 &lt; 0</formula>
    </cfRule>
  </conditionalFormatting>
  <conditionalFormatting sqref="J69:L70 K91:L91">
    <cfRule type="expression" dxfId="2988" priority="100">
      <formula>$K$91 &gt; 0</formula>
    </cfRule>
    <cfRule type="expression" dxfId="2987" priority="101">
      <formula>$K$91 = 0</formula>
    </cfRule>
    <cfRule type="expression" dxfId="2986" priority="102">
      <formula>$K$91 &lt; 0</formula>
    </cfRule>
  </conditionalFormatting>
  <conditionalFormatting sqref="M69:O70 N91:O91">
    <cfRule type="expression" dxfId="2985" priority="97">
      <formula>$N$91 &gt; 0</formula>
    </cfRule>
    <cfRule type="expression" dxfId="2984" priority="98">
      <formula>$N$91 = 0</formula>
    </cfRule>
    <cfRule type="expression" dxfId="2983" priority="99">
      <formula>$N$91 &lt; 0</formula>
    </cfRule>
  </conditionalFormatting>
  <conditionalFormatting sqref="A98:C117 M98:O117">
    <cfRule type="expression" dxfId="2982" priority="85">
      <formula>AND($N98 &gt; 0, ISNUMBER($N98))</formula>
    </cfRule>
    <cfRule type="expression" dxfId="2981" priority="86">
      <formula>AND($N98 = 0 * ISNUMBER($N98))</formula>
    </cfRule>
    <cfRule type="expression" dxfId="2980" priority="87">
      <formula>AND($N98 &lt; 0, ISNUMBER($N98))</formula>
    </cfRule>
  </conditionalFormatting>
  <conditionalFormatting sqref="A98:F117">
    <cfRule type="expression" dxfId="2979" priority="94">
      <formula>AND($E98 &gt; 0, ISNUMBER($E98))</formula>
    </cfRule>
    <cfRule type="expression" dxfId="2978" priority="95">
      <formula>AND($E98 = 0 * ISNUMBER($E98))</formula>
    </cfRule>
    <cfRule type="expression" dxfId="2977" priority="96">
      <formula>AND($E98 &lt; 0, ISNUMBER($E98))</formula>
    </cfRule>
  </conditionalFormatting>
  <conditionalFormatting sqref="A98:C117 G98:I117">
    <cfRule type="expression" dxfId="2976" priority="91">
      <formula>AND($H98 &gt; 0, ISNUMBER($H98))</formula>
    </cfRule>
    <cfRule type="expression" dxfId="2975" priority="92">
      <formula>AND($H98 = 0 * ISNUMBER($H98))</formula>
    </cfRule>
    <cfRule type="expression" dxfId="2974" priority="93">
      <formula>AND($H98 &lt; 0, ISNUMBER($H98))</formula>
    </cfRule>
  </conditionalFormatting>
  <conditionalFormatting sqref="A98:C117 J98:L117">
    <cfRule type="expression" dxfId="2973" priority="88">
      <formula>AND($K98 &gt; 0, ISNUMBER($K98))</formula>
    </cfRule>
    <cfRule type="expression" dxfId="2972" priority="89">
      <formula>AND($K98 = 0 * ISNUMBER($K98))</formula>
    </cfRule>
    <cfRule type="expression" dxfId="2971" priority="90">
      <formula>AND($K98 &lt; 0, ISNUMBER($K98))</formula>
    </cfRule>
  </conditionalFormatting>
  <conditionalFormatting sqref="D96:F97 E118:F118">
    <cfRule type="expression" dxfId="2970" priority="82">
      <formula>$E$118 &gt; 0</formula>
    </cfRule>
    <cfRule type="expression" dxfId="2969" priority="83">
      <formula>$E$118 = 0</formula>
    </cfRule>
    <cfRule type="expression" dxfId="2968" priority="84">
      <formula>$E$118 &lt; 0</formula>
    </cfRule>
  </conditionalFormatting>
  <conditionalFormatting sqref="G96:I97 H118:I118">
    <cfRule type="expression" dxfId="2967" priority="79">
      <formula>$H$118 &gt; 0</formula>
    </cfRule>
    <cfRule type="expression" dxfId="2966" priority="80">
      <formula>$H$118 = 0</formula>
    </cfRule>
    <cfRule type="expression" dxfId="2965" priority="81">
      <formula>$H$118 &lt; 0</formula>
    </cfRule>
  </conditionalFormatting>
  <conditionalFormatting sqref="J96:L97 K118:L118">
    <cfRule type="expression" dxfId="2964" priority="76">
      <formula>$K$118 &gt; 0</formula>
    </cfRule>
    <cfRule type="expression" dxfId="2963" priority="77">
      <formula>$K$118 = 0</formula>
    </cfRule>
    <cfRule type="expression" dxfId="2962" priority="78">
      <formula>$K$118 &lt; 0</formula>
    </cfRule>
  </conditionalFormatting>
  <conditionalFormatting sqref="M96:O97 N118:O118">
    <cfRule type="expression" dxfId="2961" priority="73">
      <formula>$N$118 &gt; 0</formula>
    </cfRule>
    <cfRule type="expression" dxfId="2960" priority="74">
      <formula>$N$118 = 0</formula>
    </cfRule>
    <cfRule type="expression" dxfId="2959" priority="75">
      <formula>$N$118 &lt; 0</formula>
    </cfRule>
  </conditionalFormatting>
  <conditionalFormatting sqref="A125:C144 M125:O144">
    <cfRule type="expression" dxfId="2958" priority="61">
      <formula>AND($N125 &gt; 0, ISNUMBER($N125))</formula>
    </cfRule>
    <cfRule type="expression" dxfId="2957" priority="62">
      <formula>AND($N125 = 0 * ISNUMBER($N125))</formula>
    </cfRule>
    <cfRule type="expression" dxfId="2956" priority="63">
      <formula>AND($N125 &lt; 0, ISNUMBER($N125))</formula>
    </cfRule>
  </conditionalFormatting>
  <conditionalFormatting sqref="A125:F144">
    <cfRule type="expression" dxfId="2955" priority="70">
      <formula>AND($E125 &gt; 0, ISNUMBER($E125))</formula>
    </cfRule>
    <cfRule type="expression" dxfId="2954" priority="71">
      <formula>AND($E125 = 0 * ISNUMBER($E125))</formula>
    </cfRule>
    <cfRule type="expression" dxfId="2953" priority="72">
      <formula>AND($E125 &lt; 0, ISNUMBER($E125))</formula>
    </cfRule>
  </conditionalFormatting>
  <conditionalFormatting sqref="A125:C144 G125:I144">
    <cfRule type="expression" dxfId="2952" priority="67">
      <formula>AND($H125 &gt; 0, ISNUMBER($H125))</formula>
    </cfRule>
    <cfRule type="expression" dxfId="2951" priority="68">
      <formula>AND($H125 = 0 * ISNUMBER($H125))</formula>
    </cfRule>
    <cfRule type="expression" dxfId="2950" priority="69">
      <formula>AND($H125 &lt; 0, ISNUMBER($H125))</formula>
    </cfRule>
  </conditionalFormatting>
  <conditionalFormatting sqref="A125:C144 J125:L144">
    <cfRule type="expression" dxfId="2949" priority="64">
      <formula>AND($K125 &gt; 0, ISNUMBER($K125))</formula>
    </cfRule>
    <cfRule type="expression" dxfId="2948" priority="65">
      <formula>AND($K125 = 0 * ISNUMBER($K125))</formula>
    </cfRule>
    <cfRule type="expression" dxfId="2947" priority="66">
      <formula>AND($K125 &lt; 0, ISNUMBER($K125))</formula>
    </cfRule>
  </conditionalFormatting>
  <conditionalFormatting sqref="D123:F124 E145:F145">
    <cfRule type="expression" dxfId="2946" priority="58">
      <formula>$E$145 &gt; 0</formula>
    </cfRule>
    <cfRule type="expression" dxfId="2945" priority="59">
      <formula>$E$145 = 0</formula>
    </cfRule>
    <cfRule type="expression" dxfId="2944" priority="60">
      <formula>$E$145 &lt; 0</formula>
    </cfRule>
  </conditionalFormatting>
  <conditionalFormatting sqref="G123:I124 H145:I145">
    <cfRule type="expression" dxfId="2943" priority="55">
      <formula>$H$145 &gt; 0</formula>
    </cfRule>
    <cfRule type="expression" dxfId="2942" priority="56">
      <formula>$H$145 = 0</formula>
    </cfRule>
    <cfRule type="expression" dxfId="2941" priority="57">
      <formula>$H$145 &lt; 0</formula>
    </cfRule>
  </conditionalFormatting>
  <conditionalFormatting sqref="J123:L124 K145:L145">
    <cfRule type="expression" dxfId="2940" priority="52">
      <formula>$K$145 &gt; 0</formula>
    </cfRule>
    <cfRule type="expression" dxfId="2939" priority="53">
      <formula>$K$145 = 0</formula>
    </cfRule>
    <cfRule type="expression" dxfId="2938" priority="54">
      <formula>$K$145 &lt; 0</formula>
    </cfRule>
  </conditionalFormatting>
  <conditionalFormatting sqref="M123:O124 N145:O145">
    <cfRule type="expression" dxfId="2937" priority="49">
      <formula>$N$145 &gt; 0</formula>
    </cfRule>
    <cfRule type="expression" dxfId="2936" priority="50">
      <formula>$N$145 = 0</formula>
    </cfRule>
    <cfRule type="expression" dxfId="2935" priority="51">
      <formula>$N$145 &lt; 0</formula>
    </cfRule>
  </conditionalFormatting>
  <conditionalFormatting sqref="A152:C171 M152:O171">
    <cfRule type="expression" dxfId="2934" priority="37">
      <formula>AND($N152 &gt; 0, ISNUMBER($N152))</formula>
    </cfRule>
    <cfRule type="expression" dxfId="2933" priority="38">
      <formula>AND($N152 = 0 * ISNUMBER($N152))</formula>
    </cfRule>
    <cfRule type="expression" dxfId="2932" priority="39">
      <formula>AND($N152 &lt; 0, ISNUMBER($N152))</formula>
    </cfRule>
  </conditionalFormatting>
  <conditionalFormatting sqref="A152:F171">
    <cfRule type="expression" dxfId="2931" priority="46">
      <formula>AND($E152 &gt; 0, ISNUMBER($E152))</formula>
    </cfRule>
    <cfRule type="expression" dxfId="2930" priority="47">
      <formula>AND($E152 = 0 * ISNUMBER($E152))</formula>
    </cfRule>
    <cfRule type="expression" dxfId="2929" priority="48">
      <formula>AND($E152 &lt; 0, ISNUMBER($E152))</formula>
    </cfRule>
  </conditionalFormatting>
  <conditionalFormatting sqref="A152:C171 G152:I171">
    <cfRule type="expression" dxfId="2928" priority="43">
      <formula>AND($H152 &gt; 0, ISNUMBER($H152))</formula>
    </cfRule>
    <cfRule type="expression" dxfId="2927" priority="44">
      <formula>AND($H152 = 0 * ISNUMBER($H152))</formula>
    </cfRule>
    <cfRule type="expression" dxfId="2926" priority="45">
      <formula>AND($H152 &lt; 0, ISNUMBER($H152))</formula>
    </cfRule>
  </conditionalFormatting>
  <conditionalFormatting sqref="A152:C171 J152:L171">
    <cfRule type="expression" dxfId="2925" priority="40">
      <formula>AND($K152 &gt; 0, ISNUMBER($K152))</formula>
    </cfRule>
    <cfRule type="expression" dxfId="2924" priority="41">
      <formula>AND($K152 = 0 * ISNUMBER($K152))</formula>
    </cfRule>
    <cfRule type="expression" dxfId="2923" priority="42">
      <formula>AND($K152 &lt; 0, ISNUMBER($K152))</formula>
    </cfRule>
  </conditionalFormatting>
  <conditionalFormatting sqref="D150:F151 E172:F172">
    <cfRule type="expression" dxfId="2922" priority="34">
      <formula>$E$172 &gt; 0</formula>
    </cfRule>
    <cfRule type="expression" dxfId="2921" priority="35">
      <formula>$E$172 = 0</formula>
    </cfRule>
    <cfRule type="expression" dxfId="2920" priority="36">
      <formula>$E$172 &lt; 0</formula>
    </cfRule>
  </conditionalFormatting>
  <conditionalFormatting sqref="G150:I151 H172:I172">
    <cfRule type="expression" dxfId="2919" priority="31">
      <formula>$H$172 &gt; 0</formula>
    </cfRule>
    <cfRule type="expression" dxfId="2918" priority="32">
      <formula>$H$172 = 0</formula>
    </cfRule>
    <cfRule type="expression" dxfId="2917" priority="33">
      <formula>$H$172 &lt; 0</formula>
    </cfRule>
  </conditionalFormatting>
  <conditionalFormatting sqref="J150:L151 K172:L172">
    <cfRule type="expression" dxfId="2916" priority="28">
      <formula>$K$172 &gt; 0</formula>
    </cfRule>
    <cfRule type="expression" dxfId="2915" priority="29">
      <formula>$K$172 = 0</formula>
    </cfRule>
    <cfRule type="expression" dxfId="2914" priority="30">
      <formula>$K$172 &lt; 0</formula>
    </cfRule>
  </conditionalFormatting>
  <conditionalFormatting sqref="M150:O151 N172:O172">
    <cfRule type="expression" dxfId="2913" priority="25">
      <formula>$N$172 &gt; 0</formula>
    </cfRule>
    <cfRule type="expression" dxfId="2912" priority="26">
      <formula>$N$172 = 0</formula>
    </cfRule>
    <cfRule type="expression" dxfId="2911" priority="27">
      <formula>$N$172 &lt; 0</formula>
    </cfRule>
  </conditionalFormatting>
  <conditionalFormatting sqref="A179:C198 M179:O198">
    <cfRule type="expression" dxfId="2910" priority="13">
      <formula>AND($N179 &gt; 0, ISNUMBER($N179))</formula>
    </cfRule>
    <cfRule type="expression" dxfId="2909" priority="14">
      <formula>AND($N179 = 0 * ISNUMBER($N179))</formula>
    </cfRule>
    <cfRule type="expression" dxfId="2908" priority="15">
      <formula>AND($N179 &lt; 0, ISNUMBER($N179))</formula>
    </cfRule>
  </conditionalFormatting>
  <conditionalFormatting sqref="A179:F198">
    <cfRule type="expression" dxfId="2907" priority="22">
      <formula>AND($E179 &gt; 0, ISNUMBER($E179))</formula>
    </cfRule>
    <cfRule type="expression" dxfId="2906" priority="23">
      <formula>AND($E179 = 0 * ISNUMBER($E179))</formula>
    </cfRule>
    <cfRule type="expression" dxfId="2905" priority="24">
      <formula>AND($E179 &lt; 0, ISNUMBER($E179))</formula>
    </cfRule>
  </conditionalFormatting>
  <conditionalFormatting sqref="A179:C198 G179:I198">
    <cfRule type="expression" dxfId="2904" priority="19">
      <formula>AND($H179 &gt; 0, ISNUMBER($H179))</formula>
    </cfRule>
    <cfRule type="expression" dxfId="2903" priority="20">
      <formula>AND($H179 = 0 * ISNUMBER($H179))</formula>
    </cfRule>
    <cfRule type="expression" dxfId="2902" priority="21">
      <formula>AND($H179 &lt; 0, ISNUMBER($H179))</formula>
    </cfRule>
  </conditionalFormatting>
  <conditionalFormatting sqref="A179:C198 J179:L198">
    <cfRule type="expression" dxfId="2901" priority="16">
      <formula>AND($K179 &gt; 0, ISNUMBER($K179))</formula>
    </cfRule>
    <cfRule type="expression" dxfId="2900" priority="17">
      <formula>AND($K179 = 0 * ISNUMBER($K179))</formula>
    </cfRule>
    <cfRule type="expression" dxfId="2899" priority="18">
      <formula>AND($K179 &lt; 0, ISNUMBER($K179))</formula>
    </cfRule>
  </conditionalFormatting>
  <conditionalFormatting sqref="D177:F178 E199:F199">
    <cfRule type="expression" dxfId="2898" priority="10">
      <formula>$E$199 &gt; 0</formula>
    </cfRule>
    <cfRule type="expression" dxfId="2897" priority="11">
      <formula>$E$199 = 0</formula>
    </cfRule>
    <cfRule type="expression" dxfId="2896" priority="12">
      <formula>$E$199 &lt; 0</formula>
    </cfRule>
  </conditionalFormatting>
  <conditionalFormatting sqref="G177:I178 H199:I199">
    <cfRule type="expression" dxfId="2895" priority="7">
      <formula>$H$199 &gt; 0</formula>
    </cfRule>
    <cfRule type="expression" dxfId="2894" priority="8">
      <formula>$H$199 = 0</formula>
    </cfRule>
    <cfRule type="expression" dxfId="2893" priority="9">
      <formula>$H$199 &lt; 0</formula>
    </cfRule>
  </conditionalFormatting>
  <conditionalFormatting sqref="J177:L178 K199:L199">
    <cfRule type="expression" dxfId="2892" priority="4">
      <formula>$K$199 &gt; 0</formula>
    </cfRule>
    <cfRule type="expression" dxfId="2891" priority="5">
      <formula>$K$199 = 0</formula>
    </cfRule>
    <cfRule type="expression" dxfId="2890" priority="6">
      <formula>$K$199 &lt; 0</formula>
    </cfRule>
  </conditionalFormatting>
  <conditionalFormatting sqref="M177:O178 N199:O199">
    <cfRule type="expression" dxfId="2889" priority="1">
      <formula>$N$199 &gt; 0</formula>
    </cfRule>
    <cfRule type="expression" dxfId="2888" priority="2">
      <formula>$N$199 = 0</formula>
    </cfRule>
    <cfRule type="expression" dxfId="288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CB2B9-0796-40C9-888B-6D0229431F4C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80">
        <v>44410</v>
      </c>
      <c r="H1" s="281"/>
      <c r="I1" s="282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83" t="s">
        <v>8</v>
      </c>
      <c r="C2" s="284"/>
      <c r="D2" s="284"/>
      <c r="E2" s="284"/>
      <c r="F2" s="285"/>
      <c r="G2" s="277" t="s">
        <v>46</v>
      </c>
      <c r="H2" s="278"/>
      <c r="I2" s="279"/>
      <c r="J2" s="1" t="s">
        <v>3</v>
      </c>
      <c r="K2" s="283" t="s">
        <v>320</v>
      </c>
      <c r="L2" s="284"/>
      <c r="M2" s="284"/>
      <c r="N2" s="284"/>
      <c r="O2" s="285"/>
      <c r="Q2" s="2" t="s">
        <v>6</v>
      </c>
      <c r="R2" s="3">
        <v>0.375</v>
      </c>
    </row>
    <row r="3" spans="1:19" ht="17.25" customHeight="1" thickBot="1">
      <c r="A3" s="118" t="s">
        <v>7</v>
      </c>
      <c r="B3" s="274" t="s">
        <v>328</v>
      </c>
      <c r="C3" s="275"/>
      <c r="D3" s="275"/>
      <c r="E3" s="275"/>
      <c r="F3" s="276"/>
      <c r="G3" s="27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15,014 KRW (0.75%)</v>
      </c>
      <c r="H3" s="271"/>
      <c r="I3" s="272"/>
      <c r="J3" s="4" t="s">
        <v>7</v>
      </c>
      <c r="K3" s="274" t="s">
        <v>321</v>
      </c>
      <c r="L3" s="275"/>
      <c r="M3" s="275"/>
      <c r="N3" s="275"/>
      <c r="O3" s="27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4" t="s">
        <v>16</v>
      </c>
      <c r="C4" s="275"/>
      <c r="D4" s="275"/>
      <c r="E4" s="275"/>
      <c r="F4" s="276"/>
      <c r="G4" s="277" t="s">
        <v>44</v>
      </c>
      <c r="H4" s="278"/>
      <c r="I4" s="279"/>
      <c r="J4" s="4" t="s">
        <v>11</v>
      </c>
      <c r="K4" s="274" t="s">
        <v>322</v>
      </c>
      <c r="L4" s="275"/>
      <c r="M4" s="275"/>
      <c r="N4" s="275"/>
      <c r="O4" s="27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4" t="s">
        <v>319</v>
      </c>
      <c r="C5" s="275"/>
      <c r="D5" s="275"/>
      <c r="E5" s="275"/>
      <c r="F5" s="276"/>
      <c r="G5" s="27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27,622 KRW (1.38%)</v>
      </c>
      <c r="H5" s="271"/>
      <c r="I5" s="272"/>
      <c r="J5" s="4" t="s">
        <v>15</v>
      </c>
      <c r="K5" s="274" t="s">
        <v>323</v>
      </c>
      <c r="L5" s="275"/>
      <c r="M5" s="275"/>
      <c r="N5" s="275"/>
      <c r="O5" s="276"/>
    </row>
    <row r="6" spans="1:19">
      <c r="A6" s="118" t="s">
        <v>18</v>
      </c>
      <c r="B6" s="274"/>
      <c r="C6" s="275"/>
      <c r="D6" s="275"/>
      <c r="E6" s="275"/>
      <c r="F6" s="276"/>
      <c r="G6" s="277" t="s">
        <v>45</v>
      </c>
      <c r="H6" s="278"/>
      <c r="I6" s="279"/>
      <c r="J6" s="4" t="s">
        <v>18</v>
      </c>
      <c r="K6" s="274" t="s">
        <v>324</v>
      </c>
      <c r="L6" s="275"/>
      <c r="M6" s="275"/>
      <c r="N6" s="275"/>
      <c r="O6" s="276"/>
    </row>
    <row r="7" spans="1:19" ht="17.25" thickBot="1">
      <c r="A7" s="118" t="s">
        <v>21</v>
      </c>
      <c r="B7" s="274"/>
      <c r="C7" s="275"/>
      <c r="D7" s="275"/>
      <c r="E7" s="275"/>
      <c r="F7" s="276"/>
      <c r="G7" s="27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7,782 KRW (0.39%)</v>
      </c>
      <c r="H7" s="271"/>
      <c r="I7" s="272"/>
      <c r="J7" s="4" t="s">
        <v>21</v>
      </c>
      <c r="K7" s="274" t="s">
        <v>325</v>
      </c>
      <c r="L7" s="275"/>
      <c r="M7" s="275"/>
      <c r="N7" s="275"/>
      <c r="O7" s="276"/>
    </row>
    <row r="8" spans="1:19" ht="17.25" thickBot="1">
      <c r="A8" s="118" t="s">
        <v>24</v>
      </c>
      <c r="B8" s="274"/>
      <c r="C8" s="275"/>
      <c r="D8" s="275"/>
      <c r="E8" s="275"/>
      <c r="F8" s="276"/>
      <c r="G8" s="277" t="s">
        <v>255</v>
      </c>
      <c r="H8" s="278"/>
      <c r="I8" s="279"/>
      <c r="J8" s="4" t="s">
        <v>24</v>
      </c>
      <c r="K8" s="274"/>
      <c r="L8" s="275"/>
      <c r="M8" s="275"/>
      <c r="N8" s="275"/>
      <c r="O8" s="276"/>
      <c r="Q8" s="249" t="s">
        <v>27</v>
      </c>
      <c r="R8" s="251"/>
    </row>
    <row r="9" spans="1:19" ht="17.25" thickBot="1">
      <c r="A9" s="118" t="s">
        <v>28</v>
      </c>
      <c r="B9" s="274"/>
      <c r="C9" s="275"/>
      <c r="D9" s="275"/>
      <c r="E9" s="275"/>
      <c r="F9" s="276"/>
      <c r="G9" s="27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40,794 KRW (2.04%)</v>
      </c>
      <c r="H9" s="271"/>
      <c r="I9" s="272"/>
      <c r="J9" s="4" t="s">
        <v>28</v>
      </c>
      <c r="K9" s="274"/>
      <c r="L9" s="275"/>
      <c r="M9" s="275"/>
      <c r="N9" s="275"/>
      <c r="O9" s="276"/>
      <c r="Q9" s="2" t="s">
        <v>29</v>
      </c>
      <c r="R9" s="6">
        <v>10</v>
      </c>
    </row>
    <row r="10" spans="1:19">
      <c r="A10" s="118" t="s">
        <v>30</v>
      </c>
      <c r="B10" s="274"/>
      <c r="C10" s="275"/>
      <c r="D10" s="275"/>
      <c r="E10" s="275"/>
      <c r="F10" s="276"/>
      <c r="G10" s="277" t="s">
        <v>47</v>
      </c>
      <c r="H10" s="278"/>
      <c r="I10" s="279"/>
      <c r="J10" s="4" t="s">
        <v>30</v>
      </c>
      <c r="K10" s="274" t="s">
        <v>326</v>
      </c>
      <c r="L10" s="275"/>
      <c r="M10" s="275"/>
      <c r="N10" s="275"/>
      <c r="O10" s="276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7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1"/>
      <c r="I11" s="272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48"/>
      <c r="R13" s="248"/>
      <c r="S13" s="248"/>
    </row>
    <row r="14" spans="1:19" ht="17.25" customHeight="1" thickBot="1">
      <c r="A14" s="161" t="s">
        <v>35</v>
      </c>
      <c r="B14" s="249" t="s">
        <v>36</v>
      </c>
      <c r="C14" s="251"/>
      <c r="D14" s="249" t="s">
        <v>37</v>
      </c>
      <c r="E14" s="250"/>
      <c r="F14" s="251"/>
      <c r="G14" s="252">
        <f>_xlfn.IFNA(VLOOKUP(B14, 현재가테이블!$B$2:$D$200, 2, FALSE), "-")</f>
        <v>54440000</v>
      </c>
      <c r="H14" s="253"/>
      <c r="I14" s="254"/>
      <c r="J14" s="249" t="s">
        <v>38</v>
      </c>
      <c r="K14" s="250"/>
      <c r="L14" s="251"/>
      <c r="M14" s="255">
        <f>_xlfn.IFNA(VLOOKUP(B14, 현재가테이블!$B$2:$D$200, 3, FALSE), "-")</f>
        <v>1.07123628E-2</v>
      </c>
      <c r="N14" s="256"/>
      <c r="O14" s="257"/>
      <c r="Q14" s="248"/>
      <c r="R14" s="248"/>
      <c r="S14" s="248"/>
    </row>
    <row r="15" spans="1:19" ht="17.25" customHeight="1" thickBot="1">
      <c r="A15" s="286" t="s">
        <v>39</v>
      </c>
      <c r="B15" s="287" t="str">
        <f>TEXT($G$1, "[$-ko-KR]yyyy-mm-dd(ddd) ") &amp; "오전 00:00"</f>
        <v>2021-08-02(월) 오전 00:00</v>
      </c>
      <c r="C15" s="288"/>
      <c r="D15" s="262" t="str">
        <f>TEXT($G$1, "[$-ko-KR]yyyy-mm-dd(ddd) ") &amp; "오후 14:00"</f>
        <v>2021-08-02(월) 오후 14:00</v>
      </c>
      <c r="E15" s="263"/>
      <c r="F15" s="264"/>
      <c r="G15" s="262" t="str">
        <f>TEXT($G$1, "[$-ko-KR]yyyy-mm-dd(ddd) ") &amp; "오후 19:00"</f>
        <v>2021-08-02(월) 오후 19:00</v>
      </c>
      <c r="H15" s="263"/>
      <c r="I15" s="264"/>
      <c r="J15" s="262" t="str">
        <f>TEXT($G$1, "[$-ko-KR]yyyy-mm-dd(ddd) ") &amp; "오후 21:00"</f>
        <v>2021-08-02(월) 오후 21:00</v>
      </c>
      <c r="K15" s="263"/>
      <c r="L15" s="264"/>
      <c r="M15" s="262" t="str">
        <f>TEXT($G$1+1, "[$-ko-KR]yyyy-mm-dd(ddd) ") &amp; "오전 00:00"</f>
        <v>2021-08-03(화) 오전 00:00</v>
      </c>
      <c r="N15" s="263"/>
      <c r="O15" s="264"/>
      <c r="Q15" s="248"/>
      <c r="R15" s="248"/>
      <c r="S15" s="248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8"/>
      <c r="R17" s="248"/>
      <c r="S17" s="24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8"/>
      <c r="R18" s="248"/>
      <c r="S18" s="24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8"/>
      <c r="R19" s="238"/>
      <c r="S19" s="23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8"/>
      <c r="R20" s="238"/>
      <c r="S20" s="23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8"/>
      <c r="R21" s="238"/>
      <c r="S21" s="23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8"/>
      <c r="R22" s="238"/>
      <c r="S22" s="23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8"/>
      <c r="R23" s="238"/>
      <c r="S23" s="23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8"/>
      <c r="R24" s="238"/>
      <c r="S24" s="23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9"/>
      <c r="R26" s="240"/>
      <c r="S26" s="24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2"/>
      <c r="R27" s="243"/>
      <c r="S27" s="24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5"/>
      <c r="R28" s="246"/>
      <c r="S28" s="24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8"/>
      <c r="R29" s="238"/>
      <c r="S29" s="23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8"/>
      <c r="R30" s="248"/>
      <c r="S30" s="24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8"/>
      <c r="R31" s="248"/>
      <c r="S31" s="24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8"/>
      <c r="R32" s="238"/>
      <c r="S32" s="23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7"/>
      <c r="R35" s="228"/>
      <c r="S35" s="22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0"/>
      <c r="R36" s="231"/>
      <c r="S36" s="232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3"/>
      <c r="R37" s="234"/>
      <c r="S37" s="23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48"/>
      <c r="R40" s="248"/>
      <c r="S40" s="248"/>
    </row>
    <row r="41" spans="1:19" ht="17.25" customHeight="1" thickBot="1">
      <c r="A41" s="161" t="s">
        <v>267</v>
      </c>
      <c r="B41" s="249" t="s">
        <v>49</v>
      </c>
      <c r="C41" s="251"/>
      <c r="D41" s="249" t="s">
        <v>58</v>
      </c>
      <c r="E41" s="250"/>
      <c r="F41" s="251"/>
      <c r="G41" s="252">
        <f>_xlfn.IFNA(VLOOKUP(B41, 현재가테이블!$B$2:$D$200, 2, FALSE), "-")</f>
        <v>54440000</v>
      </c>
      <c r="H41" s="253"/>
      <c r="I41" s="254"/>
      <c r="J41" s="249" t="s">
        <v>59</v>
      </c>
      <c r="K41" s="250"/>
      <c r="L41" s="251"/>
      <c r="M41" s="255">
        <f>_xlfn.IFNA(VLOOKUP(B41, 현재가테이블!$B$2:$D$200, 3, FALSE), "-")</f>
        <v>1.07123628E-2</v>
      </c>
      <c r="N41" s="256"/>
      <c r="O41" s="257"/>
      <c r="Q41" s="248"/>
      <c r="R41" s="248"/>
      <c r="S41" s="248"/>
    </row>
    <row r="42" spans="1:19" ht="17.25" customHeight="1" thickBot="1">
      <c r="A42" s="293" t="s">
        <v>55</v>
      </c>
      <c r="B42" s="289" t="str">
        <f>TEXT($G$1, "[$-ko-KR]yyyy-mm-dd(ddd) ") &amp; "오전 00:00"</f>
        <v>2021-08-02(월) 오전 00:00</v>
      </c>
      <c r="C42" s="290"/>
      <c r="D42" s="262" t="str">
        <f>TEXT($G$1, "[$-ko-KR]yyyy-mm-dd(ddd) ") &amp; "오후 14:00"</f>
        <v>2021-08-02(월) 오후 14:00</v>
      </c>
      <c r="E42" s="263"/>
      <c r="F42" s="264"/>
      <c r="G42" s="262" t="str">
        <f>TEXT($G$1, "[$-ko-KR]yyyy-mm-dd(ddd) ") &amp; "오후 19:00"</f>
        <v>2021-08-02(월) 오후 19:00</v>
      </c>
      <c r="H42" s="263"/>
      <c r="I42" s="264"/>
      <c r="J42" s="262" t="str">
        <f>TEXT($G$1, "[$-ko-KR]yyyy-mm-dd(ddd) ") &amp; "오후 21:00"</f>
        <v>2021-08-02(월) 오후 21:00</v>
      </c>
      <c r="K42" s="263"/>
      <c r="L42" s="264"/>
      <c r="M42" s="262" t="str">
        <f>TEXT($G$1+1, "[$-ko-KR]yyyy-mm-dd(ddd) ") &amp; "오전 00:00"</f>
        <v>2021-08-03(화) 오전 00:00</v>
      </c>
      <c r="N42" s="263"/>
      <c r="O42" s="264"/>
      <c r="Q42" s="248"/>
      <c r="R42" s="248"/>
      <c r="S42" s="248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8"/>
      <c r="R43" s="238"/>
      <c r="S43" s="238"/>
    </row>
    <row r="44" spans="1:19" ht="17.25" customHeight="1" thickBot="1">
      <c r="A44" s="123" t="s">
        <v>132</v>
      </c>
      <c r="B44" s="124">
        <v>92.6</v>
      </c>
      <c r="C44" s="76">
        <v>0</v>
      </c>
      <c r="D44" s="13">
        <v>92.6</v>
      </c>
      <c r="E44" s="14">
        <f>IF(ISNUMBER(D44), (D44 - $B44) / $B44, "")</f>
        <v>0</v>
      </c>
      <c r="F44" s="16">
        <f>IF(ISNUMBER(D44), $B64 * E44, "")</f>
        <v>0</v>
      </c>
      <c r="G44" s="29">
        <v>93.5</v>
      </c>
      <c r="H44" s="14">
        <f>IF(ISNUMBER(G44), (G44 - $B44) / $B44, "")</f>
        <v>9.7192224622030862E-3</v>
      </c>
      <c r="I44" s="100">
        <f>IF(ISNUMBER(G44), $B64 * H44, "")</f>
        <v>971.92224622030858</v>
      </c>
      <c r="J44" s="13">
        <v>94.4</v>
      </c>
      <c r="K44" s="14">
        <f>IF(ISNUMBER(J44), (J44 - $B44) / $B44, "")</f>
        <v>1.9438444924406172E-2</v>
      </c>
      <c r="L44" s="16">
        <f>IF(ISNUMBER(J44), $B64 * K44, "")</f>
        <v>1943.8444924406172</v>
      </c>
      <c r="M44" s="29">
        <v>95.4</v>
      </c>
      <c r="N44" s="14">
        <f>IF(ISNUMBER(M44), (M44 - $B44) / $B44, "")</f>
        <v>3.0237580993520644E-2</v>
      </c>
      <c r="O44" s="16">
        <f>IF(ISNUMBER(M44), $B64 * N44, "")</f>
        <v>3023.7580993520646</v>
      </c>
      <c r="Q44" s="248"/>
      <c r="R44" s="248"/>
      <c r="S44" s="248"/>
    </row>
    <row r="45" spans="1:19" ht="17.25" customHeight="1" thickBot="1">
      <c r="A45" s="125" t="s">
        <v>98</v>
      </c>
      <c r="B45" s="126">
        <v>3.3</v>
      </c>
      <c r="C45" s="77">
        <v>-3.021148E-3</v>
      </c>
      <c r="D45" s="15">
        <v>3.3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3.36</v>
      </c>
      <c r="H45" s="32">
        <f t="shared" ref="H45:H48" si="15">IF(ISNUMBER(G45), (G45 - $B45) / $B45, "")</f>
        <v>1.8181818181818198E-2</v>
      </c>
      <c r="I45" s="101">
        <f>IF(ISNUMBER(G45), $B64 * H45, "")</f>
        <v>1818.1818181818198</v>
      </c>
      <c r="J45" s="15">
        <v>3.35</v>
      </c>
      <c r="K45" s="32">
        <f t="shared" ref="K45:K48" si="16">IF(ISNUMBER(J45), (J45 - $B45) / $B45, "")</f>
        <v>1.5151515151515233E-2</v>
      </c>
      <c r="L45" s="18">
        <f>IF(ISNUMBER(J45), $B64 * K45, "")</f>
        <v>1515.1515151515234</v>
      </c>
      <c r="M45" s="31">
        <v>3.35</v>
      </c>
      <c r="N45" s="32">
        <f t="shared" ref="N45:N48" si="17">IF(ISNUMBER(M45), (M45 - $B45) / $B45, "")</f>
        <v>1.5151515151515233E-2</v>
      </c>
      <c r="O45" s="18">
        <f>IF(ISNUMBER(M45), $B64 * N45, "")</f>
        <v>1515.1515151515234</v>
      </c>
      <c r="Q45" s="248"/>
      <c r="R45" s="248"/>
      <c r="S45" s="248"/>
    </row>
    <row r="46" spans="1:19" ht="17.25" customHeight="1" thickBot="1">
      <c r="A46" s="125" t="s">
        <v>162</v>
      </c>
      <c r="B46" s="126">
        <v>94.1</v>
      </c>
      <c r="C46" s="77">
        <v>-3.1779661E-3</v>
      </c>
      <c r="D46" s="15">
        <v>94.1</v>
      </c>
      <c r="E46" s="32">
        <f t="shared" si="14"/>
        <v>0</v>
      </c>
      <c r="F46" s="18">
        <f>IF(ISNUMBER(D46), $B64 * E46, "")</f>
        <v>0</v>
      </c>
      <c r="G46" s="31">
        <v>94.9</v>
      </c>
      <c r="H46" s="32">
        <f t="shared" si="15"/>
        <v>8.5015940488842867E-3</v>
      </c>
      <c r="I46" s="101">
        <f>IF(ISNUMBER(G46), $B64 * H46, "")</f>
        <v>850.15940488842864</v>
      </c>
      <c r="J46" s="15">
        <v>94.4</v>
      </c>
      <c r="K46" s="32">
        <f t="shared" si="16"/>
        <v>3.188097768331683E-3</v>
      </c>
      <c r="L46" s="18">
        <f>IF(ISNUMBER(J46), $B64 * K46, "")</f>
        <v>318.80977683316831</v>
      </c>
      <c r="M46" s="31">
        <v>94.8</v>
      </c>
      <c r="N46" s="32">
        <f t="shared" si="17"/>
        <v>7.4388947927736754E-3</v>
      </c>
      <c r="O46" s="18">
        <f>IF(ISNUMBER(M46), $B64 * N46, "")</f>
        <v>743.88947927736751</v>
      </c>
      <c r="Q46" s="238"/>
      <c r="R46" s="238"/>
      <c r="S46" s="238"/>
    </row>
    <row r="47" spans="1:19" ht="17.25" customHeight="1" thickBot="1">
      <c r="A47" s="125" t="s">
        <v>128</v>
      </c>
      <c r="B47" s="126">
        <v>99.3</v>
      </c>
      <c r="C47" s="77">
        <v>-5.0100199999999996E-3</v>
      </c>
      <c r="D47" s="15">
        <v>99.3</v>
      </c>
      <c r="E47" s="32">
        <f t="shared" si="14"/>
        <v>0</v>
      </c>
      <c r="F47" s="18">
        <f>IF(ISNUMBER(D47), $B64 * E47, "")</f>
        <v>0</v>
      </c>
      <c r="G47" s="31">
        <v>100</v>
      </c>
      <c r="H47" s="32">
        <f t="shared" si="15"/>
        <v>7.049345417925507E-3</v>
      </c>
      <c r="I47" s="101">
        <f>IF(ISNUMBER(G47), $B64 * H47, "")</f>
        <v>704.9345417925507</v>
      </c>
      <c r="J47" s="15">
        <v>100</v>
      </c>
      <c r="K47" s="32">
        <f t="shared" si="16"/>
        <v>7.049345417925507E-3</v>
      </c>
      <c r="L47" s="18">
        <f>IF(ISNUMBER(J47), $B64 * K47, "")</f>
        <v>704.9345417925507</v>
      </c>
      <c r="M47" s="31">
        <v>101</v>
      </c>
      <c r="N47" s="32">
        <f t="shared" si="17"/>
        <v>1.7119838872104762E-2</v>
      </c>
      <c r="O47" s="18">
        <f>IF(ISNUMBER(M47), $B64 * N47, "")</f>
        <v>1711.9838872104763</v>
      </c>
      <c r="Q47" s="238"/>
      <c r="R47" s="238"/>
      <c r="S47" s="238"/>
    </row>
    <row r="48" spans="1:19" ht="17.25" customHeight="1" thickBot="1">
      <c r="A48" s="127" t="s">
        <v>152</v>
      </c>
      <c r="B48" s="128">
        <v>73.099999999999994</v>
      </c>
      <c r="C48" s="78">
        <v>-5.4421768999999998E-3</v>
      </c>
      <c r="D48" s="20">
        <v>73.099999999999994</v>
      </c>
      <c r="E48" s="21">
        <f t="shared" si="14"/>
        <v>0</v>
      </c>
      <c r="F48" s="22">
        <f>IF(ISNUMBER(D48), $B64 * E48, "")</f>
        <v>0</v>
      </c>
      <c r="G48" s="30">
        <v>74.7</v>
      </c>
      <c r="H48" s="21">
        <f t="shared" si="15"/>
        <v>2.1887824897400938E-2</v>
      </c>
      <c r="I48" s="105">
        <f>IF(ISNUMBER(G48), $B64 * H48, "")</f>
        <v>2188.7824897400938</v>
      </c>
      <c r="J48" s="20">
        <v>74.900000000000006</v>
      </c>
      <c r="K48" s="21">
        <f t="shared" si="16"/>
        <v>2.4623803009576079E-2</v>
      </c>
      <c r="L48" s="22">
        <f>IF(ISNUMBER(J48), $B64 * K48, "")</f>
        <v>2462.3803009576081</v>
      </c>
      <c r="M48" s="30">
        <v>75.3</v>
      </c>
      <c r="N48" s="21">
        <f t="shared" si="17"/>
        <v>3.009575923392617E-2</v>
      </c>
      <c r="O48" s="22">
        <f>IF(ISNUMBER(M48), $B64 * N48, "")</f>
        <v>3009.5759233926169</v>
      </c>
      <c r="Q48" s="238"/>
      <c r="R48" s="238"/>
      <c r="S48" s="238"/>
    </row>
    <row r="49" spans="1:19" ht="17.25" customHeight="1" thickBot="1">
      <c r="A49" s="125" t="s">
        <v>72</v>
      </c>
      <c r="B49" s="129">
        <v>20.8</v>
      </c>
      <c r="C49" s="80">
        <v>-9.5238094999999991E-3</v>
      </c>
      <c r="D49" s="106">
        <v>20.8</v>
      </c>
      <c r="E49" s="107">
        <f>IF(ISNUMBER(D49), (D49 - $B49) / $B49, "")</f>
        <v>0</v>
      </c>
      <c r="F49" s="108">
        <f>IF(ISNUMBER(D49), $B64 * E49, "")</f>
        <v>0</v>
      </c>
      <c r="G49" s="109">
        <v>20.8</v>
      </c>
      <c r="H49" s="107">
        <f>IF(ISNUMBER(G49), (G49 - $B49) / $B49, "")</f>
        <v>0</v>
      </c>
      <c r="I49" s="110">
        <f>IF(ISNUMBER(G49), $B64 * H49, "")</f>
        <v>0</v>
      </c>
      <c r="J49" s="106">
        <v>20.8</v>
      </c>
      <c r="K49" s="107">
        <f>IF(ISNUMBER(J49), (J49 - $B49) / $B49, "")</f>
        <v>0</v>
      </c>
      <c r="L49" s="108">
        <f>IF(ISNUMBER(J49), $B64 * K49, "")</f>
        <v>0</v>
      </c>
      <c r="M49" s="109">
        <v>20.8</v>
      </c>
      <c r="N49" s="107">
        <f>IF(ISNUMBER(M49), (M49 - $B49) / $B49, "")</f>
        <v>0</v>
      </c>
      <c r="O49" s="108">
        <f>IF(ISNUMBER(M49), $B64 * N49, "")</f>
        <v>0</v>
      </c>
      <c r="Q49" s="238"/>
      <c r="R49" s="238"/>
      <c r="S49" s="238"/>
    </row>
    <row r="50" spans="1:19" ht="17.25" customHeight="1" thickBot="1">
      <c r="A50" s="125" t="s">
        <v>148</v>
      </c>
      <c r="B50" s="126">
        <v>18.100000000000001</v>
      </c>
      <c r="C50" s="77">
        <v>-1.09289617E-2</v>
      </c>
      <c r="D50" s="15">
        <v>18.100000000000001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18.399999999999999</v>
      </c>
      <c r="H50" s="32">
        <f t="shared" ref="H50:H53" si="19">IF(ISNUMBER(G50), (G50 - $B50) / $B50, "")</f>
        <v>1.6574585635358959E-2</v>
      </c>
      <c r="I50" s="101">
        <f>IF(ISNUMBER(G50), $B64 * H50, "")</f>
        <v>1657.458563535896</v>
      </c>
      <c r="J50" s="15">
        <v>18.399999999999999</v>
      </c>
      <c r="K50" s="32">
        <f t="shared" ref="K50:K53" si="20">IF(ISNUMBER(J50), (J50 - $B50) / $B50, "")</f>
        <v>1.6574585635358959E-2</v>
      </c>
      <c r="L50" s="18">
        <f>IF(ISNUMBER(J50), $B64 * K50, "")</f>
        <v>1657.458563535896</v>
      </c>
      <c r="M50" s="31">
        <v>18.5</v>
      </c>
      <c r="N50" s="32">
        <f t="shared" ref="N50:N53" si="21">IF(ISNUMBER(M50), (M50 - $B50) / $B50, "")</f>
        <v>2.2099447513812074E-2</v>
      </c>
      <c r="O50" s="18">
        <f>IF(ISNUMBER(M50), $B64 * N50, "")</f>
        <v>2209.9447513812074</v>
      </c>
      <c r="Q50" s="238"/>
      <c r="R50" s="238"/>
      <c r="S50" s="238"/>
    </row>
    <row r="51" spans="1:19" ht="17.25" customHeight="1" thickBot="1">
      <c r="A51" s="125" t="s">
        <v>130</v>
      </c>
      <c r="B51" s="126">
        <v>91.8</v>
      </c>
      <c r="C51" s="77">
        <v>-1.18406889E-2</v>
      </c>
      <c r="D51" s="15">
        <v>91.8</v>
      </c>
      <c r="E51" s="32">
        <f t="shared" si="18"/>
        <v>0</v>
      </c>
      <c r="F51" s="18">
        <f>IF(ISNUMBER(D51), $B64 * E51, "")</f>
        <v>0</v>
      </c>
      <c r="G51" s="31">
        <v>92.8</v>
      </c>
      <c r="H51" s="32">
        <f t="shared" si="19"/>
        <v>1.0893246187363835E-2</v>
      </c>
      <c r="I51" s="101">
        <f>IF(ISNUMBER(G51), $B64 * H51, "")</f>
        <v>1089.3246187363834</v>
      </c>
      <c r="J51" s="15">
        <v>92.5</v>
      </c>
      <c r="K51" s="32">
        <f t="shared" si="20"/>
        <v>7.6252723311547154E-3</v>
      </c>
      <c r="L51" s="18">
        <f>IF(ISNUMBER(J51), $B64 * K51, "")</f>
        <v>762.52723311547152</v>
      </c>
      <c r="M51" s="31">
        <v>92.5</v>
      </c>
      <c r="N51" s="32">
        <f t="shared" si="21"/>
        <v>7.6252723311547154E-3</v>
      </c>
      <c r="O51" s="18">
        <f>IF(ISNUMBER(M51), $B64 * N51, "")</f>
        <v>762.52723311547152</v>
      </c>
      <c r="Q51" s="238"/>
      <c r="R51" s="238"/>
      <c r="S51" s="238"/>
    </row>
    <row r="52" spans="1:19" ht="17.25" customHeight="1" thickBot="1">
      <c r="A52" s="125" t="s">
        <v>65</v>
      </c>
      <c r="B52" s="126">
        <v>29.2</v>
      </c>
      <c r="C52" s="77">
        <v>-1.3513513499999999E-2</v>
      </c>
      <c r="D52" s="15">
        <v>29.2</v>
      </c>
      <c r="E52" s="32">
        <f t="shared" si="18"/>
        <v>0</v>
      </c>
      <c r="F52" s="18">
        <f>IF(ISNUMBER(D52), $B64 * E52, "")</f>
        <v>0</v>
      </c>
      <c r="G52" s="31">
        <v>29.7</v>
      </c>
      <c r="H52" s="32">
        <f t="shared" si="19"/>
        <v>1.7123287671232876E-2</v>
      </c>
      <c r="I52" s="101">
        <f>IF(ISNUMBER(G52), $B64 * H52, "")</f>
        <v>1712.3287671232877</v>
      </c>
      <c r="J52" s="15">
        <v>29.6</v>
      </c>
      <c r="K52" s="32">
        <f t="shared" si="20"/>
        <v>1.3698630136986375E-2</v>
      </c>
      <c r="L52" s="18">
        <f>IF(ISNUMBER(J52), $B64 * K52, "")</f>
        <v>1369.8630136986376</v>
      </c>
      <c r="M52" s="31">
        <v>30</v>
      </c>
      <c r="N52" s="32">
        <f t="shared" si="21"/>
        <v>2.7397260273972629E-2</v>
      </c>
      <c r="O52" s="18">
        <f>IF(ISNUMBER(M52), $B64 * N52, "")</f>
        <v>2739.7260273972629</v>
      </c>
      <c r="Q52" s="33"/>
      <c r="R52" s="33"/>
    </row>
    <row r="53" spans="1:19" ht="17.25" customHeight="1" thickBot="1">
      <c r="A53" s="130" t="s">
        <v>190</v>
      </c>
      <c r="B53" s="131">
        <v>15</v>
      </c>
      <c r="C53" s="79">
        <v>-1.9607843100000001E-2</v>
      </c>
      <c r="D53" s="24">
        <v>15</v>
      </c>
      <c r="E53" s="25">
        <f t="shared" si="18"/>
        <v>0</v>
      </c>
      <c r="F53" s="104">
        <f>IF(ISNUMBER(D53), $B64 * E53, "")</f>
        <v>0</v>
      </c>
      <c r="G53" s="102">
        <v>15.4</v>
      </c>
      <c r="H53" s="25">
        <f t="shared" si="19"/>
        <v>2.6666666666666689E-2</v>
      </c>
      <c r="I53" s="103">
        <f>IF(ISNUMBER(G53), $B64 * H53, "")</f>
        <v>2666.6666666666688</v>
      </c>
      <c r="J53" s="24">
        <v>15.2</v>
      </c>
      <c r="K53" s="25">
        <f t="shared" si="20"/>
        <v>1.3333333333333286E-2</v>
      </c>
      <c r="L53" s="104">
        <f>IF(ISNUMBER(J53), $B64 * K53, "")</f>
        <v>1333.3333333333285</v>
      </c>
      <c r="M53" s="102">
        <v>15.3</v>
      </c>
      <c r="N53" s="25">
        <f t="shared" si="21"/>
        <v>2.0000000000000049E-2</v>
      </c>
      <c r="O53" s="104">
        <f>IF(ISNUMBER(M53), $B64 * N53, "")</f>
        <v>2000.000000000005</v>
      </c>
      <c r="Q53" s="239"/>
      <c r="R53" s="240"/>
      <c r="S53" s="241"/>
    </row>
    <row r="54" spans="1:19" ht="17.25" customHeight="1">
      <c r="A54" s="123" t="s">
        <v>238</v>
      </c>
      <c r="B54" s="124">
        <v>93.4</v>
      </c>
      <c r="C54" s="76">
        <v>-2.0964360599999999E-2</v>
      </c>
      <c r="D54" s="13">
        <v>93.4</v>
      </c>
      <c r="E54" s="14">
        <f>IF(ISNUMBER(D54), (D54 - $B54) / $B54, "")</f>
        <v>0</v>
      </c>
      <c r="F54" s="16">
        <f>IF(ISNUMBER(D54), $B64 * E54, "")</f>
        <v>0</v>
      </c>
      <c r="G54" s="29">
        <v>92.9</v>
      </c>
      <c r="H54" s="14">
        <f>IF(ISNUMBER(G54), (G54 - $B54) / $B54, "")</f>
        <v>-5.3533190578158455E-3</v>
      </c>
      <c r="I54" s="100">
        <f>IF(ISNUMBER(G54), $B64 * H54, "")</f>
        <v>-535.33190578158451</v>
      </c>
      <c r="J54" s="13">
        <v>92.4</v>
      </c>
      <c r="K54" s="14">
        <f>IF(ISNUMBER(J54), (J54 - $B54) / $B54, "")</f>
        <v>-1.0706638115631691E-2</v>
      </c>
      <c r="L54" s="16">
        <f>IF(ISNUMBER(J54), $B64 * K54, "")</f>
        <v>-1070.663811563169</v>
      </c>
      <c r="M54" s="29">
        <v>94</v>
      </c>
      <c r="N54" s="14">
        <f>IF(ISNUMBER(M54), (M54 - $B54) / $B54, "")</f>
        <v>6.4239828693789533E-3</v>
      </c>
      <c r="O54" s="16">
        <f>IF(ISNUMBER(M54), $B64 * N54, "")</f>
        <v>642.39828693789536</v>
      </c>
      <c r="Q54" s="242"/>
      <c r="R54" s="243"/>
      <c r="S54" s="244"/>
    </row>
    <row r="55" spans="1:19" ht="17.25" customHeight="1" thickBot="1">
      <c r="A55" s="125" t="s">
        <v>240</v>
      </c>
      <c r="B55" s="126">
        <v>57.3</v>
      </c>
      <c r="C55" s="77">
        <v>-2.3850085199999999E-2</v>
      </c>
      <c r="D55" s="15">
        <v>57.3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57.1</v>
      </c>
      <c r="H55" s="32">
        <f t="shared" ref="H55:H58" si="23">IF(ISNUMBER(G55), (G55 - $B55) / $B55, "")</f>
        <v>-3.4904013961604844E-3</v>
      </c>
      <c r="I55" s="101">
        <f>IF(ISNUMBER(G55), $B64 * H55, "")</f>
        <v>-349.04013961604846</v>
      </c>
      <c r="J55" s="15">
        <v>57.1</v>
      </c>
      <c r="K55" s="32">
        <f t="shared" ref="K55:K58" si="24">IF(ISNUMBER(J55), (J55 - $B55) / $B55, "")</f>
        <v>-3.4904013961604844E-3</v>
      </c>
      <c r="L55" s="18">
        <f>IF(ISNUMBER(J55), $B64 * K55, "")</f>
        <v>-349.04013961604846</v>
      </c>
      <c r="M55" s="31">
        <v>57.1</v>
      </c>
      <c r="N55" s="32">
        <f t="shared" ref="N55:N58" si="25">IF(ISNUMBER(M55), (M55 - $B55) / $B55, "")</f>
        <v>-3.4904013961604844E-3</v>
      </c>
      <c r="O55" s="18">
        <f>IF(ISNUMBER(M55), $B64 * N55, "")</f>
        <v>-349.04013961604846</v>
      </c>
      <c r="Q55" s="245"/>
      <c r="R55" s="246"/>
      <c r="S55" s="247"/>
    </row>
    <row r="56" spans="1:19" ht="17.25" customHeight="1" thickBot="1">
      <c r="A56" s="125" t="s">
        <v>208</v>
      </c>
      <c r="B56" s="126">
        <v>10.9</v>
      </c>
      <c r="C56" s="77">
        <v>-2.6785714299999999E-2</v>
      </c>
      <c r="D56" s="15">
        <v>10.9</v>
      </c>
      <c r="E56" s="32">
        <f t="shared" si="22"/>
        <v>0</v>
      </c>
      <c r="F56" s="18">
        <f>IF(ISNUMBER(D56), $B64 * E56, "")</f>
        <v>0</v>
      </c>
      <c r="G56" s="31">
        <v>10.9</v>
      </c>
      <c r="H56" s="32">
        <f t="shared" si="23"/>
        <v>0</v>
      </c>
      <c r="I56" s="101">
        <f>IF(ISNUMBER(G56), $B64 * H56, "")</f>
        <v>0</v>
      </c>
      <c r="J56" s="15">
        <v>10.8</v>
      </c>
      <c r="K56" s="32">
        <f t="shared" si="24"/>
        <v>-9.1743119266054721E-3</v>
      </c>
      <c r="L56" s="18">
        <f>IF(ISNUMBER(J56), $B64 * K56, "")</f>
        <v>-917.43119266054725</v>
      </c>
      <c r="M56" s="31">
        <v>10.9</v>
      </c>
      <c r="N56" s="32">
        <f t="shared" si="25"/>
        <v>0</v>
      </c>
      <c r="O56" s="18">
        <f>IF(ISNUMBER(M56), $B64 * N56, "")</f>
        <v>0</v>
      </c>
      <c r="Q56" s="238"/>
      <c r="R56" s="238"/>
      <c r="S56" s="238"/>
    </row>
    <row r="57" spans="1:19" ht="17.25" customHeight="1" thickBot="1">
      <c r="A57" s="125" t="s">
        <v>250</v>
      </c>
      <c r="B57" s="126">
        <v>59.2</v>
      </c>
      <c r="C57" s="77">
        <v>-2.9508196699999999E-2</v>
      </c>
      <c r="D57" s="15">
        <v>59.2</v>
      </c>
      <c r="E57" s="32">
        <f t="shared" si="22"/>
        <v>0</v>
      </c>
      <c r="F57" s="18">
        <f>IF(ISNUMBER(D57), $B64 * E57, "")</f>
        <v>0</v>
      </c>
      <c r="G57" s="31">
        <v>60.4</v>
      </c>
      <c r="H57" s="32">
        <f t="shared" si="23"/>
        <v>2.0270270270270199E-2</v>
      </c>
      <c r="I57" s="101">
        <f>IF(ISNUMBER(G57), $B64 * H57, "")</f>
        <v>2027.0270270270198</v>
      </c>
      <c r="J57" s="15">
        <v>60.3</v>
      </c>
      <c r="K57" s="32">
        <f t="shared" si="24"/>
        <v>1.8581081081080985E-2</v>
      </c>
      <c r="L57" s="18">
        <f>IF(ISNUMBER(J57), $B64 * K57, "")</f>
        <v>1858.1081081080986</v>
      </c>
      <c r="M57" s="31">
        <v>60.8</v>
      </c>
      <c r="N57" s="32">
        <f t="shared" si="25"/>
        <v>2.7027027027026931E-2</v>
      </c>
      <c r="O57" s="18">
        <f>IF(ISNUMBER(M57), $B64 * N57, "")</f>
        <v>2702.7027027026929</v>
      </c>
      <c r="Q57" s="248"/>
      <c r="R57" s="248"/>
      <c r="S57" s="248"/>
    </row>
    <row r="58" spans="1:19" ht="17.25" customHeight="1" thickBot="1">
      <c r="A58" s="127" t="s">
        <v>216</v>
      </c>
      <c r="B58" s="128">
        <v>9.1</v>
      </c>
      <c r="C58" s="78">
        <v>-3.2943676900000003E-2</v>
      </c>
      <c r="D58" s="20">
        <v>9.1</v>
      </c>
      <c r="E58" s="21">
        <f t="shared" si="22"/>
        <v>0</v>
      </c>
      <c r="F58" s="22">
        <f>IF(ISNUMBER(D58), $B64 * E58, "")</f>
        <v>0</v>
      </c>
      <c r="G58" s="30">
        <v>9.1999999999999993</v>
      </c>
      <c r="H58" s="21">
        <f t="shared" si="23"/>
        <v>1.098901098901095E-2</v>
      </c>
      <c r="I58" s="105">
        <f>IF(ISNUMBER(G58), $B64 * H58, "")</f>
        <v>1098.9010989010949</v>
      </c>
      <c r="J58" s="20">
        <v>9.1999999999999993</v>
      </c>
      <c r="K58" s="21">
        <f t="shared" si="24"/>
        <v>1.098901098901095E-2</v>
      </c>
      <c r="L58" s="22">
        <f>IF(ISNUMBER(J58), $B64 * K58, "")</f>
        <v>1098.9010989010949</v>
      </c>
      <c r="M58" s="30">
        <v>9.19</v>
      </c>
      <c r="N58" s="21">
        <f t="shared" si="25"/>
        <v>9.8901098901098741E-3</v>
      </c>
      <c r="O58" s="22">
        <f>IF(ISNUMBER(M58), $B64 * N58, "")</f>
        <v>989.01098901098737</v>
      </c>
      <c r="Q58" s="248"/>
      <c r="R58" s="248"/>
      <c r="S58" s="248"/>
    </row>
    <row r="59" spans="1:19" ht="17.25" customHeight="1" thickBot="1">
      <c r="A59" s="125" t="s">
        <v>122</v>
      </c>
      <c r="B59" s="129">
        <v>24.9</v>
      </c>
      <c r="C59" s="80">
        <v>-3.4883720899999998E-2</v>
      </c>
      <c r="D59" s="106">
        <v>24.9</v>
      </c>
      <c r="E59" s="107">
        <f>IF(ISNUMBER(D59), (D59 - $B59) / $B59, "")</f>
        <v>0</v>
      </c>
      <c r="F59" s="108">
        <f>IF(ISNUMBER(D59), $B64 * E59, "")</f>
        <v>0</v>
      </c>
      <c r="G59" s="109">
        <v>25.2</v>
      </c>
      <c r="H59" s="107">
        <f>IF(ISNUMBER(G59), (G59 - $B59) / $B59, "")</f>
        <v>1.2048192771084366E-2</v>
      </c>
      <c r="I59" s="110">
        <f>IF(ISNUMBER(G59), $B64 * H59, "")</f>
        <v>1204.8192771084366</v>
      </c>
      <c r="J59" s="106">
        <v>25.1</v>
      </c>
      <c r="K59" s="107">
        <f>IF(ISNUMBER(J59), (J59 - $B59) / $B59, "")</f>
        <v>8.0321285140563387E-3</v>
      </c>
      <c r="L59" s="108">
        <f>IF(ISNUMBER(J59), $B64 * K59, "")</f>
        <v>803.21285140563384</v>
      </c>
      <c r="M59" s="109">
        <v>25.4</v>
      </c>
      <c r="N59" s="107">
        <f>IF(ISNUMBER(M59), (M59 - $B59) / $B59, "")</f>
        <v>2.0080321285140562E-2</v>
      </c>
      <c r="O59" s="108">
        <f>IF(ISNUMBER(M59), $B64 * N59, "")</f>
        <v>2008.0321285140562</v>
      </c>
      <c r="Q59" s="238"/>
      <c r="R59" s="238"/>
      <c r="S59" s="238"/>
    </row>
    <row r="60" spans="1:19" ht="17.25" customHeight="1" thickBot="1">
      <c r="A60" s="125" t="s">
        <v>210</v>
      </c>
      <c r="B60" s="126">
        <v>10.4</v>
      </c>
      <c r="C60" s="77">
        <v>-3.7037037000000002E-2</v>
      </c>
      <c r="D60" s="15">
        <v>10.4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10.4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10.3</v>
      </c>
      <c r="K60" s="32">
        <f t="shared" ref="K60:K63" si="28">IF(ISNUMBER(J60), (J60 - $B60) / $B60, "")</f>
        <v>-9.6153846153845812E-3</v>
      </c>
      <c r="L60" s="18">
        <f>IF(ISNUMBER(J60), $B64 * K60, "")</f>
        <v>-961.53846153845814</v>
      </c>
      <c r="M60" s="31">
        <v>10.5</v>
      </c>
      <c r="N60" s="32">
        <f t="shared" ref="N60:N63" si="29">IF(ISNUMBER(M60), (M60 - $B60) / $B60, "")</f>
        <v>9.6153846153845812E-3</v>
      </c>
      <c r="O60" s="18">
        <f>IF(ISNUMBER(M60), $B64 * N60, "")</f>
        <v>961.53846153845814</v>
      </c>
      <c r="Q60" s="238"/>
      <c r="R60" s="238"/>
      <c r="S60" s="238"/>
    </row>
    <row r="61" spans="1:19" ht="17.25" customHeight="1" thickBot="1">
      <c r="A61" s="125" t="s">
        <v>178</v>
      </c>
      <c r="B61" s="126">
        <v>14.9</v>
      </c>
      <c r="C61" s="77">
        <v>-3.8709677400000003E-2</v>
      </c>
      <c r="D61" s="15">
        <v>14.9</v>
      </c>
      <c r="E61" s="32">
        <f t="shared" si="26"/>
        <v>0</v>
      </c>
      <c r="F61" s="18">
        <f>IF(ISNUMBER(D61), $B64 * E61, "")</f>
        <v>0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14.8</v>
      </c>
      <c r="K61" s="32">
        <f t="shared" si="28"/>
        <v>-6.7114093959731299E-3</v>
      </c>
      <c r="L61" s="18">
        <f>IF(ISNUMBER(J61), $B64 * K61, "")</f>
        <v>-671.14093959731304</v>
      </c>
      <c r="M61" s="31">
        <v>15</v>
      </c>
      <c r="N61" s="32">
        <f t="shared" si="29"/>
        <v>6.7114093959731299E-3</v>
      </c>
      <c r="O61" s="18">
        <f>IF(ISNUMBER(M61), $B64 * N61, "")</f>
        <v>671.14093959731304</v>
      </c>
      <c r="Q61" s="238"/>
      <c r="R61" s="238"/>
      <c r="S61" s="238"/>
    </row>
    <row r="62" spans="1:19" ht="17.25" customHeight="1">
      <c r="A62" s="125" t="s">
        <v>204</v>
      </c>
      <c r="B62" s="126">
        <v>12.3</v>
      </c>
      <c r="C62" s="77">
        <v>-3.90625E-2</v>
      </c>
      <c r="D62" s="15">
        <v>12.3</v>
      </c>
      <c r="E62" s="32">
        <f t="shared" si="26"/>
        <v>0</v>
      </c>
      <c r="F62" s="18">
        <f>IF(ISNUMBER(D62), $B64 * E62, "")</f>
        <v>0</v>
      </c>
      <c r="G62" s="31">
        <v>12.7</v>
      </c>
      <c r="H62" s="32">
        <f t="shared" si="27"/>
        <v>3.2520325203251918E-2</v>
      </c>
      <c r="I62" s="101">
        <f>IF(ISNUMBER(G62), $B64 * H62, "")</f>
        <v>3252.0325203251919</v>
      </c>
      <c r="J62" s="15">
        <v>12.6</v>
      </c>
      <c r="K62" s="32">
        <f t="shared" si="28"/>
        <v>2.4390243902438935E-2</v>
      </c>
      <c r="L62" s="18">
        <f>IF(ISNUMBER(J62), $B64 * K62, "")</f>
        <v>2439.0243902438933</v>
      </c>
      <c r="M62" s="31">
        <v>12.6</v>
      </c>
      <c r="N62" s="32">
        <f t="shared" si="29"/>
        <v>2.4390243902438935E-2</v>
      </c>
      <c r="O62" s="18">
        <f>IF(ISNUMBER(M62), $B64 * N62, "")</f>
        <v>2439.0243902438933</v>
      </c>
      <c r="Q62" s="227"/>
      <c r="R62" s="228"/>
      <c r="S62" s="229"/>
    </row>
    <row r="63" spans="1:19" ht="17.25" customHeight="1" thickBot="1">
      <c r="A63" s="130" t="s">
        <v>202</v>
      </c>
      <c r="B63" s="131">
        <v>62.8</v>
      </c>
      <c r="C63" s="79">
        <v>-3.9755351699999997E-2</v>
      </c>
      <c r="D63" s="24">
        <v>62.8</v>
      </c>
      <c r="E63" s="25">
        <f t="shared" si="26"/>
        <v>0</v>
      </c>
      <c r="F63" s="104">
        <f>IF(ISNUMBER(D63), $B64 * E63, "")</f>
        <v>0</v>
      </c>
      <c r="G63" s="102">
        <v>62.7</v>
      </c>
      <c r="H63" s="25">
        <f t="shared" si="27"/>
        <v>-1.5923566878979988E-3</v>
      </c>
      <c r="I63" s="103">
        <f>IF(ISNUMBER(G63), $B64 * H63, "")</f>
        <v>-159.23566878979989</v>
      </c>
      <c r="J63" s="24">
        <v>62.5</v>
      </c>
      <c r="K63" s="25">
        <f t="shared" si="28"/>
        <v>-4.7770700636942222E-3</v>
      </c>
      <c r="L63" s="104">
        <f>IF(ISNUMBER(J63), $B64 * K63, "")</f>
        <v>-477.70700636942223</v>
      </c>
      <c r="M63" s="102">
        <v>62.7</v>
      </c>
      <c r="N63" s="25">
        <f t="shared" si="29"/>
        <v>-1.5923566878979988E-3</v>
      </c>
      <c r="O63" s="104">
        <f>IF(ISNUMBER(M63), $B64 * N63, "")</f>
        <v>-159.23566878979989</v>
      </c>
      <c r="Q63" s="230"/>
      <c r="R63" s="231"/>
      <c r="S63" s="232"/>
    </row>
    <row r="64" spans="1:19" ht="17.25" customHeight="1" thickBot="1">
      <c r="A64" s="132" t="s">
        <v>270</v>
      </c>
      <c r="B64" s="291">
        <f>$B$37</f>
        <v>100000</v>
      </c>
      <c r="C64" s="292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1.0099465663029873E-2</v>
      </c>
      <c r="I64" s="28">
        <f>SUM(I44:I63)</f>
        <v>20198.931326059748</v>
      </c>
      <c r="J64" s="26" t="s">
        <v>271</v>
      </c>
      <c r="K64" s="27">
        <f>IF(COUNT(K44:K63), SUM(K44:K63) / COUNT(K44:K63), 0)</f>
        <v>6.9100138340862814E-3</v>
      </c>
      <c r="L64" s="28">
        <f>SUM(L44:L63)</f>
        <v>13820.027668172563</v>
      </c>
      <c r="M64" s="26" t="s">
        <v>271</v>
      </c>
      <c r="N64" s="27">
        <f>IF(COUNT(N44:N63), SUM(N44:N63) / COUNT(N44:N63), 0)</f>
        <v>1.3811064503208723E-2</v>
      </c>
      <c r="O64" s="28">
        <f>SUM(O44:O63)</f>
        <v>27622.129006417443</v>
      </c>
      <c r="Q64" s="233"/>
      <c r="R64" s="234"/>
      <c r="S64" s="23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48"/>
      <c r="R67" s="248"/>
      <c r="S67" s="248"/>
    </row>
    <row r="68" spans="1:19" ht="17.25" thickBot="1">
      <c r="A68" s="161" t="s">
        <v>267</v>
      </c>
      <c r="B68" s="249" t="s">
        <v>49</v>
      </c>
      <c r="C68" s="251"/>
      <c r="D68" s="249" t="s">
        <v>58</v>
      </c>
      <c r="E68" s="250"/>
      <c r="F68" s="251"/>
      <c r="G68" s="252">
        <f>_xlfn.IFNA(VLOOKUP(B68, 현재가테이블!$B$2:$D$200, 2, FALSE), "-")</f>
        <v>54440000</v>
      </c>
      <c r="H68" s="253"/>
      <c r="I68" s="254"/>
      <c r="J68" s="249" t="s">
        <v>59</v>
      </c>
      <c r="K68" s="250"/>
      <c r="L68" s="251"/>
      <c r="M68" s="255">
        <f>_xlfn.IFNA(VLOOKUP(B68, 현재가테이블!$B$2:$D$200, 3, FALSE), "-")</f>
        <v>1.07123628E-2</v>
      </c>
      <c r="N68" s="256"/>
      <c r="O68" s="257"/>
      <c r="Q68" s="248"/>
      <c r="R68" s="248"/>
      <c r="S68" s="248"/>
    </row>
    <row r="69" spans="1:19" ht="17.25" thickBot="1">
      <c r="A69" s="293" t="s">
        <v>55</v>
      </c>
      <c r="B69" s="289" t="str">
        <f>TEXT($G$1, "[$-ko-KR]yyyy-mm-dd(ddd) ") &amp; "오전 00:00"</f>
        <v>2021-08-02(월) 오전 00:00</v>
      </c>
      <c r="C69" s="290"/>
      <c r="D69" s="262" t="str">
        <f>TEXT($G$1, "[$-ko-KR]yyyy-mm-dd(ddd) ") &amp; "오후 14:00"</f>
        <v>2021-08-02(월) 오후 14:00</v>
      </c>
      <c r="E69" s="263"/>
      <c r="F69" s="264"/>
      <c r="G69" s="262" t="str">
        <f>TEXT($G$1, "[$-ko-KR]yyyy-mm-dd(ddd) ") &amp; "오후 19:00"</f>
        <v>2021-08-02(월) 오후 19:00</v>
      </c>
      <c r="H69" s="263"/>
      <c r="I69" s="264"/>
      <c r="J69" s="262" t="str">
        <f>TEXT($G$1, "[$-ko-KR]yyyy-mm-dd(ddd) ") &amp; "오후 21:00"</f>
        <v>2021-08-02(월) 오후 21:00</v>
      </c>
      <c r="K69" s="263"/>
      <c r="L69" s="264"/>
      <c r="M69" s="262" t="str">
        <f>TEXT($G$1+1, "[$-ko-KR]yyyy-mm-dd(ddd) ") &amp; "오전 00:00"</f>
        <v>2021-08-03(화) 오전 00:00</v>
      </c>
      <c r="N69" s="263"/>
      <c r="O69" s="264"/>
      <c r="Q69" s="248"/>
      <c r="R69" s="248"/>
      <c r="S69" s="248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8"/>
      <c r="R70" s="238"/>
      <c r="S70" s="238"/>
    </row>
    <row r="71" spans="1:19" ht="17.25" thickBot="1">
      <c r="A71" s="123" t="s">
        <v>232</v>
      </c>
      <c r="B71" s="124">
        <v>491</v>
      </c>
      <c r="C71" s="76">
        <v>9.1111111100000003E-2</v>
      </c>
      <c r="D71" s="13">
        <v>491</v>
      </c>
      <c r="E71" s="14">
        <f>IF(ISNUMBER(D71), (D71 - $B71) / $B71, "")</f>
        <v>0</v>
      </c>
      <c r="F71" s="16">
        <f>IF(ISNUMBER(D71), $B91 * E71, "")</f>
        <v>0</v>
      </c>
      <c r="G71" s="29">
        <v>489</v>
      </c>
      <c r="H71" s="14">
        <f>IF(ISNUMBER(G71), (G71 - $B71) / $B71, "")</f>
        <v>-4.0733197556008143E-3</v>
      </c>
      <c r="I71" s="100">
        <f>IF(ISNUMBER(G71), $B91 * H71, "")</f>
        <v>-407.33197556008145</v>
      </c>
      <c r="J71" s="13">
        <v>471</v>
      </c>
      <c r="K71" s="14">
        <f>IF(ISNUMBER(J71), (J71 - $B71) / $B71, "")</f>
        <v>-4.0733197556008148E-2</v>
      </c>
      <c r="L71" s="16">
        <f>IF(ISNUMBER(J71), $B91 * K71, "")</f>
        <v>-4073.3197556008149</v>
      </c>
      <c r="M71" s="29">
        <v>467</v>
      </c>
      <c r="N71" s="14">
        <f>IF(ISNUMBER(M71), (M71 - $B71) / $B71, "")</f>
        <v>-4.8879837067209775E-2</v>
      </c>
      <c r="O71" s="16">
        <f>IF(ISNUMBER(M71), $B91 * N71, "")</f>
        <v>-4887.9837067209774</v>
      </c>
      <c r="Q71" s="248"/>
      <c r="R71" s="248"/>
      <c r="S71" s="248"/>
    </row>
    <row r="72" spans="1:19" ht="17.25" thickBot="1">
      <c r="A72" s="125" t="s">
        <v>114</v>
      </c>
      <c r="B72" s="126">
        <v>723</v>
      </c>
      <c r="C72" s="77">
        <v>5.7017543900000002E-2</v>
      </c>
      <c r="D72" s="15">
        <v>723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714</v>
      </c>
      <c r="H72" s="32">
        <f t="shared" ref="H72:H75" si="31">IF(ISNUMBER(G72), (G72 - $B72) / $B72, "")</f>
        <v>-1.2448132780082987E-2</v>
      </c>
      <c r="I72" s="101">
        <f>IF(ISNUMBER(G72), $B91 * H72, "")</f>
        <v>-1244.8132780082988</v>
      </c>
      <c r="J72" s="15">
        <v>711</v>
      </c>
      <c r="K72" s="32">
        <f t="shared" ref="K72:K75" si="32">IF(ISNUMBER(J72), (J72 - $B72) / $B72, "")</f>
        <v>-1.6597510373443983E-2</v>
      </c>
      <c r="L72" s="18">
        <f>IF(ISNUMBER(J72), $B91 * K72, "")</f>
        <v>-1659.7510373443984</v>
      </c>
      <c r="M72" s="31">
        <v>709</v>
      </c>
      <c r="N72" s="32">
        <f t="shared" ref="N72:N75" si="33">IF(ISNUMBER(M72), (M72 - $B72) / $B72, "")</f>
        <v>-1.9363762102351315E-2</v>
      </c>
      <c r="O72" s="18">
        <f>IF(ISNUMBER(M72), $B91 * N72, "")</f>
        <v>-1936.3762102351316</v>
      </c>
      <c r="Q72" s="248"/>
      <c r="R72" s="248"/>
      <c r="S72" s="248"/>
    </row>
    <row r="73" spans="1:19" ht="17.25" thickBot="1">
      <c r="A73" s="125" t="s">
        <v>164</v>
      </c>
      <c r="B73" s="126">
        <v>319</v>
      </c>
      <c r="C73" s="77">
        <v>2.57234727E-2</v>
      </c>
      <c r="D73" s="15">
        <v>319</v>
      </c>
      <c r="E73" s="32">
        <f t="shared" si="30"/>
        <v>0</v>
      </c>
      <c r="F73" s="18">
        <f>IF(ISNUMBER(D73), $B91 * E73, "")</f>
        <v>0</v>
      </c>
      <c r="G73" s="31">
        <v>305</v>
      </c>
      <c r="H73" s="32">
        <f t="shared" si="31"/>
        <v>-4.3887147335423198E-2</v>
      </c>
      <c r="I73" s="101">
        <f>IF(ISNUMBER(G73), $B91 * H73, "")</f>
        <v>-4388.7147335423197</v>
      </c>
      <c r="J73" s="15">
        <v>302</v>
      </c>
      <c r="K73" s="32">
        <f t="shared" si="32"/>
        <v>-5.329153605015674E-2</v>
      </c>
      <c r="L73" s="18">
        <f>IF(ISNUMBER(J73), $B91 * K73, "")</f>
        <v>-5329.1536050156737</v>
      </c>
      <c r="M73" s="31">
        <v>302</v>
      </c>
      <c r="N73" s="32">
        <f t="shared" si="33"/>
        <v>-5.329153605015674E-2</v>
      </c>
      <c r="O73" s="18">
        <f>IF(ISNUMBER(M73), $B91 * N73, "")</f>
        <v>-5329.1536050156737</v>
      </c>
      <c r="Q73" s="238"/>
      <c r="R73" s="238"/>
      <c r="S73" s="238"/>
    </row>
    <row r="74" spans="1:19" ht="17.25" thickBot="1">
      <c r="A74" s="125" t="s">
        <v>90</v>
      </c>
      <c r="B74" s="126">
        <v>848</v>
      </c>
      <c r="C74" s="77">
        <v>8.3234244999999991E-3</v>
      </c>
      <c r="D74" s="15">
        <v>848</v>
      </c>
      <c r="E74" s="32">
        <f t="shared" si="30"/>
        <v>0</v>
      </c>
      <c r="F74" s="18">
        <f>IF(ISNUMBER(D74), $B91 * E74, "")</f>
        <v>0</v>
      </c>
      <c r="G74" s="31">
        <v>870</v>
      </c>
      <c r="H74" s="32">
        <f t="shared" si="31"/>
        <v>2.5943396226415096E-2</v>
      </c>
      <c r="I74" s="101">
        <f>IF(ISNUMBER(G74), $B91 * H74, "")</f>
        <v>2594.3396226415098</v>
      </c>
      <c r="J74" s="15">
        <v>867</v>
      </c>
      <c r="K74" s="32">
        <f t="shared" si="32"/>
        <v>2.2405660377358489E-2</v>
      </c>
      <c r="L74" s="18">
        <f>IF(ISNUMBER(J74), $B91 * K74, "")</f>
        <v>2240.566037735849</v>
      </c>
      <c r="M74" s="31">
        <v>872</v>
      </c>
      <c r="N74" s="32">
        <f t="shared" si="33"/>
        <v>2.8301886792452831E-2</v>
      </c>
      <c r="O74" s="18">
        <f>IF(ISNUMBER(M74), $B91 * N74, "")</f>
        <v>2830.1886792452833</v>
      </c>
      <c r="Q74" s="238"/>
      <c r="R74" s="238"/>
      <c r="S74" s="238"/>
    </row>
    <row r="75" spans="1:19" ht="17.25" thickBot="1">
      <c r="A75" s="127" t="s">
        <v>86</v>
      </c>
      <c r="B75" s="128">
        <v>305</v>
      </c>
      <c r="C75" s="78">
        <v>6.6006601E-3</v>
      </c>
      <c r="D75" s="20">
        <v>305</v>
      </c>
      <c r="E75" s="21">
        <f t="shared" si="30"/>
        <v>0</v>
      </c>
      <c r="F75" s="22">
        <f>IF(ISNUMBER(D75), $B91 * E75, "")</f>
        <v>0</v>
      </c>
      <c r="G75" s="30">
        <v>307</v>
      </c>
      <c r="H75" s="21">
        <f t="shared" si="31"/>
        <v>6.5573770491803279E-3</v>
      </c>
      <c r="I75" s="105">
        <f>IF(ISNUMBER(G75), $B91 * H75, "")</f>
        <v>655.73770491803282</v>
      </c>
      <c r="J75" s="20">
        <v>305</v>
      </c>
      <c r="K75" s="21">
        <f t="shared" si="32"/>
        <v>0</v>
      </c>
      <c r="L75" s="22">
        <f>IF(ISNUMBER(J75), $B91 * K75, "")</f>
        <v>0</v>
      </c>
      <c r="M75" s="30">
        <v>307</v>
      </c>
      <c r="N75" s="21">
        <f t="shared" si="33"/>
        <v>6.5573770491803279E-3</v>
      </c>
      <c r="O75" s="22">
        <f>IF(ISNUMBER(M75), $B91 * N75, "")</f>
        <v>655.73770491803282</v>
      </c>
      <c r="Q75" s="238"/>
      <c r="R75" s="238"/>
      <c r="S75" s="238"/>
    </row>
    <row r="76" spans="1:19" ht="17.25" thickBot="1">
      <c r="A76" s="125" t="s">
        <v>266</v>
      </c>
      <c r="B76" s="129">
        <v>237</v>
      </c>
      <c r="C76" s="80">
        <v>4.2372881000000001E-3</v>
      </c>
      <c r="D76" s="106">
        <v>237</v>
      </c>
      <c r="E76" s="107">
        <f>IF(ISNUMBER(D76), (D76 - $B76) / $B76, "")</f>
        <v>0</v>
      </c>
      <c r="F76" s="108">
        <f>IF(ISNUMBER(D76), $B91 * E76, "")</f>
        <v>0</v>
      </c>
      <c r="G76" s="109">
        <v>239</v>
      </c>
      <c r="H76" s="107">
        <f>IF(ISNUMBER(G76), (G76 - $B76) / $B76, "")</f>
        <v>8.4388185654008432E-3</v>
      </c>
      <c r="I76" s="110">
        <f>IF(ISNUMBER(G76), $B91 * H76, "")</f>
        <v>843.8818565400843</v>
      </c>
      <c r="J76" s="106">
        <v>238</v>
      </c>
      <c r="K76" s="107">
        <f>IF(ISNUMBER(J76), (J76 - $B76) / $B76, "")</f>
        <v>4.2194092827004216E-3</v>
      </c>
      <c r="L76" s="108">
        <f>IF(ISNUMBER(J76), $B91 * K76, "")</f>
        <v>421.94092827004215</v>
      </c>
      <c r="M76" s="109">
        <v>237</v>
      </c>
      <c r="N76" s="107">
        <f>IF(ISNUMBER(M76), (M76 - $B76) / $B76, "")</f>
        <v>0</v>
      </c>
      <c r="O76" s="108">
        <f>IF(ISNUMBER(M76), $B91 * N76, "")</f>
        <v>0</v>
      </c>
      <c r="Q76" s="238"/>
      <c r="R76" s="238"/>
      <c r="S76" s="238"/>
    </row>
    <row r="77" spans="1:19" ht="17.25" thickBot="1">
      <c r="A77" s="125" t="s">
        <v>54</v>
      </c>
      <c r="B77" s="126">
        <v>239</v>
      </c>
      <c r="C77" s="77">
        <v>4.2016807E-3</v>
      </c>
      <c r="D77" s="15">
        <v>239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242</v>
      </c>
      <c r="H77" s="32">
        <f t="shared" ref="H77:H80" si="35">IF(ISNUMBER(G77), (G77 - $B77) / $B77, "")</f>
        <v>1.2552301255230125E-2</v>
      </c>
      <c r="I77" s="101">
        <f>IF(ISNUMBER(G77), $B91 * H77, "")</f>
        <v>1255.2301255230125</v>
      </c>
      <c r="J77" s="15">
        <v>242</v>
      </c>
      <c r="K77" s="32">
        <f t="shared" ref="K77:K80" si="36">IF(ISNUMBER(J77), (J77 - $B77) / $B77, "")</f>
        <v>1.2552301255230125E-2</v>
      </c>
      <c r="L77" s="18">
        <f>IF(ISNUMBER(J77), $B91 * K77, "")</f>
        <v>1255.2301255230125</v>
      </c>
      <c r="M77" s="31">
        <v>243</v>
      </c>
      <c r="N77" s="32">
        <f t="shared" ref="N77:N80" si="37">IF(ISNUMBER(M77), (M77 - $B77) / $B77, "")</f>
        <v>1.6736401673640166E-2</v>
      </c>
      <c r="O77" s="18">
        <f>IF(ISNUMBER(M77), $B91 * N77, "")</f>
        <v>1673.6401673640166</v>
      </c>
      <c r="Q77" s="238"/>
      <c r="R77" s="238"/>
      <c r="S77" s="238"/>
    </row>
    <row r="78" spans="1:19" ht="17.25" thickBot="1">
      <c r="A78" s="125" t="s">
        <v>61</v>
      </c>
      <c r="B78" s="126">
        <v>795</v>
      </c>
      <c r="C78" s="77">
        <v>2.5220681000000002E-3</v>
      </c>
      <c r="D78" s="15">
        <v>795</v>
      </c>
      <c r="E78" s="32">
        <f t="shared" si="34"/>
        <v>0</v>
      </c>
      <c r="F78" s="18">
        <f>IF(ISNUMBER(D78), $B91 * E78, "")</f>
        <v>0</v>
      </c>
      <c r="G78" s="31">
        <v>802</v>
      </c>
      <c r="H78" s="32">
        <f t="shared" si="35"/>
        <v>8.8050314465408803E-3</v>
      </c>
      <c r="I78" s="101">
        <f>IF(ISNUMBER(G78), $B91 * H78, "")</f>
        <v>880.50314465408803</v>
      </c>
      <c r="J78" s="15">
        <v>801</v>
      </c>
      <c r="K78" s="32">
        <f t="shared" si="36"/>
        <v>7.5471698113207548E-3</v>
      </c>
      <c r="L78" s="18">
        <f>IF(ISNUMBER(J78), $B91 * K78, "")</f>
        <v>754.71698113207549</v>
      </c>
      <c r="M78" s="31">
        <v>803</v>
      </c>
      <c r="N78" s="32">
        <f t="shared" si="37"/>
        <v>1.0062893081761006E-2</v>
      </c>
      <c r="O78" s="18">
        <f>IF(ISNUMBER(M78), $B91 * N78, "")</f>
        <v>1006.2893081761006</v>
      </c>
      <c r="Q78" s="238"/>
      <c r="R78" s="238"/>
      <c r="S78" s="238"/>
    </row>
    <row r="79" spans="1:19" ht="17.25" thickBot="1">
      <c r="A79" s="125" t="s">
        <v>51</v>
      </c>
      <c r="B79" s="126">
        <v>319</v>
      </c>
      <c r="C79" s="77">
        <v>0</v>
      </c>
      <c r="D79" s="15">
        <v>319</v>
      </c>
      <c r="E79" s="32">
        <f t="shared" si="34"/>
        <v>0</v>
      </c>
      <c r="F79" s="18">
        <f>IF(ISNUMBER(D79), $B91 * E79, "")</f>
        <v>0</v>
      </c>
      <c r="G79" s="31">
        <v>324</v>
      </c>
      <c r="H79" s="32">
        <f t="shared" si="35"/>
        <v>1.5673981191222569E-2</v>
      </c>
      <c r="I79" s="101">
        <f>IF(ISNUMBER(G79), $B91 * H79, "")</f>
        <v>1567.398119122257</v>
      </c>
      <c r="J79" s="15">
        <v>324</v>
      </c>
      <c r="K79" s="32">
        <f t="shared" si="36"/>
        <v>1.5673981191222569E-2</v>
      </c>
      <c r="L79" s="18">
        <f>IF(ISNUMBER(J79), $B91 * K79, "")</f>
        <v>1567.398119122257</v>
      </c>
      <c r="M79" s="31">
        <v>327</v>
      </c>
      <c r="N79" s="32">
        <f t="shared" si="37"/>
        <v>2.5078369905956112E-2</v>
      </c>
      <c r="O79" s="18">
        <f>IF(ISNUMBER(M79), $B91 * N79, "")</f>
        <v>2507.836990595611</v>
      </c>
      <c r="Q79" s="33"/>
      <c r="R79" s="33"/>
    </row>
    <row r="80" spans="1:19" ht="17.25" thickBot="1">
      <c r="A80" s="130" t="s">
        <v>57</v>
      </c>
      <c r="B80" s="131">
        <v>196</v>
      </c>
      <c r="C80" s="79">
        <v>-5.0761421000000001E-3</v>
      </c>
      <c r="D80" s="24">
        <v>196</v>
      </c>
      <c r="E80" s="25">
        <f t="shared" si="34"/>
        <v>0</v>
      </c>
      <c r="F80" s="104">
        <f>IF(ISNUMBER(D80), $B91 * E80, "")</f>
        <v>0</v>
      </c>
      <c r="G80" s="102">
        <v>196</v>
      </c>
      <c r="H80" s="25">
        <f t="shared" si="35"/>
        <v>0</v>
      </c>
      <c r="I80" s="103">
        <f>IF(ISNUMBER(G80), $B91 * H80, "")</f>
        <v>0</v>
      </c>
      <c r="J80" s="24">
        <v>196</v>
      </c>
      <c r="K80" s="25">
        <f t="shared" si="36"/>
        <v>0</v>
      </c>
      <c r="L80" s="104">
        <f>IF(ISNUMBER(J80), $B91 * K80, "")</f>
        <v>0</v>
      </c>
      <c r="M80" s="102">
        <v>198</v>
      </c>
      <c r="N80" s="25">
        <f t="shared" si="37"/>
        <v>1.020408163265306E-2</v>
      </c>
      <c r="O80" s="104">
        <f>IF(ISNUMBER(M80), $B91 * N80, "")</f>
        <v>1020.408163265306</v>
      </c>
      <c r="Q80" s="239"/>
      <c r="R80" s="240"/>
      <c r="S80" s="241"/>
    </row>
    <row r="81" spans="1:19">
      <c r="A81" s="123" t="s">
        <v>166</v>
      </c>
      <c r="B81" s="124">
        <v>157</v>
      </c>
      <c r="C81" s="76">
        <v>-6.3291138999999998E-3</v>
      </c>
      <c r="D81" s="13">
        <v>157</v>
      </c>
      <c r="E81" s="14">
        <f>IF(ISNUMBER(D81), (D81 - $B81) / $B81, "")</f>
        <v>0</v>
      </c>
      <c r="F81" s="16">
        <f>IF(ISNUMBER(D81), $B91 * E81, "")</f>
        <v>0</v>
      </c>
      <c r="G81" s="29">
        <v>156</v>
      </c>
      <c r="H81" s="14">
        <f>IF(ISNUMBER(G81), (G81 - $B81) / $B81, "")</f>
        <v>-6.369426751592357E-3</v>
      </c>
      <c r="I81" s="100">
        <f>IF(ISNUMBER(G81), $B91 * H81, "")</f>
        <v>-636.9426751592357</v>
      </c>
      <c r="J81" s="13">
        <v>153</v>
      </c>
      <c r="K81" s="14">
        <f>IF(ISNUMBER(J81), (J81 - $B81) / $B81, "")</f>
        <v>-2.5477707006369428E-2</v>
      </c>
      <c r="L81" s="16">
        <f>IF(ISNUMBER(J81), $B91 * K81, "")</f>
        <v>-2547.7707006369428</v>
      </c>
      <c r="M81" s="29">
        <v>155</v>
      </c>
      <c r="N81" s="14">
        <f>IF(ISNUMBER(M81), (M81 - $B81) / $B81, "")</f>
        <v>-1.2738853503184714E-2</v>
      </c>
      <c r="O81" s="16">
        <f>IF(ISNUMBER(M81), $B91 * N81, "")</f>
        <v>-1273.8853503184714</v>
      </c>
      <c r="Q81" s="242"/>
      <c r="R81" s="243"/>
      <c r="S81" s="244"/>
    </row>
    <row r="82" spans="1:19" ht="17.25" thickBot="1">
      <c r="A82" s="125" t="s">
        <v>118</v>
      </c>
      <c r="B82" s="126">
        <v>144</v>
      </c>
      <c r="C82" s="77">
        <v>-6.8965516999999997E-3</v>
      </c>
      <c r="D82" s="15">
        <v>144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145</v>
      </c>
      <c r="H82" s="32">
        <f t="shared" ref="H82:H85" si="39">IF(ISNUMBER(G82), (G82 - $B82) / $B82, "")</f>
        <v>6.9444444444444441E-3</v>
      </c>
      <c r="I82" s="101">
        <f>IF(ISNUMBER(G82), $B91 * H82, "")</f>
        <v>694.44444444444446</v>
      </c>
      <c r="J82" s="15">
        <v>144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145</v>
      </c>
      <c r="N82" s="32">
        <f t="shared" ref="N82:N85" si="41">IF(ISNUMBER(M82), (M82 - $B82) / $B82, "")</f>
        <v>6.9444444444444441E-3</v>
      </c>
      <c r="O82" s="18">
        <f>IF(ISNUMBER(M82), $B91 * N82, "")</f>
        <v>694.44444444444446</v>
      </c>
      <c r="Q82" s="245"/>
      <c r="R82" s="246"/>
      <c r="S82" s="247"/>
    </row>
    <row r="83" spans="1:19" ht="17.25" thickBot="1">
      <c r="A83" s="125" t="s">
        <v>102</v>
      </c>
      <c r="B83" s="126">
        <v>922</v>
      </c>
      <c r="C83" s="77">
        <v>-7.5349839000000002E-3</v>
      </c>
      <c r="D83" s="15">
        <v>922</v>
      </c>
      <c r="E83" s="32">
        <f t="shared" si="38"/>
        <v>0</v>
      </c>
      <c r="F83" s="18">
        <f>IF(ISNUMBER(D83), $B91 * E83, "")</f>
        <v>0</v>
      </c>
      <c r="G83" s="31">
        <v>934</v>
      </c>
      <c r="H83" s="32">
        <f t="shared" si="39"/>
        <v>1.3015184381778741E-2</v>
      </c>
      <c r="I83" s="101">
        <f>IF(ISNUMBER(G83), $B91 * H83, "")</f>
        <v>1301.518438177874</v>
      </c>
      <c r="J83" s="15">
        <v>934</v>
      </c>
      <c r="K83" s="32">
        <f t="shared" si="40"/>
        <v>1.3015184381778741E-2</v>
      </c>
      <c r="L83" s="18">
        <f>IF(ISNUMBER(J83), $B91 * K83, "")</f>
        <v>1301.518438177874</v>
      </c>
      <c r="M83" s="31">
        <v>945</v>
      </c>
      <c r="N83" s="32">
        <f t="shared" si="41"/>
        <v>2.4945770065075923E-2</v>
      </c>
      <c r="O83" s="18">
        <f>IF(ISNUMBER(M83), $B91 * N83, "")</f>
        <v>2494.5770065075922</v>
      </c>
      <c r="Q83" s="238"/>
      <c r="R83" s="238"/>
      <c r="S83" s="238"/>
    </row>
    <row r="84" spans="1:19" ht="17.25" thickBot="1">
      <c r="A84" s="125" t="s">
        <v>138</v>
      </c>
      <c r="B84" s="126">
        <v>370</v>
      </c>
      <c r="C84" s="77">
        <v>-8.0428953999999997E-3</v>
      </c>
      <c r="D84" s="15">
        <v>370</v>
      </c>
      <c r="E84" s="32">
        <f t="shared" si="38"/>
        <v>0</v>
      </c>
      <c r="F84" s="18">
        <f>IF(ISNUMBER(D84), $B91 * E84, "")</f>
        <v>0</v>
      </c>
      <c r="G84" s="31">
        <v>373</v>
      </c>
      <c r="H84" s="32">
        <f t="shared" si="39"/>
        <v>8.1081081081081086E-3</v>
      </c>
      <c r="I84" s="101">
        <f>IF(ISNUMBER(G84), $B91 * H84, "")</f>
        <v>810.81081081081084</v>
      </c>
      <c r="J84" s="15">
        <v>373</v>
      </c>
      <c r="K84" s="32">
        <f t="shared" si="40"/>
        <v>8.1081081081081086E-3</v>
      </c>
      <c r="L84" s="18">
        <f>IF(ISNUMBER(J84), $B91 * K84, "")</f>
        <v>810.81081081081084</v>
      </c>
      <c r="M84" s="31">
        <v>375</v>
      </c>
      <c r="N84" s="32">
        <f t="shared" si="41"/>
        <v>1.3513513513513514E-2</v>
      </c>
      <c r="O84" s="18">
        <f>IF(ISNUMBER(M84), $B91 * N84, "")</f>
        <v>1351.3513513513515</v>
      </c>
      <c r="Q84" s="248"/>
      <c r="R84" s="248"/>
      <c r="S84" s="248"/>
    </row>
    <row r="85" spans="1:19" ht="17.25" thickBot="1">
      <c r="A85" s="127" t="s">
        <v>228</v>
      </c>
      <c r="B85" s="128">
        <v>351</v>
      </c>
      <c r="C85" s="78">
        <v>-1.1267605599999999E-2</v>
      </c>
      <c r="D85" s="20">
        <v>351</v>
      </c>
      <c r="E85" s="21">
        <f t="shared" si="38"/>
        <v>0</v>
      </c>
      <c r="F85" s="22">
        <f>IF(ISNUMBER(D85), $B91 * E85, "")</f>
        <v>0</v>
      </c>
      <c r="G85" s="30">
        <v>347</v>
      </c>
      <c r="H85" s="21">
        <f t="shared" si="39"/>
        <v>-1.1396011396011397E-2</v>
      </c>
      <c r="I85" s="105">
        <f>IF(ISNUMBER(G85), $B91 * H85, "")</f>
        <v>-1139.6011396011397</v>
      </c>
      <c r="J85" s="20">
        <v>346</v>
      </c>
      <c r="K85" s="21">
        <f t="shared" si="40"/>
        <v>-1.4245014245014245E-2</v>
      </c>
      <c r="L85" s="22">
        <f>IF(ISNUMBER(J85), $B91 * K85, "")</f>
        <v>-1424.5014245014245</v>
      </c>
      <c r="M85" s="30">
        <v>349</v>
      </c>
      <c r="N85" s="21">
        <f t="shared" si="41"/>
        <v>-5.6980056980056983E-3</v>
      </c>
      <c r="O85" s="22">
        <f>IF(ISNUMBER(M85), $B91 * N85, "")</f>
        <v>-569.80056980056986</v>
      </c>
      <c r="Q85" s="248"/>
      <c r="R85" s="248"/>
      <c r="S85" s="248"/>
    </row>
    <row r="86" spans="1:19" ht="17.25" thickBot="1">
      <c r="A86" s="125" t="s">
        <v>104</v>
      </c>
      <c r="B86" s="129">
        <v>897</v>
      </c>
      <c r="C86" s="80">
        <v>-1.21145374E-2</v>
      </c>
      <c r="D86" s="106">
        <v>897</v>
      </c>
      <c r="E86" s="107">
        <f>IF(ISNUMBER(D86), (D86 - $B86) / $B86, "")</f>
        <v>0</v>
      </c>
      <c r="F86" s="108">
        <f>IF(ISNUMBER(D86), $B91 * E86, "")</f>
        <v>0</v>
      </c>
      <c r="G86" s="109">
        <v>924</v>
      </c>
      <c r="H86" s="107">
        <f>IF(ISNUMBER(G86), (G86 - $B86) / $B86, "")</f>
        <v>3.0100334448160536E-2</v>
      </c>
      <c r="I86" s="110">
        <f>IF(ISNUMBER(G86), $B91 * H86, "")</f>
        <v>3010.0334448160534</v>
      </c>
      <c r="J86" s="106">
        <v>926</v>
      </c>
      <c r="K86" s="107">
        <f>IF(ISNUMBER(J86), (J86 - $B86) / $B86, "")</f>
        <v>3.2329988851727984E-2</v>
      </c>
      <c r="L86" s="108">
        <f>IF(ISNUMBER(J86), $B91 * K86, "")</f>
        <v>3232.9988851727985</v>
      </c>
      <c r="M86" s="109">
        <v>947</v>
      </c>
      <c r="N86" s="107">
        <f>IF(ISNUMBER(M86), (M86 - $B86) / $B86, "")</f>
        <v>5.5741360089186176E-2</v>
      </c>
      <c r="O86" s="108">
        <f>IF(ISNUMBER(M86), $B91 * N86, "")</f>
        <v>5574.1360089186173</v>
      </c>
      <c r="Q86" s="238"/>
      <c r="R86" s="238"/>
      <c r="S86" s="238"/>
    </row>
    <row r="87" spans="1:19" ht="17.25" thickBot="1">
      <c r="A87" s="125" t="s">
        <v>206</v>
      </c>
      <c r="B87" s="126">
        <v>304</v>
      </c>
      <c r="C87" s="77">
        <v>-1.2987013E-2</v>
      </c>
      <c r="D87" s="15">
        <v>304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303</v>
      </c>
      <c r="H87" s="32">
        <f t="shared" ref="H87:H90" si="43">IF(ISNUMBER(G87), (G87 - $B87) / $B87, "")</f>
        <v>-3.2894736842105261E-3</v>
      </c>
      <c r="I87" s="101">
        <f>IF(ISNUMBER(G87), $B91 * H87, "")</f>
        <v>-328.9473684210526</v>
      </c>
      <c r="J87" s="15">
        <v>302</v>
      </c>
      <c r="K87" s="32">
        <f t="shared" ref="K87:K90" si="44">IF(ISNUMBER(J87), (J87 - $B87) / $B87, "")</f>
        <v>-6.5789473684210523E-3</v>
      </c>
      <c r="L87" s="18">
        <f>IF(ISNUMBER(J87), $B91 * K87, "")</f>
        <v>-657.8947368421052</v>
      </c>
      <c r="M87" s="31">
        <v>304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38"/>
      <c r="R87" s="238"/>
      <c r="S87" s="238"/>
    </row>
    <row r="88" spans="1:19" ht="17.25" thickBot="1">
      <c r="A88" s="125" t="s">
        <v>184</v>
      </c>
      <c r="B88" s="126">
        <v>898</v>
      </c>
      <c r="C88" s="77">
        <v>-1.31868132E-2</v>
      </c>
      <c r="D88" s="15">
        <v>898</v>
      </c>
      <c r="E88" s="32">
        <f t="shared" si="42"/>
        <v>0</v>
      </c>
      <c r="F88" s="18">
        <f>IF(ISNUMBER(D88), $B91 * E88, "")</f>
        <v>0</v>
      </c>
      <c r="G88" s="31">
        <v>902</v>
      </c>
      <c r="H88" s="32">
        <f t="shared" si="43"/>
        <v>4.4543429844097994E-3</v>
      </c>
      <c r="I88" s="101">
        <f>IF(ISNUMBER(G88), $B91 * H88, "")</f>
        <v>445.43429844097994</v>
      </c>
      <c r="J88" s="15">
        <v>897</v>
      </c>
      <c r="K88" s="32">
        <f t="shared" si="44"/>
        <v>-1.1135857461024498E-3</v>
      </c>
      <c r="L88" s="18">
        <f>IF(ISNUMBER(J88), $B91 * K88, "")</f>
        <v>-111.35857461024499</v>
      </c>
      <c r="M88" s="31">
        <v>905</v>
      </c>
      <c r="N88" s="32">
        <f t="shared" si="45"/>
        <v>7.7951002227171495E-3</v>
      </c>
      <c r="O88" s="18">
        <f>IF(ISNUMBER(M88), $B91 * N88, "")</f>
        <v>779.510022271715</v>
      </c>
      <c r="Q88" s="238"/>
      <c r="R88" s="238"/>
      <c r="S88" s="238"/>
    </row>
    <row r="89" spans="1:19">
      <c r="A89" s="125" t="s">
        <v>236</v>
      </c>
      <c r="B89" s="126">
        <v>558</v>
      </c>
      <c r="C89" s="77">
        <v>-1.4134275599999999E-2</v>
      </c>
      <c r="D89" s="15">
        <v>558</v>
      </c>
      <c r="E89" s="32">
        <f t="shared" si="42"/>
        <v>0</v>
      </c>
      <c r="F89" s="18">
        <f>IF(ISNUMBER(D89), $B91 * E89, "")</f>
        <v>0</v>
      </c>
      <c r="G89" s="31">
        <v>561</v>
      </c>
      <c r="H89" s="32">
        <f t="shared" si="43"/>
        <v>5.3763440860215058E-3</v>
      </c>
      <c r="I89" s="101">
        <f>IF(ISNUMBER(G89), $B91 * H89, "")</f>
        <v>537.63440860215053</v>
      </c>
      <c r="J89" s="15">
        <v>559</v>
      </c>
      <c r="K89" s="32">
        <f t="shared" si="44"/>
        <v>1.7921146953405018E-3</v>
      </c>
      <c r="L89" s="18">
        <f>IF(ISNUMBER(J89), $B91 * K89, "")</f>
        <v>179.21146953405017</v>
      </c>
      <c r="M89" s="31">
        <v>561</v>
      </c>
      <c r="N89" s="32">
        <f t="shared" si="45"/>
        <v>5.3763440860215058E-3</v>
      </c>
      <c r="O89" s="18">
        <f>IF(ISNUMBER(M89), $B91 * N89, "")</f>
        <v>537.63440860215053</v>
      </c>
      <c r="Q89" s="227"/>
      <c r="R89" s="228"/>
      <c r="S89" s="229"/>
    </row>
    <row r="90" spans="1:19" ht="17.25" thickBot="1">
      <c r="A90" s="130" t="s">
        <v>124</v>
      </c>
      <c r="B90" s="131">
        <v>306</v>
      </c>
      <c r="C90" s="79">
        <v>-1.60771704E-2</v>
      </c>
      <c r="D90" s="24">
        <v>306</v>
      </c>
      <c r="E90" s="25">
        <f t="shared" si="42"/>
        <v>0</v>
      </c>
      <c r="F90" s="104">
        <f>IF(ISNUMBER(D90), $B91 * E90, "")</f>
        <v>0</v>
      </c>
      <c r="G90" s="102">
        <v>307</v>
      </c>
      <c r="H90" s="25">
        <f t="shared" si="43"/>
        <v>3.2679738562091504E-3</v>
      </c>
      <c r="I90" s="103">
        <f>IF(ISNUMBER(G90), $B91 * H90, "")</f>
        <v>326.79738562091507</v>
      </c>
      <c r="J90" s="24">
        <v>306</v>
      </c>
      <c r="K90" s="25">
        <f t="shared" si="44"/>
        <v>0</v>
      </c>
      <c r="L90" s="104">
        <f>IF(ISNUMBER(J90), $B91 * K90, "")</f>
        <v>0</v>
      </c>
      <c r="M90" s="102">
        <v>308</v>
      </c>
      <c r="N90" s="25">
        <f t="shared" si="45"/>
        <v>6.5359477124183009E-3</v>
      </c>
      <c r="O90" s="104">
        <f>IF(ISNUMBER(M90), $B91 * N90, "")</f>
        <v>653.59477124183013</v>
      </c>
      <c r="Q90" s="230"/>
      <c r="R90" s="231"/>
      <c r="S90" s="232"/>
    </row>
    <row r="91" spans="1:19" ht="17.25" thickBot="1">
      <c r="A91" s="132" t="s">
        <v>270</v>
      </c>
      <c r="B91" s="291">
        <f>$B$37</f>
        <v>100000</v>
      </c>
      <c r="C91" s="292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3.3887063170100428E-3</v>
      </c>
      <c r="I91" s="28">
        <f>SUM(I71:I90)</f>
        <v>6777.4126340200837</v>
      </c>
      <c r="J91" s="26" t="s">
        <v>271</v>
      </c>
      <c r="K91" s="27">
        <f>IF(COUNT(K71:K90), SUM(K71:K90) / COUNT(K71:K90), 0)</f>
        <v>-2.0196790195364175E-3</v>
      </c>
      <c r="L91" s="28">
        <f>SUM(L71:L90)</f>
        <v>-4039.3580390728362</v>
      </c>
      <c r="M91" s="26" t="s">
        <v>271</v>
      </c>
      <c r="N91" s="27">
        <f>IF(COUNT(N71:N90), SUM(N71:N90) / COUNT(N71:N90), 0)</f>
        <v>3.8910747924056138E-3</v>
      </c>
      <c r="O91" s="28">
        <f>SUM(O71:O90)</f>
        <v>7782.1495848112272</v>
      </c>
      <c r="Q91" s="233"/>
      <c r="R91" s="234"/>
      <c r="S91" s="23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48"/>
      <c r="R94" s="248"/>
      <c r="S94" s="248"/>
    </row>
    <row r="95" spans="1:19" ht="17.25" thickBot="1">
      <c r="A95" s="161" t="s">
        <v>267</v>
      </c>
      <c r="B95" s="249" t="s">
        <v>49</v>
      </c>
      <c r="C95" s="251"/>
      <c r="D95" s="249" t="s">
        <v>58</v>
      </c>
      <c r="E95" s="250"/>
      <c r="F95" s="251"/>
      <c r="G95" s="252">
        <f>_xlfn.IFNA(VLOOKUP(B95, 현재가테이블!$B$2:$D$200, 2, FALSE), "-")</f>
        <v>54440000</v>
      </c>
      <c r="H95" s="253"/>
      <c r="I95" s="254"/>
      <c r="J95" s="249" t="s">
        <v>59</v>
      </c>
      <c r="K95" s="250"/>
      <c r="L95" s="251"/>
      <c r="M95" s="255">
        <f>_xlfn.IFNA(VLOOKUP(B95, 현재가테이블!$B$2:$D$200, 3, FALSE), "-")</f>
        <v>1.07123628E-2</v>
      </c>
      <c r="N95" s="256"/>
      <c r="O95" s="257"/>
      <c r="Q95" s="248"/>
      <c r="R95" s="248"/>
      <c r="S95" s="248"/>
    </row>
    <row r="96" spans="1:19" ht="17.25" thickBot="1">
      <c r="A96" s="293" t="s">
        <v>55</v>
      </c>
      <c r="B96" s="289" t="str">
        <f>TEXT($G$1, "[$-ko-KR]yyyy-mm-dd(ddd) ") &amp; "오전 00:00"</f>
        <v>2021-08-02(월) 오전 00:00</v>
      </c>
      <c r="C96" s="290"/>
      <c r="D96" s="262" t="str">
        <f>TEXT($G$1, "[$-ko-KR]yyyy-mm-dd(ddd) ") &amp; "오후 14:00"</f>
        <v>2021-08-02(월) 오후 14:00</v>
      </c>
      <c r="E96" s="263"/>
      <c r="F96" s="264"/>
      <c r="G96" s="262" t="str">
        <f>TEXT($G$1, "[$-ko-KR]yyyy-mm-dd(ddd) ") &amp; "오후 19:00"</f>
        <v>2021-08-02(월) 오후 19:00</v>
      </c>
      <c r="H96" s="263"/>
      <c r="I96" s="264"/>
      <c r="J96" s="262" t="str">
        <f>TEXT($G$1, "[$-ko-KR]yyyy-mm-dd(ddd) ") &amp; "오후 21:00"</f>
        <v>2021-08-02(월) 오후 21:00</v>
      </c>
      <c r="K96" s="263"/>
      <c r="L96" s="264"/>
      <c r="M96" s="262" t="str">
        <f>TEXT($G$1+1, "[$-ko-KR]yyyy-mm-dd(ddd) ") &amp; "오전 00:00"</f>
        <v>2021-08-03(화) 오전 00:00</v>
      </c>
      <c r="N96" s="263"/>
      <c r="O96" s="264"/>
      <c r="Q96" s="248"/>
      <c r="R96" s="248"/>
      <c r="S96" s="248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8"/>
      <c r="R97" s="238"/>
      <c r="S97" s="238"/>
    </row>
    <row r="98" spans="1:19" ht="17.25" thickBot="1">
      <c r="A98" s="123" t="s">
        <v>106</v>
      </c>
      <c r="B98" s="124">
        <v>63710</v>
      </c>
      <c r="C98" s="76">
        <v>0.27064220179999998</v>
      </c>
      <c r="D98" s="13">
        <v>63710</v>
      </c>
      <c r="E98" s="14">
        <f>IF(ISNUMBER(D98), (D98 - $B98) / $B98, "")</f>
        <v>0</v>
      </c>
      <c r="F98" s="16">
        <f>IF(ISNUMBER(D98), $B118 * E98, "")</f>
        <v>0</v>
      </c>
      <c r="G98" s="29">
        <v>67710</v>
      </c>
      <c r="H98" s="14">
        <f>IF(ISNUMBER(G98), (G98 - $B98) / $B98, "")</f>
        <v>6.2784492230419084E-2</v>
      </c>
      <c r="I98" s="100">
        <f>IF(ISNUMBER(G98), $B118 * H98, "")</f>
        <v>6278.4492230419082</v>
      </c>
      <c r="J98" s="13">
        <v>68500</v>
      </c>
      <c r="K98" s="14">
        <f>IF(ISNUMBER(J98), (J98 - $B98) / $B98, "")</f>
        <v>7.5184429445926862E-2</v>
      </c>
      <c r="L98" s="16">
        <f>IF(ISNUMBER(J98), $B118 * K98, "")</f>
        <v>7518.4429445926862</v>
      </c>
      <c r="M98" s="29">
        <v>64400</v>
      </c>
      <c r="N98" s="14">
        <f>IF(ISNUMBER(M98), (M98 - $B98) / $B98, "")</f>
        <v>1.0830324909747292E-2</v>
      </c>
      <c r="O98" s="16">
        <f>IF(ISNUMBER(M98), $B118 * N98, "")</f>
        <v>1083.0324909747292</v>
      </c>
      <c r="Q98" s="248"/>
      <c r="R98" s="248"/>
      <c r="S98" s="248"/>
    </row>
    <row r="99" spans="1:19" ht="17.25" thickBot="1">
      <c r="A99" s="125" t="s">
        <v>182</v>
      </c>
      <c r="B99" s="126">
        <v>60730</v>
      </c>
      <c r="C99" s="77">
        <v>0.1005799203</v>
      </c>
      <c r="D99" s="15">
        <v>60730</v>
      </c>
      <c r="E99" s="32">
        <f t="shared" ref="E99:E102" si="46">IF(ISNUMBER(D99), (D99 - $B99) / $B99, "")</f>
        <v>0</v>
      </c>
      <c r="F99" s="18">
        <f>IF(ISNUMBER(D99), $B118 * E99, "")</f>
        <v>0</v>
      </c>
      <c r="G99" s="31">
        <v>58020</v>
      </c>
      <c r="H99" s="32">
        <f t="shared" ref="H99:H102" si="47">IF(ISNUMBER(G99), (G99 - $B99) / $B99, "")</f>
        <v>-4.4623744442614854E-2</v>
      </c>
      <c r="I99" s="101">
        <f>IF(ISNUMBER(G99), $B118 * H99, "")</f>
        <v>-4462.3744442614852</v>
      </c>
      <c r="J99" s="15">
        <v>57750</v>
      </c>
      <c r="K99" s="32">
        <f t="shared" ref="K99:K102" si="48">IF(ISNUMBER(J99), (J99 - $B99) / $B99, "")</f>
        <v>-4.9069652560513752E-2</v>
      </c>
      <c r="L99" s="18">
        <f>IF(ISNUMBER(J99), $B118 * K99, "")</f>
        <v>-4906.965256051375</v>
      </c>
      <c r="M99" s="31">
        <v>57540</v>
      </c>
      <c r="N99" s="32">
        <f t="shared" ref="N99:N102" si="49">IF(ISNUMBER(M99), (M99 - $B99) / $B99, "")</f>
        <v>-5.2527581096657339E-2</v>
      </c>
      <c r="O99" s="18">
        <f>IF(ISNUMBER(M99), $B118 * N99, "")</f>
        <v>-5252.7581096657341</v>
      </c>
      <c r="Q99" s="248"/>
      <c r="R99" s="248"/>
      <c r="S99" s="248"/>
    </row>
    <row r="100" spans="1:19" ht="17.25" thickBot="1">
      <c r="A100" s="125" t="s">
        <v>146</v>
      </c>
      <c r="B100" s="126">
        <v>2670</v>
      </c>
      <c r="C100" s="77">
        <v>9.2024539899999994E-2</v>
      </c>
      <c r="D100" s="15">
        <v>2670</v>
      </c>
      <c r="E100" s="32">
        <f t="shared" si="46"/>
        <v>0</v>
      </c>
      <c r="F100" s="18">
        <f>IF(ISNUMBER(D100), $B118 * E100, "")</f>
        <v>0</v>
      </c>
      <c r="G100" s="31">
        <v>2645</v>
      </c>
      <c r="H100" s="32">
        <f t="shared" si="47"/>
        <v>-9.3632958801498131E-3</v>
      </c>
      <c r="I100" s="101">
        <f>IF(ISNUMBER(G100), $B118 * H100, "")</f>
        <v>-936.32958801498125</v>
      </c>
      <c r="J100" s="15">
        <v>2625</v>
      </c>
      <c r="K100" s="32">
        <f t="shared" si="48"/>
        <v>-1.6853932584269662E-2</v>
      </c>
      <c r="L100" s="18">
        <f>IF(ISNUMBER(J100), $B118 * K100, "")</f>
        <v>-1685.3932584269662</v>
      </c>
      <c r="M100" s="31">
        <v>2650</v>
      </c>
      <c r="N100" s="32">
        <f t="shared" si="49"/>
        <v>-7.4906367041198503E-3</v>
      </c>
      <c r="O100" s="18">
        <f>IF(ISNUMBER(M100), $B118 * N100, "")</f>
        <v>-749.06367041198507</v>
      </c>
      <c r="Q100" s="238"/>
      <c r="R100" s="238"/>
      <c r="S100" s="238"/>
    </row>
    <row r="101" spans="1:19" ht="17.25" thickBot="1">
      <c r="A101" s="125" t="s">
        <v>232</v>
      </c>
      <c r="B101" s="126">
        <v>491</v>
      </c>
      <c r="C101" s="77">
        <v>9.1111111100000003E-2</v>
      </c>
      <c r="D101" s="15">
        <v>491</v>
      </c>
      <c r="E101" s="32">
        <f t="shared" si="46"/>
        <v>0</v>
      </c>
      <c r="F101" s="18">
        <f>IF(ISNUMBER(D101), $B118 * E101, "")</f>
        <v>0</v>
      </c>
      <c r="G101" s="31">
        <v>489</v>
      </c>
      <c r="H101" s="32">
        <f t="shared" si="47"/>
        <v>-4.0733197556008143E-3</v>
      </c>
      <c r="I101" s="101">
        <f>IF(ISNUMBER(G101), $B118 * H101, "")</f>
        <v>-407.33197556008145</v>
      </c>
      <c r="J101" s="15">
        <v>471</v>
      </c>
      <c r="K101" s="32">
        <f t="shared" si="48"/>
        <v>-4.0733197556008148E-2</v>
      </c>
      <c r="L101" s="18">
        <f>IF(ISNUMBER(J101), $B118 * K101, "")</f>
        <v>-4073.3197556008149</v>
      </c>
      <c r="M101" s="31">
        <v>467</v>
      </c>
      <c r="N101" s="32">
        <f t="shared" si="49"/>
        <v>-4.8879837067209775E-2</v>
      </c>
      <c r="O101" s="18">
        <f>IF(ISNUMBER(M101), $B118 * N101, "")</f>
        <v>-4887.9837067209774</v>
      </c>
      <c r="Q101" s="238"/>
      <c r="R101" s="238"/>
      <c r="S101" s="238"/>
    </row>
    <row r="102" spans="1:19" ht="17.25" thickBot="1">
      <c r="A102" s="127" t="s">
        <v>170</v>
      </c>
      <c r="B102" s="128">
        <v>30340</v>
      </c>
      <c r="C102" s="78">
        <v>8.9798850599999994E-2</v>
      </c>
      <c r="D102" s="20">
        <v>30340</v>
      </c>
      <c r="E102" s="21">
        <f t="shared" si="46"/>
        <v>0</v>
      </c>
      <c r="F102" s="22">
        <f>IF(ISNUMBER(D102), $B118 * E102, "")</f>
        <v>0</v>
      </c>
      <c r="G102" s="30">
        <v>30200</v>
      </c>
      <c r="H102" s="21">
        <f t="shared" si="47"/>
        <v>-4.6143704680290049E-3</v>
      </c>
      <c r="I102" s="105">
        <f>IF(ISNUMBER(G102), $B118 * H102, "")</f>
        <v>-461.43704680290051</v>
      </c>
      <c r="J102" s="20">
        <v>30020</v>
      </c>
      <c r="K102" s="21">
        <f t="shared" si="48"/>
        <v>-1.054713249835201E-2</v>
      </c>
      <c r="L102" s="22">
        <f>IF(ISNUMBER(J102), $B118 * K102, "")</f>
        <v>-1054.7132498352009</v>
      </c>
      <c r="M102" s="30">
        <v>29460</v>
      </c>
      <c r="N102" s="21">
        <f t="shared" si="49"/>
        <v>-2.9004614370468029E-2</v>
      </c>
      <c r="O102" s="22">
        <f>IF(ISNUMBER(M102), $B118 * N102, "")</f>
        <v>-2900.461437046803</v>
      </c>
      <c r="Q102" s="238"/>
      <c r="R102" s="238"/>
      <c r="S102" s="238"/>
    </row>
    <row r="103" spans="1:19" ht="17.25" thickBot="1">
      <c r="A103" s="125" t="s">
        <v>154</v>
      </c>
      <c r="B103" s="129">
        <v>47510</v>
      </c>
      <c r="C103" s="80">
        <v>8.0755231999999996E-2</v>
      </c>
      <c r="D103" s="106">
        <v>47510</v>
      </c>
      <c r="E103" s="107">
        <f>IF(ISNUMBER(D103), (D103 - $B103) / $B103, "")</f>
        <v>0</v>
      </c>
      <c r="F103" s="108">
        <f>IF(ISNUMBER(D103), $B118 * E103, "")</f>
        <v>0</v>
      </c>
      <c r="G103" s="109">
        <v>47820</v>
      </c>
      <c r="H103" s="107">
        <f>IF(ISNUMBER(G103), (G103 - $B103) / $B103, "")</f>
        <v>6.5249421174489583E-3</v>
      </c>
      <c r="I103" s="110">
        <f>IF(ISNUMBER(G103), $B118 * H103, "")</f>
        <v>652.49421174489578</v>
      </c>
      <c r="J103" s="106">
        <v>47440</v>
      </c>
      <c r="K103" s="107">
        <f>IF(ISNUMBER(J103), (J103 - $B103) / $B103, "")</f>
        <v>-1.4733740265207324E-3</v>
      </c>
      <c r="L103" s="108">
        <f>IF(ISNUMBER(J103), $B118 * K103, "")</f>
        <v>-147.33740265207325</v>
      </c>
      <c r="M103" s="109">
        <v>46940</v>
      </c>
      <c r="N103" s="107">
        <f>IF(ISNUMBER(M103), (M103 - $B103) / $B103, "")</f>
        <v>-1.1997474215954537E-2</v>
      </c>
      <c r="O103" s="108">
        <f>IF(ISNUMBER(M103), $B118 * N103, "")</f>
        <v>-1199.7474215954537</v>
      </c>
      <c r="Q103" s="238"/>
      <c r="R103" s="238"/>
      <c r="S103" s="238"/>
    </row>
    <row r="104" spans="1:19" ht="17.25" thickBot="1">
      <c r="A104" s="125" t="s">
        <v>116</v>
      </c>
      <c r="B104" s="126">
        <v>6495</v>
      </c>
      <c r="C104" s="77">
        <v>6.4754098400000001E-2</v>
      </c>
      <c r="D104" s="15">
        <v>6495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6655</v>
      </c>
      <c r="H104" s="32">
        <f t="shared" ref="H104:H107" si="51">IF(ISNUMBER(G104), (G104 - $B104) / $B104, "")</f>
        <v>2.4634334103156273E-2</v>
      </c>
      <c r="I104" s="101">
        <f>IF(ISNUMBER(G104), $B118 * H104, "")</f>
        <v>2463.433410315627</v>
      </c>
      <c r="J104" s="15">
        <v>6645</v>
      </c>
      <c r="K104" s="32">
        <f t="shared" ref="K104:K107" si="52">IF(ISNUMBER(J104), (J104 - $B104) / $B104, "")</f>
        <v>2.3094688221709007E-2</v>
      </c>
      <c r="L104" s="18">
        <f>IF(ISNUMBER(J104), $B118 * K104, "")</f>
        <v>2309.4688221709007</v>
      </c>
      <c r="M104" s="31">
        <v>6985</v>
      </c>
      <c r="N104" s="32">
        <f t="shared" ref="N104:N107" si="53">IF(ISNUMBER(M104), (M104 - $B104) / $B104, "")</f>
        <v>7.544264819091609E-2</v>
      </c>
      <c r="O104" s="18">
        <f>IF(ISNUMBER(M104), $B118 * N104, "")</f>
        <v>7544.2648190916088</v>
      </c>
      <c r="Q104" s="238"/>
      <c r="R104" s="238"/>
      <c r="S104" s="238"/>
    </row>
    <row r="105" spans="1:19" ht="17.25" thickBot="1">
      <c r="A105" s="125" t="s">
        <v>114</v>
      </c>
      <c r="B105" s="126">
        <v>723</v>
      </c>
      <c r="C105" s="77">
        <v>5.7017543900000002E-2</v>
      </c>
      <c r="D105" s="15">
        <v>723</v>
      </c>
      <c r="E105" s="32">
        <f t="shared" si="50"/>
        <v>0</v>
      </c>
      <c r="F105" s="18">
        <f>IF(ISNUMBER(D105), $B118 * E105, "")</f>
        <v>0</v>
      </c>
      <c r="G105" s="31">
        <v>714</v>
      </c>
      <c r="H105" s="32">
        <f t="shared" si="51"/>
        <v>-1.2448132780082987E-2</v>
      </c>
      <c r="I105" s="101">
        <f>IF(ISNUMBER(G105), $B118 * H105, "")</f>
        <v>-1244.8132780082988</v>
      </c>
      <c r="J105" s="15">
        <v>711</v>
      </c>
      <c r="K105" s="32">
        <f t="shared" si="52"/>
        <v>-1.6597510373443983E-2</v>
      </c>
      <c r="L105" s="18">
        <f>IF(ISNUMBER(J105), $B118 * K105, "")</f>
        <v>-1659.7510373443984</v>
      </c>
      <c r="M105" s="31">
        <v>709</v>
      </c>
      <c r="N105" s="32">
        <f t="shared" si="53"/>
        <v>-1.9363762102351315E-2</v>
      </c>
      <c r="O105" s="18">
        <f>IF(ISNUMBER(M105), $B118 * N105, "")</f>
        <v>-1936.3762102351316</v>
      </c>
      <c r="Q105" s="238"/>
      <c r="R105" s="238"/>
      <c r="S105" s="238"/>
    </row>
    <row r="106" spans="1:19" ht="17.25" thickBot="1">
      <c r="A106" s="125" t="s">
        <v>248</v>
      </c>
      <c r="B106" s="126">
        <v>2270</v>
      </c>
      <c r="C106" s="77">
        <v>3.65296804E-2</v>
      </c>
      <c r="D106" s="15">
        <v>2270</v>
      </c>
      <c r="E106" s="32">
        <f t="shared" si="50"/>
        <v>0</v>
      </c>
      <c r="F106" s="18">
        <f>IF(ISNUMBER(D106), $B118 * E106, "")</f>
        <v>0</v>
      </c>
      <c r="G106" s="31">
        <v>2400</v>
      </c>
      <c r="H106" s="32">
        <f t="shared" si="51"/>
        <v>5.7268722466960353E-2</v>
      </c>
      <c r="I106" s="101">
        <f>IF(ISNUMBER(G106), $B118 * H106, "")</f>
        <v>5726.8722466960353</v>
      </c>
      <c r="J106" s="15">
        <v>2325</v>
      </c>
      <c r="K106" s="32">
        <f t="shared" si="52"/>
        <v>2.4229074889867842E-2</v>
      </c>
      <c r="L106" s="18">
        <f>IF(ISNUMBER(J106), $B118 * K106, "")</f>
        <v>2422.9074889867843</v>
      </c>
      <c r="M106" s="31">
        <v>2290</v>
      </c>
      <c r="N106" s="32">
        <f t="shared" si="53"/>
        <v>8.8105726872246704E-3</v>
      </c>
      <c r="O106" s="18">
        <f>IF(ISNUMBER(M106), $B118 * N106, "")</f>
        <v>881.05726872246703</v>
      </c>
      <c r="Q106" s="33"/>
      <c r="R106" s="33"/>
    </row>
    <row r="107" spans="1:19" ht="17.25" thickBot="1">
      <c r="A107" s="130" t="s">
        <v>198</v>
      </c>
      <c r="B107" s="131">
        <v>25390</v>
      </c>
      <c r="C107" s="79">
        <v>3.42158859E-2</v>
      </c>
      <c r="D107" s="24">
        <v>25390</v>
      </c>
      <c r="E107" s="25">
        <f t="shared" si="50"/>
        <v>0</v>
      </c>
      <c r="F107" s="104">
        <f>IF(ISNUMBER(D107), $B118 * E107, "")</f>
        <v>0</v>
      </c>
      <c r="G107" s="102">
        <v>25120</v>
      </c>
      <c r="H107" s="25">
        <f t="shared" si="51"/>
        <v>-1.063410791650256E-2</v>
      </c>
      <c r="I107" s="103">
        <f>IF(ISNUMBER(G107), $B118 * H107, "")</f>
        <v>-1063.410791650256</v>
      </c>
      <c r="J107" s="24">
        <v>25040</v>
      </c>
      <c r="K107" s="25">
        <f t="shared" si="52"/>
        <v>-1.3784954706577392E-2</v>
      </c>
      <c r="L107" s="104">
        <f>IF(ISNUMBER(J107), $B118 * K107, "")</f>
        <v>-1378.4954706577391</v>
      </c>
      <c r="M107" s="102">
        <v>24970</v>
      </c>
      <c r="N107" s="25">
        <f t="shared" si="53"/>
        <v>-1.654194564789287E-2</v>
      </c>
      <c r="O107" s="104">
        <f>IF(ISNUMBER(M107), $B118 * N107, "")</f>
        <v>-1654.1945647892869</v>
      </c>
      <c r="Q107" s="239"/>
      <c r="R107" s="240"/>
      <c r="S107" s="241"/>
    </row>
    <row r="108" spans="1:19">
      <c r="A108" s="123" t="s">
        <v>63</v>
      </c>
      <c r="B108" s="124">
        <v>50200</v>
      </c>
      <c r="C108" s="76">
        <v>2.7846027799999999E-2</v>
      </c>
      <c r="D108" s="13">
        <v>50200</v>
      </c>
      <c r="E108" s="14">
        <f>IF(ISNUMBER(D108), (D108 - $B108) / $B108, "")</f>
        <v>0</v>
      </c>
      <c r="F108" s="16">
        <f>IF(ISNUMBER(D108), $B118 * E108, "")</f>
        <v>0</v>
      </c>
      <c r="G108" s="29">
        <v>50340</v>
      </c>
      <c r="H108" s="14">
        <f>IF(ISNUMBER(G108), (G108 - $B108) / $B108, "")</f>
        <v>2.7888446215139444E-3</v>
      </c>
      <c r="I108" s="100">
        <f>IF(ISNUMBER(G108), $B118 * H108, "")</f>
        <v>278.88446215139442</v>
      </c>
      <c r="J108" s="13">
        <v>50140</v>
      </c>
      <c r="K108" s="14">
        <f>IF(ISNUMBER(J108), (J108 - $B108) / $B108, "")</f>
        <v>-1.195219123505976E-3</v>
      </c>
      <c r="L108" s="16">
        <f>IF(ISNUMBER(J108), $B118 * K108, "")</f>
        <v>-119.5219123505976</v>
      </c>
      <c r="M108" s="29">
        <v>51220</v>
      </c>
      <c r="N108" s="14">
        <f>IF(ISNUMBER(M108), (M108 - $B108) / $B108, "")</f>
        <v>2.0318725099601594E-2</v>
      </c>
      <c r="O108" s="16">
        <f>IF(ISNUMBER(M108), $B118 * N108, "")</f>
        <v>2031.8725099601593</v>
      </c>
      <c r="Q108" s="242"/>
      <c r="R108" s="243"/>
      <c r="S108" s="244"/>
    </row>
    <row r="109" spans="1:19" ht="17.25" thickBot="1">
      <c r="A109" s="125" t="s">
        <v>164</v>
      </c>
      <c r="B109" s="126">
        <v>319</v>
      </c>
      <c r="C109" s="77">
        <v>2.57234727E-2</v>
      </c>
      <c r="D109" s="15">
        <v>319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305</v>
      </c>
      <c r="H109" s="32">
        <f t="shared" ref="H109:H112" si="55">IF(ISNUMBER(G109), (G109 - $B109) / $B109, "")</f>
        <v>-4.3887147335423198E-2</v>
      </c>
      <c r="I109" s="101">
        <f>IF(ISNUMBER(G109), $B118 * H109, "")</f>
        <v>-4388.7147335423197</v>
      </c>
      <c r="J109" s="15">
        <v>302</v>
      </c>
      <c r="K109" s="32">
        <f t="shared" ref="K109:K112" si="56">IF(ISNUMBER(J109), (J109 - $B109) / $B109, "")</f>
        <v>-5.329153605015674E-2</v>
      </c>
      <c r="L109" s="18">
        <f>IF(ISNUMBER(J109), $B118 * K109, "")</f>
        <v>-5329.1536050156737</v>
      </c>
      <c r="M109" s="31">
        <v>302</v>
      </c>
      <c r="N109" s="32">
        <f t="shared" ref="N109:N112" si="57">IF(ISNUMBER(M109), (M109 - $B109) / $B109, "")</f>
        <v>-5.329153605015674E-2</v>
      </c>
      <c r="O109" s="18">
        <f>IF(ISNUMBER(M109), $B118 * N109, "")</f>
        <v>-5329.1536050156737</v>
      </c>
      <c r="Q109" s="245"/>
      <c r="R109" s="246"/>
      <c r="S109" s="247"/>
    </row>
    <row r="110" spans="1:19" ht="17.25" thickBot="1">
      <c r="A110" s="125" t="s">
        <v>92</v>
      </c>
      <c r="B110" s="126">
        <v>59460</v>
      </c>
      <c r="C110" s="77">
        <v>2.04221726E-2</v>
      </c>
      <c r="D110" s="15">
        <v>59460</v>
      </c>
      <c r="E110" s="32">
        <f t="shared" si="54"/>
        <v>0</v>
      </c>
      <c r="F110" s="18">
        <f>IF(ISNUMBER(D110), $B118 * E110, "")</f>
        <v>0</v>
      </c>
      <c r="G110" s="31">
        <v>65450</v>
      </c>
      <c r="H110" s="32">
        <f t="shared" si="55"/>
        <v>0.10073999327278843</v>
      </c>
      <c r="I110" s="101">
        <f>IF(ISNUMBER(G110), $B118 * H110, "")</f>
        <v>10073.999327278843</v>
      </c>
      <c r="J110" s="15">
        <v>65220</v>
      </c>
      <c r="K110" s="32">
        <f t="shared" si="56"/>
        <v>9.687184661957618E-2</v>
      </c>
      <c r="L110" s="18">
        <f>IF(ISNUMBER(J110), $B118 * K110, "")</f>
        <v>9687.1846619576172</v>
      </c>
      <c r="M110" s="31">
        <v>63900</v>
      </c>
      <c r="N110" s="32">
        <f t="shared" si="57"/>
        <v>7.4672048435923316E-2</v>
      </c>
      <c r="O110" s="18">
        <f>IF(ISNUMBER(M110), $B118 * N110, "")</f>
        <v>7467.2048435923316</v>
      </c>
      <c r="Q110" s="238"/>
      <c r="R110" s="238"/>
      <c r="S110" s="238"/>
    </row>
    <row r="111" spans="1:19" ht="17.25" thickBot="1">
      <c r="A111" s="125" t="s">
        <v>69</v>
      </c>
      <c r="B111" s="126">
        <v>4465</v>
      </c>
      <c r="C111" s="77">
        <v>1.94063927E-2</v>
      </c>
      <c r="D111" s="15">
        <v>4465</v>
      </c>
      <c r="E111" s="32">
        <f t="shared" si="54"/>
        <v>0</v>
      </c>
      <c r="F111" s="18">
        <f>IF(ISNUMBER(D111), $B118 * E111, "")</f>
        <v>0</v>
      </c>
      <c r="G111" s="31">
        <v>4510</v>
      </c>
      <c r="H111" s="32">
        <f t="shared" si="55"/>
        <v>1.0078387458006719E-2</v>
      </c>
      <c r="I111" s="101">
        <f>IF(ISNUMBER(G111), $B118 * H111, "")</f>
        <v>1007.8387458006719</v>
      </c>
      <c r="J111" s="15">
        <v>4515</v>
      </c>
      <c r="K111" s="32">
        <f t="shared" si="56"/>
        <v>1.1198208286674132E-2</v>
      </c>
      <c r="L111" s="18">
        <f>IF(ISNUMBER(J111), $B118 * K111, "")</f>
        <v>1119.8208286674133</v>
      </c>
      <c r="M111" s="31">
        <v>4780</v>
      </c>
      <c r="N111" s="32">
        <f t="shared" si="57"/>
        <v>7.0548712206047026E-2</v>
      </c>
      <c r="O111" s="18">
        <f>IF(ISNUMBER(M111), $B118 * N111, "")</f>
        <v>7054.871220604703</v>
      </c>
      <c r="Q111" s="248"/>
      <c r="R111" s="248"/>
      <c r="S111" s="248"/>
    </row>
    <row r="112" spans="1:19" ht="17.25" thickBot="1">
      <c r="A112" s="127" t="s">
        <v>142</v>
      </c>
      <c r="B112" s="128">
        <v>9560</v>
      </c>
      <c r="C112" s="78">
        <v>1.6480595399999999E-2</v>
      </c>
      <c r="D112" s="20">
        <v>9560</v>
      </c>
      <c r="E112" s="21">
        <f t="shared" si="54"/>
        <v>0</v>
      </c>
      <c r="F112" s="22">
        <f>IF(ISNUMBER(D112), $B118 * E112, "")</f>
        <v>0</v>
      </c>
      <c r="G112" s="30">
        <v>9495</v>
      </c>
      <c r="H112" s="21">
        <f t="shared" si="55"/>
        <v>-6.7991631799163184E-3</v>
      </c>
      <c r="I112" s="105">
        <f>IF(ISNUMBER(G112), $B118 * H112, "")</f>
        <v>-679.91631799163179</v>
      </c>
      <c r="J112" s="20">
        <v>9435</v>
      </c>
      <c r="K112" s="21">
        <f t="shared" si="56"/>
        <v>-1.307531380753138E-2</v>
      </c>
      <c r="L112" s="22">
        <f>IF(ISNUMBER(J112), $B118 * K112, "")</f>
        <v>-1307.5313807531379</v>
      </c>
      <c r="M112" s="30">
        <v>9480</v>
      </c>
      <c r="N112" s="21">
        <f t="shared" si="57"/>
        <v>-8.368200836820083E-3</v>
      </c>
      <c r="O112" s="22">
        <f>IF(ISNUMBER(M112), $B118 * N112, "")</f>
        <v>-836.82008368200832</v>
      </c>
      <c r="Q112" s="248"/>
      <c r="R112" s="248"/>
      <c r="S112" s="248"/>
    </row>
    <row r="113" spans="1:19" ht="17.25" thickBot="1">
      <c r="A113" s="125" t="s">
        <v>78</v>
      </c>
      <c r="B113" s="129">
        <v>618900</v>
      </c>
      <c r="C113" s="80">
        <v>1.44238649E-2</v>
      </c>
      <c r="D113" s="106">
        <v>618900</v>
      </c>
      <c r="E113" s="107">
        <f>IF(ISNUMBER(D113), (D113 - $B113) / $B113, "")</f>
        <v>0</v>
      </c>
      <c r="F113" s="108">
        <f>IF(ISNUMBER(D113), $B118 * E113, "")</f>
        <v>0</v>
      </c>
      <c r="G113" s="109">
        <v>645600</v>
      </c>
      <c r="H113" s="107">
        <f>IF(ISNUMBER(G113), (G113 - $B113) / $B113, "")</f>
        <v>4.3141056713523994E-2</v>
      </c>
      <c r="I113" s="110">
        <f>IF(ISNUMBER(G113), $B118 * H113, "")</f>
        <v>4314.1056713523994</v>
      </c>
      <c r="J113" s="106">
        <v>645800</v>
      </c>
      <c r="K113" s="107">
        <f>IF(ISNUMBER(J113), (J113 - $B113) / $B113, "")</f>
        <v>4.3464210696396832E-2</v>
      </c>
      <c r="L113" s="108">
        <f>IF(ISNUMBER(J113), $B118 * K113, "")</f>
        <v>4346.4210696396831</v>
      </c>
      <c r="M113" s="109">
        <v>645200</v>
      </c>
      <c r="N113" s="107">
        <f>IF(ISNUMBER(M113), (M113 - $B113) / $B113, "")</f>
        <v>4.2494748747778317E-2</v>
      </c>
      <c r="O113" s="108">
        <f>IF(ISNUMBER(M113), $B118 * N113, "")</f>
        <v>4249.4748747778322</v>
      </c>
      <c r="Q113" s="238"/>
      <c r="R113" s="238"/>
      <c r="S113" s="238"/>
    </row>
    <row r="114" spans="1:19" ht="17.25" thickBot="1">
      <c r="A114" s="125" t="s">
        <v>168</v>
      </c>
      <c r="B114" s="126">
        <v>1415</v>
      </c>
      <c r="C114" s="77">
        <v>1.0714285699999999E-2</v>
      </c>
      <c r="D114" s="15">
        <v>1415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1435</v>
      </c>
      <c r="H114" s="32">
        <f t="shared" ref="H114:H117" si="59">IF(ISNUMBER(G114), (G114 - $B114) / $B114, "")</f>
        <v>1.4134275618374558E-2</v>
      </c>
      <c r="I114" s="101">
        <f>IF(ISNUMBER(G114), $B118 * H114, "")</f>
        <v>1413.4275618374559</v>
      </c>
      <c r="J114" s="15">
        <v>1450</v>
      </c>
      <c r="K114" s="32">
        <f t="shared" ref="K114:K117" si="60">IF(ISNUMBER(J114), (J114 - $B114) / $B114, "")</f>
        <v>2.4734982332155476E-2</v>
      </c>
      <c r="L114" s="18">
        <f>IF(ISNUMBER(J114), $B118 * K114, "")</f>
        <v>2473.4982332155478</v>
      </c>
      <c r="M114" s="31">
        <v>1470</v>
      </c>
      <c r="N114" s="32">
        <f t="shared" ref="N114:N117" si="61">IF(ISNUMBER(M114), (M114 - $B114) / $B114, "")</f>
        <v>3.8869257950530034E-2</v>
      </c>
      <c r="O114" s="18">
        <f>IF(ISNUMBER(M114), $B118 * N114, "")</f>
        <v>3886.9257950530032</v>
      </c>
      <c r="Q114" s="238"/>
      <c r="R114" s="238"/>
      <c r="S114" s="238"/>
    </row>
    <row r="115" spans="1:19" ht="17.25" thickBot="1">
      <c r="A115" s="125" t="s">
        <v>90</v>
      </c>
      <c r="B115" s="126">
        <v>848</v>
      </c>
      <c r="C115" s="77">
        <v>8.3234244999999991E-3</v>
      </c>
      <c r="D115" s="15">
        <v>848</v>
      </c>
      <c r="E115" s="32">
        <f t="shared" si="58"/>
        <v>0</v>
      </c>
      <c r="F115" s="18">
        <f>IF(ISNUMBER(D115), $B118 * E115, "")</f>
        <v>0</v>
      </c>
      <c r="G115" s="31">
        <v>870</v>
      </c>
      <c r="H115" s="32">
        <f t="shared" si="59"/>
        <v>2.5943396226415096E-2</v>
      </c>
      <c r="I115" s="101">
        <f>IF(ISNUMBER(G115), $B118 * H115, "")</f>
        <v>2594.3396226415098</v>
      </c>
      <c r="J115" s="15">
        <v>867</v>
      </c>
      <c r="K115" s="32">
        <f t="shared" si="60"/>
        <v>2.2405660377358489E-2</v>
      </c>
      <c r="L115" s="18">
        <f>IF(ISNUMBER(J115), $B118 * K115, "")</f>
        <v>2240.566037735849</v>
      </c>
      <c r="M115" s="31">
        <v>872</v>
      </c>
      <c r="N115" s="32">
        <f t="shared" si="61"/>
        <v>2.8301886792452831E-2</v>
      </c>
      <c r="O115" s="18">
        <f>IF(ISNUMBER(M115), $B118 * N115, "")</f>
        <v>2830.1886792452833</v>
      </c>
      <c r="Q115" s="238"/>
      <c r="R115" s="238"/>
      <c r="S115" s="238"/>
    </row>
    <row r="116" spans="1:19">
      <c r="A116" s="125" t="s">
        <v>112</v>
      </c>
      <c r="B116" s="126">
        <v>6745</v>
      </c>
      <c r="C116" s="77">
        <v>8.2212256999999993E-3</v>
      </c>
      <c r="D116" s="15">
        <v>6745</v>
      </c>
      <c r="E116" s="32">
        <f t="shared" si="58"/>
        <v>0</v>
      </c>
      <c r="F116" s="18">
        <f>IF(ISNUMBER(D116), $B118 * E116, "")</f>
        <v>0</v>
      </c>
      <c r="G116" s="31">
        <v>6755</v>
      </c>
      <c r="H116" s="32">
        <f t="shared" si="59"/>
        <v>1.4825796886582653E-3</v>
      </c>
      <c r="I116" s="101">
        <f>IF(ISNUMBER(G116), $B118 * H116, "")</f>
        <v>148.25796886582654</v>
      </c>
      <c r="J116" s="15">
        <v>6775</v>
      </c>
      <c r="K116" s="32">
        <f t="shared" si="60"/>
        <v>4.447739065974796E-3</v>
      </c>
      <c r="L116" s="18">
        <f>IF(ISNUMBER(J116), $B118 * K116, "")</f>
        <v>444.77390659747959</v>
      </c>
      <c r="M116" s="31">
        <v>6885</v>
      </c>
      <c r="N116" s="32">
        <f t="shared" si="61"/>
        <v>2.0756115641215715E-2</v>
      </c>
      <c r="O116" s="18">
        <f>IF(ISNUMBER(M116), $B118 * N116, "")</f>
        <v>2075.6115641215715</v>
      </c>
      <c r="Q116" s="227"/>
      <c r="R116" s="228"/>
      <c r="S116" s="229"/>
    </row>
    <row r="117" spans="1:19" ht="17.25" thickBot="1">
      <c r="A117" s="130" t="s">
        <v>86</v>
      </c>
      <c r="B117" s="131">
        <v>305</v>
      </c>
      <c r="C117" s="79">
        <v>6.6006601E-3</v>
      </c>
      <c r="D117" s="24">
        <v>305</v>
      </c>
      <c r="E117" s="25">
        <f t="shared" si="58"/>
        <v>0</v>
      </c>
      <c r="F117" s="104">
        <f>IF(ISNUMBER(D117), $B118 * E117, "")</f>
        <v>0</v>
      </c>
      <c r="G117" s="102">
        <v>307</v>
      </c>
      <c r="H117" s="25">
        <f t="shared" si="59"/>
        <v>6.5573770491803279E-3</v>
      </c>
      <c r="I117" s="103">
        <f>IF(ISNUMBER(G117), $B118 * H117, "")</f>
        <v>655.73770491803282</v>
      </c>
      <c r="J117" s="24">
        <v>305</v>
      </c>
      <c r="K117" s="25">
        <f t="shared" si="60"/>
        <v>0</v>
      </c>
      <c r="L117" s="104">
        <f>IF(ISNUMBER(J117), $B118 * K117, "")</f>
        <v>0</v>
      </c>
      <c r="M117" s="102">
        <v>307</v>
      </c>
      <c r="N117" s="25">
        <f t="shared" si="61"/>
        <v>6.5573770491803279E-3</v>
      </c>
      <c r="O117" s="104">
        <f>IF(ISNUMBER(M117), $B118 * N117, "")</f>
        <v>655.73770491803282</v>
      </c>
      <c r="Q117" s="230"/>
      <c r="R117" s="231"/>
      <c r="S117" s="232"/>
    </row>
    <row r="118" spans="1:19" ht="17.25" thickBot="1">
      <c r="A118" s="132" t="s">
        <v>270</v>
      </c>
      <c r="B118" s="291">
        <f>$B$37</f>
        <v>100000</v>
      </c>
      <c r="C118" s="292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1.098175599040632E-2</v>
      </c>
      <c r="I118" s="28">
        <f>SUM(I98:I117)</f>
        <v>21963.511980812647</v>
      </c>
      <c r="J118" s="26" t="s">
        <v>271</v>
      </c>
      <c r="K118" s="27">
        <f>IF(COUNT(K98:K117), SUM(K98:K117) / COUNT(K98:K117), 0)</f>
        <v>5.4504508324379917E-3</v>
      </c>
      <c r="L118" s="28">
        <f>SUM(L98:L117)</f>
        <v>10900.901664875983</v>
      </c>
      <c r="M118" s="26" t="s">
        <v>271</v>
      </c>
      <c r="N118" s="27">
        <f>IF(COUNT(N98:N117), SUM(N98:N117) / COUNT(N98:N117), 0)</f>
        <v>7.5068414809493335E-3</v>
      </c>
      <c r="O118" s="28">
        <f>SUM(O98:O117)</f>
        <v>15013.682961898669</v>
      </c>
      <c r="Q118" s="233"/>
      <c r="R118" s="234"/>
      <c r="S118" s="23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48"/>
      <c r="R121" s="248"/>
      <c r="S121" s="248"/>
    </row>
    <row r="122" spans="1:19" ht="17.25" thickBot="1">
      <c r="A122" s="161" t="s">
        <v>267</v>
      </c>
      <c r="B122" s="249" t="s">
        <v>49</v>
      </c>
      <c r="C122" s="251"/>
      <c r="D122" s="249" t="s">
        <v>58</v>
      </c>
      <c r="E122" s="250"/>
      <c r="F122" s="251"/>
      <c r="G122" s="252">
        <f>_xlfn.IFNA(VLOOKUP(B122, 현재가테이블!$B$2:$D$200, 2, FALSE), "-")</f>
        <v>54440000</v>
      </c>
      <c r="H122" s="253"/>
      <c r="I122" s="254"/>
      <c r="J122" s="249" t="s">
        <v>59</v>
      </c>
      <c r="K122" s="250"/>
      <c r="L122" s="251"/>
      <c r="M122" s="255">
        <f>_xlfn.IFNA(VLOOKUP(B122, 현재가테이블!$B$2:$D$200, 3, FALSE), "-")</f>
        <v>1.07123628E-2</v>
      </c>
      <c r="N122" s="256"/>
      <c r="O122" s="257"/>
      <c r="Q122" s="248"/>
      <c r="R122" s="248"/>
      <c r="S122" s="248"/>
    </row>
    <row r="123" spans="1:19" ht="17.25" thickBot="1">
      <c r="A123" s="293" t="s">
        <v>55</v>
      </c>
      <c r="B123" s="289" t="str">
        <f>TEXT($G$1, "[$-ko-KR]yyyy-mm-dd(ddd) ") &amp; "오전 00:00"</f>
        <v>2021-08-02(월) 오전 00:00</v>
      </c>
      <c r="C123" s="290"/>
      <c r="D123" s="262" t="str">
        <f>TEXT($G$1, "[$-ko-KR]yyyy-mm-dd(ddd) ") &amp; "오후 14:00"</f>
        <v>2021-08-02(월) 오후 14:00</v>
      </c>
      <c r="E123" s="263"/>
      <c r="F123" s="264"/>
      <c r="G123" s="262" t="str">
        <f>TEXT($G$1, "[$-ko-KR]yyyy-mm-dd(ddd) ") &amp; "오후 19:00"</f>
        <v>2021-08-02(월) 오후 19:00</v>
      </c>
      <c r="H123" s="263"/>
      <c r="I123" s="264"/>
      <c r="J123" s="262" t="str">
        <f>TEXT($G$1, "[$-ko-KR]yyyy-mm-dd(ddd) ") &amp; "오후 21:00"</f>
        <v>2021-08-02(월) 오후 21:00</v>
      </c>
      <c r="K123" s="263"/>
      <c r="L123" s="264"/>
      <c r="M123" s="262" t="str">
        <f>TEXT($G$1+1, "[$-ko-KR]yyyy-mm-dd(ddd) ") &amp; "오전 00:00"</f>
        <v>2021-08-03(화) 오전 00:00</v>
      </c>
      <c r="N123" s="263"/>
      <c r="O123" s="264"/>
      <c r="Q123" s="248"/>
      <c r="R123" s="248"/>
      <c r="S123" s="248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8"/>
      <c r="R124" s="238"/>
      <c r="S124" s="238"/>
    </row>
    <row r="125" spans="1:19" ht="17.25" thickBot="1">
      <c r="A125" s="123" t="s">
        <v>128</v>
      </c>
      <c r="B125" s="124">
        <v>99.3</v>
      </c>
      <c r="C125" s="76">
        <v>-5.0100199999999996E-3</v>
      </c>
      <c r="D125" s="13">
        <v>99.3</v>
      </c>
      <c r="E125" s="14">
        <f>IF(ISNUMBER(D125), (D125 - $B125) / $B125, "")</f>
        <v>0</v>
      </c>
      <c r="F125" s="16">
        <f>IF(ISNUMBER(D125), $B145 * E125, "")</f>
        <v>0</v>
      </c>
      <c r="G125" s="29">
        <v>100</v>
      </c>
      <c r="H125" s="14">
        <f>IF(ISNUMBER(G125), (G125 - $B125) / $B125, "")</f>
        <v>7.049345417925507E-3</v>
      </c>
      <c r="I125" s="100">
        <f>IF(ISNUMBER(G125), $B145 * H125, "")</f>
        <v>704.9345417925507</v>
      </c>
      <c r="J125" s="13">
        <v>100</v>
      </c>
      <c r="K125" s="14">
        <f>IF(ISNUMBER(J125), (J125 - $B125) / $B125, "")</f>
        <v>7.049345417925507E-3</v>
      </c>
      <c r="L125" s="16">
        <f>IF(ISNUMBER(J125), $B145 * K125, "")</f>
        <v>704.9345417925507</v>
      </c>
      <c r="M125" s="29">
        <v>101</v>
      </c>
      <c r="N125" s="14">
        <f>IF(ISNUMBER(M125), (M125 - $B125) / $B125, "")</f>
        <v>1.7119838872104762E-2</v>
      </c>
      <c r="O125" s="16">
        <f>IF(ISNUMBER(M125), $B145 * N125, "")</f>
        <v>1711.9838872104763</v>
      </c>
      <c r="Q125" s="248"/>
      <c r="R125" s="248"/>
      <c r="S125" s="248"/>
    </row>
    <row r="126" spans="1:19" ht="17.25" thickBot="1">
      <c r="A126" s="125" t="s">
        <v>152</v>
      </c>
      <c r="B126" s="126">
        <v>73.099999999999994</v>
      </c>
      <c r="C126" s="77">
        <v>-5.4421768999999998E-3</v>
      </c>
      <c r="D126" s="15">
        <v>73.099999999999994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74.7</v>
      </c>
      <c r="H126" s="32">
        <f t="shared" ref="H126:H129" si="63">IF(ISNUMBER(G126), (G126 - $B126) / $B126, "")</f>
        <v>2.1887824897400938E-2</v>
      </c>
      <c r="I126" s="101">
        <f>IF(ISNUMBER(G126), $B145 * H126, "")</f>
        <v>2188.7824897400938</v>
      </c>
      <c r="J126" s="15">
        <v>74.900000000000006</v>
      </c>
      <c r="K126" s="32">
        <f t="shared" ref="K126:K129" si="64">IF(ISNUMBER(J126), (J126 - $B126) / $B126, "")</f>
        <v>2.4623803009576079E-2</v>
      </c>
      <c r="L126" s="18">
        <f>IF(ISNUMBER(J126), $B145 * K126, "")</f>
        <v>2462.3803009576081</v>
      </c>
      <c r="M126" s="31">
        <v>75.3</v>
      </c>
      <c r="N126" s="32">
        <f t="shared" ref="N126:N129" si="65">IF(ISNUMBER(M126), (M126 - $B126) / $B126, "")</f>
        <v>3.009575923392617E-2</v>
      </c>
      <c r="O126" s="18">
        <f>IF(ISNUMBER(M126), $B145 * N126, "")</f>
        <v>3009.5759233926169</v>
      </c>
      <c r="Q126" s="248"/>
      <c r="R126" s="248"/>
      <c r="S126" s="248"/>
    </row>
    <row r="127" spans="1:19" ht="17.25" thickBot="1">
      <c r="A127" s="125" t="s">
        <v>72</v>
      </c>
      <c r="B127" s="126">
        <v>20.8</v>
      </c>
      <c r="C127" s="77">
        <v>-9.5238094999999991E-3</v>
      </c>
      <c r="D127" s="15">
        <v>20.8</v>
      </c>
      <c r="E127" s="32">
        <f t="shared" si="62"/>
        <v>0</v>
      </c>
      <c r="F127" s="18">
        <f>IF(ISNUMBER(D127), $B145 * E127, "")</f>
        <v>0</v>
      </c>
      <c r="G127" s="31">
        <v>20.8</v>
      </c>
      <c r="H127" s="32">
        <f t="shared" si="63"/>
        <v>0</v>
      </c>
      <c r="I127" s="101">
        <f>IF(ISNUMBER(G127), $B145 * H127, "")</f>
        <v>0</v>
      </c>
      <c r="J127" s="15">
        <v>20.8</v>
      </c>
      <c r="K127" s="32">
        <f t="shared" si="64"/>
        <v>0</v>
      </c>
      <c r="L127" s="18">
        <f>IF(ISNUMBER(J127), $B145 * K127, "")</f>
        <v>0</v>
      </c>
      <c r="M127" s="31">
        <v>20.8</v>
      </c>
      <c r="N127" s="32">
        <f t="shared" si="65"/>
        <v>0</v>
      </c>
      <c r="O127" s="18">
        <f>IF(ISNUMBER(M127), $B145 * N127, "")</f>
        <v>0</v>
      </c>
      <c r="Q127" s="238"/>
      <c r="R127" s="238"/>
      <c r="S127" s="238"/>
    </row>
    <row r="128" spans="1:19" ht="17.25" thickBot="1">
      <c r="A128" s="125" t="s">
        <v>148</v>
      </c>
      <c r="B128" s="126">
        <v>18.100000000000001</v>
      </c>
      <c r="C128" s="77">
        <v>-1.09289617E-2</v>
      </c>
      <c r="D128" s="15">
        <v>18.100000000000001</v>
      </c>
      <c r="E128" s="32">
        <f t="shared" si="62"/>
        <v>0</v>
      </c>
      <c r="F128" s="18">
        <f>IF(ISNUMBER(D128), $B145 * E128, "")</f>
        <v>0</v>
      </c>
      <c r="G128" s="31">
        <v>18.399999999999999</v>
      </c>
      <c r="H128" s="32">
        <f t="shared" si="63"/>
        <v>1.6574585635358959E-2</v>
      </c>
      <c r="I128" s="101">
        <f>IF(ISNUMBER(G128), $B145 * H128, "")</f>
        <v>1657.458563535896</v>
      </c>
      <c r="J128" s="15">
        <v>18.399999999999999</v>
      </c>
      <c r="K128" s="32">
        <f t="shared" si="64"/>
        <v>1.6574585635358959E-2</v>
      </c>
      <c r="L128" s="18">
        <f>IF(ISNUMBER(J128), $B145 * K128, "")</f>
        <v>1657.458563535896</v>
      </c>
      <c r="M128" s="31">
        <v>18.5</v>
      </c>
      <c r="N128" s="32">
        <f t="shared" si="65"/>
        <v>2.2099447513812074E-2</v>
      </c>
      <c r="O128" s="18">
        <f>IF(ISNUMBER(M128), $B145 * N128, "")</f>
        <v>2209.9447513812074</v>
      </c>
      <c r="Q128" s="238"/>
      <c r="R128" s="238"/>
      <c r="S128" s="238"/>
    </row>
    <row r="129" spans="1:19" ht="17.25" thickBot="1">
      <c r="A129" s="127" t="s">
        <v>130</v>
      </c>
      <c r="B129" s="128">
        <v>91.8</v>
      </c>
      <c r="C129" s="78">
        <v>-1.18406889E-2</v>
      </c>
      <c r="D129" s="20">
        <v>91.8</v>
      </c>
      <c r="E129" s="21">
        <f t="shared" si="62"/>
        <v>0</v>
      </c>
      <c r="F129" s="22">
        <f>IF(ISNUMBER(D129), $B145 * E129, "")</f>
        <v>0</v>
      </c>
      <c r="G129" s="30">
        <v>92.8</v>
      </c>
      <c r="H129" s="21">
        <f t="shared" si="63"/>
        <v>1.0893246187363835E-2</v>
      </c>
      <c r="I129" s="105">
        <f>IF(ISNUMBER(G129), $B145 * H129, "")</f>
        <v>1089.3246187363834</v>
      </c>
      <c r="J129" s="20">
        <v>92.5</v>
      </c>
      <c r="K129" s="21">
        <f t="shared" si="64"/>
        <v>7.6252723311547154E-3</v>
      </c>
      <c r="L129" s="22">
        <f>IF(ISNUMBER(J129), $B145 * K129, "")</f>
        <v>762.52723311547152</v>
      </c>
      <c r="M129" s="30">
        <v>92.5</v>
      </c>
      <c r="N129" s="21">
        <f t="shared" si="65"/>
        <v>7.6252723311547154E-3</v>
      </c>
      <c r="O129" s="22">
        <f>IF(ISNUMBER(M129), $B145 * N129, "")</f>
        <v>762.52723311547152</v>
      </c>
      <c r="Q129" s="238"/>
      <c r="R129" s="238"/>
      <c r="S129" s="238"/>
    </row>
    <row r="130" spans="1:19" ht="17.25" thickBot="1">
      <c r="A130" s="125" t="s">
        <v>65</v>
      </c>
      <c r="B130" s="129">
        <v>29.2</v>
      </c>
      <c r="C130" s="80">
        <v>-1.3513513499999999E-2</v>
      </c>
      <c r="D130" s="106">
        <v>29.2</v>
      </c>
      <c r="E130" s="107">
        <f>IF(ISNUMBER(D130), (D130 - $B130) / $B130, "")</f>
        <v>0</v>
      </c>
      <c r="F130" s="108">
        <f>IF(ISNUMBER(D130), $B145 * E130, "")</f>
        <v>0</v>
      </c>
      <c r="G130" s="109">
        <v>29.7</v>
      </c>
      <c r="H130" s="107">
        <f>IF(ISNUMBER(G130), (G130 - $B130) / $B130, "")</f>
        <v>1.7123287671232876E-2</v>
      </c>
      <c r="I130" s="110">
        <f>IF(ISNUMBER(G130), $B145 * H130, "")</f>
        <v>1712.3287671232877</v>
      </c>
      <c r="J130" s="106">
        <v>29.6</v>
      </c>
      <c r="K130" s="107">
        <f>IF(ISNUMBER(J130), (J130 - $B130) / $B130, "")</f>
        <v>1.3698630136986375E-2</v>
      </c>
      <c r="L130" s="108">
        <f>IF(ISNUMBER(J130), $B145 * K130, "")</f>
        <v>1369.8630136986376</v>
      </c>
      <c r="M130" s="109">
        <v>30</v>
      </c>
      <c r="N130" s="107">
        <f>IF(ISNUMBER(M130), (M130 - $B130) / $B130, "")</f>
        <v>2.7397260273972629E-2</v>
      </c>
      <c r="O130" s="108">
        <f>IF(ISNUMBER(M130), $B145 * N130, "")</f>
        <v>2739.7260273972629</v>
      </c>
      <c r="Q130" s="238"/>
      <c r="R130" s="238"/>
      <c r="S130" s="238"/>
    </row>
    <row r="131" spans="1:19" ht="17.25" thickBot="1">
      <c r="A131" s="125" t="s">
        <v>190</v>
      </c>
      <c r="B131" s="126">
        <v>15</v>
      </c>
      <c r="C131" s="77">
        <v>-1.9607843100000001E-2</v>
      </c>
      <c r="D131" s="15">
        <v>15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15.4</v>
      </c>
      <c r="H131" s="32">
        <f t="shared" ref="H131:H134" si="67">IF(ISNUMBER(G131), (G131 - $B131) / $B131, "")</f>
        <v>2.6666666666666689E-2</v>
      </c>
      <c r="I131" s="101">
        <f>IF(ISNUMBER(G131), $B145 * H131, "")</f>
        <v>2666.6666666666688</v>
      </c>
      <c r="J131" s="15">
        <v>15.2</v>
      </c>
      <c r="K131" s="32">
        <f t="shared" ref="K131:K134" si="68">IF(ISNUMBER(J131), (J131 - $B131) / $B131, "")</f>
        <v>1.3333333333333286E-2</v>
      </c>
      <c r="L131" s="18">
        <f>IF(ISNUMBER(J131), $B145 * K131, "")</f>
        <v>1333.3333333333285</v>
      </c>
      <c r="M131" s="31">
        <v>15.3</v>
      </c>
      <c r="N131" s="32">
        <f t="shared" ref="N131:N134" si="69">IF(ISNUMBER(M131), (M131 - $B131) / $B131, "")</f>
        <v>2.0000000000000049E-2</v>
      </c>
      <c r="O131" s="18">
        <f>IF(ISNUMBER(M131), $B145 * N131, "")</f>
        <v>2000.000000000005</v>
      </c>
      <c r="Q131" s="238"/>
      <c r="R131" s="238"/>
      <c r="S131" s="238"/>
    </row>
    <row r="132" spans="1:19" ht="17.25" thickBot="1">
      <c r="A132" s="125" t="s">
        <v>238</v>
      </c>
      <c r="B132" s="126">
        <v>93.4</v>
      </c>
      <c r="C132" s="77">
        <v>-2.0964360599999999E-2</v>
      </c>
      <c r="D132" s="15">
        <v>93.4</v>
      </c>
      <c r="E132" s="32">
        <f t="shared" si="66"/>
        <v>0</v>
      </c>
      <c r="F132" s="18">
        <f>IF(ISNUMBER(D132), $B145 * E132, "")</f>
        <v>0</v>
      </c>
      <c r="G132" s="31">
        <v>92.9</v>
      </c>
      <c r="H132" s="32">
        <f t="shared" si="67"/>
        <v>-5.3533190578158455E-3</v>
      </c>
      <c r="I132" s="101">
        <f>IF(ISNUMBER(G132), $B145 * H132, "")</f>
        <v>-535.33190578158451</v>
      </c>
      <c r="J132" s="15">
        <v>92.4</v>
      </c>
      <c r="K132" s="32">
        <f t="shared" si="68"/>
        <v>-1.0706638115631691E-2</v>
      </c>
      <c r="L132" s="18">
        <f>IF(ISNUMBER(J132), $B145 * K132, "")</f>
        <v>-1070.663811563169</v>
      </c>
      <c r="M132" s="31">
        <v>94</v>
      </c>
      <c r="N132" s="32">
        <f t="shared" si="69"/>
        <v>6.4239828693789533E-3</v>
      </c>
      <c r="O132" s="18">
        <f>IF(ISNUMBER(M132), $B145 * N132, "")</f>
        <v>642.39828693789536</v>
      </c>
      <c r="Q132" s="238"/>
      <c r="R132" s="238"/>
      <c r="S132" s="238"/>
    </row>
    <row r="133" spans="1:19" ht="17.25" thickBot="1">
      <c r="A133" s="125" t="s">
        <v>240</v>
      </c>
      <c r="B133" s="126">
        <v>57.3</v>
      </c>
      <c r="C133" s="77">
        <v>-2.3850085199999999E-2</v>
      </c>
      <c r="D133" s="15">
        <v>57.3</v>
      </c>
      <c r="E133" s="32">
        <f t="shared" si="66"/>
        <v>0</v>
      </c>
      <c r="F133" s="18">
        <f>IF(ISNUMBER(D133), $B145 * E133, "")</f>
        <v>0</v>
      </c>
      <c r="G133" s="31">
        <v>57.1</v>
      </c>
      <c r="H133" s="32">
        <f t="shared" si="67"/>
        <v>-3.4904013961604844E-3</v>
      </c>
      <c r="I133" s="101">
        <f>IF(ISNUMBER(G133), $B145 * H133, "")</f>
        <v>-349.04013961604846</v>
      </c>
      <c r="J133" s="15">
        <v>57.1</v>
      </c>
      <c r="K133" s="32">
        <f t="shared" si="68"/>
        <v>-3.4904013961604844E-3</v>
      </c>
      <c r="L133" s="18">
        <f>IF(ISNUMBER(J133), $B145 * K133, "")</f>
        <v>-349.04013961604846</v>
      </c>
      <c r="M133" s="31">
        <v>57.1</v>
      </c>
      <c r="N133" s="32">
        <f t="shared" si="69"/>
        <v>-3.4904013961604844E-3</v>
      </c>
      <c r="O133" s="18">
        <f>IF(ISNUMBER(M133), $B145 * N133, "")</f>
        <v>-349.04013961604846</v>
      </c>
      <c r="Q133" s="33"/>
      <c r="R133" s="33"/>
    </row>
    <row r="134" spans="1:19" ht="17.25" thickBot="1">
      <c r="A134" s="130" t="s">
        <v>208</v>
      </c>
      <c r="B134" s="131">
        <v>10.9</v>
      </c>
      <c r="C134" s="79">
        <v>-2.6785714299999999E-2</v>
      </c>
      <c r="D134" s="24">
        <v>10.9</v>
      </c>
      <c r="E134" s="25">
        <f t="shared" si="66"/>
        <v>0</v>
      </c>
      <c r="F134" s="104">
        <f>IF(ISNUMBER(D134), $B145 * E134, "")</f>
        <v>0</v>
      </c>
      <c r="G134" s="102">
        <v>10.9</v>
      </c>
      <c r="H134" s="25">
        <f t="shared" si="67"/>
        <v>0</v>
      </c>
      <c r="I134" s="103">
        <f>IF(ISNUMBER(G134), $B145 * H134, "")</f>
        <v>0</v>
      </c>
      <c r="J134" s="24">
        <v>10.8</v>
      </c>
      <c r="K134" s="25">
        <f t="shared" si="68"/>
        <v>-9.1743119266054721E-3</v>
      </c>
      <c r="L134" s="104">
        <f>IF(ISNUMBER(J134), $B145 * K134, "")</f>
        <v>-917.43119266054725</v>
      </c>
      <c r="M134" s="102">
        <v>10.9</v>
      </c>
      <c r="N134" s="25">
        <f t="shared" si="69"/>
        <v>0</v>
      </c>
      <c r="O134" s="104">
        <f>IF(ISNUMBER(M134), $B145 * N134, "")</f>
        <v>0</v>
      </c>
      <c r="Q134" s="239"/>
      <c r="R134" s="240"/>
      <c r="S134" s="241"/>
    </row>
    <row r="135" spans="1:19">
      <c r="A135" s="123" t="s">
        <v>250</v>
      </c>
      <c r="B135" s="124">
        <v>59.2</v>
      </c>
      <c r="C135" s="76">
        <v>-2.9508196699999999E-2</v>
      </c>
      <c r="D135" s="13">
        <v>59.2</v>
      </c>
      <c r="E135" s="14">
        <f>IF(ISNUMBER(D135), (D135 - $B135) / $B135, "")</f>
        <v>0</v>
      </c>
      <c r="F135" s="16">
        <f>IF(ISNUMBER(D135), $B145 * E135, "")</f>
        <v>0</v>
      </c>
      <c r="G135" s="29">
        <v>60.4</v>
      </c>
      <c r="H135" s="14">
        <f>IF(ISNUMBER(G135), (G135 - $B135) / $B135, "")</f>
        <v>2.0270270270270199E-2</v>
      </c>
      <c r="I135" s="100">
        <f>IF(ISNUMBER(G135), $B145 * H135, "")</f>
        <v>2027.0270270270198</v>
      </c>
      <c r="J135" s="13">
        <v>60.3</v>
      </c>
      <c r="K135" s="14">
        <f>IF(ISNUMBER(J135), (J135 - $B135) / $B135, "")</f>
        <v>1.8581081081080985E-2</v>
      </c>
      <c r="L135" s="16">
        <f>IF(ISNUMBER(J135), $B145 * K135, "")</f>
        <v>1858.1081081080986</v>
      </c>
      <c r="M135" s="29">
        <v>60.8</v>
      </c>
      <c r="N135" s="14">
        <f>IF(ISNUMBER(M135), (M135 - $B135) / $B135, "")</f>
        <v>2.7027027027026931E-2</v>
      </c>
      <c r="O135" s="16">
        <f>IF(ISNUMBER(M135), $B145 * N135, "")</f>
        <v>2702.7027027026929</v>
      </c>
      <c r="Q135" s="242"/>
      <c r="R135" s="243"/>
      <c r="S135" s="244"/>
    </row>
    <row r="136" spans="1:19" ht="17.25" thickBot="1">
      <c r="A136" s="125" t="s">
        <v>216</v>
      </c>
      <c r="B136" s="126">
        <v>9.1</v>
      </c>
      <c r="C136" s="77">
        <v>-3.2943676900000003E-2</v>
      </c>
      <c r="D136" s="15">
        <v>9.1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9.1999999999999993</v>
      </c>
      <c r="H136" s="32">
        <f t="shared" ref="H136:H139" si="71">IF(ISNUMBER(G136), (G136 - $B136) / $B136, "")</f>
        <v>1.098901098901095E-2</v>
      </c>
      <c r="I136" s="101">
        <f>IF(ISNUMBER(G136), $B145 * H136, "")</f>
        <v>1098.9010989010949</v>
      </c>
      <c r="J136" s="15">
        <v>9.1999999999999993</v>
      </c>
      <c r="K136" s="32">
        <f t="shared" ref="K136:K139" si="72">IF(ISNUMBER(J136), (J136 - $B136) / $B136, "")</f>
        <v>1.098901098901095E-2</v>
      </c>
      <c r="L136" s="18">
        <f>IF(ISNUMBER(J136), $B145 * K136, "")</f>
        <v>1098.9010989010949</v>
      </c>
      <c r="M136" s="31">
        <v>9.19</v>
      </c>
      <c r="N136" s="32">
        <f t="shared" ref="N136:N139" si="73">IF(ISNUMBER(M136), (M136 - $B136) / $B136, "")</f>
        <v>9.8901098901098741E-3</v>
      </c>
      <c r="O136" s="18">
        <f>IF(ISNUMBER(M136), $B145 * N136, "")</f>
        <v>989.01098901098737</v>
      </c>
      <c r="Q136" s="245"/>
      <c r="R136" s="246"/>
      <c r="S136" s="247"/>
    </row>
    <row r="137" spans="1:19" ht="17.25" thickBot="1">
      <c r="A137" s="125" t="s">
        <v>122</v>
      </c>
      <c r="B137" s="126">
        <v>24.9</v>
      </c>
      <c r="C137" s="77">
        <v>-3.4883720899999998E-2</v>
      </c>
      <c r="D137" s="15">
        <v>24.9</v>
      </c>
      <c r="E137" s="32">
        <f t="shared" si="70"/>
        <v>0</v>
      </c>
      <c r="F137" s="18">
        <f>IF(ISNUMBER(D137), $B145 * E137, "")</f>
        <v>0</v>
      </c>
      <c r="G137" s="31">
        <v>25.2</v>
      </c>
      <c r="H137" s="32">
        <f t="shared" si="71"/>
        <v>1.2048192771084366E-2</v>
      </c>
      <c r="I137" s="101">
        <f>IF(ISNUMBER(G137), $B145 * H137, "")</f>
        <v>1204.8192771084366</v>
      </c>
      <c r="J137" s="15">
        <v>25.1</v>
      </c>
      <c r="K137" s="32">
        <f t="shared" si="72"/>
        <v>8.0321285140563387E-3</v>
      </c>
      <c r="L137" s="18">
        <f>IF(ISNUMBER(J137), $B145 * K137, "")</f>
        <v>803.21285140563384</v>
      </c>
      <c r="M137" s="31">
        <v>25.4</v>
      </c>
      <c r="N137" s="32">
        <f t="shared" si="73"/>
        <v>2.0080321285140562E-2</v>
      </c>
      <c r="O137" s="18">
        <f>IF(ISNUMBER(M137), $B145 * N137, "")</f>
        <v>2008.0321285140562</v>
      </c>
      <c r="Q137" s="238"/>
      <c r="R137" s="238"/>
      <c r="S137" s="238"/>
    </row>
    <row r="138" spans="1:19" ht="17.25" thickBot="1">
      <c r="A138" s="125" t="s">
        <v>210</v>
      </c>
      <c r="B138" s="126">
        <v>10.4</v>
      </c>
      <c r="C138" s="77">
        <v>-3.7037037000000002E-2</v>
      </c>
      <c r="D138" s="15">
        <v>10.4</v>
      </c>
      <c r="E138" s="32">
        <f t="shared" si="70"/>
        <v>0</v>
      </c>
      <c r="F138" s="18">
        <f>IF(ISNUMBER(D138), $B145 * E138, "")</f>
        <v>0</v>
      </c>
      <c r="G138" s="31">
        <v>10.4</v>
      </c>
      <c r="H138" s="32">
        <f t="shared" si="71"/>
        <v>0</v>
      </c>
      <c r="I138" s="101">
        <f>IF(ISNUMBER(G138), $B145 * H138, "")</f>
        <v>0</v>
      </c>
      <c r="J138" s="15">
        <v>10.3</v>
      </c>
      <c r="K138" s="32">
        <f t="shared" si="72"/>
        <v>-9.6153846153845812E-3</v>
      </c>
      <c r="L138" s="18">
        <f>IF(ISNUMBER(J138), $B145 * K138, "")</f>
        <v>-961.53846153845814</v>
      </c>
      <c r="M138" s="31">
        <v>10.5</v>
      </c>
      <c r="N138" s="32">
        <f t="shared" si="73"/>
        <v>9.6153846153845812E-3</v>
      </c>
      <c r="O138" s="18">
        <f>IF(ISNUMBER(M138), $B145 * N138, "")</f>
        <v>961.53846153845814</v>
      </c>
      <c r="Q138" s="248"/>
      <c r="R138" s="248"/>
      <c r="S138" s="248"/>
    </row>
    <row r="139" spans="1:19" ht="17.25" thickBot="1">
      <c r="A139" s="127" t="s">
        <v>178</v>
      </c>
      <c r="B139" s="128">
        <v>14.9</v>
      </c>
      <c r="C139" s="78">
        <v>-3.8709677400000003E-2</v>
      </c>
      <c r="D139" s="20">
        <v>14.9</v>
      </c>
      <c r="E139" s="21">
        <f t="shared" si="70"/>
        <v>0</v>
      </c>
      <c r="F139" s="22">
        <f>IF(ISNUMBER(D139), $B145 * E139, "")</f>
        <v>0</v>
      </c>
      <c r="G139" s="30">
        <v>14.9</v>
      </c>
      <c r="H139" s="21">
        <f t="shared" si="71"/>
        <v>0</v>
      </c>
      <c r="I139" s="105">
        <f>IF(ISNUMBER(G139), $B145 * H139, "")</f>
        <v>0</v>
      </c>
      <c r="J139" s="20">
        <v>14.8</v>
      </c>
      <c r="K139" s="21">
        <f t="shared" si="72"/>
        <v>-6.7114093959731299E-3</v>
      </c>
      <c r="L139" s="22">
        <f>IF(ISNUMBER(J139), $B145 * K139, "")</f>
        <v>-671.14093959731304</v>
      </c>
      <c r="M139" s="30">
        <v>15</v>
      </c>
      <c r="N139" s="21">
        <f t="shared" si="73"/>
        <v>6.7114093959731299E-3</v>
      </c>
      <c r="O139" s="22">
        <f>IF(ISNUMBER(M139), $B145 * N139, "")</f>
        <v>671.14093959731304</v>
      </c>
      <c r="Q139" s="248"/>
      <c r="R139" s="248"/>
      <c r="S139" s="248"/>
    </row>
    <row r="140" spans="1:19" ht="17.25" thickBot="1">
      <c r="A140" s="125" t="s">
        <v>204</v>
      </c>
      <c r="B140" s="129">
        <v>12.3</v>
      </c>
      <c r="C140" s="80">
        <v>-3.90625E-2</v>
      </c>
      <c r="D140" s="106">
        <v>12.3</v>
      </c>
      <c r="E140" s="107">
        <f>IF(ISNUMBER(D140), (D140 - $B140) / $B140, "")</f>
        <v>0</v>
      </c>
      <c r="F140" s="108">
        <f>IF(ISNUMBER(D140), $B145 * E140, "")</f>
        <v>0</v>
      </c>
      <c r="G140" s="109">
        <v>12.7</v>
      </c>
      <c r="H140" s="107">
        <f>IF(ISNUMBER(G140), (G140 - $B140) / $B140, "")</f>
        <v>3.2520325203251918E-2</v>
      </c>
      <c r="I140" s="110">
        <f>IF(ISNUMBER(G140), $B145 * H140, "")</f>
        <v>3252.0325203251919</v>
      </c>
      <c r="J140" s="106">
        <v>12.6</v>
      </c>
      <c r="K140" s="107">
        <f>IF(ISNUMBER(J140), (J140 - $B140) / $B140, "")</f>
        <v>2.4390243902438935E-2</v>
      </c>
      <c r="L140" s="108">
        <f>IF(ISNUMBER(J140), $B145 * K140, "")</f>
        <v>2439.0243902438933</v>
      </c>
      <c r="M140" s="109">
        <v>12.6</v>
      </c>
      <c r="N140" s="107">
        <f>IF(ISNUMBER(M140), (M140 - $B140) / $B140, "")</f>
        <v>2.4390243902438935E-2</v>
      </c>
      <c r="O140" s="108">
        <f>IF(ISNUMBER(M140), $B145 * N140, "")</f>
        <v>2439.0243902438933</v>
      </c>
      <c r="Q140" s="238"/>
      <c r="R140" s="238"/>
      <c r="S140" s="238"/>
    </row>
    <row r="141" spans="1:19" ht="17.25" thickBot="1">
      <c r="A141" s="125" t="s">
        <v>202</v>
      </c>
      <c r="B141" s="126">
        <v>62.8</v>
      </c>
      <c r="C141" s="77">
        <v>-3.9755351699999997E-2</v>
      </c>
      <c r="D141" s="15">
        <v>62.8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62.7</v>
      </c>
      <c r="H141" s="32">
        <f t="shared" ref="H141:H144" si="75">IF(ISNUMBER(G141), (G141 - $B141) / $B141, "")</f>
        <v>-1.5923566878979988E-3</v>
      </c>
      <c r="I141" s="101">
        <f>IF(ISNUMBER(G141), $B145 * H141, "")</f>
        <v>-159.23566878979989</v>
      </c>
      <c r="J141" s="15">
        <v>62.5</v>
      </c>
      <c r="K141" s="32">
        <f t="shared" ref="K141:K144" si="76">IF(ISNUMBER(J141), (J141 - $B141) / $B141, "")</f>
        <v>-4.7770700636942222E-3</v>
      </c>
      <c r="L141" s="18">
        <f>IF(ISNUMBER(J141), $B145 * K141, "")</f>
        <v>-477.70700636942223</v>
      </c>
      <c r="M141" s="31">
        <v>62.7</v>
      </c>
      <c r="N141" s="32">
        <f t="shared" ref="N141:N144" si="77">IF(ISNUMBER(M141), (M141 - $B141) / $B141, "")</f>
        <v>-1.5923566878979988E-3</v>
      </c>
      <c r="O141" s="18">
        <f>IF(ISNUMBER(M141), $B145 * N141, "")</f>
        <v>-159.23566878979989</v>
      </c>
      <c r="Q141" s="238"/>
      <c r="R141" s="238"/>
      <c r="S141" s="238"/>
    </row>
    <row r="142" spans="1:19" ht="17.25" thickBot="1">
      <c r="A142" s="125" t="s">
        <v>188</v>
      </c>
      <c r="B142" s="126">
        <v>10.9</v>
      </c>
      <c r="C142" s="77">
        <v>-6.0344827599999998E-2</v>
      </c>
      <c r="D142" s="15">
        <v>10.9</v>
      </c>
      <c r="E142" s="32">
        <f t="shared" si="74"/>
        <v>0</v>
      </c>
      <c r="F142" s="18">
        <f>IF(ISNUMBER(D142), $B145 * E142, "")</f>
        <v>0</v>
      </c>
      <c r="G142" s="31">
        <v>10.9</v>
      </c>
      <c r="H142" s="32">
        <f t="shared" si="75"/>
        <v>0</v>
      </c>
      <c r="I142" s="101">
        <f>IF(ISNUMBER(G142), $B145 * H142, "")</f>
        <v>0</v>
      </c>
      <c r="J142" s="15">
        <v>10.8</v>
      </c>
      <c r="K142" s="32">
        <f t="shared" si="76"/>
        <v>-9.1743119266054721E-3</v>
      </c>
      <c r="L142" s="18">
        <f>IF(ISNUMBER(J142), $B145 * K142, "")</f>
        <v>-917.43119266054725</v>
      </c>
      <c r="M142" s="31">
        <v>11.1</v>
      </c>
      <c r="N142" s="32">
        <f t="shared" si="77"/>
        <v>1.8348623853210944E-2</v>
      </c>
      <c r="O142" s="18">
        <f>IF(ISNUMBER(M142), $B145 * N142, "")</f>
        <v>1834.8623853210945</v>
      </c>
      <c r="Q142" s="238"/>
      <c r="R142" s="238"/>
      <c r="S142" s="238"/>
    </row>
    <row r="143" spans="1:19">
      <c r="A143" s="125" t="s">
        <v>234</v>
      </c>
      <c r="B143" s="126">
        <v>61.3</v>
      </c>
      <c r="C143" s="77">
        <v>-6.1255742699999997E-2</v>
      </c>
      <c r="D143" s="15">
        <v>61.3</v>
      </c>
      <c r="E143" s="32">
        <f t="shared" si="74"/>
        <v>0</v>
      </c>
      <c r="F143" s="18">
        <f>IF(ISNUMBER(D143), $B145 * E143, "")</f>
        <v>0</v>
      </c>
      <c r="G143" s="31">
        <v>61.7</v>
      </c>
      <c r="H143" s="32">
        <f t="shared" si="75"/>
        <v>6.5252854812398974E-3</v>
      </c>
      <c r="I143" s="101">
        <f>IF(ISNUMBER(G143), $B145 * H143, "")</f>
        <v>652.52854812398971</v>
      </c>
      <c r="J143" s="15">
        <v>61.5</v>
      </c>
      <c r="K143" s="32">
        <f t="shared" si="76"/>
        <v>3.2626427406199487E-3</v>
      </c>
      <c r="L143" s="18">
        <f>IF(ISNUMBER(J143), $B145 * K143, "")</f>
        <v>326.26427406199485</v>
      </c>
      <c r="M143" s="31">
        <v>62</v>
      </c>
      <c r="N143" s="32">
        <f t="shared" si="77"/>
        <v>1.1419249592169705E-2</v>
      </c>
      <c r="O143" s="18">
        <f>IF(ISNUMBER(M143), $B145 * N143, "")</f>
        <v>1141.9249592169706</v>
      </c>
      <c r="Q143" s="227"/>
      <c r="R143" s="228"/>
      <c r="S143" s="229"/>
    </row>
    <row r="144" spans="1:19" ht="17.25" thickBot="1">
      <c r="A144" s="130" t="s">
        <v>150</v>
      </c>
      <c r="B144" s="131">
        <v>10.4</v>
      </c>
      <c r="C144" s="79">
        <v>-7.9646017700000002E-2</v>
      </c>
      <c r="D144" s="24">
        <v>10.4</v>
      </c>
      <c r="E144" s="25">
        <f t="shared" si="74"/>
        <v>0</v>
      </c>
      <c r="F144" s="104">
        <f>IF(ISNUMBER(D144), $B145 * E144, "")</f>
        <v>0</v>
      </c>
      <c r="G144" s="102">
        <v>10.5</v>
      </c>
      <c r="H144" s="25">
        <f t="shared" si="75"/>
        <v>9.6153846153845812E-3</v>
      </c>
      <c r="I144" s="103">
        <f>IF(ISNUMBER(G144), $B145 * H144, "")</f>
        <v>961.53846153845814</v>
      </c>
      <c r="J144" s="24">
        <v>10.4</v>
      </c>
      <c r="K144" s="25">
        <f t="shared" si="76"/>
        <v>0</v>
      </c>
      <c r="L144" s="104">
        <f>IF(ISNUMBER(J144), $B145 * K144, "")</f>
        <v>0</v>
      </c>
      <c r="M144" s="102">
        <v>10.6</v>
      </c>
      <c r="N144" s="25">
        <f t="shared" si="77"/>
        <v>1.9230769230769162E-2</v>
      </c>
      <c r="O144" s="104">
        <f>IF(ISNUMBER(M144), $B145 * N144, "")</f>
        <v>1923.0769230769163</v>
      </c>
      <c r="Q144" s="230"/>
      <c r="R144" s="231"/>
      <c r="S144" s="232"/>
    </row>
    <row r="145" spans="1:19" ht="17.25" thickBot="1">
      <c r="A145" s="132" t="s">
        <v>270</v>
      </c>
      <c r="B145" s="291">
        <f>$B$37</f>
        <v>100000</v>
      </c>
      <c r="C145" s="292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9.0863674332158188E-3</v>
      </c>
      <c r="I145" s="28">
        <f>SUM(I125:I144)</f>
        <v>18172.734866431634</v>
      </c>
      <c r="J145" s="26" t="s">
        <v>271</v>
      </c>
      <c r="K145" s="27">
        <f>IF(COUNT(K125:K144), SUM(K125:K144) / COUNT(K125:K144), 0)</f>
        <v>4.7255274825743505E-3</v>
      </c>
      <c r="L145" s="28">
        <f>SUM(L125:L144)</f>
        <v>9451.0549651486999</v>
      </c>
      <c r="M145" s="26" t="s">
        <v>271</v>
      </c>
      <c r="N145" s="27">
        <f>IF(COUNT(N125:N144), SUM(N125:N144) / COUNT(N125:N144), 0)</f>
        <v>1.3619597090125734E-2</v>
      </c>
      <c r="O145" s="28">
        <f>SUM(O125:O144)</f>
        <v>27239.194180251467</v>
      </c>
      <c r="Q145" s="233"/>
      <c r="R145" s="234"/>
      <c r="S145" s="23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48"/>
      <c r="R148" s="248"/>
      <c r="S148" s="248"/>
    </row>
    <row r="149" spans="1:19" ht="17.25" thickBot="1">
      <c r="A149" s="161" t="s">
        <v>267</v>
      </c>
      <c r="B149" s="249" t="s">
        <v>49</v>
      </c>
      <c r="C149" s="251"/>
      <c r="D149" s="249" t="s">
        <v>58</v>
      </c>
      <c r="E149" s="250"/>
      <c r="F149" s="251"/>
      <c r="G149" s="252">
        <f>_xlfn.IFNA(VLOOKUP(B149, 현재가테이블!$B$2:$D$200, 2, FALSE), "-")</f>
        <v>54440000</v>
      </c>
      <c r="H149" s="253"/>
      <c r="I149" s="254"/>
      <c r="J149" s="249" t="s">
        <v>59</v>
      </c>
      <c r="K149" s="250"/>
      <c r="L149" s="251"/>
      <c r="M149" s="255">
        <f>_xlfn.IFNA(VLOOKUP(B149, 현재가테이블!$B$2:$D$200, 3, FALSE), "-")</f>
        <v>1.07123628E-2</v>
      </c>
      <c r="N149" s="256"/>
      <c r="O149" s="257"/>
      <c r="Q149" s="248"/>
      <c r="R149" s="248"/>
      <c r="S149" s="248"/>
    </row>
    <row r="150" spans="1:19" ht="17.25" thickBot="1">
      <c r="A150" s="293" t="s">
        <v>55</v>
      </c>
      <c r="B150" s="289" t="str">
        <f>TEXT($G$1, "[$-ko-KR]yyyy-mm-dd(ddd) ") &amp; "오전 00:00"</f>
        <v>2021-08-02(월) 오전 00:00</v>
      </c>
      <c r="C150" s="290"/>
      <c r="D150" s="262" t="str">
        <f>TEXT($G$1, "[$-ko-KR]yyyy-mm-dd(ddd) ") &amp; "오후 14:00"</f>
        <v>2021-08-02(월) 오후 14:00</v>
      </c>
      <c r="E150" s="263"/>
      <c r="F150" s="264"/>
      <c r="G150" s="262" t="str">
        <f>TEXT($G$1, "[$-ko-KR]yyyy-mm-dd(ddd) ") &amp; "오후 19:00"</f>
        <v>2021-08-02(월) 오후 19:00</v>
      </c>
      <c r="H150" s="263"/>
      <c r="I150" s="264"/>
      <c r="J150" s="262" t="str">
        <f>TEXT($G$1, "[$-ko-KR]yyyy-mm-dd(ddd) ") &amp; "오후 21:00"</f>
        <v>2021-08-02(월) 오후 21:00</v>
      </c>
      <c r="K150" s="263"/>
      <c r="L150" s="264"/>
      <c r="M150" s="262" t="str">
        <f>TEXT($G$1+1, "[$-ko-KR]yyyy-mm-dd(ddd) ") &amp; "오전 00:00"</f>
        <v>2021-08-03(화) 오전 00:00</v>
      </c>
      <c r="N150" s="263"/>
      <c r="O150" s="264"/>
      <c r="Q150" s="248"/>
      <c r="R150" s="248"/>
      <c r="S150" s="248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8"/>
      <c r="R151" s="238"/>
      <c r="S151" s="238"/>
    </row>
    <row r="152" spans="1:19" ht="17.25" thickBot="1">
      <c r="A152" s="123" t="s">
        <v>104</v>
      </c>
      <c r="B152" s="124">
        <v>897</v>
      </c>
      <c r="C152" s="76">
        <v>-1.21145374E-2</v>
      </c>
      <c r="D152" s="13">
        <v>897</v>
      </c>
      <c r="E152" s="14">
        <f>IF(ISNUMBER(D152), (D152 - $B152) / $B152, "")</f>
        <v>0</v>
      </c>
      <c r="F152" s="16">
        <f>IF(ISNUMBER(D152), $B172 * E152, "")</f>
        <v>0</v>
      </c>
      <c r="G152" s="29">
        <v>924</v>
      </c>
      <c r="H152" s="14">
        <f>IF(ISNUMBER(G152), (G152 - $B152) / $B152, "")</f>
        <v>3.0100334448160536E-2</v>
      </c>
      <c r="I152" s="100">
        <f>IF(ISNUMBER(G152), $B172 * H152, "")</f>
        <v>3010.0334448160534</v>
      </c>
      <c r="J152" s="13">
        <v>926</v>
      </c>
      <c r="K152" s="14">
        <f>IF(ISNUMBER(J152), (J152 - $B152) / $B152, "")</f>
        <v>3.2329988851727984E-2</v>
      </c>
      <c r="L152" s="16">
        <f>IF(ISNUMBER(J152), $B172 * K152, "")</f>
        <v>3232.9988851727985</v>
      </c>
      <c r="M152" s="29">
        <v>947</v>
      </c>
      <c r="N152" s="14">
        <f>IF(ISNUMBER(M152), (M152 - $B152) / $B152, "")</f>
        <v>5.5741360089186176E-2</v>
      </c>
      <c r="O152" s="16">
        <f>IF(ISNUMBER(M152), $B172 * N152, "")</f>
        <v>5574.1360089186173</v>
      </c>
      <c r="Q152" s="248"/>
      <c r="R152" s="248"/>
      <c r="S152" s="248"/>
    </row>
    <row r="153" spans="1:19" ht="17.25" thickBot="1">
      <c r="A153" s="125" t="s">
        <v>206</v>
      </c>
      <c r="B153" s="126">
        <v>304</v>
      </c>
      <c r="C153" s="77">
        <v>-1.2987013E-2</v>
      </c>
      <c r="D153" s="15">
        <v>304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303</v>
      </c>
      <c r="H153" s="32">
        <f t="shared" ref="H153:H156" si="79">IF(ISNUMBER(G153), (G153 - $B153) / $B153, "")</f>
        <v>-3.2894736842105261E-3</v>
      </c>
      <c r="I153" s="101">
        <f>IF(ISNUMBER(G153), $B172 * H153, "")</f>
        <v>-328.9473684210526</v>
      </c>
      <c r="J153" s="15">
        <v>302</v>
      </c>
      <c r="K153" s="32">
        <f t="shared" ref="K153:K156" si="80">IF(ISNUMBER(J153), (J153 - $B153) / $B153, "")</f>
        <v>-6.5789473684210523E-3</v>
      </c>
      <c r="L153" s="18">
        <f>IF(ISNUMBER(J153), $B172 * K153, "")</f>
        <v>-657.8947368421052</v>
      </c>
      <c r="M153" s="31">
        <v>304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48"/>
      <c r="R153" s="248"/>
      <c r="S153" s="248"/>
    </row>
    <row r="154" spans="1:19" ht="17.25" thickBot="1">
      <c r="A154" s="125" t="s">
        <v>184</v>
      </c>
      <c r="B154" s="126">
        <v>898</v>
      </c>
      <c r="C154" s="77">
        <v>-1.31868132E-2</v>
      </c>
      <c r="D154" s="15">
        <v>898</v>
      </c>
      <c r="E154" s="32">
        <f t="shared" si="78"/>
        <v>0</v>
      </c>
      <c r="F154" s="18">
        <f>IF(ISNUMBER(D154), $B172 * E154, "")</f>
        <v>0</v>
      </c>
      <c r="G154" s="31">
        <v>902</v>
      </c>
      <c r="H154" s="32">
        <f t="shared" si="79"/>
        <v>4.4543429844097994E-3</v>
      </c>
      <c r="I154" s="101">
        <f>IF(ISNUMBER(G154), $B172 * H154, "")</f>
        <v>445.43429844097994</v>
      </c>
      <c r="J154" s="15">
        <v>897</v>
      </c>
      <c r="K154" s="32">
        <f t="shared" si="80"/>
        <v>-1.1135857461024498E-3</v>
      </c>
      <c r="L154" s="18">
        <f>IF(ISNUMBER(J154), $B172 * K154, "")</f>
        <v>-111.35857461024499</v>
      </c>
      <c r="M154" s="31">
        <v>905</v>
      </c>
      <c r="N154" s="32">
        <f t="shared" si="81"/>
        <v>7.7951002227171495E-3</v>
      </c>
      <c r="O154" s="18">
        <f>IF(ISNUMBER(M154), $B172 * N154, "")</f>
        <v>779.510022271715</v>
      </c>
      <c r="Q154" s="238"/>
      <c r="R154" s="238"/>
      <c r="S154" s="238"/>
    </row>
    <row r="155" spans="1:19" ht="17.25" thickBot="1">
      <c r="A155" s="125" t="s">
        <v>236</v>
      </c>
      <c r="B155" s="126">
        <v>558</v>
      </c>
      <c r="C155" s="77">
        <v>-1.4134275599999999E-2</v>
      </c>
      <c r="D155" s="15">
        <v>558</v>
      </c>
      <c r="E155" s="32">
        <f t="shared" si="78"/>
        <v>0</v>
      </c>
      <c r="F155" s="18">
        <f>IF(ISNUMBER(D155), $B172 * E155, "")</f>
        <v>0</v>
      </c>
      <c r="G155" s="31">
        <v>561</v>
      </c>
      <c r="H155" s="32">
        <f t="shared" si="79"/>
        <v>5.3763440860215058E-3</v>
      </c>
      <c r="I155" s="101">
        <f>IF(ISNUMBER(G155), $B172 * H155, "")</f>
        <v>537.63440860215053</v>
      </c>
      <c r="J155" s="15">
        <v>559</v>
      </c>
      <c r="K155" s="32">
        <f t="shared" si="80"/>
        <v>1.7921146953405018E-3</v>
      </c>
      <c r="L155" s="18">
        <f>IF(ISNUMBER(J155), $B172 * K155, "")</f>
        <v>179.21146953405017</v>
      </c>
      <c r="M155" s="31">
        <v>561</v>
      </c>
      <c r="N155" s="32">
        <f t="shared" si="81"/>
        <v>5.3763440860215058E-3</v>
      </c>
      <c r="O155" s="18">
        <f>IF(ISNUMBER(M155), $B172 * N155, "")</f>
        <v>537.63440860215053</v>
      </c>
      <c r="Q155" s="238"/>
      <c r="R155" s="238"/>
      <c r="S155" s="238"/>
    </row>
    <row r="156" spans="1:19" ht="17.25" thickBot="1">
      <c r="A156" s="127" t="s">
        <v>124</v>
      </c>
      <c r="B156" s="128">
        <v>306</v>
      </c>
      <c r="C156" s="78">
        <v>-1.60771704E-2</v>
      </c>
      <c r="D156" s="20">
        <v>306</v>
      </c>
      <c r="E156" s="21">
        <f t="shared" si="78"/>
        <v>0</v>
      </c>
      <c r="F156" s="22">
        <f>IF(ISNUMBER(D156), $B172 * E156, "")</f>
        <v>0</v>
      </c>
      <c r="G156" s="30">
        <v>307</v>
      </c>
      <c r="H156" s="21">
        <f t="shared" si="79"/>
        <v>3.2679738562091504E-3</v>
      </c>
      <c r="I156" s="105">
        <f>IF(ISNUMBER(G156), $B172 * H156, "")</f>
        <v>326.79738562091507</v>
      </c>
      <c r="J156" s="20">
        <v>306</v>
      </c>
      <c r="K156" s="21">
        <f t="shared" si="80"/>
        <v>0</v>
      </c>
      <c r="L156" s="22">
        <f>IF(ISNUMBER(J156), $B172 * K156, "")</f>
        <v>0</v>
      </c>
      <c r="M156" s="30">
        <v>308</v>
      </c>
      <c r="N156" s="21">
        <f t="shared" si="81"/>
        <v>6.5359477124183009E-3</v>
      </c>
      <c r="O156" s="22">
        <f>IF(ISNUMBER(M156), $B172 * N156, "")</f>
        <v>653.59477124183013</v>
      </c>
      <c r="Q156" s="238"/>
      <c r="R156" s="238"/>
      <c r="S156" s="238"/>
    </row>
    <row r="157" spans="1:19" ht="17.25" thickBot="1">
      <c r="A157" s="125" t="s">
        <v>230</v>
      </c>
      <c r="B157" s="129">
        <v>173</v>
      </c>
      <c r="C157" s="80">
        <v>-2.2598870100000001E-2</v>
      </c>
      <c r="D157" s="106">
        <v>173</v>
      </c>
      <c r="E157" s="107">
        <f>IF(ISNUMBER(D157), (D157 - $B157) / $B157, "")</f>
        <v>0</v>
      </c>
      <c r="F157" s="108">
        <f>IF(ISNUMBER(D157), $B172 * E157, "")</f>
        <v>0</v>
      </c>
      <c r="G157" s="109">
        <v>173</v>
      </c>
      <c r="H157" s="107">
        <f>IF(ISNUMBER(G157), (G157 - $B157) / $B157, "")</f>
        <v>0</v>
      </c>
      <c r="I157" s="110">
        <f>IF(ISNUMBER(G157), $B172 * H157, "")</f>
        <v>0</v>
      </c>
      <c r="J157" s="106">
        <v>172</v>
      </c>
      <c r="K157" s="107">
        <f>IF(ISNUMBER(J157), (J157 - $B157) / $B157, "")</f>
        <v>-5.7803468208092483E-3</v>
      </c>
      <c r="L157" s="108">
        <f>IF(ISNUMBER(J157), $B172 * K157, "")</f>
        <v>-578.03468208092488</v>
      </c>
      <c r="M157" s="109">
        <v>175</v>
      </c>
      <c r="N157" s="107">
        <f>IF(ISNUMBER(M157), (M157 - $B157) / $B157, "")</f>
        <v>1.1560693641618497E-2</v>
      </c>
      <c r="O157" s="108">
        <f>IF(ISNUMBER(M157), $B172 * N157, "")</f>
        <v>1156.0693641618498</v>
      </c>
      <c r="Q157" s="238"/>
      <c r="R157" s="238"/>
      <c r="S157" s="238"/>
    </row>
    <row r="158" spans="1:19" ht="17.25" thickBot="1">
      <c r="A158" s="125" t="s">
        <v>252</v>
      </c>
      <c r="B158" s="126">
        <v>875</v>
      </c>
      <c r="C158" s="77">
        <v>-2.34375E-2</v>
      </c>
      <c r="D158" s="15">
        <v>875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883</v>
      </c>
      <c r="H158" s="32">
        <f t="shared" ref="H158:H161" si="83">IF(ISNUMBER(G158), (G158 - $B158) / $B158, "")</f>
        <v>9.1428571428571435E-3</v>
      </c>
      <c r="I158" s="101">
        <f>IF(ISNUMBER(G158), $B172 * H158, "")</f>
        <v>914.28571428571433</v>
      </c>
      <c r="J158" s="15">
        <v>880</v>
      </c>
      <c r="K158" s="32">
        <f t="shared" ref="K158:K161" si="84">IF(ISNUMBER(J158), (J158 - $B158) / $B158, "")</f>
        <v>5.7142857142857143E-3</v>
      </c>
      <c r="L158" s="18">
        <f>IF(ISNUMBER(J158), $B172 * K158, "")</f>
        <v>571.42857142857144</v>
      </c>
      <c r="M158" s="31">
        <v>893</v>
      </c>
      <c r="N158" s="32">
        <f t="shared" ref="N158:N161" si="85">IF(ISNUMBER(M158), (M158 - $B158) / $B158, "")</f>
        <v>2.057142857142857E-2</v>
      </c>
      <c r="O158" s="18">
        <f>IF(ISNUMBER(M158), $B172 * N158, "")</f>
        <v>2057.1428571428569</v>
      </c>
      <c r="Q158" s="238"/>
      <c r="R158" s="238"/>
      <c r="S158" s="238"/>
    </row>
    <row r="159" spans="1:19" ht="17.25" thickBot="1">
      <c r="A159" s="125" t="s">
        <v>80</v>
      </c>
      <c r="B159" s="126">
        <v>747</v>
      </c>
      <c r="C159" s="77">
        <v>-2.35294118E-2</v>
      </c>
      <c r="D159" s="15">
        <v>747</v>
      </c>
      <c r="E159" s="32">
        <f t="shared" si="82"/>
        <v>0</v>
      </c>
      <c r="F159" s="18">
        <f>IF(ISNUMBER(D159), $B172 * E159, "")</f>
        <v>0</v>
      </c>
      <c r="G159" s="31">
        <v>758</v>
      </c>
      <c r="H159" s="32">
        <f t="shared" si="83"/>
        <v>1.4725568942436412E-2</v>
      </c>
      <c r="I159" s="101">
        <f>IF(ISNUMBER(G159), $B172 * H159, "")</f>
        <v>1472.5568942436412</v>
      </c>
      <c r="J159" s="15">
        <v>758</v>
      </c>
      <c r="K159" s="32">
        <f t="shared" si="84"/>
        <v>1.4725568942436412E-2</v>
      </c>
      <c r="L159" s="18">
        <f>IF(ISNUMBER(J159), $B172 * K159, "")</f>
        <v>1472.5568942436412</v>
      </c>
      <c r="M159" s="31">
        <v>767</v>
      </c>
      <c r="N159" s="32">
        <f t="shared" si="85"/>
        <v>2.677376171352075E-2</v>
      </c>
      <c r="O159" s="18">
        <f>IF(ISNUMBER(M159), $B172 * N159, "")</f>
        <v>2677.3761713520748</v>
      </c>
      <c r="Q159" s="238"/>
      <c r="R159" s="238"/>
      <c r="S159" s="238"/>
    </row>
    <row r="160" spans="1:19" ht="17.25" thickBot="1">
      <c r="A160" s="125" t="s">
        <v>192</v>
      </c>
      <c r="B160" s="126">
        <v>211</v>
      </c>
      <c r="C160" s="77">
        <v>-2.7649769599999999E-2</v>
      </c>
      <c r="D160" s="15">
        <v>211</v>
      </c>
      <c r="E160" s="32">
        <f t="shared" si="82"/>
        <v>0</v>
      </c>
      <c r="F160" s="18">
        <f>IF(ISNUMBER(D160), $B172 * E160, "")</f>
        <v>0</v>
      </c>
      <c r="G160" s="31">
        <v>208</v>
      </c>
      <c r="H160" s="32">
        <f t="shared" si="83"/>
        <v>-1.4218009478672985E-2</v>
      </c>
      <c r="I160" s="101">
        <f>IF(ISNUMBER(G160), $B172 * H160, "")</f>
        <v>-1421.8009478672984</v>
      </c>
      <c r="J160" s="15">
        <v>206</v>
      </c>
      <c r="K160" s="32">
        <f t="shared" si="84"/>
        <v>-2.3696682464454975E-2</v>
      </c>
      <c r="L160" s="18">
        <f>IF(ISNUMBER(J160), $B172 * K160, "")</f>
        <v>-2369.6682464454975</v>
      </c>
      <c r="M160" s="31">
        <v>209</v>
      </c>
      <c r="N160" s="32">
        <f t="shared" si="85"/>
        <v>-9.4786729857819912E-3</v>
      </c>
      <c r="O160" s="18">
        <f>IF(ISNUMBER(M160), $B172 * N160, "")</f>
        <v>-947.8672985781991</v>
      </c>
      <c r="Q160" s="33"/>
      <c r="R160" s="33"/>
    </row>
    <row r="161" spans="1:19" ht="17.25" thickBot="1">
      <c r="A161" s="130" t="s">
        <v>214</v>
      </c>
      <c r="B161" s="131">
        <v>558</v>
      </c>
      <c r="C161" s="79">
        <v>-2.7874564500000001E-2</v>
      </c>
      <c r="D161" s="24">
        <v>558</v>
      </c>
      <c r="E161" s="25">
        <f t="shared" si="82"/>
        <v>0</v>
      </c>
      <c r="F161" s="104">
        <f>IF(ISNUMBER(D161), $B172 * E161, "")</f>
        <v>0</v>
      </c>
      <c r="G161" s="102">
        <v>536</v>
      </c>
      <c r="H161" s="25">
        <f t="shared" si="83"/>
        <v>-3.9426523297491037E-2</v>
      </c>
      <c r="I161" s="103">
        <f>IF(ISNUMBER(G161), $B172 * H161, "")</f>
        <v>-3942.6523297491035</v>
      </c>
      <c r="J161" s="24">
        <v>535</v>
      </c>
      <c r="K161" s="25">
        <f t="shared" si="84"/>
        <v>-4.1218637992831542E-2</v>
      </c>
      <c r="L161" s="104">
        <f>IF(ISNUMBER(J161), $B172 * K161, "")</f>
        <v>-4121.8637992831545</v>
      </c>
      <c r="M161" s="102">
        <v>548</v>
      </c>
      <c r="N161" s="25">
        <f t="shared" si="85"/>
        <v>-1.7921146953405017E-2</v>
      </c>
      <c r="O161" s="104">
        <f>IF(ISNUMBER(M161), $B172 * N161, "")</f>
        <v>-1792.1146953405016</v>
      </c>
      <c r="Q161" s="239"/>
      <c r="R161" s="240"/>
      <c r="S161" s="241"/>
    </row>
    <row r="162" spans="1:19">
      <c r="A162" s="123" t="s">
        <v>174</v>
      </c>
      <c r="B162" s="124">
        <v>304</v>
      </c>
      <c r="C162" s="76">
        <v>-3.1847133800000003E-2</v>
      </c>
      <c r="D162" s="13">
        <v>304</v>
      </c>
      <c r="E162" s="14">
        <f>IF(ISNUMBER(D162), (D162 - $B162) / $B162, "")</f>
        <v>0</v>
      </c>
      <c r="F162" s="16">
        <f>IF(ISNUMBER(D162), $B172 * E162, "")</f>
        <v>0</v>
      </c>
      <c r="G162" s="29">
        <v>302</v>
      </c>
      <c r="H162" s="14">
        <f>IF(ISNUMBER(G162), (G162 - $B162) / $B162, "")</f>
        <v>-6.5789473684210523E-3</v>
      </c>
      <c r="I162" s="100">
        <f>IF(ISNUMBER(G162), $B172 * H162, "")</f>
        <v>-657.8947368421052</v>
      </c>
      <c r="J162" s="13">
        <v>302</v>
      </c>
      <c r="K162" s="14">
        <f>IF(ISNUMBER(J162), (J162 - $B162) / $B162, "")</f>
        <v>-6.5789473684210523E-3</v>
      </c>
      <c r="L162" s="16">
        <f>IF(ISNUMBER(J162), $B172 * K162, "")</f>
        <v>-657.8947368421052</v>
      </c>
      <c r="M162" s="29">
        <v>305</v>
      </c>
      <c r="N162" s="14">
        <f>IF(ISNUMBER(M162), (M162 - $B162) / $B162, "")</f>
        <v>3.2894736842105261E-3</v>
      </c>
      <c r="O162" s="16">
        <f>IF(ISNUMBER(M162), $B172 * N162, "")</f>
        <v>328.9473684210526</v>
      </c>
      <c r="Q162" s="242"/>
      <c r="R162" s="243"/>
      <c r="S162" s="244"/>
    </row>
    <row r="163" spans="1:19" ht="17.25" thickBot="1">
      <c r="A163" s="125" t="s">
        <v>222</v>
      </c>
      <c r="B163" s="126">
        <v>119</v>
      </c>
      <c r="C163" s="77">
        <v>-3.2520325199999998E-2</v>
      </c>
      <c r="D163" s="15">
        <v>119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120</v>
      </c>
      <c r="H163" s="32">
        <f t="shared" ref="H163:H166" si="87">IF(ISNUMBER(G163), (G163 - $B163) / $B163, "")</f>
        <v>8.4033613445378148E-3</v>
      </c>
      <c r="I163" s="101">
        <f>IF(ISNUMBER(G163), $B172 * H163, "")</f>
        <v>840.33613445378148</v>
      </c>
      <c r="J163" s="15">
        <v>119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120</v>
      </c>
      <c r="N163" s="32">
        <f t="shared" ref="N163:N166" si="89">IF(ISNUMBER(M163), (M163 - $B163) / $B163, "")</f>
        <v>8.4033613445378148E-3</v>
      </c>
      <c r="O163" s="18">
        <f>IF(ISNUMBER(M163), $B172 * N163, "")</f>
        <v>840.33613445378148</v>
      </c>
      <c r="Q163" s="245"/>
      <c r="R163" s="246"/>
      <c r="S163" s="247"/>
    </row>
    <row r="164" spans="1:19" ht="17.25" thickBot="1">
      <c r="A164" s="125" t="s">
        <v>242</v>
      </c>
      <c r="B164" s="126">
        <v>420</v>
      </c>
      <c r="C164" s="77">
        <v>-3.8901601799999998E-2</v>
      </c>
      <c r="D164" s="15">
        <v>420</v>
      </c>
      <c r="E164" s="32">
        <f t="shared" si="86"/>
        <v>0</v>
      </c>
      <c r="F164" s="18">
        <f>IF(ISNUMBER(D164), $B172 * E164, "")</f>
        <v>0</v>
      </c>
      <c r="G164" s="31">
        <v>421</v>
      </c>
      <c r="H164" s="32">
        <f t="shared" si="87"/>
        <v>2.3809523809523812E-3</v>
      </c>
      <c r="I164" s="101">
        <f>IF(ISNUMBER(G164), $B172 * H164, "")</f>
        <v>238.09523809523813</v>
      </c>
      <c r="J164" s="15">
        <v>419</v>
      </c>
      <c r="K164" s="32">
        <f t="shared" si="88"/>
        <v>-2.3809523809523812E-3</v>
      </c>
      <c r="L164" s="18">
        <f>IF(ISNUMBER(J164), $B172 * K164, "")</f>
        <v>-238.09523809523813</v>
      </c>
      <c r="M164" s="31">
        <v>425</v>
      </c>
      <c r="N164" s="32">
        <f t="shared" si="89"/>
        <v>1.1904761904761904E-2</v>
      </c>
      <c r="O164" s="18">
        <f>IF(ISNUMBER(M164), $B172 * N164, "")</f>
        <v>1190.4761904761904</v>
      </c>
      <c r="Q164" s="238"/>
      <c r="R164" s="238"/>
      <c r="S164" s="238"/>
    </row>
    <row r="165" spans="1:19" ht="17.25" thickBot="1">
      <c r="A165" s="125" t="s">
        <v>218</v>
      </c>
      <c r="B165" s="126">
        <v>118</v>
      </c>
      <c r="C165" s="77">
        <v>-4.06504065E-2</v>
      </c>
      <c r="D165" s="15">
        <v>118</v>
      </c>
      <c r="E165" s="32">
        <f t="shared" si="86"/>
        <v>0</v>
      </c>
      <c r="F165" s="18">
        <f>IF(ISNUMBER(D165), $B172 * E165, "")</f>
        <v>0</v>
      </c>
      <c r="G165" s="31">
        <v>119</v>
      </c>
      <c r="H165" s="32">
        <f t="shared" si="87"/>
        <v>8.4745762711864406E-3</v>
      </c>
      <c r="I165" s="101">
        <f>IF(ISNUMBER(G165), $B172 * H165, "")</f>
        <v>847.45762711864404</v>
      </c>
      <c r="J165" s="15">
        <v>117</v>
      </c>
      <c r="K165" s="32">
        <f t="shared" si="88"/>
        <v>-8.4745762711864406E-3</v>
      </c>
      <c r="L165" s="18">
        <f>IF(ISNUMBER(J165), $B172 * K165, "")</f>
        <v>-847.45762711864404</v>
      </c>
      <c r="M165" s="31">
        <v>121</v>
      </c>
      <c r="N165" s="32">
        <f t="shared" si="89"/>
        <v>2.5423728813559324E-2</v>
      </c>
      <c r="O165" s="18">
        <f>IF(ISNUMBER(M165), $B172 * N165, "")</f>
        <v>2542.3728813559323</v>
      </c>
      <c r="Q165" s="248"/>
      <c r="R165" s="248"/>
      <c r="S165" s="248"/>
    </row>
    <row r="166" spans="1:19" ht="17.25" thickBot="1">
      <c r="A166" s="127" t="s">
        <v>110</v>
      </c>
      <c r="B166" s="128">
        <v>127</v>
      </c>
      <c r="C166" s="78">
        <v>-5.2238805999999999E-2</v>
      </c>
      <c r="D166" s="20">
        <v>127</v>
      </c>
      <c r="E166" s="21">
        <f t="shared" si="86"/>
        <v>0</v>
      </c>
      <c r="F166" s="22">
        <f>IF(ISNUMBER(D166), $B172 * E166, "")</f>
        <v>0</v>
      </c>
      <c r="G166" s="30">
        <v>128</v>
      </c>
      <c r="H166" s="21">
        <f t="shared" si="87"/>
        <v>7.874015748031496E-3</v>
      </c>
      <c r="I166" s="105">
        <f>IF(ISNUMBER(G166), $B172 * H166, "")</f>
        <v>787.40157480314963</v>
      </c>
      <c r="J166" s="20">
        <v>128</v>
      </c>
      <c r="K166" s="21">
        <f t="shared" si="88"/>
        <v>7.874015748031496E-3</v>
      </c>
      <c r="L166" s="22">
        <f>IF(ISNUMBER(J166), $B172 * K166, "")</f>
        <v>787.40157480314963</v>
      </c>
      <c r="M166" s="30">
        <v>129</v>
      </c>
      <c r="N166" s="21">
        <f t="shared" si="89"/>
        <v>1.5748031496062992E-2</v>
      </c>
      <c r="O166" s="22">
        <f>IF(ISNUMBER(M166), $B172 * N166, "")</f>
        <v>1574.8031496062993</v>
      </c>
      <c r="Q166" s="248"/>
      <c r="R166" s="248"/>
      <c r="S166" s="248"/>
    </row>
    <row r="167" spans="1:19" ht="17.25" thickBot="1">
      <c r="A167" s="125" t="s">
        <v>254</v>
      </c>
      <c r="B167" s="129">
        <v>270</v>
      </c>
      <c r="C167" s="80">
        <v>-5.92334495E-2</v>
      </c>
      <c r="D167" s="106">
        <v>270</v>
      </c>
      <c r="E167" s="107">
        <f>IF(ISNUMBER(D167), (D167 - $B167) / $B167, "")</f>
        <v>0</v>
      </c>
      <c r="F167" s="108">
        <f>IF(ISNUMBER(D167), $B172 * E167, "")</f>
        <v>0</v>
      </c>
      <c r="G167" s="109">
        <v>266</v>
      </c>
      <c r="H167" s="107">
        <f>IF(ISNUMBER(G167), (G167 - $B167) / $B167, "")</f>
        <v>-1.4814814814814815E-2</v>
      </c>
      <c r="I167" s="110">
        <f>IF(ISNUMBER(G167), $B172 * H167, "")</f>
        <v>-1481.4814814814815</v>
      </c>
      <c r="J167" s="106">
        <v>267</v>
      </c>
      <c r="K167" s="107">
        <f>IF(ISNUMBER(J167), (J167 - $B167) / $B167, "")</f>
        <v>-1.1111111111111112E-2</v>
      </c>
      <c r="L167" s="108">
        <f>IF(ISNUMBER(J167), $B172 * K167, "")</f>
        <v>-1111.1111111111111</v>
      </c>
      <c r="M167" s="109">
        <v>272</v>
      </c>
      <c r="N167" s="107">
        <f>IF(ISNUMBER(M167), (M167 - $B167) / $B167, "")</f>
        <v>7.4074074074074077E-3</v>
      </c>
      <c r="O167" s="108">
        <f>IF(ISNUMBER(M167), $B172 * N167, "")</f>
        <v>740.74074074074076</v>
      </c>
      <c r="Q167" s="238"/>
      <c r="R167" s="238"/>
      <c r="S167" s="238"/>
    </row>
    <row r="168" spans="1:19" ht="17.25" thickBot="1">
      <c r="A168" s="125" t="s">
        <v>194</v>
      </c>
      <c r="B168" s="126">
        <v>129</v>
      </c>
      <c r="C168" s="77">
        <v>-6.5217391299999997E-2</v>
      </c>
      <c r="D168" s="15">
        <v>129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131</v>
      </c>
      <c r="H168" s="32">
        <f t="shared" ref="H168:H171" si="91">IF(ISNUMBER(G168), (G168 - $B168) / $B168, "")</f>
        <v>1.5503875968992248E-2</v>
      </c>
      <c r="I168" s="101">
        <f>IF(ISNUMBER(G168), $B172 * H168, "")</f>
        <v>1550.3875968992247</v>
      </c>
      <c r="J168" s="15">
        <v>132</v>
      </c>
      <c r="K168" s="32">
        <f t="shared" ref="K168:K171" si="92">IF(ISNUMBER(J168), (J168 - $B168) / $B168, "")</f>
        <v>2.3255813953488372E-2</v>
      </c>
      <c r="L168" s="18">
        <f>IF(ISNUMBER(J168), $B172 * K168, "")</f>
        <v>2325.5813953488373</v>
      </c>
      <c r="M168" s="31">
        <v>134</v>
      </c>
      <c r="N168" s="32">
        <f t="shared" ref="N168:N171" si="93">IF(ISNUMBER(M168), (M168 - $B168) / $B168, "")</f>
        <v>3.875968992248062E-2</v>
      </c>
      <c r="O168" s="18">
        <f>IF(ISNUMBER(M168), $B172 * N168, "")</f>
        <v>3875.968992248062</v>
      </c>
      <c r="Q168" s="238"/>
      <c r="R168" s="238"/>
      <c r="S168" s="238"/>
    </row>
    <row r="169" spans="1:19" ht="17.25" thickBot="1">
      <c r="A169" s="125" t="s">
        <v>200</v>
      </c>
      <c r="B169" s="126">
        <v>129</v>
      </c>
      <c r="C169" s="77">
        <v>-6.5217391299999997E-2</v>
      </c>
      <c r="D169" s="15">
        <v>129</v>
      </c>
      <c r="E169" s="32">
        <f t="shared" si="90"/>
        <v>0</v>
      </c>
      <c r="F169" s="18">
        <f>IF(ISNUMBER(D169), $B172 * E169, "")</f>
        <v>0</v>
      </c>
      <c r="G169" s="31">
        <v>130</v>
      </c>
      <c r="H169" s="32">
        <f t="shared" si="91"/>
        <v>7.7519379844961239E-3</v>
      </c>
      <c r="I169" s="101">
        <f>IF(ISNUMBER(G169), $B172 * H169, "")</f>
        <v>775.19379844961236</v>
      </c>
      <c r="J169" s="15">
        <v>131</v>
      </c>
      <c r="K169" s="32">
        <f t="shared" si="92"/>
        <v>1.5503875968992248E-2</v>
      </c>
      <c r="L169" s="18">
        <f>IF(ISNUMBER(J169), $B172 * K169, "")</f>
        <v>1550.3875968992247</v>
      </c>
      <c r="M169" s="31">
        <v>132</v>
      </c>
      <c r="N169" s="32">
        <f t="shared" si="93"/>
        <v>2.3255813953488372E-2</v>
      </c>
      <c r="O169" s="18">
        <f>IF(ISNUMBER(M169), $B172 * N169, "")</f>
        <v>2325.5813953488373</v>
      </c>
      <c r="Q169" s="238"/>
      <c r="R169" s="238"/>
      <c r="S169" s="238"/>
    </row>
    <row r="170" spans="1:19">
      <c r="A170" s="125" t="s">
        <v>220</v>
      </c>
      <c r="B170" s="126">
        <v>203</v>
      </c>
      <c r="C170" s="77">
        <v>-0.1017699115</v>
      </c>
      <c r="D170" s="15">
        <v>203</v>
      </c>
      <c r="E170" s="32">
        <f t="shared" si="90"/>
        <v>0</v>
      </c>
      <c r="F170" s="18">
        <f>IF(ISNUMBER(D170), $B172 * E170, "")</f>
        <v>0</v>
      </c>
      <c r="G170" s="31">
        <v>204</v>
      </c>
      <c r="H170" s="32">
        <f t="shared" si="91"/>
        <v>4.9261083743842365E-3</v>
      </c>
      <c r="I170" s="101">
        <f>IF(ISNUMBER(G170), $B172 * H170, "")</f>
        <v>492.61083743842363</v>
      </c>
      <c r="J170" s="15">
        <v>205</v>
      </c>
      <c r="K170" s="32">
        <f t="shared" si="92"/>
        <v>9.852216748768473E-3</v>
      </c>
      <c r="L170" s="18">
        <f>IF(ISNUMBER(J170), $B172 * K170, "")</f>
        <v>985.22167487684726</v>
      </c>
      <c r="M170" s="31">
        <v>208</v>
      </c>
      <c r="N170" s="32">
        <f t="shared" si="93"/>
        <v>2.4630541871921183E-2</v>
      </c>
      <c r="O170" s="18">
        <f>IF(ISNUMBER(M170), $B172 * N170, "")</f>
        <v>2463.0541871921182</v>
      </c>
      <c r="Q170" s="227"/>
      <c r="R170" s="228"/>
      <c r="S170" s="229"/>
    </row>
    <row r="171" spans="1:19" ht="17.25" thickBot="1">
      <c r="A171" s="130" t="s">
        <v>144</v>
      </c>
      <c r="B171" s="131">
        <v>105</v>
      </c>
      <c r="C171" s="79">
        <v>-0.132231405</v>
      </c>
      <c r="D171" s="24">
        <v>105</v>
      </c>
      <c r="E171" s="25">
        <f t="shared" si="90"/>
        <v>0</v>
      </c>
      <c r="F171" s="104">
        <f>IF(ISNUMBER(D171), $B172 * E171, "")</f>
        <v>0</v>
      </c>
      <c r="G171" s="102">
        <v>112</v>
      </c>
      <c r="H171" s="25">
        <f t="shared" si="91"/>
        <v>6.6666666666666666E-2</v>
      </c>
      <c r="I171" s="103">
        <f>IF(ISNUMBER(G171), $B172 * H171, "")</f>
        <v>6666.666666666667</v>
      </c>
      <c r="J171" s="24">
        <v>110</v>
      </c>
      <c r="K171" s="25">
        <f t="shared" si="92"/>
        <v>4.7619047619047616E-2</v>
      </c>
      <c r="L171" s="104">
        <f>IF(ISNUMBER(J171), $B172 * K171, "")</f>
        <v>4761.9047619047615</v>
      </c>
      <c r="M171" s="102">
        <v>113</v>
      </c>
      <c r="N171" s="25">
        <f t="shared" si="93"/>
        <v>7.6190476190476197E-2</v>
      </c>
      <c r="O171" s="104">
        <f>IF(ISNUMBER(M171), $B172 * N171, "")</f>
        <v>7619.0476190476202</v>
      </c>
      <c r="Q171" s="230"/>
      <c r="R171" s="231"/>
      <c r="S171" s="232"/>
    </row>
    <row r="172" spans="1:19" ht="17.25" thickBot="1">
      <c r="A172" s="132" t="s">
        <v>270</v>
      </c>
      <c r="B172" s="291">
        <f>$B$37</f>
        <v>100000</v>
      </c>
      <c r="C172" s="292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5.5360573777865768E-3</v>
      </c>
      <c r="I172" s="28">
        <f>SUM(I152:I171)</f>
        <v>11072.114755573155</v>
      </c>
      <c r="J172" s="26" t="s">
        <v>271</v>
      </c>
      <c r="K172" s="27">
        <f>IF(COUNT(K152:K171), SUM(K152:K171) / COUNT(K152:K171), 0)</f>
        <v>2.5866570358914279E-3</v>
      </c>
      <c r="L172" s="28">
        <f>SUM(L152:L171)</f>
        <v>5173.3140717828564</v>
      </c>
      <c r="M172" s="26" t="s">
        <v>271</v>
      </c>
      <c r="N172" s="27">
        <f>IF(COUNT(N152:N171), SUM(N152:N171) / COUNT(N152:N171), 0)</f>
        <v>1.7098405134331512E-2</v>
      </c>
      <c r="O172" s="28">
        <f>SUM(O152:O171)</f>
        <v>34196.810268663023</v>
      </c>
      <c r="Q172" s="233"/>
      <c r="R172" s="234"/>
      <c r="S172" s="23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48"/>
      <c r="R175" s="248"/>
      <c r="S175" s="248"/>
    </row>
    <row r="176" spans="1:19" ht="17.25" thickBot="1">
      <c r="A176" s="161" t="s">
        <v>267</v>
      </c>
      <c r="B176" s="249" t="s">
        <v>49</v>
      </c>
      <c r="C176" s="251"/>
      <c r="D176" s="249" t="s">
        <v>58</v>
      </c>
      <c r="E176" s="250"/>
      <c r="F176" s="251"/>
      <c r="G176" s="252">
        <f>_xlfn.IFNA(VLOOKUP(B176, 현재가테이블!$B$2:$D$200, 2, FALSE), "-")</f>
        <v>54440000</v>
      </c>
      <c r="H176" s="253"/>
      <c r="I176" s="254"/>
      <c r="J176" s="249" t="s">
        <v>59</v>
      </c>
      <c r="K176" s="250"/>
      <c r="L176" s="251"/>
      <c r="M176" s="255">
        <f>_xlfn.IFNA(VLOOKUP(B176, 현재가테이블!$B$2:$D$200, 3, FALSE), "-")</f>
        <v>1.07123628E-2</v>
      </c>
      <c r="N176" s="256"/>
      <c r="O176" s="257"/>
      <c r="Q176" s="248"/>
      <c r="R176" s="248"/>
      <c r="S176" s="248"/>
    </row>
    <row r="177" spans="1:19" ht="17.25" thickBot="1">
      <c r="A177" s="293" t="s">
        <v>55</v>
      </c>
      <c r="B177" s="289" t="str">
        <f>TEXT($G$1, "[$-ko-KR]yyyy-mm-dd(ddd) ") &amp; "오전 00:00"</f>
        <v>2021-08-02(월) 오전 00:00</v>
      </c>
      <c r="C177" s="290"/>
      <c r="D177" s="262" t="str">
        <f>TEXT($G$1, "[$-ko-KR]yyyy-mm-dd(ddd) ") &amp; "오후 14:00"</f>
        <v>2021-08-02(월) 오후 14:00</v>
      </c>
      <c r="E177" s="263"/>
      <c r="F177" s="264"/>
      <c r="G177" s="262" t="str">
        <f>TEXT($G$1, "[$-ko-KR]yyyy-mm-dd(ddd) ") &amp; "오후 19:00"</f>
        <v>2021-08-02(월) 오후 19:00</v>
      </c>
      <c r="H177" s="263"/>
      <c r="I177" s="264"/>
      <c r="J177" s="262" t="str">
        <f>TEXT($G$1, "[$-ko-KR]yyyy-mm-dd(ddd) ") &amp; "오후 21:00"</f>
        <v>2021-08-02(월) 오후 21:00</v>
      </c>
      <c r="K177" s="263"/>
      <c r="L177" s="264"/>
      <c r="M177" s="262" t="str">
        <f>TEXT($G$1+1, "[$-ko-KR]yyyy-mm-dd(ddd) ") &amp; "오전 00:00"</f>
        <v>2021-08-03(화) 오전 00:00</v>
      </c>
      <c r="N177" s="263"/>
      <c r="O177" s="264"/>
      <c r="Q177" s="248"/>
      <c r="R177" s="248"/>
      <c r="S177" s="248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8"/>
      <c r="R178" s="238"/>
      <c r="S178" s="238"/>
    </row>
    <row r="179" spans="1:19" ht="17.25" thickBot="1">
      <c r="A179" s="123" t="s">
        <v>210</v>
      </c>
      <c r="B179" s="124">
        <v>10.4</v>
      </c>
      <c r="C179" s="76">
        <v>-3.7037037000000002E-2</v>
      </c>
      <c r="D179" s="13">
        <v>10.4</v>
      </c>
      <c r="E179" s="14">
        <f>IF(ISNUMBER(D179), (D179 - $B179) / $B179, "")</f>
        <v>0</v>
      </c>
      <c r="F179" s="16">
        <f>IF(ISNUMBER(D179), $B199 * E179, "")</f>
        <v>0</v>
      </c>
      <c r="G179" s="29">
        <v>10.4</v>
      </c>
      <c r="H179" s="14">
        <f>IF(ISNUMBER(G179), (G179 - $B179) / $B179, "")</f>
        <v>0</v>
      </c>
      <c r="I179" s="100">
        <f>IF(ISNUMBER(G179), $B199 * H179, "")</f>
        <v>0</v>
      </c>
      <c r="J179" s="13">
        <v>10.3</v>
      </c>
      <c r="K179" s="14">
        <f>IF(ISNUMBER(J179), (J179 - $B179) / $B179, "")</f>
        <v>-9.6153846153845812E-3</v>
      </c>
      <c r="L179" s="16">
        <f>IF(ISNUMBER(J179), $B199 * K179, "")</f>
        <v>-961.53846153845814</v>
      </c>
      <c r="M179" s="29">
        <v>10.5</v>
      </c>
      <c r="N179" s="14">
        <f>IF(ISNUMBER(M179), (M179 - $B179) / $B179, "")</f>
        <v>9.6153846153845812E-3</v>
      </c>
      <c r="O179" s="16">
        <f>IF(ISNUMBER(M179), $B199 * N179, "")</f>
        <v>961.53846153845814</v>
      </c>
      <c r="Q179" s="248"/>
      <c r="R179" s="248"/>
      <c r="S179" s="248"/>
    </row>
    <row r="180" spans="1:19" ht="17.25" thickBot="1">
      <c r="A180" s="125" t="s">
        <v>246</v>
      </c>
      <c r="B180" s="126">
        <v>8135</v>
      </c>
      <c r="C180" s="77">
        <v>-3.7847427599999997E-2</v>
      </c>
      <c r="D180" s="15">
        <v>8135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8080</v>
      </c>
      <c r="H180" s="32">
        <f t="shared" ref="H180:H183" si="95">IF(ISNUMBER(G180), (G180 - $B180) / $B180, "")</f>
        <v>-6.7609096496619543E-3</v>
      </c>
      <c r="I180" s="101">
        <f>IF(ISNUMBER(G180), $B199 * H180, "")</f>
        <v>-676.09096496619543</v>
      </c>
      <c r="J180" s="15">
        <v>8075</v>
      </c>
      <c r="K180" s="32">
        <f t="shared" ref="K180:K183" si="96">IF(ISNUMBER(J180), (J180 - $B180) / $B180, "")</f>
        <v>-7.3755377996312229E-3</v>
      </c>
      <c r="L180" s="18">
        <f>IF(ISNUMBER(J180), $B199 * K180, "")</f>
        <v>-737.55377996312234</v>
      </c>
      <c r="M180" s="31">
        <v>8185</v>
      </c>
      <c r="N180" s="32">
        <f t="shared" ref="N180:N183" si="97">IF(ISNUMBER(M180), (M180 - $B180) / $B180, "")</f>
        <v>6.1462814996926856E-3</v>
      </c>
      <c r="O180" s="18">
        <f>IF(ISNUMBER(M180), $B199 * N180, "")</f>
        <v>614.62814996926852</v>
      </c>
      <c r="Q180" s="248"/>
      <c r="R180" s="248"/>
      <c r="S180" s="248"/>
    </row>
    <row r="181" spans="1:19" ht="17.25" thickBot="1">
      <c r="A181" s="125" t="s">
        <v>178</v>
      </c>
      <c r="B181" s="126">
        <v>14.9</v>
      </c>
      <c r="C181" s="77">
        <v>-3.8709677400000003E-2</v>
      </c>
      <c r="D181" s="15">
        <v>14.9</v>
      </c>
      <c r="E181" s="32">
        <f t="shared" si="94"/>
        <v>0</v>
      </c>
      <c r="F181" s="18">
        <f>IF(ISNUMBER(D181), $B199 * E181, "")</f>
        <v>0</v>
      </c>
      <c r="G181" s="31">
        <v>14.9</v>
      </c>
      <c r="H181" s="32">
        <f t="shared" si="95"/>
        <v>0</v>
      </c>
      <c r="I181" s="101">
        <f>IF(ISNUMBER(G181), $B199 * H181, "")</f>
        <v>0</v>
      </c>
      <c r="J181" s="15">
        <v>14.8</v>
      </c>
      <c r="K181" s="32">
        <f t="shared" si="96"/>
        <v>-6.7114093959731299E-3</v>
      </c>
      <c r="L181" s="18">
        <f>IF(ISNUMBER(J181), $B199 * K181, "")</f>
        <v>-671.14093959731304</v>
      </c>
      <c r="M181" s="31">
        <v>15</v>
      </c>
      <c r="N181" s="32">
        <f t="shared" si="97"/>
        <v>6.7114093959731299E-3</v>
      </c>
      <c r="O181" s="18">
        <f>IF(ISNUMBER(M181), $B199 * N181, "")</f>
        <v>671.14093959731304</v>
      </c>
      <c r="Q181" s="238"/>
      <c r="R181" s="238"/>
      <c r="S181" s="238"/>
    </row>
    <row r="182" spans="1:19" ht="17.25" thickBot="1">
      <c r="A182" s="125" t="s">
        <v>242</v>
      </c>
      <c r="B182" s="126">
        <v>420</v>
      </c>
      <c r="C182" s="77">
        <v>-3.8901601799999998E-2</v>
      </c>
      <c r="D182" s="15">
        <v>420</v>
      </c>
      <c r="E182" s="32">
        <f t="shared" si="94"/>
        <v>0</v>
      </c>
      <c r="F182" s="18">
        <f>IF(ISNUMBER(D182), $B199 * E182, "")</f>
        <v>0</v>
      </c>
      <c r="G182" s="31">
        <v>421</v>
      </c>
      <c r="H182" s="32">
        <f t="shared" si="95"/>
        <v>2.3809523809523812E-3</v>
      </c>
      <c r="I182" s="101">
        <f>IF(ISNUMBER(G182), $B199 * H182, "")</f>
        <v>238.09523809523813</v>
      </c>
      <c r="J182" s="15">
        <v>419</v>
      </c>
      <c r="K182" s="32">
        <f t="shared" si="96"/>
        <v>-2.3809523809523812E-3</v>
      </c>
      <c r="L182" s="18">
        <f>IF(ISNUMBER(J182), $B199 * K182, "")</f>
        <v>-238.09523809523813</v>
      </c>
      <c r="M182" s="31">
        <v>425</v>
      </c>
      <c r="N182" s="32">
        <f t="shared" si="97"/>
        <v>1.1904761904761904E-2</v>
      </c>
      <c r="O182" s="18">
        <f>IF(ISNUMBER(M182), $B199 * N182, "")</f>
        <v>1190.4761904761904</v>
      </c>
      <c r="Q182" s="238"/>
      <c r="R182" s="238"/>
      <c r="S182" s="238"/>
    </row>
    <row r="183" spans="1:19" ht="17.25" thickBot="1">
      <c r="A183" s="127" t="s">
        <v>204</v>
      </c>
      <c r="B183" s="128">
        <v>12.3</v>
      </c>
      <c r="C183" s="78">
        <v>-3.90625E-2</v>
      </c>
      <c r="D183" s="20">
        <v>12.3</v>
      </c>
      <c r="E183" s="21">
        <f t="shared" si="94"/>
        <v>0</v>
      </c>
      <c r="F183" s="22">
        <f>IF(ISNUMBER(D183), $B199 * E183, "")</f>
        <v>0</v>
      </c>
      <c r="G183" s="30">
        <v>12.7</v>
      </c>
      <c r="H183" s="21">
        <f t="shared" si="95"/>
        <v>3.2520325203251918E-2</v>
      </c>
      <c r="I183" s="105">
        <f>IF(ISNUMBER(G183), $B199 * H183, "")</f>
        <v>3252.0325203251919</v>
      </c>
      <c r="J183" s="20">
        <v>12.6</v>
      </c>
      <c r="K183" s="21">
        <f t="shared" si="96"/>
        <v>2.4390243902438935E-2</v>
      </c>
      <c r="L183" s="22">
        <f>IF(ISNUMBER(J183), $B199 * K183, "")</f>
        <v>2439.0243902438933</v>
      </c>
      <c r="M183" s="30">
        <v>12.6</v>
      </c>
      <c r="N183" s="21">
        <f t="shared" si="97"/>
        <v>2.4390243902438935E-2</v>
      </c>
      <c r="O183" s="22">
        <f>IF(ISNUMBER(M183), $B199 * N183, "")</f>
        <v>2439.0243902438933</v>
      </c>
      <c r="Q183" s="238"/>
      <c r="R183" s="238"/>
      <c r="S183" s="238"/>
    </row>
    <row r="184" spans="1:19" ht="17.25" thickBot="1">
      <c r="A184" s="125" t="s">
        <v>202</v>
      </c>
      <c r="B184" s="129">
        <v>62.8</v>
      </c>
      <c r="C184" s="80">
        <v>-3.9755351699999997E-2</v>
      </c>
      <c r="D184" s="106">
        <v>62.8</v>
      </c>
      <c r="E184" s="107">
        <f>IF(ISNUMBER(D184), (D184 - $B184) / $B184, "")</f>
        <v>0</v>
      </c>
      <c r="F184" s="108">
        <f>IF(ISNUMBER(D184), $B199 * E184, "")</f>
        <v>0</v>
      </c>
      <c r="G184" s="109">
        <v>62.7</v>
      </c>
      <c r="H184" s="107">
        <f>IF(ISNUMBER(G184), (G184 - $B184) / $B184, "")</f>
        <v>-1.5923566878979988E-3</v>
      </c>
      <c r="I184" s="110">
        <f>IF(ISNUMBER(G184), $B199 * H184, "")</f>
        <v>-159.23566878979989</v>
      </c>
      <c r="J184" s="106">
        <v>62.5</v>
      </c>
      <c r="K184" s="107">
        <f>IF(ISNUMBER(J184), (J184 - $B184) / $B184, "")</f>
        <v>-4.7770700636942222E-3</v>
      </c>
      <c r="L184" s="108">
        <f>IF(ISNUMBER(J184), $B199 * K184, "")</f>
        <v>-477.70700636942223</v>
      </c>
      <c r="M184" s="109">
        <v>62.7</v>
      </c>
      <c r="N184" s="107">
        <f>IF(ISNUMBER(M184), (M184 - $B184) / $B184, "")</f>
        <v>-1.5923566878979988E-3</v>
      </c>
      <c r="O184" s="108">
        <f>IF(ISNUMBER(M184), $B199 * N184, "")</f>
        <v>-159.23566878979989</v>
      </c>
      <c r="Q184" s="238"/>
      <c r="R184" s="238"/>
      <c r="S184" s="238"/>
    </row>
    <row r="185" spans="1:19" ht="17.25" thickBot="1">
      <c r="A185" s="125" t="s">
        <v>218</v>
      </c>
      <c r="B185" s="126">
        <v>118</v>
      </c>
      <c r="C185" s="77">
        <v>-4.06504065E-2</v>
      </c>
      <c r="D185" s="15">
        <v>118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119</v>
      </c>
      <c r="H185" s="32">
        <f t="shared" ref="H185:H188" si="99">IF(ISNUMBER(G185), (G185 - $B185) / $B185, "")</f>
        <v>8.4745762711864406E-3</v>
      </c>
      <c r="I185" s="101">
        <f>IF(ISNUMBER(G185), $B199 * H185, "")</f>
        <v>847.45762711864404</v>
      </c>
      <c r="J185" s="15">
        <v>117</v>
      </c>
      <c r="K185" s="32">
        <f t="shared" ref="K185:K188" si="100">IF(ISNUMBER(J185), (J185 - $B185) / $B185, "")</f>
        <v>-8.4745762711864406E-3</v>
      </c>
      <c r="L185" s="18">
        <f>IF(ISNUMBER(J185), $B199 * K185, "")</f>
        <v>-847.45762711864404</v>
      </c>
      <c r="M185" s="31">
        <v>121</v>
      </c>
      <c r="N185" s="32">
        <f t="shared" ref="N185:N188" si="101">IF(ISNUMBER(M185), (M185 - $B185) / $B185, "")</f>
        <v>2.5423728813559324E-2</v>
      </c>
      <c r="O185" s="18">
        <f>IF(ISNUMBER(M185), $B199 * N185, "")</f>
        <v>2542.3728813559323</v>
      </c>
      <c r="Q185" s="238"/>
      <c r="R185" s="238"/>
      <c r="S185" s="238"/>
    </row>
    <row r="186" spans="1:19" ht="17.25" thickBot="1">
      <c r="A186" s="125" t="s">
        <v>134</v>
      </c>
      <c r="B186" s="126">
        <v>20420</v>
      </c>
      <c r="C186" s="77">
        <v>-4.2662916100000003E-2</v>
      </c>
      <c r="D186" s="15">
        <v>20420</v>
      </c>
      <c r="E186" s="32">
        <f t="shared" si="98"/>
        <v>0</v>
      </c>
      <c r="F186" s="18">
        <f>IF(ISNUMBER(D186), $B199 * E186, "")</f>
        <v>0</v>
      </c>
      <c r="G186" s="31">
        <v>21050</v>
      </c>
      <c r="H186" s="32">
        <f t="shared" si="99"/>
        <v>3.0852105778648383E-2</v>
      </c>
      <c r="I186" s="101">
        <f>IF(ISNUMBER(G186), $B199 * H186, "")</f>
        <v>3085.2105778648383</v>
      </c>
      <c r="J186" s="15">
        <v>21000</v>
      </c>
      <c r="K186" s="32">
        <f t="shared" si="100"/>
        <v>2.8403525954946131E-2</v>
      </c>
      <c r="L186" s="18">
        <f>IF(ISNUMBER(J186), $B199 * K186, "")</f>
        <v>2840.3525954946131</v>
      </c>
      <c r="M186" s="31">
        <v>21160</v>
      </c>
      <c r="N186" s="32">
        <f t="shared" si="101"/>
        <v>3.6238981390793339E-2</v>
      </c>
      <c r="O186" s="18">
        <f>IF(ISNUMBER(M186), $B199 * N186, "")</f>
        <v>3623.8981390793338</v>
      </c>
      <c r="Q186" s="238"/>
      <c r="R186" s="238"/>
      <c r="S186" s="238"/>
    </row>
    <row r="187" spans="1:19" ht="17.25" thickBot="1">
      <c r="A187" s="125" t="s">
        <v>176</v>
      </c>
      <c r="B187" s="126">
        <v>1325</v>
      </c>
      <c r="C187" s="77">
        <v>-4.6762589899999998E-2</v>
      </c>
      <c r="D187" s="15">
        <v>1325</v>
      </c>
      <c r="E187" s="32">
        <f t="shared" si="98"/>
        <v>0</v>
      </c>
      <c r="F187" s="18">
        <f>IF(ISNUMBER(D187), $B199 * E187, "")</f>
        <v>0</v>
      </c>
      <c r="G187" s="31">
        <v>1330</v>
      </c>
      <c r="H187" s="32">
        <f t="shared" si="99"/>
        <v>3.7735849056603774E-3</v>
      </c>
      <c r="I187" s="101">
        <f>IF(ISNUMBER(G187), $B199 * H187, "")</f>
        <v>377.35849056603774</v>
      </c>
      <c r="J187" s="15">
        <v>1325</v>
      </c>
      <c r="K187" s="32">
        <f t="shared" si="100"/>
        <v>0</v>
      </c>
      <c r="L187" s="18">
        <f>IF(ISNUMBER(J187), $B199 * K187, "")</f>
        <v>0</v>
      </c>
      <c r="M187" s="31">
        <v>1355</v>
      </c>
      <c r="N187" s="32">
        <f t="shared" si="101"/>
        <v>2.2641509433962263E-2</v>
      </c>
      <c r="O187" s="18">
        <f>IF(ISNUMBER(M187), $B199 * N187, "")</f>
        <v>2264.1509433962265</v>
      </c>
      <c r="Q187" s="33"/>
      <c r="R187" s="33"/>
    </row>
    <row r="188" spans="1:19" ht="17.25" thickBot="1">
      <c r="A188" s="130" t="s">
        <v>244</v>
      </c>
      <c r="B188" s="131">
        <v>1285</v>
      </c>
      <c r="C188" s="79">
        <v>-4.8148148100000003E-2</v>
      </c>
      <c r="D188" s="24">
        <v>1285</v>
      </c>
      <c r="E188" s="25">
        <f t="shared" si="98"/>
        <v>0</v>
      </c>
      <c r="F188" s="104">
        <f>IF(ISNUMBER(D188), $B199 * E188, "")</f>
        <v>0</v>
      </c>
      <c r="G188" s="102">
        <v>1290</v>
      </c>
      <c r="H188" s="25">
        <f t="shared" si="99"/>
        <v>3.8910505836575876E-3</v>
      </c>
      <c r="I188" s="103">
        <f>IF(ISNUMBER(G188), $B199 * H188, "")</f>
        <v>389.10505836575874</v>
      </c>
      <c r="J188" s="24">
        <v>1275</v>
      </c>
      <c r="K188" s="25">
        <f t="shared" si="100"/>
        <v>-7.7821011673151752E-3</v>
      </c>
      <c r="L188" s="104">
        <f>IF(ISNUMBER(J188), $B199 * K188, "")</f>
        <v>-778.21011673151747</v>
      </c>
      <c r="M188" s="102">
        <v>1295</v>
      </c>
      <c r="N188" s="25">
        <f t="shared" si="101"/>
        <v>7.7821011673151752E-3</v>
      </c>
      <c r="O188" s="104">
        <f>IF(ISNUMBER(M188), $B199 * N188, "")</f>
        <v>778.21011673151747</v>
      </c>
      <c r="Q188" s="239"/>
      <c r="R188" s="240"/>
      <c r="S188" s="241"/>
    </row>
    <row r="189" spans="1:19">
      <c r="A189" s="123" t="s">
        <v>224</v>
      </c>
      <c r="B189" s="124">
        <v>3800</v>
      </c>
      <c r="C189" s="76">
        <v>-5.11860175E-2</v>
      </c>
      <c r="D189" s="13">
        <v>3800</v>
      </c>
      <c r="E189" s="14">
        <f>IF(ISNUMBER(D189), (D189 - $B189) / $B189, "")</f>
        <v>0</v>
      </c>
      <c r="F189" s="16">
        <f>IF(ISNUMBER(D189), $B199 * E189, "")</f>
        <v>0</v>
      </c>
      <c r="G189" s="29">
        <v>3860</v>
      </c>
      <c r="H189" s="14">
        <f>IF(ISNUMBER(G189), (G189 - $B189) / $B189, "")</f>
        <v>1.5789473684210527E-2</v>
      </c>
      <c r="I189" s="100">
        <f>IF(ISNUMBER(G189), $B199 * H189, "")</f>
        <v>1578.9473684210527</v>
      </c>
      <c r="J189" s="13">
        <v>3850</v>
      </c>
      <c r="K189" s="14">
        <f>IF(ISNUMBER(J189), (J189 - $B189) / $B189, "")</f>
        <v>1.3157894736842105E-2</v>
      </c>
      <c r="L189" s="16">
        <f>IF(ISNUMBER(J189), $B199 * K189, "")</f>
        <v>1315.7894736842104</v>
      </c>
      <c r="M189" s="29">
        <v>3890</v>
      </c>
      <c r="N189" s="14">
        <f>IF(ISNUMBER(M189), (M189 - $B189) / $B189, "")</f>
        <v>2.368421052631579E-2</v>
      </c>
      <c r="O189" s="16">
        <f>IF(ISNUMBER(M189), $B199 * N189, "")</f>
        <v>2368.4210526315792</v>
      </c>
      <c r="Q189" s="242"/>
      <c r="R189" s="243"/>
      <c r="S189" s="244"/>
    </row>
    <row r="190" spans="1:19" ht="17.25" thickBot="1">
      <c r="A190" s="125" t="s">
        <v>110</v>
      </c>
      <c r="B190" s="126">
        <v>127</v>
      </c>
      <c r="C190" s="77">
        <v>-5.2238805999999999E-2</v>
      </c>
      <c r="D190" s="15">
        <v>127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128</v>
      </c>
      <c r="H190" s="32">
        <f t="shared" ref="H190:H193" si="103">IF(ISNUMBER(G190), (G190 - $B190) / $B190, "")</f>
        <v>7.874015748031496E-3</v>
      </c>
      <c r="I190" s="101">
        <f>IF(ISNUMBER(G190), $B199 * H190, "")</f>
        <v>787.40157480314963</v>
      </c>
      <c r="J190" s="15">
        <v>128</v>
      </c>
      <c r="K190" s="32">
        <f t="shared" ref="K190:K193" si="104">IF(ISNUMBER(J190), (J190 - $B190) / $B190, "")</f>
        <v>7.874015748031496E-3</v>
      </c>
      <c r="L190" s="18">
        <f>IF(ISNUMBER(J190), $B199 * K190, "")</f>
        <v>787.40157480314963</v>
      </c>
      <c r="M190" s="31">
        <v>129</v>
      </c>
      <c r="N190" s="32">
        <f t="shared" ref="N190:N193" si="105">IF(ISNUMBER(M190), (M190 - $B190) / $B190, "")</f>
        <v>1.5748031496062992E-2</v>
      </c>
      <c r="O190" s="18">
        <f>IF(ISNUMBER(M190), $B199 * N190, "")</f>
        <v>1574.8031496062993</v>
      </c>
      <c r="Q190" s="245"/>
      <c r="R190" s="246"/>
      <c r="S190" s="247"/>
    </row>
    <row r="191" spans="1:19" ht="17.25" thickBot="1">
      <c r="A191" s="125" t="s">
        <v>254</v>
      </c>
      <c r="B191" s="126">
        <v>270</v>
      </c>
      <c r="C191" s="77">
        <v>-5.92334495E-2</v>
      </c>
      <c r="D191" s="15">
        <v>270</v>
      </c>
      <c r="E191" s="32">
        <f t="shared" si="102"/>
        <v>0</v>
      </c>
      <c r="F191" s="18">
        <f>IF(ISNUMBER(D191), $B199 * E191, "")</f>
        <v>0</v>
      </c>
      <c r="G191" s="31">
        <v>266</v>
      </c>
      <c r="H191" s="32">
        <f t="shared" si="103"/>
        <v>-1.4814814814814815E-2</v>
      </c>
      <c r="I191" s="101">
        <f>IF(ISNUMBER(G191), $B199 * H191, "")</f>
        <v>-1481.4814814814815</v>
      </c>
      <c r="J191" s="15">
        <v>267</v>
      </c>
      <c r="K191" s="32">
        <f t="shared" si="104"/>
        <v>-1.1111111111111112E-2</v>
      </c>
      <c r="L191" s="18">
        <f>IF(ISNUMBER(J191), $B199 * K191, "")</f>
        <v>-1111.1111111111111</v>
      </c>
      <c r="M191" s="31">
        <v>272</v>
      </c>
      <c r="N191" s="32">
        <f t="shared" si="105"/>
        <v>7.4074074074074077E-3</v>
      </c>
      <c r="O191" s="18">
        <f>IF(ISNUMBER(M191), $B199 * N191, "")</f>
        <v>740.74074074074076</v>
      </c>
      <c r="Q191" s="238"/>
      <c r="R191" s="238"/>
      <c r="S191" s="238"/>
    </row>
    <row r="192" spans="1:19" ht="17.25" thickBot="1">
      <c r="A192" s="125" t="s">
        <v>188</v>
      </c>
      <c r="B192" s="126">
        <v>10.9</v>
      </c>
      <c r="C192" s="77">
        <v>-6.0344827599999998E-2</v>
      </c>
      <c r="D192" s="15">
        <v>10.9</v>
      </c>
      <c r="E192" s="32">
        <f t="shared" si="102"/>
        <v>0</v>
      </c>
      <c r="F192" s="18">
        <f>IF(ISNUMBER(D192), $B199 * E192, "")</f>
        <v>0</v>
      </c>
      <c r="G192" s="31">
        <v>10.9</v>
      </c>
      <c r="H192" s="32">
        <f t="shared" si="103"/>
        <v>0</v>
      </c>
      <c r="I192" s="101">
        <f>IF(ISNUMBER(G192), $B199 * H192, "")</f>
        <v>0</v>
      </c>
      <c r="J192" s="15">
        <v>10.8</v>
      </c>
      <c r="K192" s="32">
        <f t="shared" si="104"/>
        <v>-9.1743119266054721E-3</v>
      </c>
      <c r="L192" s="18">
        <f>IF(ISNUMBER(J192), $B199 * K192, "")</f>
        <v>-917.43119266054725</v>
      </c>
      <c r="M192" s="31">
        <v>11.1</v>
      </c>
      <c r="N192" s="32">
        <f t="shared" si="105"/>
        <v>1.8348623853210944E-2</v>
      </c>
      <c r="O192" s="18">
        <f>IF(ISNUMBER(M192), $B199 * N192, "")</f>
        <v>1834.8623853210945</v>
      </c>
      <c r="Q192" s="248"/>
      <c r="R192" s="248"/>
      <c r="S192" s="248"/>
    </row>
    <row r="193" spans="1:19" ht="17.25" thickBot="1">
      <c r="A193" s="127" t="s">
        <v>234</v>
      </c>
      <c r="B193" s="128">
        <v>61.3</v>
      </c>
      <c r="C193" s="78">
        <v>-6.1255742699999997E-2</v>
      </c>
      <c r="D193" s="20">
        <v>61.3</v>
      </c>
      <c r="E193" s="21">
        <f t="shared" si="102"/>
        <v>0</v>
      </c>
      <c r="F193" s="22">
        <f>IF(ISNUMBER(D193), $B199 * E193, "")</f>
        <v>0</v>
      </c>
      <c r="G193" s="30">
        <v>61.7</v>
      </c>
      <c r="H193" s="21">
        <f t="shared" si="103"/>
        <v>6.5252854812398974E-3</v>
      </c>
      <c r="I193" s="105">
        <f>IF(ISNUMBER(G193), $B199 * H193, "")</f>
        <v>652.52854812398971</v>
      </c>
      <c r="J193" s="20">
        <v>61.5</v>
      </c>
      <c r="K193" s="21">
        <f t="shared" si="104"/>
        <v>3.2626427406199487E-3</v>
      </c>
      <c r="L193" s="22">
        <f>IF(ISNUMBER(J193), $B199 * K193, "")</f>
        <v>326.26427406199485</v>
      </c>
      <c r="M193" s="30">
        <v>62</v>
      </c>
      <c r="N193" s="21">
        <f t="shared" si="105"/>
        <v>1.1419249592169705E-2</v>
      </c>
      <c r="O193" s="22">
        <f>IF(ISNUMBER(M193), $B199 * N193, "")</f>
        <v>1141.9249592169706</v>
      </c>
      <c r="Q193" s="248"/>
      <c r="R193" s="248"/>
      <c r="S193" s="248"/>
    </row>
    <row r="194" spans="1:19" ht="17.25" thickBot="1">
      <c r="A194" s="125" t="s">
        <v>194</v>
      </c>
      <c r="B194" s="129">
        <v>129</v>
      </c>
      <c r="C194" s="80">
        <v>-6.5217391299999997E-2</v>
      </c>
      <c r="D194" s="106">
        <v>129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131</v>
      </c>
      <c r="H194" s="107">
        <f>IF(ISNUMBER(G194), (G194 - $B194) / $B194, "")</f>
        <v>1.5503875968992248E-2</v>
      </c>
      <c r="I194" s="110">
        <f>IF(ISNUMBER(G194), $B199 * H194, "")</f>
        <v>1550.3875968992247</v>
      </c>
      <c r="J194" s="106">
        <v>132</v>
      </c>
      <c r="K194" s="107">
        <f>IF(ISNUMBER(J194), (J194 - $B194) / $B194, "")</f>
        <v>2.3255813953488372E-2</v>
      </c>
      <c r="L194" s="108">
        <f>IF(ISNUMBER(J194), $B199 * K194, "")</f>
        <v>2325.5813953488373</v>
      </c>
      <c r="M194" s="109">
        <v>134</v>
      </c>
      <c r="N194" s="107">
        <f>IF(ISNUMBER(M194), (M194 - $B194) / $B194, "")</f>
        <v>3.875968992248062E-2</v>
      </c>
      <c r="O194" s="108">
        <f>IF(ISNUMBER(M194), $B199 * N194, "")</f>
        <v>3875.968992248062</v>
      </c>
      <c r="Q194" s="238"/>
      <c r="R194" s="238"/>
      <c r="S194" s="238"/>
    </row>
    <row r="195" spans="1:19" ht="17.25" thickBot="1">
      <c r="A195" s="125" t="s">
        <v>200</v>
      </c>
      <c r="B195" s="126">
        <v>129</v>
      </c>
      <c r="C195" s="77">
        <v>-6.5217391299999997E-2</v>
      </c>
      <c r="D195" s="15">
        <v>129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130</v>
      </c>
      <c r="H195" s="32">
        <f t="shared" ref="H195:H198" si="107">IF(ISNUMBER(G195), (G195 - $B195) / $B195, "")</f>
        <v>7.7519379844961239E-3</v>
      </c>
      <c r="I195" s="101">
        <f>IF(ISNUMBER(G195), $B199 * H195, "")</f>
        <v>775.19379844961236</v>
      </c>
      <c r="J195" s="15">
        <v>131</v>
      </c>
      <c r="K195" s="32">
        <f t="shared" ref="K195:K198" si="108">IF(ISNUMBER(J195), (J195 - $B195) / $B195, "")</f>
        <v>1.5503875968992248E-2</v>
      </c>
      <c r="L195" s="18">
        <f>IF(ISNUMBER(J195), $B199 * K195, "")</f>
        <v>1550.3875968992247</v>
      </c>
      <c r="M195" s="31">
        <v>132</v>
      </c>
      <c r="N195" s="32">
        <f t="shared" ref="N195:N198" si="109">IF(ISNUMBER(M195), (M195 - $B195) / $B195, "")</f>
        <v>2.3255813953488372E-2</v>
      </c>
      <c r="O195" s="18">
        <f>IF(ISNUMBER(M195), $B199 * N195, "")</f>
        <v>2325.5813953488373</v>
      </c>
      <c r="Q195" s="238"/>
      <c r="R195" s="238"/>
      <c r="S195" s="238"/>
    </row>
    <row r="196" spans="1:19" ht="17.25" thickBot="1">
      <c r="A196" s="125" t="s">
        <v>150</v>
      </c>
      <c r="B196" s="126">
        <v>10.4</v>
      </c>
      <c r="C196" s="77">
        <v>-7.9646017700000002E-2</v>
      </c>
      <c r="D196" s="15">
        <v>10.4</v>
      </c>
      <c r="E196" s="32">
        <f t="shared" si="106"/>
        <v>0</v>
      </c>
      <c r="F196" s="18">
        <f>IF(ISNUMBER(D196), $B199 * E196, "")</f>
        <v>0</v>
      </c>
      <c r="G196" s="31">
        <v>10.5</v>
      </c>
      <c r="H196" s="32">
        <f t="shared" si="107"/>
        <v>9.6153846153845812E-3</v>
      </c>
      <c r="I196" s="101">
        <f>IF(ISNUMBER(G196), $B199 * H196, "")</f>
        <v>961.53846153845814</v>
      </c>
      <c r="J196" s="15">
        <v>10.4</v>
      </c>
      <c r="K196" s="32">
        <f t="shared" si="108"/>
        <v>0</v>
      </c>
      <c r="L196" s="18">
        <f>IF(ISNUMBER(J196), $B199 * K196, "")</f>
        <v>0</v>
      </c>
      <c r="M196" s="31">
        <v>10.6</v>
      </c>
      <c r="N196" s="32">
        <f t="shared" si="109"/>
        <v>1.9230769230769162E-2</v>
      </c>
      <c r="O196" s="18">
        <f>IF(ISNUMBER(M196), $B199 * N196, "")</f>
        <v>1923.0769230769163</v>
      </c>
      <c r="Q196" s="238"/>
      <c r="R196" s="238"/>
      <c r="S196" s="238"/>
    </row>
    <row r="197" spans="1:19">
      <c r="A197" s="125" t="s">
        <v>220</v>
      </c>
      <c r="B197" s="126">
        <v>203</v>
      </c>
      <c r="C197" s="77">
        <v>-0.1017699115</v>
      </c>
      <c r="D197" s="15">
        <v>203</v>
      </c>
      <c r="E197" s="32">
        <f t="shared" si="106"/>
        <v>0</v>
      </c>
      <c r="F197" s="18">
        <f>IF(ISNUMBER(D197), $B199 * E197, "")</f>
        <v>0</v>
      </c>
      <c r="G197" s="31">
        <v>204</v>
      </c>
      <c r="H197" s="32">
        <f t="shared" si="107"/>
        <v>4.9261083743842365E-3</v>
      </c>
      <c r="I197" s="101">
        <f>IF(ISNUMBER(G197), $B199 * H197, "")</f>
        <v>492.61083743842363</v>
      </c>
      <c r="J197" s="15">
        <v>205</v>
      </c>
      <c r="K197" s="32">
        <f t="shared" si="108"/>
        <v>9.852216748768473E-3</v>
      </c>
      <c r="L197" s="18">
        <f>IF(ISNUMBER(J197), $B199 * K197, "")</f>
        <v>985.22167487684726</v>
      </c>
      <c r="M197" s="31">
        <v>208</v>
      </c>
      <c r="N197" s="32">
        <f t="shared" si="109"/>
        <v>2.4630541871921183E-2</v>
      </c>
      <c r="O197" s="18">
        <f>IF(ISNUMBER(M197), $B199 * N197, "")</f>
        <v>2463.0541871921182</v>
      </c>
      <c r="Q197" s="227"/>
      <c r="R197" s="228"/>
      <c r="S197" s="229"/>
    </row>
    <row r="198" spans="1:19" ht="17.25" thickBot="1">
      <c r="A198" s="130" t="s">
        <v>144</v>
      </c>
      <c r="B198" s="131">
        <v>105</v>
      </c>
      <c r="C198" s="79">
        <v>-0.132231405</v>
      </c>
      <c r="D198" s="24">
        <v>105</v>
      </c>
      <c r="E198" s="25">
        <f t="shared" si="106"/>
        <v>0</v>
      </c>
      <c r="F198" s="104">
        <f>IF(ISNUMBER(D198), $B199 * E198, "")</f>
        <v>0</v>
      </c>
      <c r="G198" s="102">
        <v>112</v>
      </c>
      <c r="H198" s="25">
        <f t="shared" si="107"/>
        <v>6.6666666666666666E-2</v>
      </c>
      <c r="I198" s="103">
        <f>IF(ISNUMBER(G198), $B199 * H198, "")</f>
        <v>6666.666666666667</v>
      </c>
      <c r="J198" s="24">
        <v>110</v>
      </c>
      <c r="K198" s="25">
        <f t="shared" si="108"/>
        <v>4.7619047619047616E-2</v>
      </c>
      <c r="L198" s="104">
        <f>IF(ISNUMBER(J198), $B199 * K198, "")</f>
        <v>4761.9047619047615</v>
      </c>
      <c r="M198" s="102">
        <v>113</v>
      </c>
      <c r="N198" s="25">
        <f t="shared" si="109"/>
        <v>7.6190476190476197E-2</v>
      </c>
      <c r="O198" s="104">
        <f>IF(ISNUMBER(M198), $B199 * N198, "")</f>
        <v>7619.0476190476202</v>
      </c>
      <c r="Q198" s="230"/>
      <c r="R198" s="231"/>
      <c r="S198" s="232"/>
    </row>
    <row r="199" spans="1:19" ht="17.25" thickBot="1">
      <c r="A199" s="132" t="s">
        <v>270</v>
      </c>
      <c r="B199" s="291">
        <f>$B$37</f>
        <v>100000</v>
      </c>
      <c r="C199" s="292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9.6688631247194047E-3</v>
      </c>
      <c r="I199" s="28">
        <f>SUM(I179:I198)</f>
        <v>19337.726249438809</v>
      </c>
      <c r="J199" s="26" t="s">
        <v>271</v>
      </c>
      <c r="K199" s="27">
        <f>IF(COUNT(K179:K198), SUM(K179:K198) / COUNT(K179:K198), 0)</f>
        <v>5.2958411320660793E-3</v>
      </c>
      <c r="L199" s="28">
        <f>SUM(L179:L198)</f>
        <v>10591.68226413216</v>
      </c>
      <c r="M199" s="26" t="s">
        <v>271</v>
      </c>
      <c r="N199" s="27">
        <f>IF(COUNT(N179:N198), SUM(N179:N198) / COUNT(N179:N198), 0)</f>
        <v>2.0396842974014288E-2</v>
      </c>
      <c r="O199" s="28">
        <f>SUM(O179:O198)</f>
        <v>40793.685948028564</v>
      </c>
      <c r="Q199" s="233"/>
      <c r="R199" s="234"/>
      <c r="S199" s="23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8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8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8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8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8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8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8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7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7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7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76" priority="157">
      <formula>AND($N17 &gt; 0, ISNUMBER($N17))</formula>
    </cfRule>
    <cfRule type="expression" dxfId="2875" priority="158">
      <formula>AND($N17 = 0 * ISNUMBER($N17))</formula>
    </cfRule>
    <cfRule type="expression" dxfId="2874" priority="159">
      <formula>AND($N17 &lt; 0, ISNUMBER($N17))</formula>
    </cfRule>
  </conditionalFormatting>
  <conditionalFormatting sqref="A17:F36">
    <cfRule type="expression" dxfId="2873" priority="166">
      <formula>AND($E17 &gt; 0, ISNUMBER($E17))</formula>
    </cfRule>
    <cfRule type="expression" dxfId="2872" priority="167">
      <formula>AND($E17 = 0 * ISNUMBER($E17))</formula>
    </cfRule>
    <cfRule type="expression" dxfId="2871" priority="168">
      <formula>AND($E17 &lt; 0, ISNUMBER($E17))</formula>
    </cfRule>
  </conditionalFormatting>
  <conditionalFormatting sqref="A17:C36 G17:I36">
    <cfRule type="expression" dxfId="2870" priority="163">
      <formula>AND($H17 &gt; 0, ISNUMBER($H17))</formula>
    </cfRule>
    <cfRule type="expression" dxfId="2869" priority="164">
      <formula>AND($H17 = 0 * ISNUMBER($H17))</formula>
    </cfRule>
    <cfRule type="expression" dxfId="2868" priority="165">
      <formula>AND($H17 &lt; 0, ISNUMBER($H17))</formula>
    </cfRule>
  </conditionalFormatting>
  <conditionalFormatting sqref="A17:C36 J17:L36">
    <cfRule type="expression" dxfId="2867" priority="160">
      <formula>AND($K17 &gt; 0, ISNUMBER($K17))</formula>
    </cfRule>
    <cfRule type="expression" dxfId="2866" priority="161">
      <formula>AND($K17 = 0 * ISNUMBER($K17))</formula>
    </cfRule>
    <cfRule type="expression" dxfId="2865" priority="162">
      <formula>AND($K17 &lt; 0, ISNUMBER($K17))</formula>
    </cfRule>
  </conditionalFormatting>
  <conditionalFormatting sqref="D15:F16 E37:F37">
    <cfRule type="expression" dxfId="2864" priority="154">
      <formula>$E$37 &gt; 0</formula>
    </cfRule>
    <cfRule type="expression" dxfId="2863" priority="155">
      <formula>$E$37 = 0</formula>
    </cfRule>
    <cfRule type="expression" dxfId="2862" priority="156">
      <formula>$E$37 &lt; 0</formula>
    </cfRule>
  </conditionalFormatting>
  <conditionalFormatting sqref="G15:I16 H37:I37">
    <cfRule type="expression" dxfId="2861" priority="151">
      <formula>$H$37 &gt; 0</formula>
    </cfRule>
    <cfRule type="expression" dxfId="2860" priority="152">
      <formula>$H$37 = 0</formula>
    </cfRule>
    <cfRule type="expression" dxfId="2859" priority="153">
      <formula>$H$37 &lt; 0</formula>
    </cfRule>
  </conditionalFormatting>
  <conditionalFormatting sqref="J15:L16 K37:L37">
    <cfRule type="expression" dxfId="2858" priority="148">
      <formula>$K$37 &gt; 0</formula>
    </cfRule>
    <cfRule type="expression" dxfId="2857" priority="149">
      <formula>$K$37 = 0</formula>
    </cfRule>
    <cfRule type="expression" dxfId="2856" priority="150">
      <formula>$K$37 &lt; 0</formula>
    </cfRule>
  </conditionalFormatting>
  <conditionalFormatting sqref="M15:O16 N37:O37">
    <cfRule type="expression" dxfId="2855" priority="145">
      <formula>$N$37 &gt; 0</formula>
    </cfRule>
    <cfRule type="expression" dxfId="2854" priority="146">
      <formula>$N$37 = 0</formula>
    </cfRule>
    <cfRule type="expression" dxfId="2853" priority="147">
      <formula>$N$37 &lt; 0</formula>
    </cfRule>
  </conditionalFormatting>
  <conditionalFormatting sqref="A44:C63 M44:O63">
    <cfRule type="expression" dxfId="2852" priority="133">
      <formula>AND($N44 &gt; 0, ISNUMBER($N44))</formula>
    </cfRule>
    <cfRule type="expression" dxfId="2851" priority="134">
      <formula>AND($N44 = 0 * ISNUMBER($N44))</formula>
    </cfRule>
    <cfRule type="expression" dxfId="2850" priority="135">
      <formula>AND($N44 &lt; 0, ISNUMBER($N44))</formula>
    </cfRule>
  </conditionalFormatting>
  <conditionalFormatting sqref="A44:F63">
    <cfRule type="expression" dxfId="2849" priority="142">
      <formula>AND($E44 &gt; 0, ISNUMBER($E44))</formula>
    </cfRule>
    <cfRule type="expression" dxfId="2848" priority="143">
      <formula>AND($E44 = 0 * ISNUMBER($E44))</formula>
    </cfRule>
    <cfRule type="expression" dxfId="2847" priority="144">
      <formula>AND($E44 &lt; 0, ISNUMBER($E44))</formula>
    </cfRule>
  </conditionalFormatting>
  <conditionalFormatting sqref="A44:C63 G44:I63">
    <cfRule type="expression" dxfId="2846" priority="139">
      <formula>AND($H44 &gt; 0, ISNUMBER($H44))</formula>
    </cfRule>
    <cfRule type="expression" dxfId="2845" priority="140">
      <formula>AND($H44 = 0 * ISNUMBER($H44))</formula>
    </cfRule>
    <cfRule type="expression" dxfId="2844" priority="141">
      <formula>AND($H44 &lt; 0, ISNUMBER($H44))</formula>
    </cfRule>
  </conditionalFormatting>
  <conditionalFormatting sqref="A44:C63 J44:L63">
    <cfRule type="expression" dxfId="2843" priority="136">
      <formula>AND($K44 &gt; 0, ISNUMBER($K44))</formula>
    </cfRule>
    <cfRule type="expression" dxfId="2842" priority="137">
      <formula>AND($K44 = 0 * ISNUMBER($K44))</formula>
    </cfRule>
    <cfRule type="expression" dxfId="2841" priority="138">
      <formula>AND($K44 &lt; 0, ISNUMBER($K44))</formula>
    </cfRule>
  </conditionalFormatting>
  <conditionalFormatting sqref="D42:F43 E64:F64">
    <cfRule type="expression" dxfId="2840" priority="130">
      <formula>$E$64 &gt; 0</formula>
    </cfRule>
    <cfRule type="expression" dxfId="2839" priority="131">
      <formula>$E$64 = 0</formula>
    </cfRule>
    <cfRule type="expression" dxfId="2838" priority="132">
      <formula>$E$64 &lt; 0</formula>
    </cfRule>
  </conditionalFormatting>
  <conditionalFormatting sqref="G42:I43 H64:I64">
    <cfRule type="expression" dxfId="2837" priority="127">
      <formula>$H$64 &gt; 0</formula>
    </cfRule>
    <cfRule type="expression" dxfId="2836" priority="128">
      <formula>$H$64 = 0</formula>
    </cfRule>
    <cfRule type="expression" dxfId="2835" priority="129">
      <formula>$H$64 &lt; 0</formula>
    </cfRule>
  </conditionalFormatting>
  <conditionalFormatting sqref="J42:L43 K64:L64">
    <cfRule type="expression" dxfId="2834" priority="124">
      <formula>$K$64 &gt; 0</formula>
    </cfRule>
    <cfRule type="expression" dxfId="2833" priority="125">
      <formula>$K$64 = 0</formula>
    </cfRule>
    <cfRule type="expression" dxfId="2832" priority="126">
      <formula>$K$64 &lt; 0</formula>
    </cfRule>
  </conditionalFormatting>
  <conditionalFormatting sqref="M42:O43 N64:O64">
    <cfRule type="expression" dxfId="2831" priority="121">
      <formula>$N$64 &gt; 0</formula>
    </cfRule>
    <cfRule type="expression" dxfId="2830" priority="122">
      <formula>$N$64 = 0</formula>
    </cfRule>
    <cfRule type="expression" dxfId="2829" priority="123">
      <formula>$N$64 &lt; 0</formula>
    </cfRule>
  </conditionalFormatting>
  <conditionalFormatting sqref="A71:C90 M71:O90">
    <cfRule type="expression" dxfId="2828" priority="109">
      <formula>AND($N71 &gt; 0, ISNUMBER($N71))</formula>
    </cfRule>
    <cfRule type="expression" dxfId="2827" priority="110">
      <formula>AND($N71 = 0 * ISNUMBER($N71))</formula>
    </cfRule>
    <cfRule type="expression" dxfId="2826" priority="111">
      <formula>AND($N71 &lt; 0, ISNUMBER($N71))</formula>
    </cfRule>
  </conditionalFormatting>
  <conditionalFormatting sqref="A71:F90">
    <cfRule type="expression" dxfId="2825" priority="118">
      <formula>AND($E71 &gt; 0, ISNUMBER($E71))</formula>
    </cfRule>
    <cfRule type="expression" dxfId="2824" priority="119">
      <formula>AND($E71 = 0 * ISNUMBER($E71))</formula>
    </cfRule>
    <cfRule type="expression" dxfId="2823" priority="120">
      <formula>AND($E71 &lt; 0, ISNUMBER($E71))</formula>
    </cfRule>
  </conditionalFormatting>
  <conditionalFormatting sqref="A71:C90 G71:I90">
    <cfRule type="expression" dxfId="2822" priority="115">
      <formula>AND($H71 &gt; 0, ISNUMBER($H71))</formula>
    </cfRule>
    <cfRule type="expression" dxfId="2821" priority="116">
      <formula>AND($H71 = 0 * ISNUMBER($H71))</formula>
    </cfRule>
    <cfRule type="expression" dxfId="2820" priority="117">
      <formula>AND($H71 &lt; 0, ISNUMBER($H71))</formula>
    </cfRule>
  </conditionalFormatting>
  <conditionalFormatting sqref="A71:C90 J71:L90">
    <cfRule type="expression" dxfId="2819" priority="112">
      <formula>AND($K71 &gt; 0, ISNUMBER($K71))</formula>
    </cfRule>
    <cfRule type="expression" dxfId="2818" priority="113">
      <formula>AND($K71 = 0 * ISNUMBER($K71))</formula>
    </cfRule>
    <cfRule type="expression" dxfId="2817" priority="114">
      <formula>AND($K71 &lt; 0, ISNUMBER($K71))</formula>
    </cfRule>
  </conditionalFormatting>
  <conditionalFormatting sqref="D69:F70 E91:F91">
    <cfRule type="expression" dxfId="2816" priority="106">
      <formula>$E$91 &gt; 0</formula>
    </cfRule>
    <cfRule type="expression" dxfId="2815" priority="107">
      <formula>$E$91 = 0</formula>
    </cfRule>
    <cfRule type="expression" dxfId="2814" priority="108">
      <formula>$E$91 &lt; 0</formula>
    </cfRule>
  </conditionalFormatting>
  <conditionalFormatting sqref="G69:I70 H91:I91">
    <cfRule type="expression" dxfId="2813" priority="103">
      <formula>$H$91 &gt; 0</formula>
    </cfRule>
    <cfRule type="expression" dxfId="2812" priority="104">
      <formula>$H$91 = 0</formula>
    </cfRule>
    <cfRule type="expression" dxfId="2811" priority="105">
      <formula>$H$91 &lt; 0</formula>
    </cfRule>
  </conditionalFormatting>
  <conditionalFormatting sqref="J69:L70 K91:L91">
    <cfRule type="expression" dxfId="2810" priority="100">
      <formula>$K$91 &gt; 0</formula>
    </cfRule>
    <cfRule type="expression" dxfId="2809" priority="101">
      <formula>$K$91 = 0</formula>
    </cfRule>
    <cfRule type="expression" dxfId="2808" priority="102">
      <formula>$K$91 &lt; 0</formula>
    </cfRule>
  </conditionalFormatting>
  <conditionalFormatting sqref="M69:O70 N91:O91">
    <cfRule type="expression" dxfId="2807" priority="97">
      <formula>$N$91 &gt; 0</formula>
    </cfRule>
    <cfRule type="expression" dxfId="2806" priority="98">
      <formula>$N$91 = 0</formula>
    </cfRule>
    <cfRule type="expression" dxfId="2805" priority="99">
      <formula>$N$91 &lt; 0</formula>
    </cfRule>
  </conditionalFormatting>
  <conditionalFormatting sqref="A98:C117 M98:O117">
    <cfRule type="expression" dxfId="2804" priority="85">
      <formula>AND($N98 &gt; 0, ISNUMBER($N98))</formula>
    </cfRule>
    <cfRule type="expression" dxfId="2803" priority="86">
      <formula>AND($N98 = 0 * ISNUMBER($N98))</formula>
    </cfRule>
    <cfRule type="expression" dxfId="2802" priority="87">
      <formula>AND($N98 &lt; 0, ISNUMBER($N98))</formula>
    </cfRule>
  </conditionalFormatting>
  <conditionalFormatting sqref="A98:F117">
    <cfRule type="expression" dxfId="2801" priority="94">
      <formula>AND($E98 &gt; 0, ISNUMBER($E98))</formula>
    </cfRule>
    <cfRule type="expression" dxfId="2800" priority="95">
      <formula>AND($E98 = 0 * ISNUMBER($E98))</formula>
    </cfRule>
    <cfRule type="expression" dxfId="2799" priority="96">
      <formula>AND($E98 &lt; 0, ISNUMBER($E98))</formula>
    </cfRule>
  </conditionalFormatting>
  <conditionalFormatting sqref="A98:C117 G98:I117">
    <cfRule type="expression" dxfId="2798" priority="91">
      <formula>AND($H98 &gt; 0, ISNUMBER($H98))</formula>
    </cfRule>
    <cfRule type="expression" dxfId="2797" priority="92">
      <formula>AND($H98 = 0 * ISNUMBER($H98))</formula>
    </cfRule>
    <cfRule type="expression" dxfId="2796" priority="93">
      <formula>AND($H98 &lt; 0, ISNUMBER($H98))</formula>
    </cfRule>
  </conditionalFormatting>
  <conditionalFormatting sqref="A98:C117 J98:L117">
    <cfRule type="expression" dxfId="2795" priority="88">
      <formula>AND($K98 &gt; 0, ISNUMBER($K98))</formula>
    </cfRule>
    <cfRule type="expression" dxfId="2794" priority="89">
      <formula>AND($K98 = 0 * ISNUMBER($K98))</formula>
    </cfRule>
    <cfRule type="expression" dxfId="2793" priority="90">
      <formula>AND($K98 &lt; 0, ISNUMBER($K98))</formula>
    </cfRule>
  </conditionalFormatting>
  <conditionalFormatting sqref="D96:F97 E118:F118">
    <cfRule type="expression" dxfId="2792" priority="82">
      <formula>$E$118 &gt; 0</formula>
    </cfRule>
    <cfRule type="expression" dxfId="2791" priority="83">
      <formula>$E$118 = 0</formula>
    </cfRule>
    <cfRule type="expression" dxfId="2790" priority="84">
      <formula>$E$118 &lt; 0</formula>
    </cfRule>
  </conditionalFormatting>
  <conditionalFormatting sqref="G96:I97 H118:I118">
    <cfRule type="expression" dxfId="2789" priority="79">
      <formula>$H$118 &gt; 0</formula>
    </cfRule>
    <cfRule type="expression" dxfId="2788" priority="80">
      <formula>$H$118 = 0</formula>
    </cfRule>
    <cfRule type="expression" dxfId="2787" priority="81">
      <formula>$H$118 &lt; 0</formula>
    </cfRule>
  </conditionalFormatting>
  <conditionalFormatting sqref="J96:L97 K118:L118">
    <cfRule type="expression" dxfId="2786" priority="76">
      <formula>$K$118 &gt; 0</formula>
    </cfRule>
    <cfRule type="expression" dxfId="2785" priority="77">
      <formula>$K$118 = 0</formula>
    </cfRule>
    <cfRule type="expression" dxfId="2784" priority="78">
      <formula>$K$118 &lt; 0</formula>
    </cfRule>
  </conditionalFormatting>
  <conditionalFormatting sqref="M96:O97 N118:O118">
    <cfRule type="expression" dxfId="2783" priority="73">
      <formula>$N$118 &gt; 0</formula>
    </cfRule>
    <cfRule type="expression" dxfId="2782" priority="74">
      <formula>$N$118 = 0</formula>
    </cfRule>
    <cfRule type="expression" dxfId="2781" priority="75">
      <formula>$N$118 &lt; 0</formula>
    </cfRule>
  </conditionalFormatting>
  <conditionalFormatting sqref="A125:C144 M125:O144">
    <cfRule type="expression" dxfId="2780" priority="61">
      <formula>AND($N125 &gt; 0, ISNUMBER($N125))</formula>
    </cfRule>
    <cfRule type="expression" dxfId="2779" priority="62">
      <formula>AND($N125 = 0 * ISNUMBER($N125))</formula>
    </cfRule>
    <cfRule type="expression" dxfId="2778" priority="63">
      <formula>AND($N125 &lt; 0, ISNUMBER($N125))</formula>
    </cfRule>
  </conditionalFormatting>
  <conditionalFormatting sqref="A125:F144">
    <cfRule type="expression" dxfId="2777" priority="70">
      <formula>AND($E125 &gt; 0, ISNUMBER($E125))</formula>
    </cfRule>
    <cfRule type="expression" dxfId="2776" priority="71">
      <formula>AND($E125 = 0 * ISNUMBER($E125))</formula>
    </cfRule>
    <cfRule type="expression" dxfId="2775" priority="72">
      <formula>AND($E125 &lt; 0, ISNUMBER($E125))</formula>
    </cfRule>
  </conditionalFormatting>
  <conditionalFormatting sqref="A125:C144 G125:I144">
    <cfRule type="expression" dxfId="2774" priority="67">
      <formula>AND($H125 &gt; 0, ISNUMBER($H125))</formula>
    </cfRule>
    <cfRule type="expression" dxfId="2773" priority="68">
      <formula>AND($H125 = 0 * ISNUMBER($H125))</formula>
    </cfRule>
    <cfRule type="expression" dxfId="2772" priority="69">
      <formula>AND($H125 &lt; 0, ISNUMBER($H125))</formula>
    </cfRule>
  </conditionalFormatting>
  <conditionalFormatting sqref="A125:C144 J125:L144">
    <cfRule type="expression" dxfId="2771" priority="64">
      <formula>AND($K125 &gt; 0, ISNUMBER($K125))</formula>
    </cfRule>
    <cfRule type="expression" dxfId="2770" priority="65">
      <formula>AND($K125 = 0 * ISNUMBER($K125))</formula>
    </cfRule>
    <cfRule type="expression" dxfId="2769" priority="66">
      <formula>AND($K125 &lt; 0, ISNUMBER($K125))</formula>
    </cfRule>
  </conditionalFormatting>
  <conditionalFormatting sqref="D123:F124 E145:F145">
    <cfRule type="expression" dxfId="2768" priority="58">
      <formula>$E$145 &gt; 0</formula>
    </cfRule>
    <cfRule type="expression" dxfId="2767" priority="59">
      <formula>$E$145 = 0</formula>
    </cfRule>
    <cfRule type="expression" dxfId="2766" priority="60">
      <formula>$E$145 &lt; 0</formula>
    </cfRule>
  </conditionalFormatting>
  <conditionalFormatting sqref="G123:I124 H145:I145">
    <cfRule type="expression" dxfId="2765" priority="55">
      <formula>$H$145 &gt; 0</formula>
    </cfRule>
    <cfRule type="expression" dxfId="2764" priority="56">
      <formula>$H$145 = 0</formula>
    </cfRule>
    <cfRule type="expression" dxfId="2763" priority="57">
      <formula>$H$145 &lt; 0</formula>
    </cfRule>
  </conditionalFormatting>
  <conditionalFormatting sqref="J123:L124 K145:L145">
    <cfRule type="expression" dxfId="2762" priority="52">
      <formula>$K$145 &gt; 0</formula>
    </cfRule>
    <cfRule type="expression" dxfId="2761" priority="53">
      <formula>$K$145 = 0</formula>
    </cfRule>
    <cfRule type="expression" dxfId="2760" priority="54">
      <formula>$K$145 &lt; 0</formula>
    </cfRule>
  </conditionalFormatting>
  <conditionalFormatting sqref="M123:O124 N145:O145">
    <cfRule type="expression" dxfId="2759" priority="49">
      <formula>$N$145 &gt; 0</formula>
    </cfRule>
    <cfRule type="expression" dxfId="2758" priority="50">
      <formula>$N$145 = 0</formula>
    </cfRule>
    <cfRule type="expression" dxfId="2757" priority="51">
      <formula>$N$145 &lt; 0</formula>
    </cfRule>
  </conditionalFormatting>
  <conditionalFormatting sqref="A152:C171 M152:O171">
    <cfRule type="expression" dxfId="2756" priority="37">
      <formula>AND($N152 &gt; 0, ISNUMBER($N152))</formula>
    </cfRule>
    <cfRule type="expression" dxfId="2755" priority="38">
      <formula>AND($N152 = 0 * ISNUMBER($N152))</formula>
    </cfRule>
    <cfRule type="expression" dxfId="2754" priority="39">
      <formula>AND($N152 &lt; 0, ISNUMBER($N152))</formula>
    </cfRule>
  </conditionalFormatting>
  <conditionalFormatting sqref="A152:F171">
    <cfRule type="expression" dxfId="2753" priority="46">
      <formula>AND($E152 &gt; 0, ISNUMBER($E152))</formula>
    </cfRule>
    <cfRule type="expression" dxfId="2752" priority="47">
      <formula>AND($E152 = 0 * ISNUMBER($E152))</formula>
    </cfRule>
    <cfRule type="expression" dxfId="2751" priority="48">
      <formula>AND($E152 &lt; 0, ISNUMBER($E152))</formula>
    </cfRule>
  </conditionalFormatting>
  <conditionalFormatting sqref="A152:C171 G152:I171">
    <cfRule type="expression" dxfId="2750" priority="43">
      <formula>AND($H152 &gt; 0, ISNUMBER($H152))</formula>
    </cfRule>
    <cfRule type="expression" dxfId="2749" priority="44">
      <formula>AND($H152 = 0 * ISNUMBER($H152))</formula>
    </cfRule>
    <cfRule type="expression" dxfId="2748" priority="45">
      <formula>AND($H152 &lt; 0, ISNUMBER($H152))</formula>
    </cfRule>
  </conditionalFormatting>
  <conditionalFormatting sqref="A152:C171 J152:L171">
    <cfRule type="expression" dxfId="2747" priority="40">
      <formula>AND($K152 &gt; 0, ISNUMBER($K152))</formula>
    </cfRule>
    <cfRule type="expression" dxfId="2746" priority="41">
      <formula>AND($K152 = 0 * ISNUMBER($K152))</formula>
    </cfRule>
    <cfRule type="expression" dxfId="2745" priority="42">
      <formula>AND($K152 &lt; 0, ISNUMBER($K152))</formula>
    </cfRule>
  </conditionalFormatting>
  <conditionalFormatting sqref="D150:F151 E172:F172">
    <cfRule type="expression" dxfId="2744" priority="34">
      <formula>$E$172 &gt; 0</formula>
    </cfRule>
    <cfRule type="expression" dxfId="2743" priority="35">
      <formula>$E$172 = 0</formula>
    </cfRule>
    <cfRule type="expression" dxfId="2742" priority="36">
      <formula>$E$172 &lt; 0</formula>
    </cfRule>
  </conditionalFormatting>
  <conditionalFormatting sqref="G150:I151 H172:I172">
    <cfRule type="expression" dxfId="2741" priority="31">
      <formula>$H$172 &gt; 0</formula>
    </cfRule>
    <cfRule type="expression" dxfId="2740" priority="32">
      <formula>$H$172 = 0</formula>
    </cfRule>
    <cfRule type="expression" dxfId="2739" priority="33">
      <formula>$H$172 &lt; 0</formula>
    </cfRule>
  </conditionalFormatting>
  <conditionalFormatting sqref="J150:L151 K172:L172">
    <cfRule type="expression" dxfId="2738" priority="28">
      <formula>$K$172 &gt; 0</formula>
    </cfRule>
    <cfRule type="expression" dxfId="2737" priority="29">
      <formula>$K$172 = 0</formula>
    </cfRule>
    <cfRule type="expression" dxfId="2736" priority="30">
      <formula>$K$172 &lt; 0</formula>
    </cfRule>
  </conditionalFormatting>
  <conditionalFormatting sqref="M150:O151 N172:O172">
    <cfRule type="expression" dxfId="2735" priority="25">
      <formula>$N$172 &gt; 0</formula>
    </cfRule>
    <cfRule type="expression" dxfId="2734" priority="26">
      <formula>$N$172 = 0</formula>
    </cfRule>
    <cfRule type="expression" dxfId="2733" priority="27">
      <formula>$N$172 &lt; 0</formula>
    </cfRule>
  </conditionalFormatting>
  <conditionalFormatting sqref="A179:C198 M179:O198">
    <cfRule type="expression" dxfId="2732" priority="13">
      <formula>AND($N179 &gt; 0, ISNUMBER($N179))</formula>
    </cfRule>
    <cfRule type="expression" dxfId="2731" priority="14">
      <formula>AND($N179 = 0 * ISNUMBER($N179))</formula>
    </cfRule>
    <cfRule type="expression" dxfId="2730" priority="15">
      <formula>AND($N179 &lt; 0, ISNUMBER($N179))</formula>
    </cfRule>
  </conditionalFormatting>
  <conditionalFormatting sqref="A179:F198">
    <cfRule type="expression" dxfId="2729" priority="22">
      <formula>AND($E179 &gt; 0, ISNUMBER($E179))</formula>
    </cfRule>
    <cfRule type="expression" dxfId="2728" priority="23">
      <formula>AND($E179 = 0 * ISNUMBER($E179))</formula>
    </cfRule>
    <cfRule type="expression" dxfId="2727" priority="24">
      <formula>AND($E179 &lt; 0, ISNUMBER($E179))</formula>
    </cfRule>
  </conditionalFormatting>
  <conditionalFormatting sqref="A179:C198 G179:I198">
    <cfRule type="expression" dxfId="2726" priority="19">
      <formula>AND($H179 &gt; 0, ISNUMBER($H179))</formula>
    </cfRule>
    <cfRule type="expression" dxfId="2725" priority="20">
      <formula>AND($H179 = 0 * ISNUMBER($H179))</formula>
    </cfRule>
    <cfRule type="expression" dxfId="2724" priority="21">
      <formula>AND($H179 &lt; 0, ISNUMBER($H179))</formula>
    </cfRule>
  </conditionalFormatting>
  <conditionalFormatting sqref="A179:C198 J179:L198">
    <cfRule type="expression" dxfId="2723" priority="16">
      <formula>AND($K179 &gt; 0, ISNUMBER($K179))</formula>
    </cfRule>
    <cfRule type="expression" dxfId="2722" priority="17">
      <formula>AND($K179 = 0 * ISNUMBER($K179))</formula>
    </cfRule>
    <cfRule type="expression" dxfId="2721" priority="18">
      <formula>AND($K179 &lt; 0, ISNUMBER($K179))</formula>
    </cfRule>
  </conditionalFormatting>
  <conditionalFormatting sqref="D177:F178 E199:F199">
    <cfRule type="expression" dxfId="2720" priority="10">
      <formula>$E$199 &gt; 0</formula>
    </cfRule>
    <cfRule type="expression" dxfId="2719" priority="11">
      <formula>$E$199 = 0</formula>
    </cfRule>
    <cfRule type="expression" dxfId="2718" priority="12">
      <formula>$E$199 &lt; 0</formula>
    </cfRule>
  </conditionalFormatting>
  <conditionalFormatting sqref="G177:I178 H199:I199">
    <cfRule type="expression" dxfId="2717" priority="7">
      <formula>$H$199 &gt; 0</formula>
    </cfRule>
    <cfRule type="expression" dxfId="2716" priority="8">
      <formula>$H$199 = 0</formula>
    </cfRule>
    <cfRule type="expression" dxfId="2715" priority="9">
      <formula>$H$199 &lt; 0</formula>
    </cfRule>
  </conditionalFormatting>
  <conditionalFormatting sqref="J177:L178 K199:L199">
    <cfRule type="expression" dxfId="2714" priority="4">
      <formula>$K$199 &gt; 0</formula>
    </cfRule>
    <cfRule type="expression" dxfId="2713" priority="5">
      <formula>$K$199 = 0</formula>
    </cfRule>
    <cfRule type="expression" dxfId="2712" priority="6">
      <formula>$K$199 &lt; 0</formula>
    </cfRule>
  </conditionalFormatting>
  <conditionalFormatting sqref="M177:O178 N199:O199">
    <cfRule type="expression" dxfId="2711" priority="1">
      <formula>$N$199 &gt; 0</formula>
    </cfRule>
    <cfRule type="expression" dxfId="2710" priority="2">
      <formula>$N$199 = 0</formula>
    </cfRule>
    <cfRule type="expression" dxfId="270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3347E-BF7C-48C5-B866-2AEDCDEDE1BF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7.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80">
        <v>44411</v>
      </c>
      <c r="H1" s="281"/>
      <c r="I1" s="282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83" t="s">
        <v>8</v>
      </c>
      <c r="C2" s="284"/>
      <c r="D2" s="284"/>
      <c r="E2" s="284"/>
      <c r="F2" s="285"/>
      <c r="G2" s="277" t="s">
        <v>46</v>
      </c>
      <c r="H2" s="278"/>
      <c r="I2" s="279"/>
      <c r="J2" s="1" t="s">
        <v>3</v>
      </c>
      <c r="K2" s="283" t="s">
        <v>320</v>
      </c>
      <c r="L2" s="284"/>
      <c r="M2" s="284"/>
      <c r="N2" s="284"/>
      <c r="O2" s="285"/>
      <c r="Q2" s="2" t="s">
        <v>6</v>
      </c>
      <c r="R2" s="3">
        <v>0.375</v>
      </c>
    </row>
    <row r="3" spans="1:19" ht="17.25" customHeight="1" thickBot="1">
      <c r="A3" s="118" t="s">
        <v>7</v>
      </c>
      <c r="B3" s="274" t="s">
        <v>328</v>
      </c>
      <c r="C3" s="275"/>
      <c r="D3" s="275"/>
      <c r="E3" s="275"/>
      <c r="F3" s="276"/>
      <c r="G3" s="27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-21,613 KRW (-1.08%)</v>
      </c>
      <c r="H3" s="271"/>
      <c r="I3" s="272"/>
      <c r="J3" s="4" t="s">
        <v>7</v>
      </c>
      <c r="K3" s="274" t="s">
        <v>321</v>
      </c>
      <c r="L3" s="275"/>
      <c r="M3" s="275"/>
      <c r="N3" s="275"/>
      <c r="O3" s="27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4" t="s">
        <v>16</v>
      </c>
      <c r="C4" s="275"/>
      <c r="D4" s="275"/>
      <c r="E4" s="275"/>
      <c r="F4" s="276"/>
      <c r="G4" s="277" t="s">
        <v>44</v>
      </c>
      <c r="H4" s="278"/>
      <c r="I4" s="279"/>
      <c r="J4" s="4" t="s">
        <v>11</v>
      </c>
      <c r="K4" s="274" t="s">
        <v>322</v>
      </c>
      <c r="L4" s="275"/>
      <c r="M4" s="275"/>
      <c r="N4" s="275"/>
      <c r="O4" s="27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4" t="s">
        <v>319</v>
      </c>
      <c r="C5" s="275"/>
      <c r="D5" s="275"/>
      <c r="E5" s="275"/>
      <c r="F5" s="276"/>
      <c r="G5" s="27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-21,955 KRW (-1.10%)</v>
      </c>
      <c r="H5" s="271"/>
      <c r="I5" s="272"/>
      <c r="J5" s="4" t="s">
        <v>15</v>
      </c>
      <c r="K5" s="274" t="s">
        <v>323</v>
      </c>
      <c r="L5" s="275"/>
      <c r="M5" s="275"/>
      <c r="N5" s="275"/>
      <c r="O5" s="276"/>
    </row>
    <row r="6" spans="1:19">
      <c r="A6" s="118" t="s">
        <v>18</v>
      </c>
      <c r="B6" s="274"/>
      <c r="C6" s="275"/>
      <c r="D6" s="275"/>
      <c r="E6" s="275"/>
      <c r="F6" s="276"/>
      <c r="G6" s="277" t="s">
        <v>45</v>
      </c>
      <c r="H6" s="278"/>
      <c r="I6" s="279"/>
      <c r="J6" s="4" t="s">
        <v>18</v>
      </c>
      <c r="K6" s="274" t="s">
        <v>324</v>
      </c>
      <c r="L6" s="275"/>
      <c r="M6" s="275"/>
      <c r="N6" s="275"/>
      <c r="O6" s="276"/>
    </row>
    <row r="7" spans="1:19" ht="17.25" thickBot="1">
      <c r="A7" s="118" t="s">
        <v>21</v>
      </c>
      <c r="B7" s="274"/>
      <c r="C7" s="275"/>
      <c r="D7" s="275"/>
      <c r="E7" s="275"/>
      <c r="F7" s="276"/>
      <c r="G7" s="27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-17,866 KRW (-0.89%)</v>
      </c>
      <c r="H7" s="271"/>
      <c r="I7" s="272"/>
      <c r="J7" s="4" t="s">
        <v>21</v>
      </c>
      <c r="K7" s="274" t="s">
        <v>325</v>
      </c>
      <c r="L7" s="275"/>
      <c r="M7" s="275"/>
      <c r="N7" s="275"/>
      <c r="O7" s="276"/>
    </row>
    <row r="8" spans="1:19" ht="17.25" thickBot="1">
      <c r="A8" s="118" t="s">
        <v>24</v>
      </c>
      <c r="B8" s="274"/>
      <c r="C8" s="275"/>
      <c r="D8" s="275"/>
      <c r="E8" s="275"/>
      <c r="F8" s="276"/>
      <c r="G8" s="277" t="s">
        <v>255</v>
      </c>
      <c r="H8" s="278"/>
      <c r="I8" s="279"/>
      <c r="J8" s="4" t="s">
        <v>24</v>
      </c>
      <c r="K8" s="274"/>
      <c r="L8" s="275"/>
      <c r="M8" s="275"/>
      <c r="N8" s="275"/>
      <c r="O8" s="276"/>
      <c r="Q8" s="249" t="s">
        <v>27</v>
      </c>
      <c r="R8" s="251"/>
    </row>
    <row r="9" spans="1:19" ht="17.25" thickBot="1">
      <c r="A9" s="118" t="s">
        <v>28</v>
      </c>
      <c r="B9" s="274"/>
      <c r="C9" s="275"/>
      <c r="D9" s="275"/>
      <c r="E9" s="275"/>
      <c r="F9" s="276"/>
      <c r="G9" s="27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57,146 KRW (2.86%)</v>
      </c>
      <c r="H9" s="271"/>
      <c r="I9" s="272"/>
      <c r="J9" s="4" t="s">
        <v>28</v>
      </c>
      <c r="K9" s="274"/>
      <c r="L9" s="275"/>
      <c r="M9" s="275"/>
      <c r="N9" s="275"/>
      <c r="O9" s="276"/>
      <c r="Q9" s="2" t="s">
        <v>29</v>
      </c>
      <c r="R9" s="6">
        <v>10</v>
      </c>
    </row>
    <row r="10" spans="1:19">
      <c r="A10" s="118" t="s">
        <v>30</v>
      </c>
      <c r="B10" s="274"/>
      <c r="C10" s="275"/>
      <c r="D10" s="275"/>
      <c r="E10" s="275"/>
      <c r="F10" s="276"/>
      <c r="G10" s="277" t="s">
        <v>47</v>
      </c>
      <c r="H10" s="278"/>
      <c r="I10" s="279"/>
      <c r="J10" s="4" t="s">
        <v>30</v>
      </c>
      <c r="K10" s="274" t="s">
        <v>326</v>
      </c>
      <c r="L10" s="275"/>
      <c r="M10" s="275"/>
      <c r="N10" s="275"/>
      <c r="O10" s="276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7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1"/>
      <c r="I11" s="272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48"/>
      <c r="R13" s="248"/>
      <c r="S13" s="248"/>
    </row>
    <row r="14" spans="1:19" ht="17.25" customHeight="1" thickBot="1">
      <c r="A14" s="165" t="s">
        <v>35</v>
      </c>
      <c r="B14" s="249" t="s">
        <v>36</v>
      </c>
      <c r="C14" s="251"/>
      <c r="D14" s="249" t="s">
        <v>37</v>
      </c>
      <c r="E14" s="250"/>
      <c r="F14" s="251"/>
      <c r="G14" s="252">
        <f>_xlfn.IFNA(VLOOKUP(B14, 현재가테이블!$B$2:$D$200, 2, FALSE), "-")</f>
        <v>54440000</v>
      </c>
      <c r="H14" s="253"/>
      <c r="I14" s="254"/>
      <c r="J14" s="249" t="s">
        <v>38</v>
      </c>
      <c r="K14" s="250"/>
      <c r="L14" s="251"/>
      <c r="M14" s="255">
        <f>_xlfn.IFNA(VLOOKUP(B14, 현재가테이블!$B$2:$D$200, 3, FALSE), "-")</f>
        <v>1.07123628E-2</v>
      </c>
      <c r="N14" s="256"/>
      <c r="O14" s="257"/>
      <c r="Q14" s="248"/>
      <c r="R14" s="248"/>
      <c r="S14" s="248"/>
    </row>
    <row r="15" spans="1:19" ht="17.25" customHeight="1" thickBot="1">
      <c r="A15" s="286" t="s">
        <v>39</v>
      </c>
      <c r="B15" s="287" t="str">
        <f>TEXT($G$1, "[$-ko-KR]yyyy-mm-dd(ddd) ") &amp; "오전 00:00"</f>
        <v>2021-08-03(화) 오전 00:00</v>
      </c>
      <c r="C15" s="288"/>
      <c r="D15" s="262" t="str">
        <f>TEXT($G$1, "[$-ko-KR]yyyy-mm-dd(ddd) ") &amp; "오후 14:00"</f>
        <v>2021-08-03(화) 오후 14:00</v>
      </c>
      <c r="E15" s="263"/>
      <c r="F15" s="264"/>
      <c r="G15" s="262" t="str">
        <f>TEXT($G$1, "[$-ko-KR]yyyy-mm-dd(ddd) ") &amp; "오후 19:00"</f>
        <v>2021-08-03(화) 오후 19:00</v>
      </c>
      <c r="H15" s="263"/>
      <c r="I15" s="264"/>
      <c r="J15" s="262" t="str">
        <f>TEXT($G$1, "[$-ko-KR]yyyy-mm-dd(ddd) ") &amp; "오후 21:00"</f>
        <v>2021-08-03(화) 오후 21:00</v>
      </c>
      <c r="K15" s="263"/>
      <c r="L15" s="264"/>
      <c r="M15" s="262" t="str">
        <f>TEXT($G$1+1, "[$-ko-KR]yyyy-mm-dd(ddd) ") &amp; "오전 00:00"</f>
        <v>2021-08-04(수) 오전 00:00</v>
      </c>
      <c r="N15" s="263"/>
      <c r="O15" s="264"/>
      <c r="Q15" s="248"/>
      <c r="R15" s="248"/>
      <c r="S15" s="248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8"/>
      <c r="R17" s="248"/>
      <c r="S17" s="24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8"/>
      <c r="R18" s="248"/>
      <c r="S18" s="24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8"/>
      <c r="R19" s="238"/>
      <c r="S19" s="23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8"/>
      <c r="R20" s="238"/>
      <c r="S20" s="23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8"/>
      <c r="R21" s="238"/>
      <c r="S21" s="23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8"/>
      <c r="R22" s="238"/>
      <c r="S22" s="23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8"/>
      <c r="R23" s="238"/>
      <c r="S23" s="23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8"/>
      <c r="R24" s="238"/>
      <c r="S24" s="23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9"/>
      <c r="R26" s="240"/>
      <c r="S26" s="24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2"/>
      <c r="R27" s="243"/>
      <c r="S27" s="24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5"/>
      <c r="R28" s="246"/>
      <c r="S28" s="24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8"/>
      <c r="R29" s="238"/>
      <c r="S29" s="23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8"/>
      <c r="R30" s="248"/>
      <c r="S30" s="24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8"/>
      <c r="R31" s="248"/>
      <c r="S31" s="24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8"/>
      <c r="R32" s="238"/>
      <c r="S32" s="23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7"/>
      <c r="R35" s="228"/>
      <c r="S35" s="22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0"/>
      <c r="R36" s="231"/>
      <c r="S36" s="232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3"/>
      <c r="R37" s="234"/>
      <c r="S37" s="23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48"/>
      <c r="R40" s="248"/>
      <c r="S40" s="248"/>
    </row>
    <row r="41" spans="1:19" ht="17.25" customHeight="1" thickBot="1">
      <c r="A41" s="165" t="s">
        <v>267</v>
      </c>
      <c r="B41" s="249" t="s">
        <v>49</v>
      </c>
      <c r="C41" s="251"/>
      <c r="D41" s="249" t="s">
        <v>58</v>
      </c>
      <c r="E41" s="250"/>
      <c r="F41" s="251"/>
      <c r="G41" s="252">
        <f>_xlfn.IFNA(VLOOKUP(B41, 현재가테이블!$B$2:$D$200, 2, FALSE), "-")</f>
        <v>54440000</v>
      </c>
      <c r="H41" s="253"/>
      <c r="I41" s="254"/>
      <c r="J41" s="249" t="s">
        <v>59</v>
      </c>
      <c r="K41" s="250"/>
      <c r="L41" s="251"/>
      <c r="M41" s="255">
        <f>_xlfn.IFNA(VLOOKUP(B41, 현재가테이블!$B$2:$D$200, 3, FALSE), "-")</f>
        <v>1.07123628E-2</v>
      </c>
      <c r="N41" s="256"/>
      <c r="O41" s="257"/>
      <c r="Q41" s="248"/>
      <c r="R41" s="248"/>
      <c r="S41" s="248"/>
    </row>
    <row r="42" spans="1:19" ht="17.25" customHeight="1" thickBot="1">
      <c r="A42" s="293" t="s">
        <v>55</v>
      </c>
      <c r="B42" s="289" t="str">
        <f>TEXT($G$1, "[$-ko-KR]yyyy-mm-dd(ddd) ") &amp; "오전 00:00"</f>
        <v>2021-08-03(화) 오전 00:00</v>
      </c>
      <c r="C42" s="290"/>
      <c r="D42" s="262" t="str">
        <f>TEXT($G$1, "[$-ko-KR]yyyy-mm-dd(ddd) ") &amp; "오후 14:00"</f>
        <v>2021-08-03(화) 오후 14:00</v>
      </c>
      <c r="E42" s="263"/>
      <c r="F42" s="264"/>
      <c r="G42" s="262" t="str">
        <f>TEXT($G$1, "[$-ko-KR]yyyy-mm-dd(ddd) ") &amp; "오후 19:00"</f>
        <v>2021-08-03(화) 오후 19:00</v>
      </c>
      <c r="H42" s="263"/>
      <c r="I42" s="264"/>
      <c r="J42" s="262" t="str">
        <f>TEXT($G$1, "[$-ko-KR]yyyy-mm-dd(ddd) ") &amp; "오후 21:00"</f>
        <v>2021-08-03(화) 오후 21:00</v>
      </c>
      <c r="K42" s="263"/>
      <c r="L42" s="264"/>
      <c r="M42" s="262" t="str">
        <f>TEXT($G$1+1, "[$-ko-KR]yyyy-mm-dd(ddd) ") &amp; "오전 00:00"</f>
        <v>2021-08-04(수) 오전 00:00</v>
      </c>
      <c r="N42" s="263"/>
      <c r="O42" s="264"/>
      <c r="Q42" s="248"/>
      <c r="R42" s="248"/>
      <c r="S42" s="248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8"/>
      <c r="R43" s="238"/>
      <c r="S43" s="238"/>
    </row>
    <row r="44" spans="1:19" ht="17.25" customHeight="1" thickBot="1">
      <c r="A44" s="123" t="s">
        <v>132</v>
      </c>
      <c r="B44" s="124">
        <v>95.4</v>
      </c>
      <c r="C44" s="76">
        <v>3.0237580999999999E-2</v>
      </c>
      <c r="D44" s="13">
        <v>91.4</v>
      </c>
      <c r="E44" s="14">
        <f>IF(ISNUMBER(D44), (D44 - $B44) / $B44, "")</f>
        <v>-4.1928721174004188E-2</v>
      </c>
      <c r="F44" s="16">
        <f>IF(ISNUMBER(D44), $B64 * E44, "")</f>
        <v>-4192.8721174004186</v>
      </c>
      <c r="G44" s="29">
        <v>91.8</v>
      </c>
      <c r="H44" s="14">
        <f>IF(ISNUMBER(G44), (G44 - $B44) / $B44, "")</f>
        <v>-3.7735849056603862E-2</v>
      </c>
      <c r="I44" s="100">
        <f>IF(ISNUMBER(G44), $B64 * H44, "")</f>
        <v>-3773.5849056603861</v>
      </c>
      <c r="J44" s="13">
        <v>91.2</v>
      </c>
      <c r="K44" s="14">
        <f>IF(ISNUMBER(J44), (J44 - $B44) / $B44, "")</f>
        <v>-4.4025157232704427E-2</v>
      </c>
      <c r="L44" s="16">
        <f>IF(ISNUMBER(J44), $B64 * K44, "")</f>
        <v>-4402.5157232704423</v>
      </c>
      <c r="M44" s="29">
        <v>91.7</v>
      </c>
      <c r="N44" s="14">
        <f>IF(ISNUMBER(M44), (M44 - $B44) / $B44, "")</f>
        <v>-3.8784067085953909E-2</v>
      </c>
      <c r="O44" s="16">
        <f>IF(ISNUMBER(M44), $B64 * N44, "")</f>
        <v>-3878.4067085953911</v>
      </c>
      <c r="Q44" s="248"/>
      <c r="R44" s="248"/>
      <c r="S44" s="248"/>
    </row>
    <row r="45" spans="1:19" ht="17.25" customHeight="1" thickBot="1">
      <c r="A45" s="125" t="s">
        <v>152</v>
      </c>
      <c r="B45" s="126">
        <v>75.3</v>
      </c>
      <c r="C45" s="77">
        <v>2.44897959E-2</v>
      </c>
      <c r="D45" s="15">
        <v>74</v>
      </c>
      <c r="E45" s="32">
        <f t="shared" ref="E45:E48" si="14">IF(ISNUMBER(D45), (D45 - $B45) / $B45, "")</f>
        <v>-1.7264276228419619E-2</v>
      </c>
      <c r="F45" s="18">
        <f>IF(ISNUMBER(D45), $B64 * E45, "")</f>
        <v>-1726.4276228419619</v>
      </c>
      <c r="G45" s="31">
        <v>74.8</v>
      </c>
      <c r="H45" s="32">
        <f t="shared" ref="H45:H48" si="15">IF(ISNUMBER(G45), (G45 - $B45) / $B45, "")</f>
        <v>-6.6401062416998674E-3</v>
      </c>
      <c r="I45" s="101">
        <f>IF(ISNUMBER(G45), $B64 * H45, "")</f>
        <v>-664.01062416998673</v>
      </c>
      <c r="J45" s="15">
        <v>74.5</v>
      </c>
      <c r="K45" s="32">
        <f t="shared" ref="K45:K48" si="16">IF(ISNUMBER(J45), (J45 - $B45) / $B45, "")</f>
        <v>-1.062416998671975E-2</v>
      </c>
      <c r="L45" s="18">
        <f>IF(ISNUMBER(J45), $B64 * K45, "")</f>
        <v>-1062.4169986719751</v>
      </c>
      <c r="M45" s="31">
        <v>75.400000000000006</v>
      </c>
      <c r="N45" s="32">
        <f t="shared" ref="N45:N48" si="17">IF(ISNUMBER(M45), (M45 - $B45) / $B45, "")</f>
        <v>1.3280212483400868E-3</v>
      </c>
      <c r="O45" s="18">
        <f>IF(ISNUMBER(M45), $B64 * N45, "")</f>
        <v>132.80212483400868</v>
      </c>
      <c r="Q45" s="248"/>
      <c r="R45" s="248"/>
      <c r="S45" s="248"/>
    </row>
    <row r="46" spans="1:19" ht="17.25" customHeight="1" thickBot="1">
      <c r="A46" s="125" t="s">
        <v>65</v>
      </c>
      <c r="B46" s="126">
        <v>30</v>
      </c>
      <c r="C46" s="77">
        <v>1.3513513499999999E-2</v>
      </c>
      <c r="D46" s="15">
        <v>28.1</v>
      </c>
      <c r="E46" s="32">
        <f t="shared" si="14"/>
        <v>-6.3333333333333283E-2</v>
      </c>
      <c r="F46" s="18">
        <f>IF(ISNUMBER(D46), $B64 * E46, "")</f>
        <v>-6333.3333333333285</v>
      </c>
      <c r="G46" s="31">
        <v>28.5</v>
      </c>
      <c r="H46" s="32">
        <f t="shared" si="15"/>
        <v>-0.05</v>
      </c>
      <c r="I46" s="101">
        <f>IF(ISNUMBER(G46), $B64 * H46, "")</f>
        <v>-5000</v>
      </c>
      <c r="J46" s="15">
        <v>28.3</v>
      </c>
      <c r="K46" s="32">
        <f t="shared" si="16"/>
        <v>-5.6666666666666643E-2</v>
      </c>
      <c r="L46" s="18">
        <f>IF(ISNUMBER(J46), $B64 * K46, "")</f>
        <v>-5666.6666666666642</v>
      </c>
      <c r="M46" s="31">
        <v>28.5</v>
      </c>
      <c r="N46" s="32">
        <f t="shared" si="17"/>
        <v>-0.05</v>
      </c>
      <c r="O46" s="18">
        <f>IF(ISNUMBER(M46), $B64 * N46, "")</f>
        <v>-5000</v>
      </c>
      <c r="Q46" s="238"/>
      <c r="R46" s="238"/>
      <c r="S46" s="238"/>
    </row>
    <row r="47" spans="1:19" ht="17.25" customHeight="1" thickBot="1">
      <c r="A47" s="125" t="s">
        <v>98</v>
      </c>
      <c r="B47" s="126">
        <v>3.35</v>
      </c>
      <c r="C47" s="77">
        <v>1.20845921E-2</v>
      </c>
      <c r="D47" s="15">
        <v>3.3</v>
      </c>
      <c r="E47" s="32">
        <f t="shared" si="14"/>
        <v>-1.4925373134328438E-2</v>
      </c>
      <c r="F47" s="18">
        <f>IF(ISNUMBER(D47), $B64 * E47, "")</f>
        <v>-1492.5373134328438</v>
      </c>
      <c r="G47" s="31">
        <v>3.36</v>
      </c>
      <c r="H47" s="32">
        <f t="shared" si="15"/>
        <v>2.9850746268656079E-3</v>
      </c>
      <c r="I47" s="101">
        <f>IF(ISNUMBER(G47), $B64 * H47, "")</f>
        <v>298.50746268656081</v>
      </c>
      <c r="J47" s="15">
        <v>3.34</v>
      </c>
      <c r="K47" s="32">
        <f t="shared" si="16"/>
        <v>-2.9850746268657406E-3</v>
      </c>
      <c r="L47" s="18">
        <f>IF(ISNUMBER(J47), $B64 * K47, "")</f>
        <v>-298.50746268657406</v>
      </c>
      <c r="M47" s="31">
        <v>3.38</v>
      </c>
      <c r="N47" s="32">
        <f t="shared" si="17"/>
        <v>8.9552238805969565E-3</v>
      </c>
      <c r="O47" s="18">
        <f>IF(ISNUMBER(M47), $B64 * N47, "")</f>
        <v>895.52238805969569</v>
      </c>
      <c r="Q47" s="238"/>
      <c r="R47" s="238"/>
      <c r="S47" s="238"/>
    </row>
    <row r="48" spans="1:19" ht="17.25" customHeight="1" thickBot="1">
      <c r="A48" s="127" t="s">
        <v>148</v>
      </c>
      <c r="B48" s="128">
        <v>18.5</v>
      </c>
      <c r="C48" s="78">
        <v>1.09289617E-2</v>
      </c>
      <c r="D48" s="20">
        <v>17.399999999999999</v>
      </c>
      <c r="E48" s="21">
        <f t="shared" si="14"/>
        <v>-5.9459459459459539E-2</v>
      </c>
      <c r="F48" s="22">
        <f>IF(ISNUMBER(D48), $B64 * E48, "")</f>
        <v>-5945.945945945954</v>
      </c>
      <c r="G48" s="30">
        <v>17.5</v>
      </c>
      <c r="H48" s="21">
        <f t="shared" si="15"/>
        <v>-5.4054054054054057E-2</v>
      </c>
      <c r="I48" s="105">
        <f>IF(ISNUMBER(G48), $B64 * H48, "")</f>
        <v>-5405.4054054054059</v>
      </c>
      <c r="J48" s="20">
        <v>17.399999999999999</v>
      </c>
      <c r="K48" s="21">
        <f t="shared" si="16"/>
        <v>-5.9459459459459539E-2</v>
      </c>
      <c r="L48" s="22">
        <f>IF(ISNUMBER(J48), $B64 * K48, "")</f>
        <v>-5945.945945945954</v>
      </c>
      <c r="M48" s="30">
        <v>17.600000000000001</v>
      </c>
      <c r="N48" s="21">
        <f t="shared" si="17"/>
        <v>-4.8648648648648575E-2</v>
      </c>
      <c r="O48" s="22">
        <f>IF(ISNUMBER(M48), $B64 * N48, "")</f>
        <v>-4864.8648648648577</v>
      </c>
      <c r="Q48" s="238"/>
      <c r="R48" s="238"/>
      <c r="S48" s="238"/>
    </row>
    <row r="49" spans="1:19" ht="17.25" customHeight="1" thickBot="1">
      <c r="A49" s="125" t="s">
        <v>162</v>
      </c>
      <c r="B49" s="129">
        <v>94.8</v>
      </c>
      <c r="C49" s="80">
        <v>4.2372881000000001E-3</v>
      </c>
      <c r="D49" s="106">
        <v>90</v>
      </c>
      <c r="E49" s="107">
        <f>IF(ISNUMBER(D49), (D49 - $B49) / $B49, "")</f>
        <v>-5.0632911392405035E-2</v>
      </c>
      <c r="F49" s="108">
        <f>IF(ISNUMBER(D49), $B64 * E49, "")</f>
        <v>-5063.2911392405031</v>
      </c>
      <c r="G49" s="109">
        <v>90.9</v>
      </c>
      <c r="H49" s="107">
        <f>IF(ISNUMBER(G49), (G49 - $B49) / $B49, "")</f>
        <v>-4.1139240506329028E-2</v>
      </c>
      <c r="I49" s="110">
        <f>IF(ISNUMBER(G49), $B64 * H49, "")</f>
        <v>-4113.9240506329024</v>
      </c>
      <c r="J49" s="106">
        <v>90.2</v>
      </c>
      <c r="K49" s="107">
        <f>IF(ISNUMBER(J49), (J49 - $B49) / $B49, "")</f>
        <v>-4.8523206751054794E-2</v>
      </c>
      <c r="L49" s="108">
        <f>IF(ISNUMBER(J49), $B64 * K49, "")</f>
        <v>-4852.3206751054795</v>
      </c>
      <c r="M49" s="109">
        <v>91.2</v>
      </c>
      <c r="N49" s="107">
        <f>IF(ISNUMBER(M49), (M49 - $B49) / $B49, "")</f>
        <v>-3.7974683544303736E-2</v>
      </c>
      <c r="O49" s="108">
        <f>IF(ISNUMBER(M49), $B64 * N49, "")</f>
        <v>-3797.4683544303734</v>
      </c>
      <c r="Q49" s="238"/>
      <c r="R49" s="238"/>
      <c r="S49" s="238"/>
    </row>
    <row r="50" spans="1:19" ht="17.25" customHeight="1" thickBot="1">
      <c r="A50" s="125" t="s">
        <v>190</v>
      </c>
      <c r="B50" s="126">
        <v>15.3</v>
      </c>
      <c r="C50" s="77">
        <v>0</v>
      </c>
      <c r="D50" s="15">
        <v>16.2</v>
      </c>
      <c r="E50" s="32">
        <f t="shared" ref="E50:E53" si="18">IF(ISNUMBER(D50), (D50 - $B50) / $B50, "")</f>
        <v>5.8823529411764608E-2</v>
      </c>
      <c r="F50" s="18">
        <f>IF(ISNUMBER(D50), $B64 * E50, "")</f>
        <v>5882.3529411764612</v>
      </c>
      <c r="G50" s="31">
        <v>15.8</v>
      </c>
      <c r="H50" s="32">
        <f t="shared" ref="H50:H53" si="19">IF(ISNUMBER(G50), (G50 - $B50) / $B50, "")</f>
        <v>3.2679738562091505E-2</v>
      </c>
      <c r="I50" s="101">
        <f>IF(ISNUMBER(G50), $B64 * H50, "")</f>
        <v>3267.9738562091507</v>
      </c>
      <c r="J50" s="15">
        <v>15.5</v>
      </c>
      <c r="K50" s="32">
        <f t="shared" ref="K50:K53" si="20">IF(ISNUMBER(J50), (J50 - $B50) / $B50, "")</f>
        <v>1.3071895424836555E-2</v>
      </c>
      <c r="L50" s="18">
        <f>IF(ISNUMBER(J50), $B64 * K50, "")</f>
        <v>1307.1895424836555</v>
      </c>
      <c r="M50" s="31">
        <v>15.6</v>
      </c>
      <c r="N50" s="32">
        <f t="shared" ref="N50:N53" si="21">IF(ISNUMBER(M50), (M50 - $B50) / $B50, "")</f>
        <v>1.9607843137254832E-2</v>
      </c>
      <c r="O50" s="18">
        <f>IF(ISNUMBER(M50), $B64 * N50, "")</f>
        <v>1960.7843137254831</v>
      </c>
      <c r="Q50" s="238"/>
      <c r="R50" s="238"/>
      <c r="S50" s="238"/>
    </row>
    <row r="51" spans="1:19" ht="17.25" customHeight="1" thickBot="1">
      <c r="A51" s="125" t="s">
        <v>250</v>
      </c>
      <c r="B51" s="126">
        <v>60.8</v>
      </c>
      <c r="C51" s="77">
        <v>-3.2786884999999998E-3</v>
      </c>
      <c r="D51" s="15">
        <v>58.6</v>
      </c>
      <c r="E51" s="32">
        <f t="shared" si="18"/>
        <v>-3.6184210526315722E-2</v>
      </c>
      <c r="F51" s="18">
        <f>IF(ISNUMBER(D51), $B64 * E51, "")</f>
        <v>-3618.4210526315724</v>
      </c>
      <c r="G51" s="31">
        <v>59.2</v>
      </c>
      <c r="H51" s="32">
        <f t="shared" si="19"/>
        <v>-2.6315789473684119E-2</v>
      </c>
      <c r="I51" s="101">
        <f>IF(ISNUMBER(G51), $B64 * H51, "")</f>
        <v>-2631.5789473684117</v>
      </c>
      <c r="J51" s="15">
        <v>58.3</v>
      </c>
      <c r="K51" s="32">
        <f t="shared" si="20"/>
        <v>-4.1118421052631582E-2</v>
      </c>
      <c r="L51" s="18">
        <f>IF(ISNUMBER(J51), $B64 * K51, "")</f>
        <v>-4111.8421052631584</v>
      </c>
      <c r="M51" s="31">
        <v>59.1</v>
      </c>
      <c r="N51" s="32">
        <f t="shared" si="21"/>
        <v>-2.7960526315789404E-2</v>
      </c>
      <c r="O51" s="18">
        <f>IF(ISNUMBER(M51), $B64 * N51, "")</f>
        <v>-2796.0526315789402</v>
      </c>
      <c r="Q51" s="238"/>
      <c r="R51" s="238"/>
      <c r="S51" s="238"/>
    </row>
    <row r="52" spans="1:19" ht="17.25" customHeight="1" thickBot="1">
      <c r="A52" s="125" t="s">
        <v>130</v>
      </c>
      <c r="B52" s="126">
        <v>92.5</v>
      </c>
      <c r="C52" s="77">
        <v>-4.3057051000000004E-3</v>
      </c>
      <c r="D52" s="15">
        <v>89.3</v>
      </c>
      <c r="E52" s="32">
        <f t="shared" si="18"/>
        <v>-3.4594594594594623E-2</v>
      </c>
      <c r="F52" s="18">
        <f>IF(ISNUMBER(D52), $B64 * E52, "")</f>
        <v>-3459.4594594594623</v>
      </c>
      <c r="G52" s="31">
        <v>90</v>
      </c>
      <c r="H52" s="32">
        <f t="shared" si="19"/>
        <v>-2.7027027027027029E-2</v>
      </c>
      <c r="I52" s="101">
        <f>IF(ISNUMBER(G52), $B64 * H52, "")</f>
        <v>-2702.7027027027029</v>
      </c>
      <c r="J52" s="15">
        <v>89</v>
      </c>
      <c r="K52" s="32">
        <f t="shared" si="20"/>
        <v>-3.783783783783784E-2</v>
      </c>
      <c r="L52" s="18">
        <f>IF(ISNUMBER(J52), $B64 * K52, "")</f>
        <v>-3783.7837837837842</v>
      </c>
      <c r="M52" s="31">
        <v>89.9</v>
      </c>
      <c r="N52" s="32">
        <f t="shared" si="21"/>
        <v>-2.8108108108108047E-2</v>
      </c>
      <c r="O52" s="18">
        <f>IF(ISNUMBER(M52), $B64 * N52, "")</f>
        <v>-2810.8108108108045</v>
      </c>
      <c r="Q52" s="33"/>
      <c r="R52" s="33"/>
    </row>
    <row r="53" spans="1:19" ht="17.25" customHeight="1" thickBot="1">
      <c r="A53" s="130" t="s">
        <v>72</v>
      </c>
      <c r="B53" s="131">
        <v>20.8</v>
      </c>
      <c r="C53" s="79">
        <v>-9.5238094999999991E-3</v>
      </c>
      <c r="D53" s="24">
        <v>20.3</v>
      </c>
      <c r="E53" s="25">
        <f t="shared" si="18"/>
        <v>-2.4038461538461536E-2</v>
      </c>
      <c r="F53" s="104">
        <f>IF(ISNUMBER(D53), $B64 * E53, "")</f>
        <v>-2403.8461538461538</v>
      </c>
      <c r="G53" s="102">
        <v>20.7</v>
      </c>
      <c r="H53" s="25">
        <f t="shared" si="19"/>
        <v>-4.8076923076923756E-3</v>
      </c>
      <c r="I53" s="103">
        <f>IF(ISNUMBER(G53), $B64 * H53, "")</f>
        <v>-480.76923076923754</v>
      </c>
      <c r="J53" s="24">
        <v>20.3</v>
      </c>
      <c r="K53" s="25">
        <f t="shared" si="20"/>
        <v>-2.4038461538461536E-2</v>
      </c>
      <c r="L53" s="104">
        <f>IF(ISNUMBER(J53), $B64 * K53, "")</f>
        <v>-2403.8461538461538</v>
      </c>
      <c r="M53" s="102">
        <v>20.399999999999999</v>
      </c>
      <c r="N53" s="25">
        <f t="shared" si="21"/>
        <v>-1.9230769230769332E-2</v>
      </c>
      <c r="O53" s="104">
        <f>IF(ISNUMBER(M53), $B64 * N53, "")</f>
        <v>-1923.0769230769333</v>
      </c>
      <c r="Q53" s="239"/>
      <c r="R53" s="240"/>
      <c r="S53" s="241"/>
    </row>
    <row r="54" spans="1:19" ht="17.25" customHeight="1">
      <c r="A54" s="123" t="s">
        <v>238</v>
      </c>
      <c r="B54" s="124">
        <v>94</v>
      </c>
      <c r="C54" s="76">
        <v>-1.4675052399999999E-2</v>
      </c>
      <c r="D54" s="13">
        <v>93.1</v>
      </c>
      <c r="E54" s="14">
        <f>IF(ISNUMBER(D54), (D54 - $B54) / $B54, "")</f>
        <v>-9.5744680851064436E-3</v>
      </c>
      <c r="F54" s="16">
        <f>IF(ISNUMBER(D54), $B64 * E54, "")</f>
        <v>-957.44680851064436</v>
      </c>
      <c r="G54" s="29">
        <v>94</v>
      </c>
      <c r="H54" s="14">
        <f>IF(ISNUMBER(G54), (G54 - $B54) / $B54, "")</f>
        <v>0</v>
      </c>
      <c r="I54" s="100">
        <f>IF(ISNUMBER(G54), $B64 * H54, "")</f>
        <v>0</v>
      </c>
      <c r="J54" s="13">
        <v>93.5</v>
      </c>
      <c r="K54" s="14">
        <f>IF(ISNUMBER(J54), (J54 - $B54) / $B54, "")</f>
        <v>-5.3191489361702126E-3</v>
      </c>
      <c r="L54" s="16">
        <f>IF(ISNUMBER(J54), $B64 * K54, "")</f>
        <v>-531.91489361702122</v>
      </c>
      <c r="M54" s="29">
        <v>93.7</v>
      </c>
      <c r="N54" s="14">
        <f>IF(ISNUMBER(M54), (M54 - $B54) / $B54, "")</f>
        <v>-3.1914893617020976E-3</v>
      </c>
      <c r="O54" s="16">
        <f>IF(ISNUMBER(M54), $B64 * N54, "")</f>
        <v>-319.14893617020977</v>
      </c>
      <c r="Q54" s="242"/>
      <c r="R54" s="243"/>
      <c r="S54" s="244"/>
    </row>
    <row r="55" spans="1:19" ht="17.25" customHeight="1" thickBot="1">
      <c r="A55" s="125" t="s">
        <v>122</v>
      </c>
      <c r="B55" s="126">
        <v>25.4</v>
      </c>
      <c r="C55" s="77">
        <v>-1.5503876E-2</v>
      </c>
      <c r="D55" s="15">
        <v>24.3</v>
      </c>
      <c r="E55" s="32">
        <f t="shared" ref="E55:E58" si="22">IF(ISNUMBER(D55), (D55 - $B55) / $B55, "")</f>
        <v>-4.3307086614173144E-2</v>
      </c>
      <c r="F55" s="18">
        <f>IF(ISNUMBER(D55), $B64 * E55, "")</f>
        <v>-4330.708661417314</v>
      </c>
      <c r="G55" s="31">
        <v>24.7</v>
      </c>
      <c r="H55" s="32">
        <f t="shared" ref="H55:H58" si="23">IF(ISNUMBER(G55), (G55 - $B55) / $B55, "")</f>
        <v>-2.7559055118110208E-2</v>
      </c>
      <c r="I55" s="101">
        <f>IF(ISNUMBER(G55), $B64 * H55, "")</f>
        <v>-2755.9055118110209</v>
      </c>
      <c r="J55" s="15">
        <v>24.7</v>
      </c>
      <c r="K55" s="32">
        <f t="shared" ref="K55:K58" si="24">IF(ISNUMBER(J55), (J55 - $B55) / $B55, "")</f>
        <v>-2.7559055118110208E-2</v>
      </c>
      <c r="L55" s="18">
        <f>IF(ISNUMBER(J55), $B64 * K55, "")</f>
        <v>-2755.9055118110209</v>
      </c>
      <c r="M55" s="31">
        <v>24.8</v>
      </c>
      <c r="N55" s="32">
        <f t="shared" ref="N55:N58" si="25">IF(ISNUMBER(M55), (M55 - $B55) / $B55, "")</f>
        <v>-2.3622047244094405E-2</v>
      </c>
      <c r="O55" s="18">
        <f>IF(ISNUMBER(M55), $B64 * N55, "")</f>
        <v>-2362.2047244094406</v>
      </c>
      <c r="Q55" s="245"/>
      <c r="R55" s="246"/>
      <c r="S55" s="247"/>
    </row>
    <row r="56" spans="1:19" ht="17.25" customHeight="1" thickBot="1">
      <c r="A56" s="125" t="s">
        <v>204</v>
      </c>
      <c r="B56" s="126">
        <v>12.6</v>
      </c>
      <c r="C56" s="77">
        <v>-1.5625E-2</v>
      </c>
      <c r="D56" s="15">
        <v>12.5</v>
      </c>
      <c r="E56" s="32">
        <f t="shared" si="22"/>
        <v>-7.9365079365079083E-3</v>
      </c>
      <c r="F56" s="18">
        <f>IF(ISNUMBER(D56), $B64 * E56, "")</f>
        <v>-793.65079365079077</v>
      </c>
      <c r="G56" s="31">
        <v>12.5</v>
      </c>
      <c r="H56" s="32">
        <f t="shared" si="23"/>
        <v>-7.9365079365079083E-3</v>
      </c>
      <c r="I56" s="101">
        <f>IF(ISNUMBER(G56), $B64 * H56, "")</f>
        <v>-793.65079365079077</v>
      </c>
      <c r="J56" s="15">
        <v>12.4</v>
      </c>
      <c r="K56" s="32">
        <f t="shared" si="24"/>
        <v>-1.5873015873015817E-2</v>
      </c>
      <c r="L56" s="18">
        <f>IF(ISNUMBER(J56), $B64 * K56, "")</f>
        <v>-1587.3015873015815</v>
      </c>
      <c r="M56" s="31">
        <v>12.4</v>
      </c>
      <c r="N56" s="32">
        <f t="shared" si="25"/>
        <v>-1.5873015873015817E-2</v>
      </c>
      <c r="O56" s="18">
        <f>IF(ISNUMBER(M56), $B64 * N56, "")</f>
        <v>-1587.3015873015815</v>
      </c>
      <c r="Q56" s="238"/>
      <c r="R56" s="238"/>
      <c r="S56" s="238"/>
    </row>
    <row r="57" spans="1:19" ht="17.25" customHeight="1" thickBot="1">
      <c r="A57" s="125" t="s">
        <v>216</v>
      </c>
      <c r="B57" s="126">
        <v>9.19</v>
      </c>
      <c r="C57" s="77">
        <v>-2.3379383600000001E-2</v>
      </c>
      <c r="D57" s="15">
        <v>9.06</v>
      </c>
      <c r="E57" s="32">
        <f t="shared" si="22"/>
        <v>-1.4145810663764854E-2</v>
      </c>
      <c r="F57" s="18">
        <f>IF(ISNUMBER(D57), $B64 * E57, "")</f>
        <v>-1414.5810663764853</v>
      </c>
      <c r="G57" s="31">
        <v>9.14</v>
      </c>
      <c r="H57" s="32">
        <f t="shared" si="23"/>
        <v>-5.4406964091402539E-3</v>
      </c>
      <c r="I57" s="101">
        <f>IF(ISNUMBER(G57), $B64 * H57, "")</f>
        <v>-544.0696409140254</v>
      </c>
      <c r="J57" s="15">
        <v>9.07</v>
      </c>
      <c r="K57" s="32">
        <f t="shared" si="24"/>
        <v>-1.3057671381936803E-2</v>
      </c>
      <c r="L57" s="18">
        <f>IF(ISNUMBER(J57), $B64 * K57, "")</f>
        <v>-1305.7671381936802</v>
      </c>
      <c r="M57" s="31">
        <v>9.08</v>
      </c>
      <c r="N57" s="32">
        <f t="shared" si="25"/>
        <v>-1.1969532100108753E-2</v>
      </c>
      <c r="O57" s="18">
        <f>IF(ISNUMBER(M57), $B64 * N57, "")</f>
        <v>-1196.9532100108752</v>
      </c>
      <c r="Q57" s="248"/>
      <c r="R57" s="248"/>
      <c r="S57" s="248"/>
    </row>
    <row r="58" spans="1:19" ht="17.25" customHeight="1" thickBot="1">
      <c r="A58" s="127" t="s">
        <v>208</v>
      </c>
      <c r="B58" s="128">
        <v>10.9</v>
      </c>
      <c r="C58" s="78">
        <v>-2.6785714299999999E-2</v>
      </c>
      <c r="D58" s="20">
        <v>10.6</v>
      </c>
      <c r="E58" s="21">
        <f t="shared" si="22"/>
        <v>-2.7522935779816578E-2</v>
      </c>
      <c r="F58" s="22">
        <f>IF(ISNUMBER(D58), $B64 * E58, "")</f>
        <v>-2752.2935779816576</v>
      </c>
      <c r="G58" s="30">
        <v>10.9</v>
      </c>
      <c r="H58" s="21">
        <f t="shared" si="23"/>
        <v>0</v>
      </c>
      <c r="I58" s="105">
        <f>IF(ISNUMBER(G58), $B64 * H58, "")</f>
        <v>0</v>
      </c>
      <c r="J58" s="20">
        <v>10.7</v>
      </c>
      <c r="K58" s="21">
        <f t="shared" si="24"/>
        <v>-1.8348623853211107E-2</v>
      </c>
      <c r="L58" s="22">
        <f>IF(ISNUMBER(J58), $B64 * K58, "")</f>
        <v>-1834.8623853211107</v>
      </c>
      <c r="M58" s="30">
        <v>10.8</v>
      </c>
      <c r="N58" s="21">
        <f t="shared" si="25"/>
        <v>-9.1743119266054721E-3</v>
      </c>
      <c r="O58" s="22">
        <f>IF(ISNUMBER(M58), $B64 * N58, "")</f>
        <v>-917.43119266054725</v>
      </c>
      <c r="Q58" s="248"/>
      <c r="R58" s="248"/>
      <c r="S58" s="248"/>
    </row>
    <row r="59" spans="1:19" ht="17.25" customHeight="1" thickBot="1">
      <c r="A59" s="125" t="s">
        <v>240</v>
      </c>
      <c r="B59" s="129">
        <v>57.1</v>
      </c>
      <c r="C59" s="80">
        <v>-2.7257240200000001E-2</v>
      </c>
      <c r="D59" s="106">
        <v>57.3</v>
      </c>
      <c r="E59" s="107">
        <f>IF(ISNUMBER(D59), (D59 - $B59) / $B59, "")</f>
        <v>3.5026269702275962E-3</v>
      </c>
      <c r="F59" s="108">
        <f>IF(ISNUMBER(D59), $B64 * E59, "")</f>
        <v>350.2626970227596</v>
      </c>
      <c r="G59" s="109">
        <v>58</v>
      </c>
      <c r="H59" s="107">
        <f>IF(ISNUMBER(G59), (G59 - $B59) / $B59, "")</f>
        <v>1.5761821366024494E-2</v>
      </c>
      <c r="I59" s="110">
        <f>IF(ISNUMBER(G59), $B64 * H59, "")</f>
        <v>1576.1821366024494</v>
      </c>
      <c r="J59" s="106">
        <v>58.3</v>
      </c>
      <c r="K59" s="107">
        <f>IF(ISNUMBER(J59), (J59 - $B59) / $B59, "")</f>
        <v>2.1015761821365948E-2</v>
      </c>
      <c r="L59" s="108">
        <f>IF(ISNUMBER(J59), $B64 * K59, "")</f>
        <v>2101.576182136595</v>
      </c>
      <c r="M59" s="109">
        <v>58.9</v>
      </c>
      <c r="N59" s="107">
        <f>IF(ISNUMBER(M59), (M59 - $B59) / $B59, "")</f>
        <v>3.1523642732048988E-2</v>
      </c>
      <c r="O59" s="108">
        <f>IF(ISNUMBER(M59), $B64 * N59, "")</f>
        <v>3152.3642732048988</v>
      </c>
      <c r="Q59" s="238"/>
      <c r="R59" s="238"/>
      <c r="S59" s="238"/>
    </row>
    <row r="60" spans="1:19" ht="17.25" customHeight="1" thickBot="1">
      <c r="A60" s="125" t="s">
        <v>210</v>
      </c>
      <c r="B60" s="126">
        <v>10.5</v>
      </c>
      <c r="C60" s="77">
        <v>-2.77777778E-2</v>
      </c>
      <c r="D60" s="15">
        <v>10.199999999999999</v>
      </c>
      <c r="E60" s="32">
        <f t="shared" ref="E60:E63" si="26">IF(ISNUMBER(D60), (D60 - $B60) / $B60, "")</f>
        <v>-2.857142857142864E-2</v>
      </c>
      <c r="F60" s="18">
        <f>IF(ISNUMBER(D60), $B64 * E60, "")</f>
        <v>-2857.1428571428642</v>
      </c>
      <c r="G60" s="31">
        <v>10.4</v>
      </c>
      <c r="H60" s="32">
        <f t="shared" ref="H60:H63" si="27">IF(ISNUMBER(G60), (G60 - $B60) / $B60, "")</f>
        <v>-9.52380952380949E-3</v>
      </c>
      <c r="I60" s="101">
        <f>IF(ISNUMBER(G60), $B64 * H60, "")</f>
        <v>-952.380952380949</v>
      </c>
      <c r="J60" s="15">
        <v>10.3</v>
      </c>
      <c r="K60" s="32">
        <f t="shared" ref="K60:K63" si="28">IF(ISNUMBER(J60), (J60 - $B60) / $B60, "")</f>
        <v>-1.904761904761898E-2</v>
      </c>
      <c r="L60" s="18">
        <f>IF(ISNUMBER(J60), $B64 * K60, "")</f>
        <v>-1904.761904761898</v>
      </c>
      <c r="M60" s="31">
        <v>10.3</v>
      </c>
      <c r="N60" s="32">
        <f t="shared" ref="N60:N63" si="29">IF(ISNUMBER(M60), (M60 - $B60) / $B60, "")</f>
        <v>-1.904761904761898E-2</v>
      </c>
      <c r="O60" s="18">
        <f>IF(ISNUMBER(M60), $B64 * N60, "")</f>
        <v>-1904.761904761898</v>
      </c>
      <c r="Q60" s="238"/>
      <c r="R60" s="238"/>
      <c r="S60" s="238"/>
    </row>
    <row r="61" spans="1:19" ht="17.25" customHeight="1" thickBot="1">
      <c r="A61" s="125" t="s">
        <v>178</v>
      </c>
      <c r="B61" s="126">
        <v>15</v>
      </c>
      <c r="C61" s="77">
        <v>-3.2258064500000003E-2</v>
      </c>
      <c r="D61" s="15">
        <v>14.6</v>
      </c>
      <c r="E61" s="32">
        <f t="shared" si="26"/>
        <v>-2.6666666666666689E-2</v>
      </c>
      <c r="F61" s="18">
        <f>IF(ISNUMBER(D61), $B64 * E61, "")</f>
        <v>-2666.6666666666688</v>
      </c>
      <c r="G61" s="31">
        <v>14.7</v>
      </c>
      <c r="H61" s="32">
        <f t="shared" si="27"/>
        <v>-2.0000000000000049E-2</v>
      </c>
      <c r="I61" s="101">
        <f>IF(ISNUMBER(G61), $B64 * H61, "")</f>
        <v>-2000.000000000005</v>
      </c>
      <c r="J61" s="15">
        <v>14.5</v>
      </c>
      <c r="K61" s="32">
        <f t="shared" si="28"/>
        <v>-3.3333333333333333E-2</v>
      </c>
      <c r="L61" s="18">
        <f>IF(ISNUMBER(J61), $B64 * K61, "")</f>
        <v>-3333.3333333333335</v>
      </c>
      <c r="M61" s="31">
        <v>14.8</v>
      </c>
      <c r="N61" s="32">
        <f t="shared" si="29"/>
        <v>-1.3333333333333286E-2</v>
      </c>
      <c r="O61" s="18">
        <f>IF(ISNUMBER(M61), $B64 * N61, "")</f>
        <v>-1333.3333333333285</v>
      </c>
      <c r="Q61" s="238"/>
      <c r="R61" s="238"/>
      <c r="S61" s="238"/>
    </row>
    <row r="62" spans="1:19" ht="17.25" customHeight="1">
      <c r="A62" s="125" t="s">
        <v>202</v>
      </c>
      <c r="B62" s="126">
        <v>62.7</v>
      </c>
      <c r="C62" s="77">
        <v>-4.12844037E-2</v>
      </c>
      <c r="D62" s="15">
        <v>68.2</v>
      </c>
      <c r="E62" s="32">
        <f t="shared" si="26"/>
        <v>8.771929824561403E-2</v>
      </c>
      <c r="F62" s="18">
        <f>IF(ISNUMBER(D62), $B64 * E62, "")</f>
        <v>8771.9298245614027</v>
      </c>
      <c r="G62" s="31">
        <v>68.7</v>
      </c>
      <c r="H62" s="32">
        <f t="shared" si="27"/>
        <v>9.569377990430622E-2</v>
      </c>
      <c r="I62" s="101">
        <f>IF(ISNUMBER(G62), $B64 * H62, "")</f>
        <v>9569.3779904306211</v>
      </c>
      <c r="J62" s="15">
        <v>67.599999999999994</v>
      </c>
      <c r="K62" s="32">
        <f t="shared" si="28"/>
        <v>7.8149920255183275E-2</v>
      </c>
      <c r="L62" s="18">
        <f>IF(ISNUMBER(J62), $B64 * K62, "")</f>
        <v>7814.9920255183279</v>
      </c>
      <c r="M62" s="31">
        <v>67.400000000000006</v>
      </c>
      <c r="N62" s="32">
        <f t="shared" si="29"/>
        <v>7.4960127591706588E-2</v>
      </c>
      <c r="O62" s="18">
        <f>IF(ISNUMBER(M62), $B64 * N62, "")</f>
        <v>7496.0127591706587</v>
      </c>
      <c r="Q62" s="227"/>
      <c r="R62" s="228"/>
      <c r="S62" s="229"/>
    </row>
    <row r="63" spans="1:19" ht="17.25" customHeight="1" thickBot="1">
      <c r="A63" s="130" t="s">
        <v>188</v>
      </c>
      <c r="B63" s="131">
        <v>11.1</v>
      </c>
      <c r="C63" s="79">
        <v>-4.31034483E-2</v>
      </c>
      <c r="D63" s="24">
        <v>10.7</v>
      </c>
      <c r="E63" s="25">
        <f t="shared" si="26"/>
        <v>-3.603603603603607E-2</v>
      </c>
      <c r="F63" s="104">
        <f>IF(ISNUMBER(D63), $B64 * E63, "")</f>
        <v>-3603.6036036036071</v>
      </c>
      <c r="G63" s="102">
        <v>10.8</v>
      </c>
      <c r="H63" s="25">
        <f t="shared" si="27"/>
        <v>-2.7027027027026931E-2</v>
      </c>
      <c r="I63" s="103">
        <f>IF(ISNUMBER(G63), $B64 * H63, "")</f>
        <v>-2702.7027027026929</v>
      </c>
      <c r="J63" s="24">
        <v>10.7</v>
      </c>
      <c r="K63" s="25">
        <f t="shared" si="28"/>
        <v>-3.603603603603607E-2</v>
      </c>
      <c r="L63" s="104">
        <f>IF(ISNUMBER(J63), $B64 * K63, "")</f>
        <v>-3603.6036036036071</v>
      </c>
      <c r="M63" s="102">
        <v>11</v>
      </c>
      <c r="N63" s="25">
        <f t="shared" si="29"/>
        <v>-9.0090090090089777E-3</v>
      </c>
      <c r="O63" s="104">
        <f>IF(ISNUMBER(M63), $B64 * N63, "")</f>
        <v>-900.9009009008978</v>
      </c>
      <c r="Q63" s="230"/>
      <c r="R63" s="231"/>
      <c r="S63" s="232"/>
    </row>
    <row r="64" spans="1:19" ht="17.25" customHeight="1" thickBot="1">
      <c r="A64" s="132" t="s">
        <v>270</v>
      </c>
      <c r="B64" s="291">
        <f>$B$37</f>
        <v>100000</v>
      </c>
      <c r="C64" s="292"/>
      <c r="D64" s="26" t="s">
        <v>271</v>
      </c>
      <c r="E64" s="27">
        <f>IF(COUNT(E44:E63), SUM(E44:E63) / COUNT(E44:E63), 0)</f>
        <v>-1.9303841355360805E-2</v>
      </c>
      <c r="F64" s="28">
        <f>SUM(F44:F63)</f>
        <v>-38607.682710721616</v>
      </c>
      <c r="G64" s="26" t="s">
        <v>271</v>
      </c>
      <c r="H64" s="27">
        <f>IF(COUNT(H44:H63), SUM(H44:H63) / COUNT(H44:H63), 0)</f>
        <v>-9.9043220111198708E-3</v>
      </c>
      <c r="I64" s="28">
        <f>SUM(I44:I63)</f>
        <v>-19808.644022239736</v>
      </c>
      <c r="J64" s="26" t="s">
        <v>271</v>
      </c>
      <c r="K64" s="27">
        <f>IF(COUNT(K44:K63), SUM(K44:K63) / COUNT(K44:K63), 0)</f>
        <v>-1.9080769061522427E-2</v>
      </c>
      <c r="L64" s="28">
        <f>SUM(L44:L63)</f>
        <v>-38161.538123044869</v>
      </c>
      <c r="M64" s="26" t="s">
        <v>271</v>
      </c>
      <c r="N64" s="27">
        <f>IF(COUNT(N44:N63), SUM(N44:N63) / COUNT(N44:N63), 0)</f>
        <v>-1.0977615111955667E-2</v>
      </c>
      <c r="O64" s="28">
        <f>SUM(O44:O63)</f>
        <v>-21955.230223911338</v>
      </c>
      <c r="Q64" s="233"/>
      <c r="R64" s="234"/>
      <c r="S64" s="23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48"/>
      <c r="R67" s="248"/>
      <c r="S67" s="248"/>
    </row>
    <row r="68" spans="1:19" ht="17.25" thickBot="1">
      <c r="A68" s="165" t="s">
        <v>267</v>
      </c>
      <c r="B68" s="249" t="s">
        <v>49</v>
      </c>
      <c r="C68" s="251"/>
      <c r="D68" s="249" t="s">
        <v>58</v>
      </c>
      <c r="E68" s="250"/>
      <c r="F68" s="251"/>
      <c r="G68" s="252">
        <f>_xlfn.IFNA(VLOOKUP(B68, 현재가테이블!$B$2:$D$200, 2, FALSE), "-")</f>
        <v>54440000</v>
      </c>
      <c r="H68" s="253"/>
      <c r="I68" s="254"/>
      <c r="J68" s="249" t="s">
        <v>59</v>
      </c>
      <c r="K68" s="250"/>
      <c r="L68" s="251"/>
      <c r="M68" s="255">
        <f>_xlfn.IFNA(VLOOKUP(B68, 현재가테이블!$B$2:$D$200, 3, FALSE), "-")</f>
        <v>1.07123628E-2</v>
      </c>
      <c r="N68" s="256"/>
      <c r="O68" s="257"/>
      <c r="Q68" s="248"/>
      <c r="R68" s="248"/>
      <c r="S68" s="248"/>
    </row>
    <row r="69" spans="1:19" ht="17.25" thickBot="1">
      <c r="A69" s="293" t="s">
        <v>55</v>
      </c>
      <c r="B69" s="289" t="str">
        <f>TEXT($G$1, "[$-ko-KR]yyyy-mm-dd(ddd) ") &amp; "오전 00:00"</f>
        <v>2021-08-03(화) 오전 00:00</v>
      </c>
      <c r="C69" s="290"/>
      <c r="D69" s="262" t="str">
        <f>TEXT($G$1, "[$-ko-KR]yyyy-mm-dd(ddd) ") &amp; "오후 14:00"</f>
        <v>2021-08-03(화) 오후 14:00</v>
      </c>
      <c r="E69" s="263"/>
      <c r="F69" s="264"/>
      <c r="G69" s="262" t="str">
        <f>TEXT($G$1, "[$-ko-KR]yyyy-mm-dd(ddd) ") &amp; "오후 19:00"</f>
        <v>2021-08-03(화) 오후 19:00</v>
      </c>
      <c r="H69" s="263"/>
      <c r="I69" s="264"/>
      <c r="J69" s="262" t="str">
        <f>TEXT($G$1, "[$-ko-KR]yyyy-mm-dd(ddd) ") &amp; "오후 21:00"</f>
        <v>2021-08-03(화) 오후 21:00</v>
      </c>
      <c r="K69" s="263"/>
      <c r="L69" s="264"/>
      <c r="M69" s="262" t="str">
        <f>TEXT($G$1+1, "[$-ko-KR]yyyy-mm-dd(ddd) ") &amp; "오전 00:00"</f>
        <v>2021-08-04(수) 오전 00:00</v>
      </c>
      <c r="N69" s="263"/>
      <c r="O69" s="264"/>
      <c r="Q69" s="248"/>
      <c r="R69" s="248"/>
      <c r="S69" s="248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8"/>
      <c r="R70" s="238"/>
      <c r="S70" s="238"/>
    </row>
    <row r="71" spans="1:19" ht="17.25" thickBot="1">
      <c r="A71" s="123" t="s">
        <v>104</v>
      </c>
      <c r="B71" s="124">
        <v>947</v>
      </c>
      <c r="C71" s="76">
        <v>4.2951541900000001E-2</v>
      </c>
      <c r="D71" s="13">
        <v>911</v>
      </c>
      <c r="E71" s="14">
        <f>IF(ISNUMBER(D71), (D71 - $B71) / $B71, "")</f>
        <v>-3.8014783526927137E-2</v>
      </c>
      <c r="F71" s="16">
        <f>IF(ISNUMBER(D71), $B91 * E71, "")</f>
        <v>-3801.4783526927135</v>
      </c>
      <c r="G71" s="29">
        <v>937</v>
      </c>
      <c r="H71" s="14">
        <f>IF(ISNUMBER(G71), (G71 - $B71) / $B71, "")</f>
        <v>-1.0559662090813094E-2</v>
      </c>
      <c r="I71" s="100">
        <f>IF(ISNUMBER(G71), $B91 * H71, "")</f>
        <v>-1055.9662090813094</v>
      </c>
      <c r="J71" s="13">
        <v>932</v>
      </c>
      <c r="K71" s="14">
        <f>IF(ISNUMBER(J71), (J71 - $B71) / $B71, "")</f>
        <v>-1.5839493136219639E-2</v>
      </c>
      <c r="L71" s="16">
        <f>IF(ISNUMBER(J71), $B91 * K71, "")</f>
        <v>-1583.9493136219639</v>
      </c>
      <c r="M71" s="29">
        <v>976</v>
      </c>
      <c r="N71" s="14">
        <f>IF(ISNUMBER(M71), (M71 - $B71) / $B71, "")</f>
        <v>3.0623020063357972E-2</v>
      </c>
      <c r="O71" s="16">
        <f>IF(ISNUMBER(M71), $B91 * N71, "")</f>
        <v>3062.3020063357972</v>
      </c>
      <c r="Q71" s="248"/>
      <c r="R71" s="248"/>
      <c r="S71" s="248"/>
    </row>
    <row r="72" spans="1:19" ht="17.25" thickBot="1">
      <c r="A72" s="125" t="s">
        <v>232</v>
      </c>
      <c r="B72" s="126">
        <v>467</v>
      </c>
      <c r="C72" s="77">
        <v>3.7777777800000002E-2</v>
      </c>
      <c r="D72" s="15">
        <v>455</v>
      </c>
      <c r="E72" s="32">
        <f t="shared" ref="E72:E75" si="30">IF(ISNUMBER(D72), (D72 - $B72) / $B72, "")</f>
        <v>-2.569593147751606E-2</v>
      </c>
      <c r="F72" s="18">
        <f>IF(ISNUMBER(D72), $B91 * E72, "")</f>
        <v>-2569.593147751606</v>
      </c>
      <c r="G72" s="31">
        <v>462</v>
      </c>
      <c r="H72" s="32">
        <f t="shared" ref="H72:H75" si="31">IF(ISNUMBER(G72), (G72 - $B72) / $B72, "")</f>
        <v>-1.0706638115631691E-2</v>
      </c>
      <c r="I72" s="101">
        <f>IF(ISNUMBER(G72), $B91 * H72, "")</f>
        <v>-1070.663811563169</v>
      </c>
      <c r="J72" s="15">
        <v>455</v>
      </c>
      <c r="K72" s="32">
        <f t="shared" ref="K72:K75" si="32">IF(ISNUMBER(J72), (J72 - $B72) / $B72, "")</f>
        <v>-2.569593147751606E-2</v>
      </c>
      <c r="L72" s="18">
        <f>IF(ISNUMBER(J72), $B91 * K72, "")</f>
        <v>-2569.593147751606</v>
      </c>
      <c r="M72" s="31">
        <v>463</v>
      </c>
      <c r="N72" s="32">
        <f t="shared" ref="N72:N75" si="33">IF(ISNUMBER(M72), (M72 - $B72) / $B72, "")</f>
        <v>-8.5653104925053538E-3</v>
      </c>
      <c r="O72" s="18">
        <f>IF(ISNUMBER(M72), $B91 * N72, "")</f>
        <v>-856.53104925053537</v>
      </c>
      <c r="Q72" s="248"/>
      <c r="R72" s="248"/>
      <c r="S72" s="248"/>
    </row>
    <row r="73" spans="1:19" ht="17.25" thickBot="1">
      <c r="A73" s="125" t="s">
        <v>90</v>
      </c>
      <c r="B73" s="126">
        <v>872</v>
      </c>
      <c r="C73" s="77">
        <v>3.6860879899999997E-2</v>
      </c>
      <c r="D73" s="15">
        <v>837</v>
      </c>
      <c r="E73" s="32">
        <f t="shared" si="30"/>
        <v>-4.0137614678899085E-2</v>
      </c>
      <c r="F73" s="18">
        <f>IF(ISNUMBER(D73), $B91 * E73, "")</f>
        <v>-4013.7614678899085</v>
      </c>
      <c r="G73" s="31">
        <v>836</v>
      </c>
      <c r="H73" s="32">
        <f t="shared" si="31"/>
        <v>-4.1284403669724773E-2</v>
      </c>
      <c r="I73" s="101">
        <f>IF(ISNUMBER(G73), $B91 * H73, "")</f>
        <v>-4128.440366972477</v>
      </c>
      <c r="J73" s="15">
        <v>832</v>
      </c>
      <c r="K73" s="32">
        <f t="shared" si="32"/>
        <v>-4.5871559633027525E-2</v>
      </c>
      <c r="L73" s="18">
        <f>IF(ISNUMBER(J73), $B91 * K73, "")</f>
        <v>-4587.1559633027528</v>
      </c>
      <c r="M73" s="31">
        <v>840</v>
      </c>
      <c r="N73" s="32">
        <f t="shared" si="33"/>
        <v>-3.669724770642202E-2</v>
      </c>
      <c r="O73" s="18">
        <f>IF(ISNUMBER(M73), $B91 * N73, "")</f>
        <v>-3669.7247706422022</v>
      </c>
      <c r="Q73" s="238"/>
      <c r="R73" s="238"/>
      <c r="S73" s="238"/>
    </row>
    <row r="74" spans="1:19" ht="17.25" thickBot="1">
      <c r="A74" s="125" t="s">
        <v>114</v>
      </c>
      <c r="B74" s="126">
        <v>709</v>
      </c>
      <c r="C74" s="77">
        <v>3.6549707600000002E-2</v>
      </c>
      <c r="D74" s="15">
        <v>682</v>
      </c>
      <c r="E74" s="32">
        <f t="shared" si="30"/>
        <v>-3.8081805359661498E-2</v>
      </c>
      <c r="F74" s="18">
        <f>IF(ISNUMBER(D74), $B91 * E74, "")</f>
        <v>-3808.1805359661498</v>
      </c>
      <c r="G74" s="31">
        <v>690</v>
      </c>
      <c r="H74" s="32">
        <f t="shared" si="31"/>
        <v>-2.6798307475317348E-2</v>
      </c>
      <c r="I74" s="101">
        <f>IF(ISNUMBER(G74), $B91 * H74, "")</f>
        <v>-2679.8307475317347</v>
      </c>
      <c r="J74" s="15">
        <v>685</v>
      </c>
      <c r="K74" s="32">
        <f t="shared" si="32"/>
        <v>-3.3850493653032443E-2</v>
      </c>
      <c r="L74" s="18">
        <f>IF(ISNUMBER(J74), $B91 * K74, "")</f>
        <v>-3385.0493653032445</v>
      </c>
      <c r="M74" s="31">
        <v>687</v>
      </c>
      <c r="N74" s="32">
        <f t="shared" si="33"/>
        <v>-3.1029619181946404E-2</v>
      </c>
      <c r="O74" s="18">
        <f>IF(ISNUMBER(M74), $B91 * N74, "")</f>
        <v>-3102.9619181946405</v>
      </c>
      <c r="Q74" s="238"/>
      <c r="R74" s="238"/>
      <c r="S74" s="238"/>
    </row>
    <row r="75" spans="1:19" ht="17.25" thickBot="1">
      <c r="A75" s="127" t="s">
        <v>51</v>
      </c>
      <c r="B75" s="128">
        <v>327</v>
      </c>
      <c r="C75" s="78">
        <v>2.5078369900000001E-2</v>
      </c>
      <c r="D75" s="20">
        <v>312</v>
      </c>
      <c r="E75" s="21">
        <f t="shared" si="30"/>
        <v>-4.5871559633027525E-2</v>
      </c>
      <c r="F75" s="22">
        <f>IF(ISNUMBER(D75), $B91 * E75, "")</f>
        <v>-4587.1559633027528</v>
      </c>
      <c r="G75" s="30">
        <v>316</v>
      </c>
      <c r="H75" s="21">
        <f t="shared" si="31"/>
        <v>-3.3639143730886847E-2</v>
      </c>
      <c r="I75" s="105">
        <f>IF(ISNUMBER(G75), $B91 * H75, "")</f>
        <v>-3363.9143730886849</v>
      </c>
      <c r="J75" s="20">
        <v>314</v>
      </c>
      <c r="K75" s="21">
        <f t="shared" si="32"/>
        <v>-3.9755351681957186E-2</v>
      </c>
      <c r="L75" s="22">
        <f>IF(ISNUMBER(J75), $B91 * K75, "")</f>
        <v>-3975.5351681957186</v>
      </c>
      <c r="M75" s="30">
        <v>320</v>
      </c>
      <c r="N75" s="21">
        <f t="shared" si="33"/>
        <v>-2.1406727828746176E-2</v>
      </c>
      <c r="O75" s="22">
        <f>IF(ISNUMBER(M75), $B91 * N75, "")</f>
        <v>-2140.6727828746175</v>
      </c>
      <c r="Q75" s="238"/>
      <c r="R75" s="238"/>
      <c r="S75" s="238"/>
    </row>
    <row r="76" spans="1:19" ht="17.25" thickBot="1">
      <c r="A76" s="125" t="s">
        <v>54</v>
      </c>
      <c r="B76" s="129">
        <v>243</v>
      </c>
      <c r="C76" s="80">
        <v>2.10084034E-2</v>
      </c>
      <c r="D76" s="106">
        <v>240</v>
      </c>
      <c r="E76" s="107">
        <f>IF(ISNUMBER(D76), (D76 - $B76) / $B76, "")</f>
        <v>-1.2345679012345678E-2</v>
      </c>
      <c r="F76" s="108">
        <f>IF(ISNUMBER(D76), $B91 * E76, "")</f>
        <v>-1234.5679012345679</v>
      </c>
      <c r="G76" s="109">
        <v>246</v>
      </c>
      <c r="H76" s="107">
        <f>IF(ISNUMBER(G76), (G76 - $B76) / $B76, "")</f>
        <v>1.2345679012345678E-2</v>
      </c>
      <c r="I76" s="110">
        <f>IF(ISNUMBER(G76), $B91 * H76, "")</f>
        <v>1234.5679012345679</v>
      </c>
      <c r="J76" s="106">
        <v>264</v>
      </c>
      <c r="K76" s="107">
        <f>IF(ISNUMBER(J76), (J76 - $B76) / $B76, "")</f>
        <v>8.6419753086419748E-2</v>
      </c>
      <c r="L76" s="108">
        <f>IF(ISNUMBER(J76), $B91 * K76, "")</f>
        <v>8641.9753086419751</v>
      </c>
      <c r="M76" s="109">
        <v>253</v>
      </c>
      <c r="N76" s="107">
        <f>IF(ISNUMBER(M76), (M76 - $B76) / $B76, "")</f>
        <v>4.1152263374485597E-2</v>
      </c>
      <c r="O76" s="108">
        <f>IF(ISNUMBER(M76), $B91 * N76, "")</f>
        <v>4115.2263374485601</v>
      </c>
      <c r="Q76" s="238"/>
      <c r="R76" s="238"/>
      <c r="S76" s="238"/>
    </row>
    <row r="77" spans="1:19" ht="17.25" thickBot="1">
      <c r="A77" s="125" t="s">
        <v>102</v>
      </c>
      <c r="B77" s="126">
        <v>945</v>
      </c>
      <c r="C77" s="77">
        <v>1.7222820199999999E-2</v>
      </c>
      <c r="D77" s="15">
        <v>919</v>
      </c>
      <c r="E77" s="32">
        <f t="shared" ref="E77:E80" si="34">IF(ISNUMBER(D77), (D77 - $B77) / $B77, "")</f>
        <v>-2.7513227513227514E-2</v>
      </c>
      <c r="F77" s="18">
        <f>IF(ISNUMBER(D77), $B91 * E77, "")</f>
        <v>-2751.3227513227512</v>
      </c>
      <c r="G77" s="31">
        <v>927</v>
      </c>
      <c r="H77" s="32">
        <f t="shared" ref="H77:H80" si="35">IF(ISNUMBER(G77), (G77 - $B77) / $B77, "")</f>
        <v>-1.9047619047619049E-2</v>
      </c>
      <c r="I77" s="101">
        <f>IF(ISNUMBER(G77), $B91 * H77, "")</f>
        <v>-1904.761904761905</v>
      </c>
      <c r="J77" s="15">
        <v>922</v>
      </c>
      <c r="K77" s="32">
        <f t="shared" ref="K77:K80" si="36">IF(ISNUMBER(J77), (J77 - $B77) / $B77, "")</f>
        <v>-2.433862433862434E-2</v>
      </c>
      <c r="L77" s="18">
        <f>IF(ISNUMBER(J77), $B91 * K77, "")</f>
        <v>-2433.862433862434</v>
      </c>
      <c r="M77" s="31">
        <v>937</v>
      </c>
      <c r="N77" s="32">
        <f t="shared" ref="N77:N80" si="37">IF(ISNUMBER(M77), (M77 - $B77) / $B77, "")</f>
        <v>-8.4656084656084662E-3</v>
      </c>
      <c r="O77" s="18">
        <f>IF(ISNUMBER(M77), $B91 * N77, "")</f>
        <v>-846.56084656084658</v>
      </c>
      <c r="Q77" s="238"/>
      <c r="R77" s="238"/>
      <c r="S77" s="238"/>
    </row>
    <row r="78" spans="1:19" ht="17.25" thickBot="1">
      <c r="A78" s="125" t="s">
        <v>86</v>
      </c>
      <c r="B78" s="126">
        <v>307</v>
      </c>
      <c r="C78" s="77">
        <v>1.32013201E-2</v>
      </c>
      <c r="D78" s="15">
        <v>300</v>
      </c>
      <c r="E78" s="32">
        <f t="shared" si="34"/>
        <v>-2.2801302931596091E-2</v>
      </c>
      <c r="F78" s="18">
        <f>IF(ISNUMBER(D78), $B91 * E78, "")</f>
        <v>-2280.1302931596092</v>
      </c>
      <c r="G78" s="31">
        <v>302</v>
      </c>
      <c r="H78" s="32">
        <f t="shared" si="35"/>
        <v>-1.6286644951140065E-2</v>
      </c>
      <c r="I78" s="101">
        <f>IF(ISNUMBER(G78), $B91 * H78, "")</f>
        <v>-1628.6644951140065</v>
      </c>
      <c r="J78" s="15">
        <v>301</v>
      </c>
      <c r="K78" s="32">
        <f t="shared" si="36"/>
        <v>-1.9543973941368076E-2</v>
      </c>
      <c r="L78" s="18">
        <f>IF(ISNUMBER(J78), $B91 * K78, "")</f>
        <v>-1954.3973941368076</v>
      </c>
      <c r="M78" s="31">
        <v>301</v>
      </c>
      <c r="N78" s="32">
        <f t="shared" si="37"/>
        <v>-1.9543973941368076E-2</v>
      </c>
      <c r="O78" s="18">
        <f>IF(ISNUMBER(M78), $B91 * N78, "")</f>
        <v>-1954.3973941368076</v>
      </c>
      <c r="Q78" s="238"/>
      <c r="R78" s="238"/>
      <c r="S78" s="238"/>
    </row>
    <row r="79" spans="1:19" ht="17.25" thickBot="1">
      <c r="A79" s="125" t="s">
        <v>61</v>
      </c>
      <c r="B79" s="126">
        <v>803</v>
      </c>
      <c r="C79" s="77">
        <v>1.2610340499999999E-2</v>
      </c>
      <c r="D79" s="15">
        <v>783</v>
      </c>
      <c r="E79" s="32">
        <f t="shared" si="34"/>
        <v>-2.4906600249066001E-2</v>
      </c>
      <c r="F79" s="18">
        <f>IF(ISNUMBER(D79), $B91 * E79, "")</f>
        <v>-2490.6600249066</v>
      </c>
      <c r="G79" s="31">
        <v>798</v>
      </c>
      <c r="H79" s="32">
        <f t="shared" si="35"/>
        <v>-6.2266500622665004E-3</v>
      </c>
      <c r="I79" s="101">
        <f>IF(ISNUMBER(G79), $B91 * H79, "")</f>
        <v>-622.66500622665001</v>
      </c>
      <c r="J79" s="15">
        <v>798</v>
      </c>
      <c r="K79" s="32">
        <f t="shared" si="36"/>
        <v>-6.2266500622665004E-3</v>
      </c>
      <c r="L79" s="18">
        <f>IF(ISNUMBER(J79), $B91 * K79, "")</f>
        <v>-622.66500622665001</v>
      </c>
      <c r="M79" s="31">
        <v>810</v>
      </c>
      <c r="N79" s="32">
        <f t="shared" si="37"/>
        <v>8.717310087173101E-3</v>
      </c>
      <c r="O79" s="18">
        <f>IF(ISNUMBER(M79), $B91 * N79, "")</f>
        <v>871.73100871731015</v>
      </c>
      <c r="Q79" s="33"/>
      <c r="R79" s="33"/>
    </row>
    <row r="80" spans="1:19" ht="17.25" thickBot="1">
      <c r="A80" s="130" t="s">
        <v>128</v>
      </c>
      <c r="B80" s="131">
        <v>101</v>
      </c>
      <c r="C80" s="79">
        <v>1.20240481E-2</v>
      </c>
      <c r="D80" s="24">
        <v>97.6</v>
      </c>
      <c r="E80" s="25">
        <f t="shared" si="34"/>
        <v>-3.3663366336633721E-2</v>
      </c>
      <c r="F80" s="104">
        <f>IF(ISNUMBER(D80), $B91 * E80, "")</f>
        <v>-3366.3366336633721</v>
      </c>
      <c r="G80" s="102">
        <v>98.1</v>
      </c>
      <c r="H80" s="25">
        <f t="shared" si="35"/>
        <v>-2.871287128712877E-2</v>
      </c>
      <c r="I80" s="103">
        <f>IF(ISNUMBER(G80), $B91 * H80, "")</f>
        <v>-2871.2871287128769</v>
      </c>
      <c r="J80" s="24">
        <v>98.3</v>
      </c>
      <c r="K80" s="25">
        <f t="shared" si="36"/>
        <v>-2.673267326732676E-2</v>
      </c>
      <c r="L80" s="104">
        <f>IF(ISNUMBER(J80), $B91 * K80, "")</f>
        <v>-2673.2673267326759</v>
      </c>
      <c r="M80" s="102">
        <v>99.8</v>
      </c>
      <c r="N80" s="25">
        <f t="shared" si="37"/>
        <v>-1.1881188118811909E-2</v>
      </c>
      <c r="O80" s="104">
        <f>IF(ISNUMBER(M80), $B91 * N80, "")</f>
        <v>-1188.1188118811908</v>
      </c>
      <c r="Q80" s="239"/>
      <c r="R80" s="240"/>
      <c r="S80" s="241"/>
    </row>
    <row r="81" spans="1:19">
      <c r="A81" s="123" t="s">
        <v>138</v>
      </c>
      <c r="B81" s="124">
        <v>375</v>
      </c>
      <c r="C81" s="76">
        <v>5.3619302999999997E-3</v>
      </c>
      <c r="D81" s="13">
        <v>364</v>
      </c>
      <c r="E81" s="14">
        <f>IF(ISNUMBER(D81), (D81 - $B81) / $B81, "")</f>
        <v>-2.9333333333333333E-2</v>
      </c>
      <c r="F81" s="16">
        <f>IF(ISNUMBER(D81), $B91 * E81, "")</f>
        <v>-2933.3333333333335</v>
      </c>
      <c r="G81" s="29">
        <v>369</v>
      </c>
      <c r="H81" s="14">
        <f>IF(ISNUMBER(G81), (G81 - $B81) / $B81, "")</f>
        <v>-1.6E-2</v>
      </c>
      <c r="I81" s="100">
        <f>IF(ISNUMBER(G81), $B91 * H81, "")</f>
        <v>-1600</v>
      </c>
      <c r="J81" s="13">
        <v>366</v>
      </c>
      <c r="K81" s="14">
        <f>IF(ISNUMBER(J81), (J81 - $B81) / $B81, "")</f>
        <v>-2.4E-2</v>
      </c>
      <c r="L81" s="16">
        <f>IF(ISNUMBER(J81), $B91 * K81, "")</f>
        <v>-2400</v>
      </c>
      <c r="M81" s="29">
        <v>367</v>
      </c>
      <c r="N81" s="14">
        <f>IF(ISNUMBER(M81), (M81 - $B81) / $B81, "")</f>
        <v>-2.1333333333333333E-2</v>
      </c>
      <c r="O81" s="16">
        <f>IF(ISNUMBER(M81), $B91 * N81, "")</f>
        <v>-2133.3333333333335</v>
      </c>
      <c r="Q81" s="242"/>
      <c r="R81" s="243"/>
      <c r="S81" s="244"/>
    </row>
    <row r="82" spans="1:19" ht="17.25" thickBot="1">
      <c r="A82" s="125" t="s">
        <v>57</v>
      </c>
      <c r="B82" s="126">
        <v>198</v>
      </c>
      <c r="C82" s="77">
        <v>5.0761421000000001E-3</v>
      </c>
      <c r="D82" s="15">
        <v>187</v>
      </c>
      <c r="E82" s="32">
        <f t="shared" ref="E82:E85" si="38">IF(ISNUMBER(D82), (D82 - $B82) / $B82, "")</f>
        <v>-5.5555555555555552E-2</v>
      </c>
      <c r="F82" s="18">
        <f>IF(ISNUMBER(D82), $B91 * E82, "")</f>
        <v>-5555.5555555555557</v>
      </c>
      <c r="G82" s="31">
        <v>188</v>
      </c>
      <c r="H82" s="32">
        <f t="shared" ref="H82:H85" si="39">IF(ISNUMBER(G82), (G82 - $B82) / $B82, "")</f>
        <v>-5.0505050505050504E-2</v>
      </c>
      <c r="I82" s="101">
        <f>IF(ISNUMBER(G82), $B91 * H82, "")</f>
        <v>-5050.5050505050503</v>
      </c>
      <c r="J82" s="15">
        <v>188</v>
      </c>
      <c r="K82" s="32">
        <f t="shared" ref="K82:K85" si="40">IF(ISNUMBER(J82), (J82 - $B82) / $B82, "")</f>
        <v>-5.0505050505050504E-2</v>
      </c>
      <c r="L82" s="18">
        <f>IF(ISNUMBER(J82), $B91 * K82, "")</f>
        <v>-5050.5050505050503</v>
      </c>
      <c r="M82" s="31">
        <v>190</v>
      </c>
      <c r="N82" s="32">
        <f t="shared" ref="N82:N85" si="41">IF(ISNUMBER(M82), (M82 - $B82) / $B82, "")</f>
        <v>-4.0404040404040407E-2</v>
      </c>
      <c r="O82" s="18">
        <f>IF(ISNUMBER(M82), $B91 * N82, "")</f>
        <v>-4040.4040404040406</v>
      </c>
      <c r="Q82" s="245"/>
      <c r="R82" s="246"/>
      <c r="S82" s="247"/>
    </row>
    <row r="83" spans="1:19" ht="17.25" thickBot="1">
      <c r="A83" s="125" t="s">
        <v>266</v>
      </c>
      <c r="B83" s="126">
        <v>237</v>
      </c>
      <c r="C83" s="77">
        <v>4.2372881000000001E-3</v>
      </c>
      <c r="D83" s="15">
        <v>231</v>
      </c>
      <c r="E83" s="32">
        <f t="shared" si="38"/>
        <v>-2.5316455696202531E-2</v>
      </c>
      <c r="F83" s="18">
        <f>IF(ISNUMBER(D83), $B91 * E83, "")</f>
        <v>-2531.6455696202529</v>
      </c>
      <c r="G83" s="31">
        <v>231</v>
      </c>
      <c r="H83" s="32">
        <f t="shared" si="39"/>
        <v>-2.5316455696202531E-2</v>
      </c>
      <c r="I83" s="101">
        <f>IF(ISNUMBER(G83), $B91 * H83, "")</f>
        <v>-2531.6455696202529</v>
      </c>
      <c r="J83" s="15">
        <v>231</v>
      </c>
      <c r="K83" s="32">
        <f t="shared" si="40"/>
        <v>-2.5316455696202531E-2</v>
      </c>
      <c r="L83" s="18">
        <f>IF(ISNUMBER(J83), $B91 * K83, "")</f>
        <v>-2531.6455696202529</v>
      </c>
      <c r="M83" s="31">
        <v>231</v>
      </c>
      <c r="N83" s="32">
        <f t="shared" si="41"/>
        <v>-2.5316455696202531E-2</v>
      </c>
      <c r="O83" s="18">
        <f>IF(ISNUMBER(M83), $B91 * N83, "")</f>
        <v>-2531.6455696202529</v>
      </c>
      <c r="Q83" s="238"/>
      <c r="R83" s="238"/>
      <c r="S83" s="238"/>
    </row>
    <row r="84" spans="1:19" ht="17.25" thickBot="1">
      <c r="A84" s="125" t="s">
        <v>80</v>
      </c>
      <c r="B84" s="126">
        <v>767</v>
      </c>
      <c r="C84" s="77">
        <v>2.6143791E-3</v>
      </c>
      <c r="D84" s="15">
        <v>731</v>
      </c>
      <c r="E84" s="32">
        <f t="shared" si="38"/>
        <v>-4.6936114732724903E-2</v>
      </c>
      <c r="F84" s="18">
        <f>IF(ISNUMBER(D84), $B91 * E84, "")</f>
        <v>-4693.61147327249</v>
      </c>
      <c r="G84" s="31">
        <v>739</v>
      </c>
      <c r="H84" s="32">
        <f t="shared" si="39"/>
        <v>-3.6505867014341588E-2</v>
      </c>
      <c r="I84" s="101">
        <f>IF(ISNUMBER(G84), $B91 * H84, "")</f>
        <v>-3650.5867014341588</v>
      </c>
      <c r="J84" s="15">
        <v>736</v>
      </c>
      <c r="K84" s="32">
        <f t="shared" si="40"/>
        <v>-4.0417209908735333E-2</v>
      </c>
      <c r="L84" s="18">
        <f>IF(ISNUMBER(J84), $B91 * K84, "")</f>
        <v>-4041.7209908735331</v>
      </c>
      <c r="M84" s="31">
        <v>745</v>
      </c>
      <c r="N84" s="32">
        <f t="shared" si="41"/>
        <v>-2.8683181225554105E-2</v>
      </c>
      <c r="O84" s="18">
        <f>IF(ISNUMBER(M84), $B91 * N84, "")</f>
        <v>-2868.3181225554104</v>
      </c>
      <c r="Q84" s="248"/>
      <c r="R84" s="248"/>
      <c r="S84" s="248"/>
    </row>
    <row r="85" spans="1:19" ht="17.25" thickBot="1">
      <c r="A85" s="127" t="s">
        <v>118</v>
      </c>
      <c r="B85" s="128">
        <v>145</v>
      </c>
      <c r="C85" s="78">
        <v>0</v>
      </c>
      <c r="D85" s="20">
        <v>140</v>
      </c>
      <c r="E85" s="21">
        <f t="shared" si="38"/>
        <v>-3.4482758620689655E-2</v>
      </c>
      <c r="F85" s="22">
        <f>IF(ISNUMBER(D85), $B91 * E85, "")</f>
        <v>-3448.2758620689656</v>
      </c>
      <c r="G85" s="30">
        <v>142</v>
      </c>
      <c r="H85" s="21">
        <f t="shared" si="39"/>
        <v>-2.0689655172413793E-2</v>
      </c>
      <c r="I85" s="105">
        <f>IF(ISNUMBER(G85), $B91 * H85, "")</f>
        <v>-2068.9655172413791</v>
      </c>
      <c r="J85" s="20">
        <v>140</v>
      </c>
      <c r="K85" s="21">
        <f t="shared" si="40"/>
        <v>-3.4482758620689655E-2</v>
      </c>
      <c r="L85" s="22">
        <f>IF(ISNUMBER(J85), $B91 * K85, "")</f>
        <v>-3448.2758620689656</v>
      </c>
      <c r="M85" s="30">
        <v>141</v>
      </c>
      <c r="N85" s="21">
        <f t="shared" si="41"/>
        <v>-2.7586206896551724E-2</v>
      </c>
      <c r="O85" s="22">
        <f>IF(ISNUMBER(M85), $B91 * N85, "")</f>
        <v>-2758.6206896551726</v>
      </c>
      <c r="Q85" s="248"/>
      <c r="R85" s="248"/>
      <c r="S85" s="248"/>
    </row>
    <row r="86" spans="1:19" ht="17.25" thickBot="1">
      <c r="A86" s="125" t="s">
        <v>252</v>
      </c>
      <c r="B86" s="129">
        <v>893</v>
      </c>
      <c r="C86" s="80">
        <v>-3.3482143000000001E-3</v>
      </c>
      <c r="D86" s="106">
        <v>915</v>
      </c>
      <c r="E86" s="107">
        <f>IF(ISNUMBER(D86), (D86 - $B86) / $B86, "")</f>
        <v>2.463605823068309E-2</v>
      </c>
      <c r="F86" s="108">
        <f>IF(ISNUMBER(D86), $B91 * E86, "")</f>
        <v>2463.6058230683088</v>
      </c>
      <c r="G86" s="109">
        <v>938</v>
      </c>
      <c r="H86" s="107">
        <f>IF(ISNUMBER(G86), (G86 - $B86) / $B86, "")</f>
        <v>5.0391937290033592E-2</v>
      </c>
      <c r="I86" s="110">
        <f>IF(ISNUMBER(G86), $B91 * H86, "")</f>
        <v>5039.1937290033593</v>
      </c>
      <c r="J86" s="106">
        <v>919</v>
      </c>
      <c r="K86" s="107">
        <f>IF(ISNUMBER(J86), (J86 - $B86) / $B86, "")</f>
        <v>2.9115341545352745E-2</v>
      </c>
      <c r="L86" s="108">
        <f>IF(ISNUMBER(J86), $B91 * K86, "")</f>
        <v>2911.5341545352744</v>
      </c>
      <c r="M86" s="109">
        <v>931</v>
      </c>
      <c r="N86" s="107">
        <f>IF(ISNUMBER(M86), (M86 - $B86) / $B86, "")</f>
        <v>4.2553191489361701E-2</v>
      </c>
      <c r="O86" s="108">
        <f>IF(ISNUMBER(M86), $B91 * N86, "")</f>
        <v>4255.3191489361698</v>
      </c>
      <c r="Q86" s="238"/>
      <c r="R86" s="238"/>
      <c r="S86" s="238"/>
    </row>
    <row r="87" spans="1:19" ht="17.25" thickBot="1">
      <c r="A87" s="125" t="s">
        <v>184</v>
      </c>
      <c r="B87" s="126">
        <v>905</v>
      </c>
      <c r="C87" s="77">
        <v>-5.4945055E-3</v>
      </c>
      <c r="D87" s="15">
        <v>888</v>
      </c>
      <c r="E87" s="32">
        <f t="shared" ref="E87:E90" si="42">IF(ISNUMBER(D87), (D87 - $B87) / $B87, "")</f>
        <v>-1.8784530386740331E-2</v>
      </c>
      <c r="F87" s="18">
        <f>IF(ISNUMBER(D87), $B91 * E87, "")</f>
        <v>-1878.4530386740332</v>
      </c>
      <c r="G87" s="31">
        <v>897</v>
      </c>
      <c r="H87" s="32">
        <f t="shared" ref="H87:H90" si="43">IF(ISNUMBER(G87), (G87 - $B87) / $B87, "")</f>
        <v>-8.8397790055248626E-3</v>
      </c>
      <c r="I87" s="101">
        <f>IF(ISNUMBER(G87), $B91 * H87, "")</f>
        <v>-883.97790055248629</v>
      </c>
      <c r="J87" s="15">
        <v>893</v>
      </c>
      <c r="K87" s="32">
        <f t="shared" ref="K87:K90" si="44">IF(ISNUMBER(J87), (J87 - $B87) / $B87, "")</f>
        <v>-1.3259668508287293E-2</v>
      </c>
      <c r="L87" s="18">
        <f>IF(ISNUMBER(J87), $B91 * K87, "")</f>
        <v>-1325.9668508287293</v>
      </c>
      <c r="M87" s="31">
        <v>894</v>
      </c>
      <c r="N87" s="32">
        <f t="shared" ref="N87:N90" si="45">IF(ISNUMBER(M87), (M87 - $B87) / $B87, "")</f>
        <v>-1.2154696132596685E-2</v>
      </c>
      <c r="O87" s="18">
        <f>IF(ISNUMBER(M87), $B91 * N87, "")</f>
        <v>-1215.4696132596684</v>
      </c>
      <c r="Q87" s="238"/>
      <c r="R87" s="238"/>
      <c r="S87" s="238"/>
    </row>
    <row r="88" spans="1:19" ht="17.25" thickBot="1">
      <c r="A88" s="125" t="s">
        <v>236</v>
      </c>
      <c r="B88" s="126">
        <v>561</v>
      </c>
      <c r="C88" s="77">
        <v>-8.8339222999999998E-3</v>
      </c>
      <c r="D88" s="15">
        <v>546</v>
      </c>
      <c r="E88" s="32">
        <f t="shared" si="42"/>
        <v>-2.6737967914438502E-2</v>
      </c>
      <c r="F88" s="18">
        <f>IF(ISNUMBER(D88), $B91 * E88, "")</f>
        <v>-2673.79679144385</v>
      </c>
      <c r="G88" s="31">
        <v>551</v>
      </c>
      <c r="H88" s="32">
        <f t="shared" si="43"/>
        <v>-1.7825311942959002E-2</v>
      </c>
      <c r="I88" s="101">
        <f>IF(ISNUMBER(G88), $B91 * H88, "")</f>
        <v>-1782.5311942959001</v>
      </c>
      <c r="J88" s="15">
        <v>548</v>
      </c>
      <c r="K88" s="32">
        <f t="shared" si="44"/>
        <v>-2.3172905525846704E-2</v>
      </c>
      <c r="L88" s="18">
        <f>IF(ISNUMBER(J88), $B91 * K88, "")</f>
        <v>-2317.2905525846704</v>
      </c>
      <c r="M88" s="31">
        <v>552</v>
      </c>
      <c r="N88" s="32">
        <f t="shared" si="45"/>
        <v>-1.6042780748663103E-2</v>
      </c>
      <c r="O88" s="18">
        <f>IF(ISNUMBER(M88), $B91 * N88, "")</f>
        <v>-1604.2780748663104</v>
      </c>
      <c r="Q88" s="238"/>
      <c r="R88" s="238"/>
      <c r="S88" s="238"/>
    </row>
    <row r="89" spans="1:19">
      <c r="A89" s="125" t="s">
        <v>124</v>
      </c>
      <c r="B89" s="126">
        <v>308</v>
      </c>
      <c r="C89" s="77">
        <v>-9.6463022999999995E-3</v>
      </c>
      <c r="D89" s="15">
        <v>301</v>
      </c>
      <c r="E89" s="32">
        <f t="shared" si="42"/>
        <v>-2.2727272727272728E-2</v>
      </c>
      <c r="F89" s="18">
        <f>IF(ISNUMBER(D89), $B91 * E89, "")</f>
        <v>-2272.727272727273</v>
      </c>
      <c r="G89" s="31">
        <v>305</v>
      </c>
      <c r="H89" s="32">
        <f t="shared" si="43"/>
        <v>-9.74025974025974E-3</v>
      </c>
      <c r="I89" s="101">
        <f>IF(ISNUMBER(G89), $B91 * H89, "")</f>
        <v>-974.02597402597405</v>
      </c>
      <c r="J89" s="15">
        <v>301</v>
      </c>
      <c r="K89" s="32">
        <f t="shared" si="44"/>
        <v>-2.2727272727272728E-2</v>
      </c>
      <c r="L89" s="18">
        <f>IF(ISNUMBER(J89), $B91 * K89, "")</f>
        <v>-2272.727272727273</v>
      </c>
      <c r="M89" s="31">
        <v>305</v>
      </c>
      <c r="N89" s="32">
        <f t="shared" si="45"/>
        <v>-9.74025974025974E-3</v>
      </c>
      <c r="O89" s="18">
        <f>IF(ISNUMBER(M89), $B91 * N89, "")</f>
        <v>-974.02597402597405</v>
      </c>
      <c r="Q89" s="227"/>
      <c r="R89" s="228"/>
      <c r="S89" s="229"/>
    </row>
    <row r="90" spans="1:19" ht="17.25" thickBot="1">
      <c r="A90" s="130" t="s">
        <v>230</v>
      </c>
      <c r="B90" s="131">
        <v>175</v>
      </c>
      <c r="C90" s="79">
        <v>-1.1299435E-2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178</v>
      </c>
      <c r="H90" s="25">
        <f t="shared" si="43"/>
        <v>1.7142857142857144E-2</v>
      </c>
      <c r="I90" s="103">
        <f>IF(ISNUMBER(G90), $B91 * H90, "")</f>
        <v>1714.2857142857144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178</v>
      </c>
      <c r="N90" s="25">
        <f t="shared" si="45"/>
        <v>1.7142857142857144E-2</v>
      </c>
      <c r="O90" s="104">
        <f>IF(ISNUMBER(M90), $B91 * N90, "")</f>
        <v>1714.2857142857144</v>
      </c>
      <c r="Q90" s="230"/>
      <c r="R90" s="231"/>
      <c r="S90" s="232"/>
    </row>
    <row r="91" spans="1:19" ht="17.25" thickBot="1">
      <c r="A91" s="132" t="s">
        <v>270</v>
      </c>
      <c r="B91" s="291">
        <f>$B$37</f>
        <v>100000</v>
      </c>
      <c r="C91" s="292"/>
      <c r="D91" s="26" t="s">
        <v>271</v>
      </c>
      <c r="E91" s="27">
        <f>IF(COUNT(E71:E90), SUM(E71:E90) / COUNT(E71:E90), 0)</f>
        <v>-2.6927775787044455E-2</v>
      </c>
      <c r="F91" s="28">
        <f>SUM(F71:F90)</f>
        <v>-53855.551574088895</v>
      </c>
      <c r="G91" s="26" t="s">
        <v>271</v>
      </c>
      <c r="H91" s="27">
        <f>IF(COUNT(H71:H90), SUM(H71:H90) / COUNT(H71:H90), 0)</f>
        <v>-1.4940192303102187E-2</v>
      </c>
      <c r="I91" s="28">
        <f>SUM(I71:I90)</f>
        <v>-29880.384606204378</v>
      </c>
      <c r="J91" s="26" t="s">
        <v>271</v>
      </c>
      <c r="K91" s="27">
        <f>IF(COUNT(K71:K90), SUM(K71:K90) / COUNT(K71:K90), 0)</f>
        <v>-1.7524334616868253E-2</v>
      </c>
      <c r="L91" s="28">
        <f>SUM(L71:L90)</f>
        <v>-35048.669233736502</v>
      </c>
      <c r="M91" s="26" t="s">
        <v>271</v>
      </c>
      <c r="N91" s="27">
        <f>IF(COUNT(N71:N90), SUM(N71:N90) / COUNT(N71:N90), 0)</f>
        <v>-8.933099387768725E-3</v>
      </c>
      <c r="O91" s="28">
        <f>SUM(O71:O90)</f>
        <v>-17866.198775537454</v>
      </c>
      <c r="Q91" s="233"/>
      <c r="R91" s="234"/>
      <c r="S91" s="23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48"/>
      <c r="R94" s="248"/>
      <c r="S94" s="248"/>
    </row>
    <row r="95" spans="1:19" ht="17.25" thickBot="1">
      <c r="A95" s="165" t="s">
        <v>267</v>
      </c>
      <c r="B95" s="249" t="s">
        <v>49</v>
      </c>
      <c r="C95" s="251"/>
      <c r="D95" s="249" t="s">
        <v>58</v>
      </c>
      <c r="E95" s="250"/>
      <c r="F95" s="251"/>
      <c r="G95" s="252">
        <f>_xlfn.IFNA(VLOOKUP(B95, 현재가테이블!$B$2:$D$200, 2, FALSE), "-")</f>
        <v>54440000</v>
      </c>
      <c r="H95" s="253"/>
      <c r="I95" s="254"/>
      <c r="J95" s="249" t="s">
        <v>59</v>
      </c>
      <c r="K95" s="250"/>
      <c r="L95" s="251"/>
      <c r="M95" s="255">
        <f>_xlfn.IFNA(VLOOKUP(B95, 현재가테이블!$B$2:$D$200, 3, FALSE), "-")</f>
        <v>1.07123628E-2</v>
      </c>
      <c r="N95" s="256"/>
      <c r="O95" s="257"/>
      <c r="Q95" s="248"/>
      <c r="R95" s="248"/>
      <c r="S95" s="248"/>
    </row>
    <row r="96" spans="1:19" ht="17.25" thickBot="1">
      <c r="A96" s="293" t="s">
        <v>55</v>
      </c>
      <c r="B96" s="289" t="str">
        <f>TEXT($G$1, "[$-ko-KR]yyyy-mm-dd(ddd) ") &amp; "오전 00:00"</f>
        <v>2021-08-03(화) 오전 00:00</v>
      </c>
      <c r="C96" s="290"/>
      <c r="D96" s="262" t="str">
        <f>TEXT($G$1, "[$-ko-KR]yyyy-mm-dd(ddd) ") &amp; "오후 14:00"</f>
        <v>2021-08-03(화) 오후 14:00</v>
      </c>
      <c r="E96" s="263"/>
      <c r="F96" s="264"/>
      <c r="G96" s="262" t="str">
        <f>TEXT($G$1, "[$-ko-KR]yyyy-mm-dd(ddd) ") &amp; "오후 19:00"</f>
        <v>2021-08-03(화) 오후 19:00</v>
      </c>
      <c r="H96" s="263"/>
      <c r="I96" s="264"/>
      <c r="J96" s="262" t="str">
        <f>TEXT($G$1, "[$-ko-KR]yyyy-mm-dd(ddd) ") &amp; "오후 21:00"</f>
        <v>2021-08-03(화) 오후 21:00</v>
      </c>
      <c r="K96" s="263"/>
      <c r="L96" s="264"/>
      <c r="M96" s="262" t="str">
        <f>TEXT($G$1+1, "[$-ko-KR]yyyy-mm-dd(ddd) ") &amp; "오전 00:00"</f>
        <v>2021-08-04(수) 오전 00:00</v>
      </c>
      <c r="N96" s="263"/>
      <c r="O96" s="264"/>
      <c r="Q96" s="248"/>
      <c r="R96" s="248"/>
      <c r="S96" s="248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8"/>
      <c r="R97" s="238"/>
      <c r="S97" s="238"/>
    </row>
    <row r="98" spans="1:19" ht="17.25" thickBot="1">
      <c r="A98" s="123" t="s">
        <v>106</v>
      </c>
      <c r="B98" s="124">
        <v>64400</v>
      </c>
      <c r="C98" s="76">
        <v>0.28440366969999997</v>
      </c>
      <c r="D98" s="13">
        <v>62700</v>
      </c>
      <c r="E98" s="14">
        <f>IF(ISNUMBER(D98), (D98 - $B98) / $B98, "")</f>
        <v>-2.6397515527950312E-2</v>
      </c>
      <c r="F98" s="16">
        <f>IF(ISNUMBER(D98), $B118 * E98, "")</f>
        <v>-2639.7515527950313</v>
      </c>
      <c r="G98" s="29">
        <v>65690</v>
      </c>
      <c r="H98" s="14">
        <f>IF(ISNUMBER(G98), (G98 - $B98) / $B98, "")</f>
        <v>2.0031055900621118E-2</v>
      </c>
      <c r="I98" s="100">
        <f>IF(ISNUMBER(G98), $B118 * H98, "")</f>
        <v>2003.1055900621118</v>
      </c>
      <c r="J98" s="13">
        <v>63880</v>
      </c>
      <c r="K98" s="14">
        <f>IF(ISNUMBER(J98), (J98 - $B98) / $B98, "")</f>
        <v>-8.0745341614906832E-3</v>
      </c>
      <c r="L98" s="16">
        <f>IF(ISNUMBER(J98), $B118 * K98, "")</f>
        <v>-807.45341614906829</v>
      </c>
      <c r="M98" s="29">
        <v>63520</v>
      </c>
      <c r="N98" s="14">
        <f>IF(ISNUMBER(M98), (M98 - $B98) / $B98, "")</f>
        <v>-1.3664596273291925E-2</v>
      </c>
      <c r="O98" s="16">
        <f>IF(ISNUMBER(M98), $B118 * N98, "")</f>
        <v>-1366.4596273291925</v>
      </c>
      <c r="Q98" s="248"/>
      <c r="R98" s="248"/>
      <c r="S98" s="248"/>
    </row>
    <row r="99" spans="1:19" ht="17.25" thickBot="1">
      <c r="A99" s="125" t="s">
        <v>116</v>
      </c>
      <c r="B99" s="126">
        <v>6985</v>
      </c>
      <c r="C99" s="77">
        <v>0.14508196719999999</v>
      </c>
      <c r="D99" s="15">
        <v>7245</v>
      </c>
      <c r="E99" s="32">
        <f t="shared" ref="E99:E102" si="46">IF(ISNUMBER(D99), (D99 - $B99) / $B99, "")</f>
        <v>3.7222619899785252E-2</v>
      </c>
      <c r="F99" s="18">
        <f>IF(ISNUMBER(D99), $B118 * E99, "")</f>
        <v>3722.261989978525</v>
      </c>
      <c r="G99" s="31">
        <v>7425</v>
      </c>
      <c r="H99" s="32">
        <f t="shared" ref="H99:H102" si="47">IF(ISNUMBER(G99), (G99 - $B99) / $B99, "")</f>
        <v>6.2992125984251968E-2</v>
      </c>
      <c r="I99" s="101">
        <f>IF(ISNUMBER(G99), $B118 * H99, "")</f>
        <v>6299.212598425197</v>
      </c>
      <c r="J99" s="15">
        <v>7265</v>
      </c>
      <c r="K99" s="32">
        <f t="shared" ref="K99:K102" si="48">IF(ISNUMBER(J99), (J99 - $B99) / $B99, "")</f>
        <v>4.0085898353614889E-2</v>
      </c>
      <c r="L99" s="18">
        <f>IF(ISNUMBER(J99), $B118 * K99, "")</f>
        <v>4008.5898353614889</v>
      </c>
      <c r="M99" s="31">
        <v>7185</v>
      </c>
      <c r="N99" s="32">
        <f t="shared" ref="N99:N102" si="49">IF(ISNUMBER(M99), (M99 - $B99) / $B99, "")</f>
        <v>2.863278453829635E-2</v>
      </c>
      <c r="O99" s="18">
        <f>IF(ISNUMBER(M99), $B118 * N99, "")</f>
        <v>2863.2784538296351</v>
      </c>
      <c r="Q99" s="248"/>
      <c r="R99" s="248"/>
      <c r="S99" s="248"/>
    </row>
    <row r="100" spans="1:19" ht="17.25" thickBot="1">
      <c r="A100" s="125" t="s">
        <v>92</v>
      </c>
      <c r="B100" s="126">
        <v>63900</v>
      </c>
      <c r="C100" s="77">
        <v>9.6619186499999996E-2</v>
      </c>
      <c r="D100" s="15">
        <v>62890</v>
      </c>
      <c r="E100" s="32">
        <f t="shared" si="46"/>
        <v>-1.5805946791862285E-2</v>
      </c>
      <c r="F100" s="18">
        <f>IF(ISNUMBER(D100), $B118 * E100, "")</f>
        <v>-1580.5946791862286</v>
      </c>
      <c r="G100" s="31">
        <v>64380</v>
      </c>
      <c r="H100" s="32">
        <f t="shared" si="47"/>
        <v>7.5117370892018778E-3</v>
      </c>
      <c r="I100" s="101">
        <f>IF(ISNUMBER(G100), $B118 * H100, "")</f>
        <v>751.17370892018778</v>
      </c>
      <c r="J100" s="15">
        <v>62650</v>
      </c>
      <c r="K100" s="32">
        <f t="shared" si="48"/>
        <v>-1.9561815336463225E-2</v>
      </c>
      <c r="L100" s="18">
        <f>IF(ISNUMBER(J100), $B118 * K100, "")</f>
        <v>-1956.1815336463226</v>
      </c>
      <c r="M100" s="31">
        <v>62460</v>
      </c>
      <c r="N100" s="32">
        <f t="shared" si="49"/>
        <v>-2.2535211267605635E-2</v>
      </c>
      <c r="O100" s="18">
        <f>IF(ISNUMBER(M100), $B118 * N100, "")</f>
        <v>-2253.5211267605637</v>
      </c>
      <c r="Q100" s="238"/>
      <c r="R100" s="238"/>
      <c r="S100" s="238"/>
    </row>
    <row r="101" spans="1:19" ht="17.25" thickBot="1">
      <c r="A101" s="125" t="s">
        <v>69</v>
      </c>
      <c r="B101" s="126">
        <v>4780</v>
      </c>
      <c r="C101" s="77">
        <v>9.1324200899999999E-2</v>
      </c>
      <c r="D101" s="15">
        <v>4410</v>
      </c>
      <c r="E101" s="32">
        <f t="shared" si="46"/>
        <v>-7.7405857740585768E-2</v>
      </c>
      <c r="F101" s="18">
        <f>IF(ISNUMBER(D101), $B118 * E101, "")</f>
        <v>-7740.585774058577</v>
      </c>
      <c r="G101" s="31">
        <v>4485</v>
      </c>
      <c r="H101" s="32">
        <f t="shared" si="47"/>
        <v>-6.1715481171548119E-2</v>
      </c>
      <c r="I101" s="101">
        <f>IF(ISNUMBER(G101), $B118 * H101, "")</f>
        <v>-6171.5481171548117</v>
      </c>
      <c r="J101" s="15">
        <v>4455</v>
      </c>
      <c r="K101" s="32">
        <f t="shared" si="48"/>
        <v>-6.7991631799163177E-2</v>
      </c>
      <c r="L101" s="18">
        <f>IF(ISNUMBER(J101), $B118 * K101, "")</f>
        <v>-6799.1631799163179</v>
      </c>
      <c r="M101" s="31">
        <v>4680</v>
      </c>
      <c r="N101" s="32">
        <f t="shared" si="49"/>
        <v>-2.0920502092050208E-2</v>
      </c>
      <c r="O101" s="18">
        <f>IF(ISNUMBER(M101), $B118 * N101, "")</f>
        <v>-2092.050209205021</v>
      </c>
      <c r="Q101" s="238"/>
      <c r="R101" s="238"/>
      <c r="S101" s="238"/>
    </row>
    <row r="102" spans="1:19" ht="17.25" thickBot="1">
      <c r="A102" s="127" t="s">
        <v>96</v>
      </c>
      <c r="B102" s="128">
        <v>3730</v>
      </c>
      <c r="C102" s="78">
        <v>8.9051094900000002E-2</v>
      </c>
      <c r="D102" s="20">
        <v>3560</v>
      </c>
      <c r="E102" s="21">
        <f t="shared" si="46"/>
        <v>-4.5576407506702415E-2</v>
      </c>
      <c r="F102" s="22">
        <f>IF(ISNUMBER(D102), $B118 * E102, "")</f>
        <v>-4557.6407506702417</v>
      </c>
      <c r="G102" s="30">
        <v>3565</v>
      </c>
      <c r="H102" s="21">
        <f t="shared" si="47"/>
        <v>-4.4235924932975873E-2</v>
      </c>
      <c r="I102" s="105">
        <f>IF(ISNUMBER(G102), $B118 * H102, "")</f>
        <v>-4423.5924932975877</v>
      </c>
      <c r="J102" s="20">
        <v>3530</v>
      </c>
      <c r="K102" s="21">
        <f t="shared" si="48"/>
        <v>-5.3619302949061663E-2</v>
      </c>
      <c r="L102" s="22">
        <f>IF(ISNUMBER(J102), $B118 * K102, "")</f>
        <v>-5361.9302949061666</v>
      </c>
      <c r="M102" s="30">
        <v>3555</v>
      </c>
      <c r="N102" s="21">
        <f t="shared" si="49"/>
        <v>-4.6916890080428951E-2</v>
      </c>
      <c r="O102" s="22">
        <f>IF(ISNUMBER(M102), $B118 * N102, "")</f>
        <v>-4691.6890080428948</v>
      </c>
      <c r="Q102" s="238"/>
      <c r="R102" s="238"/>
      <c r="S102" s="238"/>
    </row>
    <row r="103" spans="1:19" ht="17.25" thickBot="1">
      <c r="A103" s="125" t="s">
        <v>146</v>
      </c>
      <c r="B103" s="129">
        <v>2650</v>
      </c>
      <c r="C103" s="80">
        <v>8.3844580799999999E-2</v>
      </c>
      <c r="D103" s="106">
        <v>2485</v>
      </c>
      <c r="E103" s="107">
        <f>IF(ISNUMBER(D103), (D103 - $B103) / $B103, "")</f>
        <v>-6.2264150943396226E-2</v>
      </c>
      <c r="F103" s="108">
        <f>IF(ISNUMBER(D103), $B118 * E103, "")</f>
        <v>-6226.4150943396226</v>
      </c>
      <c r="G103" s="109">
        <v>2500</v>
      </c>
      <c r="H103" s="107">
        <f>IF(ISNUMBER(G103), (G103 - $B103) / $B103, "")</f>
        <v>-5.6603773584905662E-2</v>
      </c>
      <c r="I103" s="110">
        <f>IF(ISNUMBER(G103), $B118 * H103, "")</f>
        <v>-5660.3773584905666</v>
      </c>
      <c r="J103" s="106">
        <v>2505</v>
      </c>
      <c r="K103" s="107">
        <f>IF(ISNUMBER(J103), (J103 - $B103) / $B103, "")</f>
        <v>-5.4716981132075473E-2</v>
      </c>
      <c r="L103" s="108">
        <f>IF(ISNUMBER(J103), $B118 * K103, "")</f>
        <v>-5471.6981132075471</v>
      </c>
      <c r="M103" s="109">
        <v>2525</v>
      </c>
      <c r="N103" s="107">
        <f>IF(ISNUMBER(M103), (M103 - $B103) / $B103, "")</f>
        <v>-4.716981132075472E-2</v>
      </c>
      <c r="O103" s="108">
        <f>IF(ISNUMBER(M103), $B118 * N103, "")</f>
        <v>-4716.9811320754725</v>
      </c>
      <c r="Q103" s="238"/>
      <c r="R103" s="238"/>
      <c r="S103" s="238"/>
    </row>
    <row r="104" spans="1:19" ht="17.25" thickBot="1">
      <c r="A104" s="125" t="s">
        <v>154</v>
      </c>
      <c r="B104" s="126">
        <v>46940</v>
      </c>
      <c r="C104" s="77">
        <v>6.7788899E-2</v>
      </c>
      <c r="D104" s="15">
        <v>44670</v>
      </c>
      <c r="E104" s="32">
        <f t="shared" ref="E104:E107" si="50">IF(ISNUMBER(D104), (D104 - $B104) / $B104, "")</f>
        <v>-4.8359608010225819E-2</v>
      </c>
      <c r="F104" s="18">
        <f>IF(ISNUMBER(D104), $B118 * E104, "")</f>
        <v>-4835.960801022582</v>
      </c>
      <c r="G104" s="31">
        <v>45070</v>
      </c>
      <c r="H104" s="32">
        <f t="shared" ref="H104:H107" si="51">IF(ISNUMBER(G104), (G104 - $B104) / $B104, "")</f>
        <v>-3.983809118023008E-2</v>
      </c>
      <c r="I104" s="101">
        <f>IF(ISNUMBER(G104), $B118 * H104, "")</f>
        <v>-3983.8091180230081</v>
      </c>
      <c r="J104" s="15">
        <v>44780</v>
      </c>
      <c r="K104" s="32">
        <f t="shared" ref="K104:K107" si="52">IF(ISNUMBER(J104), (J104 - $B104) / $B104, "")</f>
        <v>-4.601619088197699E-2</v>
      </c>
      <c r="L104" s="18">
        <f>IF(ISNUMBER(J104), $B118 * K104, "")</f>
        <v>-4601.6190881976991</v>
      </c>
      <c r="M104" s="31">
        <v>45610</v>
      </c>
      <c r="N104" s="32">
        <f t="shared" ref="N104:N107" si="53">IF(ISNUMBER(M104), (M104 - $B104) / $B104, "")</f>
        <v>-2.8334043459735832E-2</v>
      </c>
      <c r="O104" s="18">
        <f>IF(ISNUMBER(M104), $B118 * N104, "")</f>
        <v>-2833.4043459735831</v>
      </c>
      <c r="Q104" s="238"/>
      <c r="R104" s="238"/>
      <c r="S104" s="238"/>
    </row>
    <row r="105" spans="1:19" ht="17.25" thickBot="1">
      <c r="A105" s="125" t="s">
        <v>170</v>
      </c>
      <c r="B105" s="126">
        <v>29460</v>
      </c>
      <c r="C105" s="77">
        <v>5.8189655200000003E-2</v>
      </c>
      <c r="D105" s="15">
        <v>28590</v>
      </c>
      <c r="E105" s="32">
        <f t="shared" si="50"/>
        <v>-2.9531568228105907E-2</v>
      </c>
      <c r="F105" s="18">
        <f>IF(ISNUMBER(D105), $B118 * E105, "")</f>
        <v>-2953.1568228105907</v>
      </c>
      <c r="G105" s="31">
        <v>28490</v>
      </c>
      <c r="H105" s="32">
        <f t="shared" si="51"/>
        <v>-3.2926001357773252E-2</v>
      </c>
      <c r="I105" s="101">
        <f>IF(ISNUMBER(G105), $B118 * H105, "")</f>
        <v>-3292.6001357773252</v>
      </c>
      <c r="J105" s="15">
        <v>28450</v>
      </c>
      <c r="K105" s="32">
        <f t="shared" si="52"/>
        <v>-3.4283774609640189E-2</v>
      </c>
      <c r="L105" s="18">
        <f>IF(ISNUMBER(J105), $B118 * K105, "")</f>
        <v>-3428.3774609640191</v>
      </c>
      <c r="M105" s="31">
        <v>28570</v>
      </c>
      <c r="N105" s="32">
        <f t="shared" si="53"/>
        <v>-3.0210454854039375E-2</v>
      </c>
      <c r="O105" s="18">
        <f>IF(ISNUMBER(M105), $B118 * N105, "")</f>
        <v>-3021.0454854039376</v>
      </c>
      <c r="Q105" s="238"/>
      <c r="R105" s="238"/>
      <c r="S105" s="238"/>
    </row>
    <row r="106" spans="1:19" ht="17.25" thickBot="1">
      <c r="A106" s="125" t="s">
        <v>78</v>
      </c>
      <c r="B106" s="126">
        <v>645200</v>
      </c>
      <c r="C106" s="77">
        <v>5.7531552200000002E-2</v>
      </c>
      <c r="D106" s="15">
        <v>617400</v>
      </c>
      <c r="E106" s="32">
        <f t="shared" si="50"/>
        <v>-4.308741475511469E-2</v>
      </c>
      <c r="F106" s="18">
        <f>IF(ISNUMBER(D106), $B118 * E106, "")</f>
        <v>-4308.7414755114687</v>
      </c>
      <c r="G106" s="31">
        <v>622700</v>
      </c>
      <c r="H106" s="32">
        <f t="shared" si="51"/>
        <v>-3.4872907625542467E-2</v>
      </c>
      <c r="I106" s="101">
        <f>IF(ISNUMBER(G106), $B118 * H106, "")</f>
        <v>-3487.2907625542466</v>
      </c>
      <c r="J106" s="15">
        <v>619600</v>
      </c>
      <c r="K106" s="32">
        <f t="shared" si="52"/>
        <v>-3.9677619342839428E-2</v>
      </c>
      <c r="L106" s="18">
        <f>IF(ISNUMBER(J106), $B118 * K106, "")</f>
        <v>-3967.761934283943</v>
      </c>
      <c r="M106" s="31">
        <v>626200</v>
      </c>
      <c r="N106" s="32">
        <f t="shared" si="53"/>
        <v>-2.944823310601364E-2</v>
      </c>
      <c r="O106" s="18">
        <f>IF(ISNUMBER(M106), $B118 * N106, "")</f>
        <v>-2944.823310601364</v>
      </c>
      <c r="Q106" s="33"/>
      <c r="R106" s="33"/>
    </row>
    <row r="107" spans="1:19" ht="17.25" thickBot="1">
      <c r="A107" s="130" t="s">
        <v>168</v>
      </c>
      <c r="B107" s="131">
        <v>1470</v>
      </c>
      <c r="C107" s="79">
        <v>0.05</v>
      </c>
      <c r="D107" s="24">
        <v>1675</v>
      </c>
      <c r="E107" s="25">
        <f t="shared" si="50"/>
        <v>0.13945578231292516</v>
      </c>
      <c r="F107" s="104">
        <f>IF(ISNUMBER(D107), $B118 * E107, "")</f>
        <v>13945.578231292517</v>
      </c>
      <c r="G107" s="102">
        <v>1720</v>
      </c>
      <c r="H107" s="25">
        <f t="shared" si="51"/>
        <v>0.17006802721088435</v>
      </c>
      <c r="I107" s="103">
        <f>IF(ISNUMBER(G107), $B118 * H107, "")</f>
        <v>17006.802721088436</v>
      </c>
      <c r="J107" s="24">
        <v>1670</v>
      </c>
      <c r="K107" s="25">
        <f t="shared" si="52"/>
        <v>0.1360544217687075</v>
      </c>
      <c r="L107" s="104">
        <f>IF(ISNUMBER(J107), $B118 * K107, "")</f>
        <v>13605.442176870749</v>
      </c>
      <c r="M107" s="102">
        <v>1645</v>
      </c>
      <c r="N107" s="25">
        <f t="shared" si="53"/>
        <v>0.11904761904761904</v>
      </c>
      <c r="O107" s="104">
        <f>IF(ISNUMBER(M107), $B118 * N107, "")</f>
        <v>11904.761904761905</v>
      </c>
      <c r="Q107" s="239"/>
      <c r="R107" s="240"/>
      <c r="S107" s="241"/>
    </row>
    <row r="108" spans="1:19">
      <c r="A108" s="123" t="s">
        <v>88</v>
      </c>
      <c r="B108" s="124">
        <v>172900</v>
      </c>
      <c r="C108" s="76">
        <v>4.9787492400000001E-2</v>
      </c>
      <c r="D108" s="13">
        <v>168000</v>
      </c>
      <c r="E108" s="14">
        <f>IF(ISNUMBER(D108), (D108 - $B108) / $B108, "")</f>
        <v>-2.8340080971659919E-2</v>
      </c>
      <c r="F108" s="16">
        <f>IF(ISNUMBER(D108), $B118 * E108, "")</f>
        <v>-2834.0080971659918</v>
      </c>
      <c r="G108" s="29">
        <v>168550</v>
      </c>
      <c r="H108" s="14">
        <f>IF(ISNUMBER(G108), (G108 - $B108) / $B108, "")</f>
        <v>-2.515905147484095E-2</v>
      </c>
      <c r="I108" s="100">
        <f>IF(ISNUMBER(G108), $B118 * H108, "")</f>
        <v>-2515.9051474840949</v>
      </c>
      <c r="J108" s="13">
        <v>165650</v>
      </c>
      <c r="K108" s="14">
        <f>IF(ISNUMBER(J108), (J108 - $B108) / $B108, "")</f>
        <v>-4.1931752458068246E-2</v>
      </c>
      <c r="L108" s="16">
        <f>IF(ISNUMBER(J108), $B118 * K108, "")</f>
        <v>-4193.1752458068249</v>
      </c>
      <c r="M108" s="29">
        <v>168350</v>
      </c>
      <c r="N108" s="14">
        <f>IF(ISNUMBER(M108), (M108 - $B108) / $B108, "")</f>
        <v>-2.6315789473684209E-2</v>
      </c>
      <c r="O108" s="16">
        <f>IF(ISNUMBER(M108), $B118 * N108, "")</f>
        <v>-2631.5789473684208</v>
      </c>
      <c r="Q108" s="242"/>
      <c r="R108" s="243"/>
      <c r="S108" s="244"/>
    </row>
    <row r="109" spans="1:19" ht="17.25" thickBot="1">
      <c r="A109" s="125" t="s">
        <v>63</v>
      </c>
      <c r="B109" s="126">
        <v>51220</v>
      </c>
      <c r="C109" s="77">
        <v>4.8730548700000001E-2</v>
      </c>
      <c r="D109" s="15">
        <v>48980</v>
      </c>
      <c r="E109" s="32">
        <f t="shared" ref="E109:E112" si="54">IF(ISNUMBER(D109), (D109 - $B109) / $B109, "")</f>
        <v>-4.3732916829363533E-2</v>
      </c>
      <c r="F109" s="18">
        <f>IF(ISNUMBER(D109), $B118 * E109, "")</f>
        <v>-4373.291682936353</v>
      </c>
      <c r="G109" s="31">
        <v>49120</v>
      </c>
      <c r="H109" s="32">
        <f t="shared" ref="H109:H112" si="55">IF(ISNUMBER(G109), (G109 - $B109) / $B109, "")</f>
        <v>-4.0999609527528312E-2</v>
      </c>
      <c r="I109" s="101">
        <f>IF(ISNUMBER(G109), $B118 * H109, "")</f>
        <v>-4099.960952752831</v>
      </c>
      <c r="J109" s="15">
        <v>48570</v>
      </c>
      <c r="K109" s="32">
        <f t="shared" ref="K109:K112" si="56">IF(ISNUMBER(J109), (J109 - $B109) / $B109, "")</f>
        <v>-5.1737602499023816E-2</v>
      </c>
      <c r="L109" s="18">
        <f>IF(ISNUMBER(J109), $B118 * K109, "")</f>
        <v>-5173.7602499023815</v>
      </c>
      <c r="M109" s="31">
        <v>48950</v>
      </c>
      <c r="N109" s="32">
        <f t="shared" ref="N109:N112" si="57">IF(ISNUMBER(M109), (M109 - $B109) / $B109, "")</f>
        <v>-4.431862553689965E-2</v>
      </c>
      <c r="O109" s="18">
        <f>IF(ISNUMBER(M109), $B118 * N109, "")</f>
        <v>-4431.8625536899654</v>
      </c>
      <c r="Q109" s="245"/>
      <c r="R109" s="246"/>
      <c r="S109" s="247"/>
    </row>
    <row r="110" spans="1:19" ht="17.25" thickBot="1">
      <c r="A110" s="125" t="s">
        <v>248</v>
      </c>
      <c r="B110" s="126">
        <v>2290</v>
      </c>
      <c r="C110" s="77">
        <v>4.5662100499999997E-2</v>
      </c>
      <c r="D110" s="15">
        <v>2170</v>
      </c>
      <c r="E110" s="32">
        <f t="shared" si="54"/>
        <v>-5.2401746724890827E-2</v>
      </c>
      <c r="F110" s="18">
        <f>IF(ISNUMBER(D110), $B118 * E110, "")</f>
        <v>-5240.1746724890827</v>
      </c>
      <c r="G110" s="31">
        <v>2210</v>
      </c>
      <c r="H110" s="32">
        <f t="shared" si="55"/>
        <v>-3.4934497816593885E-2</v>
      </c>
      <c r="I110" s="101">
        <f>IF(ISNUMBER(G110), $B118 * H110, "")</f>
        <v>-3493.4497816593885</v>
      </c>
      <c r="J110" s="15">
        <v>2190</v>
      </c>
      <c r="K110" s="32">
        <f t="shared" si="56"/>
        <v>-4.3668122270742356E-2</v>
      </c>
      <c r="L110" s="18">
        <f>IF(ISNUMBER(J110), $B118 * K110, "")</f>
        <v>-4366.812227074236</v>
      </c>
      <c r="M110" s="31">
        <v>2200</v>
      </c>
      <c r="N110" s="32">
        <f t="shared" si="57"/>
        <v>-3.9301310043668124E-2</v>
      </c>
      <c r="O110" s="18">
        <f>IF(ISNUMBER(M110), $B118 * N110, "")</f>
        <v>-3930.1310043668122</v>
      </c>
      <c r="Q110" s="238"/>
      <c r="R110" s="238"/>
      <c r="S110" s="238"/>
    </row>
    <row r="111" spans="1:19" ht="17.25" thickBot="1">
      <c r="A111" s="125" t="s">
        <v>76</v>
      </c>
      <c r="B111" s="126">
        <v>26760</v>
      </c>
      <c r="C111" s="77">
        <v>4.49043342E-2</v>
      </c>
      <c r="D111" s="15">
        <v>26530</v>
      </c>
      <c r="E111" s="32">
        <f t="shared" si="54"/>
        <v>-8.5949177877428992E-3</v>
      </c>
      <c r="F111" s="18">
        <f>IF(ISNUMBER(D111), $B118 * E111, "")</f>
        <v>-859.49177877428997</v>
      </c>
      <c r="G111" s="31">
        <v>26350</v>
      </c>
      <c r="H111" s="32">
        <f t="shared" si="55"/>
        <v>-1.5321375186846039E-2</v>
      </c>
      <c r="I111" s="101">
        <f>IF(ISNUMBER(G111), $B118 * H111, "")</f>
        <v>-1532.1375186846039</v>
      </c>
      <c r="J111" s="15">
        <v>26530</v>
      </c>
      <c r="K111" s="32">
        <f t="shared" si="56"/>
        <v>-8.5949177877428992E-3</v>
      </c>
      <c r="L111" s="18">
        <f>IF(ISNUMBER(J111), $B118 * K111, "")</f>
        <v>-859.49177877428997</v>
      </c>
      <c r="M111" s="31">
        <v>27260</v>
      </c>
      <c r="N111" s="32">
        <f t="shared" si="57"/>
        <v>1.8684603886397609E-2</v>
      </c>
      <c r="O111" s="18">
        <f>IF(ISNUMBER(M111), $B118 * N111, "")</f>
        <v>1868.4603886397608</v>
      </c>
      <c r="Q111" s="248"/>
      <c r="R111" s="248"/>
      <c r="S111" s="248"/>
    </row>
    <row r="112" spans="1:19" ht="17.25" thickBot="1">
      <c r="A112" s="127" t="s">
        <v>104</v>
      </c>
      <c r="B112" s="128">
        <v>947</v>
      </c>
      <c r="C112" s="78">
        <v>4.2951541900000001E-2</v>
      </c>
      <c r="D112" s="20">
        <v>911</v>
      </c>
      <c r="E112" s="21">
        <f t="shared" si="54"/>
        <v>-3.8014783526927137E-2</v>
      </c>
      <c r="F112" s="22">
        <f>IF(ISNUMBER(D112), $B118 * E112, "")</f>
        <v>-3801.4783526927135</v>
      </c>
      <c r="G112" s="30">
        <v>937</v>
      </c>
      <c r="H112" s="21">
        <f t="shared" si="55"/>
        <v>-1.0559662090813094E-2</v>
      </c>
      <c r="I112" s="105">
        <f>IF(ISNUMBER(G112), $B118 * H112, "")</f>
        <v>-1055.9662090813094</v>
      </c>
      <c r="J112" s="20">
        <v>932</v>
      </c>
      <c r="K112" s="21">
        <f t="shared" si="56"/>
        <v>-1.5839493136219639E-2</v>
      </c>
      <c r="L112" s="22">
        <f>IF(ISNUMBER(J112), $B118 * K112, "")</f>
        <v>-1583.9493136219639</v>
      </c>
      <c r="M112" s="30">
        <v>976</v>
      </c>
      <c r="N112" s="21">
        <f t="shared" si="57"/>
        <v>3.0623020063357972E-2</v>
      </c>
      <c r="O112" s="22">
        <f>IF(ISNUMBER(M112), $B118 * N112, "")</f>
        <v>3062.3020063357972</v>
      </c>
      <c r="Q112" s="248"/>
      <c r="R112" s="248"/>
      <c r="S112" s="248"/>
    </row>
    <row r="113" spans="1:19" ht="17.25" thickBot="1">
      <c r="A113" s="125" t="s">
        <v>182</v>
      </c>
      <c r="B113" s="129">
        <v>57540</v>
      </c>
      <c r="C113" s="80">
        <v>4.2769119199999997E-2</v>
      </c>
      <c r="D113" s="106">
        <v>55850</v>
      </c>
      <c r="E113" s="107">
        <f>IF(ISNUMBER(D113), (D113 - $B113) / $B113, "")</f>
        <v>-2.9370872436565866E-2</v>
      </c>
      <c r="F113" s="108">
        <f>IF(ISNUMBER(D113), $B118 * E113, "")</f>
        <v>-2937.0872436565865</v>
      </c>
      <c r="G113" s="109">
        <v>56420</v>
      </c>
      <c r="H113" s="107">
        <f>IF(ISNUMBER(G113), (G113 - $B113) / $B113, "")</f>
        <v>-1.9464720194647202E-2</v>
      </c>
      <c r="I113" s="110">
        <f>IF(ISNUMBER(G113), $B118 * H113, "")</f>
        <v>-1946.4720194647202</v>
      </c>
      <c r="J113" s="106">
        <v>55880</v>
      </c>
      <c r="K113" s="107">
        <f>IF(ISNUMBER(J113), (J113 - $B113) / $B113, "")</f>
        <v>-2.8849496002780674E-2</v>
      </c>
      <c r="L113" s="108">
        <f>IF(ISNUMBER(J113), $B118 * K113, "")</f>
        <v>-2884.9496002780675</v>
      </c>
      <c r="M113" s="109">
        <v>56070</v>
      </c>
      <c r="N113" s="107">
        <f>IF(ISNUMBER(M113), (M113 - $B113) / $B113, "")</f>
        <v>-2.5547445255474453E-2</v>
      </c>
      <c r="O113" s="108">
        <f>IF(ISNUMBER(M113), $B118 * N113, "")</f>
        <v>-2554.7445255474454</v>
      </c>
      <c r="Q113" s="238"/>
      <c r="R113" s="238"/>
      <c r="S113" s="238"/>
    </row>
    <row r="114" spans="1:19" ht="17.25" thickBot="1">
      <c r="A114" s="125" t="s">
        <v>180</v>
      </c>
      <c r="B114" s="126">
        <v>8850</v>
      </c>
      <c r="C114" s="77">
        <v>3.8123167200000002E-2</v>
      </c>
      <c r="D114" s="15">
        <v>8800</v>
      </c>
      <c r="E114" s="32">
        <f t="shared" ref="E114:E117" si="58">IF(ISNUMBER(D114), (D114 - $B114) / $B114, "")</f>
        <v>-5.6497175141242938E-3</v>
      </c>
      <c r="F114" s="18">
        <f>IF(ISNUMBER(D114), $B118 * E114, "")</f>
        <v>-564.9717514124294</v>
      </c>
      <c r="G114" s="31">
        <v>8995</v>
      </c>
      <c r="H114" s="32">
        <f t="shared" ref="H114:H117" si="59">IF(ISNUMBER(G114), (G114 - $B114) / $B114, "")</f>
        <v>1.6384180790960452E-2</v>
      </c>
      <c r="I114" s="101">
        <f>IF(ISNUMBER(G114), $B118 * H114, "")</f>
        <v>1638.4180790960452</v>
      </c>
      <c r="J114" s="15">
        <v>8975</v>
      </c>
      <c r="K114" s="32">
        <f t="shared" ref="K114:K117" si="60">IF(ISNUMBER(J114), (J114 - $B114) / $B114, "")</f>
        <v>1.4124293785310734E-2</v>
      </c>
      <c r="L114" s="18">
        <f>IF(ISNUMBER(J114), $B118 * K114, "")</f>
        <v>1412.4293785310736</v>
      </c>
      <c r="M114" s="31">
        <v>9185</v>
      </c>
      <c r="N114" s="32">
        <f t="shared" ref="N114:N117" si="61">IF(ISNUMBER(M114), (M114 - $B114) / $B114, "")</f>
        <v>3.7853107344632771E-2</v>
      </c>
      <c r="O114" s="18">
        <f>IF(ISNUMBER(M114), $B118 * N114, "")</f>
        <v>3785.3107344632772</v>
      </c>
      <c r="Q114" s="238"/>
      <c r="R114" s="238"/>
      <c r="S114" s="238"/>
    </row>
    <row r="115" spans="1:19" ht="17.25" thickBot="1">
      <c r="A115" s="125" t="s">
        <v>232</v>
      </c>
      <c r="B115" s="126">
        <v>467</v>
      </c>
      <c r="C115" s="77">
        <v>3.7777777800000002E-2</v>
      </c>
      <c r="D115" s="15">
        <v>455</v>
      </c>
      <c r="E115" s="32">
        <f t="shared" si="58"/>
        <v>-2.569593147751606E-2</v>
      </c>
      <c r="F115" s="18">
        <f>IF(ISNUMBER(D115), $B118 * E115, "")</f>
        <v>-2569.593147751606</v>
      </c>
      <c r="G115" s="31">
        <v>462</v>
      </c>
      <c r="H115" s="32">
        <f t="shared" si="59"/>
        <v>-1.0706638115631691E-2</v>
      </c>
      <c r="I115" s="101">
        <f>IF(ISNUMBER(G115), $B118 * H115, "")</f>
        <v>-1070.663811563169</v>
      </c>
      <c r="J115" s="15">
        <v>455</v>
      </c>
      <c r="K115" s="32">
        <f t="shared" si="60"/>
        <v>-2.569593147751606E-2</v>
      </c>
      <c r="L115" s="18">
        <f>IF(ISNUMBER(J115), $B118 * K115, "")</f>
        <v>-2569.593147751606</v>
      </c>
      <c r="M115" s="31">
        <v>463</v>
      </c>
      <c r="N115" s="32">
        <f t="shared" si="61"/>
        <v>-8.5653104925053538E-3</v>
      </c>
      <c r="O115" s="18">
        <f>IF(ISNUMBER(M115), $B118 * N115, "")</f>
        <v>-856.53104925053537</v>
      </c>
      <c r="Q115" s="238"/>
      <c r="R115" s="238"/>
      <c r="S115" s="238"/>
    </row>
    <row r="116" spans="1:19">
      <c r="A116" s="125" t="s">
        <v>90</v>
      </c>
      <c r="B116" s="126">
        <v>872</v>
      </c>
      <c r="C116" s="77">
        <v>3.6860879899999997E-2</v>
      </c>
      <c r="D116" s="15">
        <v>837</v>
      </c>
      <c r="E116" s="32">
        <f t="shared" si="58"/>
        <v>-4.0137614678899085E-2</v>
      </c>
      <c r="F116" s="18">
        <f>IF(ISNUMBER(D116), $B118 * E116, "")</f>
        <v>-4013.7614678899085</v>
      </c>
      <c r="G116" s="31">
        <v>836</v>
      </c>
      <c r="H116" s="32">
        <f t="shared" si="59"/>
        <v>-4.1284403669724773E-2</v>
      </c>
      <c r="I116" s="101">
        <f>IF(ISNUMBER(G116), $B118 * H116, "")</f>
        <v>-4128.440366972477</v>
      </c>
      <c r="J116" s="15">
        <v>832</v>
      </c>
      <c r="K116" s="32">
        <f t="shared" si="60"/>
        <v>-4.5871559633027525E-2</v>
      </c>
      <c r="L116" s="18">
        <f>IF(ISNUMBER(J116), $B118 * K116, "")</f>
        <v>-4587.1559633027528</v>
      </c>
      <c r="M116" s="31">
        <v>840</v>
      </c>
      <c r="N116" s="32">
        <f t="shared" si="61"/>
        <v>-3.669724770642202E-2</v>
      </c>
      <c r="O116" s="18">
        <f>IF(ISNUMBER(M116), $B118 * N116, "")</f>
        <v>-3669.7247706422022</v>
      </c>
      <c r="Q116" s="227"/>
      <c r="R116" s="228"/>
      <c r="S116" s="229"/>
    </row>
    <row r="117" spans="1:19" ht="17.25" thickBot="1">
      <c r="A117" s="130" t="s">
        <v>114</v>
      </c>
      <c r="B117" s="131">
        <v>709</v>
      </c>
      <c r="C117" s="79">
        <v>3.6549707600000002E-2</v>
      </c>
      <c r="D117" s="24">
        <v>682</v>
      </c>
      <c r="E117" s="25">
        <f t="shared" si="58"/>
        <v>-3.8081805359661498E-2</v>
      </c>
      <c r="F117" s="104">
        <f>IF(ISNUMBER(D117), $B118 * E117, "")</f>
        <v>-3808.1805359661498</v>
      </c>
      <c r="G117" s="102">
        <v>690</v>
      </c>
      <c r="H117" s="25">
        <f t="shared" si="59"/>
        <v>-2.6798307475317348E-2</v>
      </c>
      <c r="I117" s="103">
        <f>IF(ISNUMBER(G117), $B118 * H117, "")</f>
        <v>-2679.8307475317347</v>
      </c>
      <c r="J117" s="24">
        <v>685</v>
      </c>
      <c r="K117" s="25">
        <f t="shared" si="60"/>
        <v>-3.3850493653032443E-2</v>
      </c>
      <c r="L117" s="104">
        <f>IF(ISNUMBER(J117), $B118 * K117, "")</f>
        <v>-3385.0493653032445</v>
      </c>
      <c r="M117" s="102">
        <v>687</v>
      </c>
      <c r="N117" s="25">
        <f t="shared" si="61"/>
        <v>-3.1029619181946404E-2</v>
      </c>
      <c r="O117" s="104">
        <f>IF(ISNUMBER(M117), $B118 * N117, "")</f>
        <v>-3102.9619181946405</v>
      </c>
      <c r="Q117" s="230"/>
      <c r="R117" s="231"/>
      <c r="S117" s="232"/>
    </row>
    <row r="118" spans="1:19" ht="17.25" thickBot="1">
      <c r="A118" s="132" t="s">
        <v>270</v>
      </c>
      <c r="B118" s="291">
        <f>$B$37</f>
        <v>100000</v>
      </c>
      <c r="C118" s="292"/>
      <c r="D118" s="26" t="s">
        <v>271</v>
      </c>
      <c r="E118" s="27">
        <f>IF(COUNT(E98:E117), SUM(E98:E117) / COUNT(E98:E117), 0)</f>
        <v>-2.4088522729929208E-2</v>
      </c>
      <c r="F118" s="28">
        <f>SUM(F98:F117)</f>
        <v>-48177.045459858411</v>
      </c>
      <c r="G118" s="26" t="s">
        <v>271</v>
      </c>
      <c r="H118" s="27">
        <f>IF(COUNT(H98:H117), SUM(H98:H117) / COUNT(H98:H117), 0)</f>
        <v>-1.092166592144995E-2</v>
      </c>
      <c r="I118" s="28">
        <f>SUM(I98:I117)</f>
        <v>-21843.331842899894</v>
      </c>
      <c r="J118" s="26" t="s">
        <v>271</v>
      </c>
      <c r="K118" s="27">
        <f>IF(COUNT(K98:K117), SUM(K98:K117) / COUNT(K98:K117), 0)</f>
        <v>-2.1485830261161569E-2</v>
      </c>
      <c r="L118" s="28">
        <f>SUM(L98:L117)</f>
        <v>-42971.660522323138</v>
      </c>
      <c r="M118" s="26" t="s">
        <v>271</v>
      </c>
      <c r="N118" s="27">
        <f>IF(COUNT(N98:N117), SUM(N98:N117) / COUNT(N98:N117), 0)</f>
        <v>-1.0806697763210835E-2</v>
      </c>
      <c r="O118" s="28">
        <f>SUM(O98:O117)</f>
        <v>-21613.395526421678</v>
      </c>
      <c r="Q118" s="233"/>
      <c r="R118" s="234"/>
      <c r="S118" s="23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48"/>
      <c r="R121" s="248"/>
      <c r="S121" s="248"/>
    </row>
    <row r="122" spans="1:19" ht="17.25" thickBot="1">
      <c r="A122" s="165" t="s">
        <v>267</v>
      </c>
      <c r="B122" s="249" t="s">
        <v>49</v>
      </c>
      <c r="C122" s="251"/>
      <c r="D122" s="249" t="s">
        <v>58</v>
      </c>
      <c r="E122" s="250"/>
      <c r="F122" s="251"/>
      <c r="G122" s="252">
        <f>_xlfn.IFNA(VLOOKUP(B122, 현재가테이블!$B$2:$D$200, 2, FALSE), "-")</f>
        <v>54440000</v>
      </c>
      <c r="H122" s="253"/>
      <c r="I122" s="254"/>
      <c r="J122" s="249" t="s">
        <v>59</v>
      </c>
      <c r="K122" s="250"/>
      <c r="L122" s="251"/>
      <c r="M122" s="255">
        <f>_xlfn.IFNA(VLOOKUP(B122, 현재가테이블!$B$2:$D$200, 3, FALSE), "-")</f>
        <v>1.07123628E-2</v>
      </c>
      <c r="N122" s="256"/>
      <c r="O122" s="257"/>
      <c r="Q122" s="248"/>
      <c r="R122" s="248"/>
      <c r="S122" s="248"/>
    </row>
    <row r="123" spans="1:19" ht="17.25" thickBot="1">
      <c r="A123" s="293" t="s">
        <v>55</v>
      </c>
      <c r="B123" s="289" t="str">
        <f>TEXT($G$1, "[$-ko-KR]yyyy-mm-dd(ddd) ") &amp; "오전 00:00"</f>
        <v>2021-08-03(화) 오전 00:00</v>
      </c>
      <c r="C123" s="290"/>
      <c r="D123" s="262" t="str">
        <f>TEXT($G$1, "[$-ko-KR]yyyy-mm-dd(ddd) ") &amp; "오후 14:00"</f>
        <v>2021-08-03(화) 오후 14:00</v>
      </c>
      <c r="E123" s="263"/>
      <c r="F123" s="264"/>
      <c r="G123" s="262" t="str">
        <f>TEXT($G$1, "[$-ko-KR]yyyy-mm-dd(ddd) ") &amp; "오후 19:00"</f>
        <v>2021-08-03(화) 오후 19:00</v>
      </c>
      <c r="H123" s="263"/>
      <c r="I123" s="264"/>
      <c r="J123" s="262" t="str">
        <f>TEXT($G$1, "[$-ko-KR]yyyy-mm-dd(ddd) ") &amp; "오후 21:00"</f>
        <v>2021-08-03(화) 오후 21:00</v>
      </c>
      <c r="K123" s="263"/>
      <c r="L123" s="264"/>
      <c r="M123" s="262" t="str">
        <f>TEXT($G$1+1, "[$-ko-KR]yyyy-mm-dd(ddd) ") &amp; "오전 00:00"</f>
        <v>2021-08-04(수) 오전 00:00</v>
      </c>
      <c r="N123" s="263"/>
      <c r="O123" s="264"/>
      <c r="Q123" s="248"/>
      <c r="R123" s="248"/>
      <c r="S123" s="248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8"/>
      <c r="R124" s="238"/>
      <c r="S124" s="238"/>
    </row>
    <row r="125" spans="1:19" ht="17.25" thickBot="1">
      <c r="A125" s="123" t="s">
        <v>65</v>
      </c>
      <c r="B125" s="124">
        <v>30</v>
      </c>
      <c r="C125" s="76">
        <v>1.3513513499999999E-2</v>
      </c>
      <c r="D125" s="13">
        <v>28.1</v>
      </c>
      <c r="E125" s="14">
        <f>IF(ISNUMBER(D125), (D125 - $B125) / $B125, "")</f>
        <v>-6.3333333333333283E-2</v>
      </c>
      <c r="F125" s="16">
        <f>IF(ISNUMBER(D125), $B145 * E125, "")</f>
        <v>-6333.3333333333285</v>
      </c>
      <c r="G125" s="29">
        <v>28.5</v>
      </c>
      <c r="H125" s="14">
        <f>IF(ISNUMBER(G125), (G125 - $B125) / $B125, "")</f>
        <v>-0.05</v>
      </c>
      <c r="I125" s="100">
        <f>IF(ISNUMBER(G125), $B145 * H125, "")</f>
        <v>-5000</v>
      </c>
      <c r="J125" s="13">
        <v>28.3</v>
      </c>
      <c r="K125" s="14">
        <f>IF(ISNUMBER(J125), (J125 - $B125) / $B125, "")</f>
        <v>-5.6666666666666643E-2</v>
      </c>
      <c r="L125" s="16">
        <f>IF(ISNUMBER(J125), $B145 * K125, "")</f>
        <v>-5666.6666666666642</v>
      </c>
      <c r="M125" s="29">
        <v>28.5</v>
      </c>
      <c r="N125" s="14">
        <f>IF(ISNUMBER(M125), (M125 - $B125) / $B125, "")</f>
        <v>-0.05</v>
      </c>
      <c r="O125" s="16">
        <f>IF(ISNUMBER(M125), $B145 * N125, "")</f>
        <v>-5000</v>
      </c>
      <c r="Q125" s="248"/>
      <c r="R125" s="248"/>
      <c r="S125" s="248"/>
    </row>
    <row r="126" spans="1:19" ht="17.25" thickBot="1">
      <c r="A126" s="125" t="s">
        <v>98</v>
      </c>
      <c r="B126" s="126">
        <v>3.35</v>
      </c>
      <c r="C126" s="77">
        <v>1.20845921E-2</v>
      </c>
      <c r="D126" s="15">
        <v>3.3</v>
      </c>
      <c r="E126" s="32">
        <f t="shared" ref="E126:E129" si="62">IF(ISNUMBER(D126), (D126 - $B126) / $B126, "")</f>
        <v>-1.4925373134328438E-2</v>
      </c>
      <c r="F126" s="18">
        <f>IF(ISNUMBER(D126), $B145 * E126, "")</f>
        <v>-1492.5373134328438</v>
      </c>
      <c r="G126" s="31">
        <v>3.36</v>
      </c>
      <c r="H126" s="32">
        <f t="shared" ref="H126:H129" si="63">IF(ISNUMBER(G126), (G126 - $B126) / $B126, "")</f>
        <v>2.9850746268656079E-3</v>
      </c>
      <c r="I126" s="101">
        <f>IF(ISNUMBER(G126), $B145 * H126, "")</f>
        <v>298.50746268656081</v>
      </c>
      <c r="J126" s="15">
        <v>3.34</v>
      </c>
      <c r="K126" s="32">
        <f t="shared" ref="K126:K129" si="64">IF(ISNUMBER(J126), (J126 - $B126) / $B126, "")</f>
        <v>-2.9850746268657406E-3</v>
      </c>
      <c r="L126" s="18">
        <f>IF(ISNUMBER(J126), $B145 * K126, "")</f>
        <v>-298.50746268657406</v>
      </c>
      <c r="M126" s="31">
        <v>3.38</v>
      </c>
      <c r="N126" s="32">
        <f t="shared" ref="N126:N129" si="65">IF(ISNUMBER(M126), (M126 - $B126) / $B126, "")</f>
        <v>8.9552238805969565E-3</v>
      </c>
      <c r="O126" s="18">
        <f>IF(ISNUMBER(M126), $B145 * N126, "")</f>
        <v>895.52238805969569</v>
      </c>
      <c r="Q126" s="248"/>
      <c r="R126" s="248"/>
      <c r="S126" s="248"/>
    </row>
    <row r="127" spans="1:19" ht="17.25" thickBot="1">
      <c r="A127" s="125" t="s">
        <v>148</v>
      </c>
      <c r="B127" s="126">
        <v>18.5</v>
      </c>
      <c r="C127" s="77">
        <v>1.09289617E-2</v>
      </c>
      <c r="D127" s="15">
        <v>17.399999999999999</v>
      </c>
      <c r="E127" s="32">
        <f t="shared" si="62"/>
        <v>-5.9459459459459539E-2</v>
      </c>
      <c r="F127" s="18">
        <f>IF(ISNUMBER(D127), $B145 * E127, "")</f>
        <v>-5945.945945945954</v>
      </c>
      <c r="G127" s="31">
        <v>17.5</v>
      </c>
      <c r="H127" s="32">
        <f t="shared" si="63"/>
        <v>-5.4054054054054057E-2</v>
      </c>
      <c r="I127" s="101">
        <f>IF(ISNUMBER(G127), $B145 * H127, "")</f>
        <v>-5405.4054054054059</v>
      </c>
      <c r="J127" s="15">
        <v>17.399999999999999</v>
      </c>
      <c r="K127" s="32">
        <f t="shared" si="64"/>
        <v>-5.9459459459459539E-2</v>
      </c>
      <c r="L127" s="18">
        <f>IF(ISNUMBER(J127), $B145 * K127, "")</f>
        <v>-5945.945945945954</v>
      </c>
      <c r="M127" s="31">
        <v>17.600000000000001</v>
      </c>
      <c r="N127" s="32">
        <f t="shared" si="65"/>
        <v>-4.8648648648648575E-2</v>
      </c>
      <c r="O127" s="18">
        <f>IF(ISNUMBER(M127), $B145 * N127, "")</f>
        <v>-4864.8648648648577</v>
      </c>
      <c r="Q127" s="238"/>
      <c r="R127" s="238"/>
      <c r="S127" s="238"/>
    </row>
    <row r="128" spans="1:19" ht="17.25" thickBot="1">
      <c r="A128" s="125" t="s">
        <v>162</v>
      </c>
      <c r="B128" s="126">
        <v>94.8</v>
      </c>
      <c r="C128" s="77">
        <v>4.2372881000000001E-3</v>
      </c>
      <c r="D128" s="15">
        <v>90</v>
      </c>
      <c r="E128" s="32">
        <f t="shared" si="62"/>
        <v>-5.0632911392405035E-2</v>
      </c>
      <c r="F128" s="18">
        <f>IF(ISNUMBER(D128), $B145 * E128, "")</f>
        <v>-5063.2911392405031</v>
      </c>
      <c r="G128" s="31">
        <v>90.9</v>
      </c>
      <c r="H128" s="32">
        <f t="shared" si="63"/>
        <v>-4.1139240506329028E-2</v>
      </c>
      <c r="I128" s="101">
        <f>IF(ISNUMBER(G128), $B145 * H128, "")</f>
        <v>-4113.9240506329024</v>
      </c>
      <c r="J128" s="15">
        <v>90.2</v>
      </c>
      <c r="K128" s="32">
        <f t="shared" si="64"/>
        <v>-4.8523206751054794E-2</v>
      </c>
      <c r="L128" s="18">
        <f>IF(ISNUMBER(J128), $B145 * K128, "")</f>
        <v>-4852.3206751054795</v>
      </c>
      <c r="M128" s="31">
        <v>91.2</v>
      </c>
      <c r="N128" s="32">
        <f t="shared" si="65"/>
        <v>-3.7974683544303736E-2</v>
      </c>
      <c r="O128" s="18">
        <f>IF(ISNUMBER(M128), $B145 * N128, "")</f>
        <v>-3797.4683544303734</v>
      </c>
      <c r="Q128" s="238"/>
      <c r="R128" s="238"/>
      <c r="S128" s="238"/>
    </row>
    <row r="129" spans="1:19" ht="17.25" thickBot="1">
      <c r="A129" s="127" t="s">
        <v>190</v>
      </c>
      <c r="B129" s="128">
        <v>15.3</v>
      </c>
      <c r="C129" s="78">
        <v>0</v>
      </c>
      <c r="D129" s="20">
        <v>16.2</v>
      </c>
      <c r="E129" s="21">
        <f t="shared" si="62"/>
        <v>5.8823529411764608E-2</v>
      </c>
      <c r="F129" s="22">
        <f>IF(ISNUMBER(D129), $B145 * E129, "")</f>
        <v>5882.3529411764612</v>
      </c>
      <c r="G129" s="30">
        <v>15.8</v>
      </c>
      <c r="H129" s="21">
        <f t="shared" si="63"/>
        <v>3.2679738562091505E-2</v>
      </c>
      <c r="I129" s="105">
        <f>IF(ISNUMBER(G129), $B145 * H129, "")</f>
        <v>3267.9738562091507</v>
      </c>
      <c r="J129" s="20">
        <v>15.5</v>
      </c>
      <c r="K129" s="21">
        <f t="shared" si="64"/>
        <v>1.3071895424836555E-2</v>
      </c>
      <c r="L129" s="22">
        <f>IF(ISNUMBER(J129), $B145 * K129, "")</f>
        <v>1307.1895424836555</v>
      </c>
      <c r="M129" s="30">
        <v>15.6</v>
      </c>
      <c r="N129" s="21">
        <f t="shared" si="65"/>
        <v>1.9607843137254832E-2</v>
      </c>
      <c r="O129" s="22">
        <f>IF(ISNUMBER(M129), $B145 * N129, "")</f>
        <v>1960.7843137254831</v>
      </c>
      <c r="Q129" s="238"/>
      <c r="R129" s="238"/>
      <c r="S129" s="238"/>
    </row>
    <row r="130" spans="1:19" ht="17.25" thickBot="1">
      <c r="A130" s="125" t="s">
        <v>250</v>
      </c>
      <c r="B130" s="129">
        <v>60.8</v>
      </c>
      <c r="C130" s="80">
        <v>-3.2786884999999998E-3</v>
      </c>
      <c r="D130" s="106">
        <v>58.6</v>
      </c>
      <c r="E130" s="107">
        <f>IF(ISNUMBER(D130), (D130 - $B130) / $B130, "")</f>
        <v>-3.6184210526315722E-2</v>
      </c>
      <c r="F130" s="108">
        <f>IF(ISNUMBER(D130), $B145 * E130, "")</f>
        <v>-3618.4210526315724</v>
      </c>
      <c r="G130" s="109">
        <v>59.2</v>
      </c>
      <c r="H130" s="107">
        <f>IF(ISNUMBER(G130), (G130 - $B130) / $B130, "")</f>
        <v>-2.6315789473684119E-2</v>
      </c>
      <c r="I130" s="110">
        <f>IF(ISNUMBER(G130), $B145 * H130, "")</f>
        <v>-2631.5789473684117</v>
      </c>
      <c r="J130" s="106">
        <v>58.3</v>
      </c>
      <c r="K130" s="107">
        <f>IF(ISNUMBER(J130), (J130 - $B130) / $B130, "")</f>
        <v>-4.1118421052631582E-2</v>
      </c>
      <c r="L130" s="108">
        <f>IF(ISNUMBER(J130), $B145 * K130, "")</f>
        <v>-4111.8421052631584</v>
      </c>
      <c r="M130" s="109">
        <v>59.1</v>
      </c>
      <c r="N130" s="107">
        <f>IF(ISNUMBER(M130), (M130 - $B130) / $B130, "")</f>
        <v>-2.7960526315789404E-2</v>
      </c>
      <c r="O130" s="108">
        <f>IF(ISNUMBER(M130), $B145 * N130, "")</f>
        <v>-2796.0526315789402</v>
      </c>
      <c r="Q130" s="238"/>
      <c r="R130" s="238"/>
      <c r="S130" s="238"/>
    </row>
    <row r="131" spans="1:19" ht="17.25" thickBot="1">
      <c r="A131" s="125" t="s">
        <v>130</v>
      </c>
      <c r="B131" s="126">
        <v>92.5</v>
      </c>
      <c r="C131" s="77">
        <v>-4.3057051000000004E-3</v>
      </c>
      <c r="D131" s="15">
        <v>89.3</v>
      </c>
      <c r="E131" s="32">
        <f t="shared" ref="E131:E134" si="66">IF(ISNUMBER(D131), (D131 - $B131) / $B131, "")</f>
        <v>-3.4594594594594623E-2</v>
      </c>
      <c r="F131" s="18">
        <f>IF(ISNUMBER(D131), $B145 * E131, "")</f>
        <v>-3459.4594594594623</v>
      </c>
      <c r="G131" s="31">
        <v>90</v>
      </c>
      <c r="H131" s="32">
        <f t="shared" ref="H131:H134" si="67">IF(ISNUMBER(G131), (G131 - $B131) / $B131, "")</f>
        <v>-2.7027027027027029E-2</v>
      </c>
      <c r="I131" s="101">
        <f>IF(ISNUMBER(G131), $B145 * H131, "")</f>
        <v>-2702.7027027027029</v>
      </c>
      <c r="J131" s="15">
        <v>89</v>
      </c>
      <c r="K131" s="32">
        <f t="shared" ref="K131:K134" si="68">IF(ISNUMBER(J131), (J131 - $B131) / $B131, "")</f>
        <v>-3.783783783783784E-2</v>
      </c>
      <c r="L131" s="18">
        <f>IF(ISNUMBER(J131), $B145 * K131, "")</f>
        <v>-3783.7837837837842</v>
      </c>
      <c r="M131" s="31">
        <v>89.9</v>
      </c>
      <c r="N131" s="32">
        <f t="shared" ref="N131:N134" si="69">IF(ISNUMBER(M131), (M131 - $B131) / $B131, "")</f>
        <v>-2.8108108108108047E-2</v>
      </c>
      <c r="O131" s="18">
        <f>IF(ISNUMBER(M131), $B145 * N131, "")</f>
        <v>-2810.8108108108045</v>
      </c>
      <c r="Q131" s="238"/>
      <c r="R131" s="238"/>
      <c r="S131" s="238"/>
    </row>
    <row r="132" spans="1:19" ht="17.25" thickBot="1">
      <c r="A132" s="125" t="s">
        <v>72</v>
      </c>
      <c r="B132" s="126">
        <v>20.8</v>
      </c>
      <c r="C132" s="77">
        <v>-9.5238094999999991E-3</v>
      </c>
      <c r="D132" s="15">
        <v>20.3</v>
      </c>
      <c r="E132" s="32">
        <f t="shared" si="66"/>
        <v>-2.4038461538461536E-2</v>
      </c>
      <c r="F132" s="18">
        <f>IF(ISNUMBER(D132), $B145 * E132, "")</f>
        <v>-2403.8461538461538</v>
      </c>
      <c r="G132" s="31">
        <v>20.7</v>
      </c>
      <c r="H132" s="32">
        <f t="shared" si="67"/>
        <v>-4.8076923076923756E-3</v>
      </c>
      <c r="I132" s="101">
        <f>IF(ISNUMBER(G132), $B145 * H132, "")</f>
        <v>-480.76923076923754</v>
      </c>
      <c r="J132" s="15">
        <v>20.3</v>
      </c>
      <c r="K132" s="32">
        <f t="shared" si="68"/>
        <v>-2.4038461538461536E-2</v>
      </c>
      <c r="L132" s="18">
        <f>IF(ISNUMBER(J132), $B145 * K132, "")</f>
        <v>-2403.8461538461538</v>
      </c>
      <c r="M132" s="31">
        <v>20.399999999999999</v>
      </c>
      <c r="N132" s="32">
        <f t="shared" si="69"/>
        <v>-1.9230769230769332E-2</v>
      </c>
      <c r="O132" s="18">
        <f>IF(ISNUMBER(M132), $B145 * N132, "")</f>
        <v>-1923.0769230769333</v>
      </c>
      <c r="Q132" s="238"/>
      <c r="R132" s="238"/>
      <c r="S132" s="238"/>
    </row>
    <row r="133" spans="1:19" ht="17.25" thickBot="1">
      <c r="A133" s="125" t="s">
        <v>238</v>
      </c>
      <c r="B133" s="126">
        <v>94</v>
      </c>
      <c r="C133" s="77">
        <v>-1.4675052399999999E-2</v>
      </c>
      <c r="D133" s="15">
        <v>93.1</v>
      </c>
      <c r="E133" s="32">
        <f t="shared" si="66"/>
        <v>-9.5744680851064436E-3</v>
      </c>
      <c r="F133" s="18">
        <f>IF(ISNUMBER(D133), $B145 * E133, "")</f>
        <v>-957.44680851064436</v>
      </c>
      <c r="G133" s="31">
        <v>94</v>
      </c>
      <c r="H133" s="32">
        <f t="shared" si="67"/>
        <v>0</v>
      </c>
      <c r="I133" s="101">
        <f>IF(ISNUMBER(G133), $B145 * H133, "")</f>
        <v>0</v>
      </c>
      <c r="J133" s="15">
        <v>93.5</v>
      </c>
      <c r="K133" s="32">
        <f t="shared" si="68"/>
        <v>-5.3191489361702126E-3</v>
      </c>
      <c r="L133" s="18">
        <f>IF(ISNUMBER(J133), $B145 * K133, "")</f>
        <v>-531.91489361702122</v>
      </c>
      <c r="M133" s="31">
        <v>93.7</v>
      </c>
      <c r="N133" s="32">
        <f t="shared" si="69"/>
        <v>-3.1914893617020976E-3</v>
      </c>
      <c r="O133" s="18">
        <f>IF(ISNUMBER(M133), $B145 * N133, "")</f>
        <v>-319.14893617020977</v>
      </c>
      <c r="Q133" s="33"/>
      <c r="R133" s="33"/>
    </row>
    <row r="134" spans="1:19" ht="17.25" thickBot="1">
      <c r="A134" s="130" t="s">
        <v>122</v>
      </c>
      <c r="B134" s="131">
        <v>25.4</v>
      </c>
      <c r="C134" s="79">
        <v>-1.5503876E-2</v>
      </c>
      <c r="D134" s="24">
        <v>24.3</v>
      </c>
      <c r="E134" s="25">
        <f t="shared" si="66"/>
        <v>-4.3307086614173144E-2</v>
      </c>
      <c r="F134" s="104">
        <f>IF(ISNUMBER(D134), $B145 * E134, "")</f>
        <v>-4330.708661417314</v>
      </c>
      <c r="G134" s="102">
        <v>24.7</v>
      </c>
      <c r="H134" s="25">
        <f t="shared" si="67"/>
        <v>-2.7559055118110208E-2</v>
      </c>
      <c r="I134" s="103">
        <f>IF(ISNUMBER(G134), $B145 * H134, "")</f>
        <v>-2755.9055118110209</v>
      </c>
      <c r="J134" s="24">
        <v>24.7</v>
      </c>
      <c r="K134" s="25">
        <f t="shared" si="68"/>
        <v>-2.7559055118110208E-2</v>
      </c>
      <c r="L134" s="104">
        <f>IF(ISNUMBER(J134), $B145 * K134, "")</f>
        <v>-2755.9055118110209</v>
      </c>
      <c r="M134" s="102">
        <v>24.8</v>
      </c>
      <c r="N134" s="25">
        <f t="shared" si="69"/>
        <v>-2.3622047244094405E-2</v>
      </c>
      <c r="O134" s="104">
        <f>IF(ISNUMBER(M134), $B145 * N134, "")</f>
        <v>-2362.2047244094406</v>
      </c>
      <c r="Q134" s="239"/>
      <c r="R134" s="240"/>
      <c r="S134" s="241"/>
    </row>
    <row r="135" spans="1:19">
      <c r="A135" s="123" t="s">
        <v>204</v>
      </c>
      <c r="B135" s="124">
        <v>12.6</v>
      </c>
      <c r="C135" s="76">
        <v>-1.5625E-2</v>
      </c>
      <c r="D135" s="13">
        <v>12.5</v>
      </c>
      <c r="E135" s="14">
        <f>IF(ISNUMBER(D135), (D135 - $B135) / $B135, "")</f>
        <v>-7.9365079365079083E-3</v>
      </c>
      <c r="F135" s="16">
        <f>IF(ISNUMBER(D135), $B145 * E135, "")</f>
        <v>-793.65079365079077</v>
      </c>
      <c r="G135" s="29">
        <v>12.5</v>
      </c>
      <c r="H135" s="14">
        <f>IF(ISNUMBER(G135), (G135 - $B135) / $B135, "")</f>
        <v>-7.9365079365079083E-3</v>
      </c>
      <c r="I135" s="100">
        <f>IF(ISNUMBER(G135), $B145 * H135, "")</f>
        <v>-793.65079365079077</v>
      </c>
      <c r="J135" s="13">
        <v>12.4</v>
      </c>
      <c r="K135" s="14">
        <f>IF(ISNUMBER(J135), (J135 - $B135) / $B135, "")</f>
        <v>-1.5873015873015817E-2</v>
      </c>
      <c r="L135" s="16">
        <f>IF(ISNUMBER(J135), $B145 * K135, "")</f>
        <v>-1587.3015873015815</v>
      </c>
      <c r="M135" s="29">
        <v>12.4</v>
      </c>
      <c r="N135" s="14">
        <f>IF(ISNUMBER(M135), (M135 - $B135) / $B135, "")</f>
        <v>-1.5873015873015817E-2</v>
      </c>
      <c r="O135" s="16">
        <f>IF(ISNUMBER(M135), $B145 * N135, "")</f>
        <v>-1587.3015873015815</v>
      </c>
      <c r="Q135" s="242"/>
      <c r="R135" s="243"/>
      <c r="S135" s="244"/>
    </row>
    <row r="136" spans="1:19" ht="17.25" thickBot="1">
      <c r="A136" s="125" t="s">
        <v>216</v>
      </c>
      <c r="B136" s="126">
        <v>9.19</v>
      </c>
      <c r="C136" s="77">
        <v>-2.3379383600000001E-2</v>
      </c>
      <c r="D136" s="15">
        <v>9.06</v>
      </c>
      <c r="E136" s="32">
        <f t="shared" ref="E136:E139" si="70">IF(ISNUMBER(D136), (D136 - $B136) / $B136, "")</f>
        <v>-1.4145810663764854E-2</v>
      </c>
      <c r="F136" s="18">
        <f>IF(ISNUMBER(D136), $B145 * E136, "")</f>
        <v>-1414.5810663764853</v>
      </c>
      <c r="G136" s="31">
        <v>9.14</v>
      </c>
      <c r="H136" s="32">
        <f t="shared" ref="H136:H139" si="71">IF(ISNUMBER(G136), (G136 - $B136) / $B136, "")</f>
        <v>-5.4406964091402539E-3</v>
      </c>
      <c r="I136" s="101">
        <f>IF(ISNUMBER(G136), $B145 * H136, "")</f>
        <v>-544.0696409140254</v>
      </c>
      <c r="J136" s="15">
        <v>9.07</v>
      </c>
      <c r="K136" s="32">
        <f t="shared" ref="K136:K139" si="72">IF(ISNUMBER(J136), (J136 - $B136) / $B136, "")</f>
        <v>-1.3057671381936803E-2</v>
      </c>
      <c r="L136" s="18">
        <f>IF(ISNUMBER(J136), $B145 * K136, "")</f>
        <v>-1305.7671381936802</v>
      </c>
      <c r="M136" s="31">
        <v>9.08</v>
      </c>
      <c r="N136" s="32">
        <f t="shared" ref="N136:N139" si="73">IF(ISNUMBER(M136), (M136 - $B136) / $B136, "")</f>
        <v>-1.1969532100108753E-2</v>
      </c>
      <c r="O136" s="18">
        <f>IF(ISNUMBER(M136), $B145 * N136, "")</f>
        <v>-1196.9532100108752</v>
      </c>
      <c r="Q136" s="245"/>
      <c r="R136" s="246"/>
      <c r="S136" s="247"/>
    </row>
    <row r="137" spans="1:19" ht="17.25" thickBot="1">
      <c r="A137" s="125" t="s">
        <v>208</v>
      </c>
      <c r="B137" s="126">
        <v>10.9</v>
      </c>
      <c r="C137" s="77">
        <v>-2.6785714299999999E-2</v>
      </c>
      <c r="D137" s="15">
        <v>10.6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10.9</v>
      </c>
      <c r="H137" s="32">
        <f t="shared" si="71"/>
        <v>0</v>
      </c>
      <c r="I137" s="101">
        <f>IF(ISNUMBER(G137), $B145 * H137, "")</f>
        <v>0</v>
      </c>
      <c r="J137" s="15">
        <v>10.7</v>
      </c>
      <c r="K137" s="32">
        <f t="shared" si="72"/>
        <v>-1.8348623853211107E-2</v>
      </c>
      <c r="L137" s="18">
        <f>IF(ISNUMBER(J137), $B145 * K137, "")</f>
        <v>-1834.8623853211107</v>
      </c>
      <c r="M137" s="31">
        <v>10.8</v>
      </c>
      <c r="N137" s="32">
        <f t="shared" si="73"/>
        <v>-9.1743119266054721E-3</v>
      </c>
      <c r="O137" s="18">
        <f>IF(ISNUMBER(M137), $B145 * N137, "")</f>
        <v>-917.43119266054725</v>
      </c>
      <c r="Q137" s="238"/>
      <c r="R137" s="238"/>
      <c r="S137" s="238"/>
    </row>
    <row r="138" spans="1:19" ht="17.25" thickBot="1">
      <c r="A138" s="125" t="s">
        <v>240</v>
      </c>
      <c r="B138" s="126">
        <v>57.1</v>
      </c>
      <c r="C138" s="77">
        <v>-2.7257240200000001E-2</v>
      </c>
      <c r="D138" s="15">
        <v>57.3</v>
      </c>
      <c r="E138" s="32">
        <f t="shared" si="70"/>
        <v>3.5026269702275962E-3</v>
      </c>
      <c r="F138" s="18">
        <f>IF(ISNUMBER(D138), $B145 * E138, "")</f>
        <v>350.2626970227596</v>
      </c>
      <c r="G138" s="31">
        <v>58</v>
      </c>
      <c r="H138" s="32">
        <f t="shared" si="71"/>
        <v>1.5761821366024494E-2</v>
      </c>
      <c r="I138" s="101">
        <f>IF(ISNUMBER(G138), $B145 * H138, "")</f>
        <v>1576.1821366024494</v>
      </c>
      <c r="J138" s="15">
        <v>58.3</v>
      </c>
      <c r="K138" s="32">
        <f t="shared" si="72"/>
        <v>2.1015761821365948E-2</v>
      </c>
      <c r="L138" s="18">
        <f>IF(ISNUMBER(J138), $B145 * K138, "")</f>
        <v>2101.576182136595</v>
      </c>
      <c r="M138" s="31">
        <v>58.9</v>
      </c>
      <c r="N138" s="32">
        <f t="shared" si="73"/>
        <v>3.1523642732048988E-2</v>
      </c>
      <c r="O138" s="18">
        <f>IF(ISNUMBER(M138), $B145 * N138, "")</f>
        <v>3152.3642732048988</v>
      </c>
      <c r="Q138" s="248"/>
      <c r="R138" s="248"/>
      <c r="S138" s="248"/>
    </row>
    <row r="139" spans="1:19" ht="17.25" thickBot="1">
      <c r="A139" s="127" t="s">
        <v>210</v>
      </c>
      <c r="B139" s="128">
        <v>10.5</v>
      </c>
      <c r="C139" s="78">
        <v>-2.77777778E-2</v>
      </c>
      <c r="D139" s="20">
        <v>10.199999999999999</v>
      </c>
      <c r="E139" s="21">
        <f t="shared" si="70"/>
        <v>-2.857142857142864E-2</v>
      </c>
      <c r="F139" s="22">
        <f>IF(ISNUMBER(D139), $B145 * E139, "")</f>
        <v>-2857.1428571428642</v>
      </c>
      <c r="G139" s="30">
        <v>10.4</v>
      </c>
      <c r="H139" s="21">
        <f t="shared" si="71"/>
        <v>-9.52380952380949E-3</v>
      </c>
      <c r="I139" s="105">
        <f>IF(ISNUMBER(G139), $B145 * H139, "")</f>
        <v>-952.380952380949</v>
      </c>
      <c r="J139" s="20">
        <v>10.3</v>
      </c>
      <c r="K139" s="21">
        <f t="shared" si="72"/>
        <v>-1.904761904761898E-2</v>
      </c>
      <c r="L139" s="22">
        <f>IF(ISNUMBER(J139), $B145 * K139, "")</f>
        <v>-1904.761904761898</v>
      </c>
      <c r="M139" s="30">
        <v>10.3</v>
      </c>
      <c r="N139" s="21">
        <f t="shared" si="73"/>
        <v>-1.904761904761898E-2</v>
      </c>
      <c r="O139" s="22">
        <f>IF(ISNUMBER(M139), $B145 * N139, "")</f>
        <v>-1904.761904761898</v>
      </c>
      <c r="Q139" s="248"/>
      <c r="R139" s="248"/>
      <c r="S139" s="248"/>
    </row>
    <row r="140" spans="1:19" ht="17.25" thickBot="1">
      <c r="A140" s="125" t="s">
        <v>178</v>
      </c>
      <c r="B140" s="129">
        <v>15</v>
      </c>
      <c r="C140" s="80">
        <v>-3.2258064500000003E-2</v>
      </c>
      <c r="D140" s="106">
        <v>14.6</v>
      </c>
      <c r="E140" s="107">
        <f>IF(ISNUMBER(D140), (D140 - $B140) / $B140, "")</f>
        <v>-2.6666666666666689E-2</v>
      </c>
      <c r="F140" s="108">
        <f>IF(ISNUMBER(D140), $B145 * E140, "")</f>
        <v>-2666.6666666666688</v>
      </c>
      <c r="G140" s="109">
        <v>14.7</v>
      </c>
      <c r="H140" s="107">
        <f>IF(ISNUMBER(G140), (G140 - $B140) / $B140, "")</f>
        <v>-2.0000000000000049E-2</v>
      </c>
      <c r="I140" s="110">
        <f>IF(ISNUMBER(G140), $B145 * H140, "")</f>
        <v>-2000.000000000005</v>
      </c>
      <c r="J140" s="106">
        <v>14.5</v>
      </c>
      <c r="K140" s="107">
        <f>IF(ISNUMBER(J140), (J140 - $B140) / $B140, "")</f>
        <v>-3.3333333333333333E-2</v>
      </c>
      <c r="L140" s="108">
        <f>IF(ISNUMBER(J140), $B145 * K140, "")</f>
        <v>-3333.3333333333335</v>
      </c>
      <c r="M140" s="109">
        <v>14.8</v>
      </c>
      <c r="N140" s="107">
        <f>IF(ISNUMBER(M140), (M140 - $B140) / $B140, "")</f>
        <v>-1.3333333333333286E-2</v>
      </c>
      <c r="O140" s="108">
        <f>IF(ISNUMBER(M140), $B145 * N140, "")</f>
        <v>-1333.3333333333285</v>
      </c>
      <c r="Q140" s="238"/>
      <c r="R140" s="238"/>
      <c r="S140" s="238"/>
    </row>
    <row r="141" spans="1:19" ht="17.25" thickBot="1">
      <c r="A141" s="125" t="s">
        <v>202</v>
      </c>
      <c r="B141" s="126">
        <v>62.7</v>
      </c>
      <c r="C141" s="77">
        <v>-4.12844037E-2</v>
      </c>
      <c r="D141" s="15">
        <v>68.2</v>
      </c>
      <c r="E141" s="32">
        <f t="shared" ref="E141:E144" si="74">IF(ISNUMBER(D141), (D141 - $B141) / $B141, "")</f>
        <v>8.771929824561403E-2</v>
      </c>
      <c r="F141" s="18">
        <f>IF(ISNUMBER(D141), $B145 * E141, "")</f>
        <v>8771.9298245614027</v>
      </c>
      <c r="G141" s="31">
        <v>68.7</v>
      </c>
      <c r="H141" s="32">
        <f t="shared" ref="H141:H144" si="75">IF(ISNUMBER(G141), (G141 - $B141) / $B141, "")</f>
        <v>9.569377990430622E-2</v>
      </c>
      <c r="I141" s="101">
        <f>IF(ISNUMBER(G141), $B145 * H141, "")</f>
        <v>9569.3779904306211</v>
      </c>
      <c r="J141" s="15">
        <v>67.599999999999994</v>
      </c>
      <c r="K141" s="32">
        <f t="shared" ref="K141:K144" si="76">IF(ISNUMBER(J141), (J141 - $B141) / $B141, "")</f>
        <v>7.8149920255183275E-2</v>
      </c>
      <c r="L141" s="18">
        <f>IF(ISNUMBER(J141), $B145 * K141, "")</f>
        <v>7814.9920255183279</v>
      </c>
      <c r="M141" s="31">
        <v>67.400000000000006</v>
      </c>
      <c r="N141" s="32">
        <f t="shared" ref="N141:N144" si="77">IF(ISNUMBER(M141), (M141 - $B141) / $B141, "")</f>
        <v>7.4960127591706588E-2</v>
      </c>
      <c r="O141" s="18">
        <f>IF(ISNUMBER(M141), $B145 * N141, "")</f>
        <v>7496.0127591706587</v>
      </c>
      <c r="Q141" s="238"/>
      <c r="R141" s="238"/>
      <c r="S141" s="238"/>
    </row>
    <row r="142" spans="1:19" ht="17.25" thickBot="1">
      <c r="A142" s="125" t="s">
        <v>188</v>
      </c>
      <c r="B142" s="126">
        <v>11.1</v>
      </c>
      <c r="C142" s="77">
        <v>-4.31034483E-2</v>
      </c>
      <c r="D142" s="15">
        <v>10.7</v>
      </c>
      <c r="E142" s="32">
        <f t="shared" si="74"/>
        <v>-3.603603603603607E-2</v>
      </c>
      <c r="F142" s="18">
        <f>IF(ISNUMBER(D142), $B145 * E142, "")</f>
        <v>-3603.6036036036071</v>
      </c>
      <c r="G142" s="31">
        <v>10.8</v>
      </c>
      <c r="H142" s="32">
        <f t="shared" si="75"/>
        <v>-2.7027027027026931E-2</v>
      </c>
      <c r="I142" s="101">
        <f>IF(ISNUMBER(G142), $B145 * H142, "")</f>
        <v>-2702.7027027026929</v>
      </c>
      <c r="J142" s="15">
        <v>10.7</v>
      </c>
      <c r="K142" s="32">
        <f t="shared" si="76"/>
        <v>-3.603603603603607E-2</v>
      </c>
      <c r="L142" s="18">
        <f>IF(ISNUMBER(J142), $B145 * K142, "")</f>
        <v>-3603.6036036036071</v>
      </c>
      <c r="M142" s="31">
        <v>11</v>
      </c>
      <c r="N142" s="32">
        <f t="shared" si="77"/>
        <v>-9.0090090090089777E-3</v>
      </c>
      <c r="O142" s="18">
        <f>IF(ISNUMBER(M142), $B145 * N142, "")</f>
        <v>-900.9009009008978</v>
      </c>
      <c r="Q142" s="238"/>
      <c r="R142" s="238"/>
      <c r="S142" s="238"/>
    </row>
    <row r="143" spans="1:19">
      <c r="A143" s="125" t="s">
        <v>234</v>
      </c>
      <c r="B143" s="126">
        <v>62</v>
      </c>
      <c r="C143" s="77">
        <v>-5.05359877E-2</v>
      </c>
      <c r="D143" s="15">
        <v>63.9</v>
      </c>
      <c r="E143" s="32">
        <f t="shared" si="74"/>
        <v>3.0645161290322558E-2</v>
      </c>
      <c r="F143" s="18">
        <f>IF(ISNUMBER(D143), $B145 * E143, "")</f>
        <v>3064.5161290322558</v>
      </c>
      <c r="G143" s="31">
        <v>64.8</v>
      </c>
      <c r="H143" s="32">
        <f t="shared" si="75"/>
        <v>4.5161290322580601E-2</v>
      </c>
      <c r="I143" s="101">
        <f>IF(ISNUMBER(G143), $B145 * H143, "")</f>
        <v>4516.1290322580599</v>
      </c>
      <c r="J143" s="15">
        <v>63.7</v>
      </c>
      <c r="K143" s="32">
        <f t="shared" si="76"/>
        <v>2.7419354838709723E-2</v>
      </c>
      <c r="L143" s="18">
        <f>IF(ISNUMBER(J143), $B145 * K143, "")</f>
        <v>2741.9354838709723</v>
      </c>
      <c r="M143" s="31">
        <v>63.7</v>
      </c>
      <c r="N143" s="32">
        <f t="shared" si="77"/>
        <v>2.7419354838709723E-2</v>
      </c>
      <c r="O143" s="18">
        <f>IF(ISNUMBER(M143), $B145 * N143, "")</f>
        <v>2741.9354838709723</v>
      </c>
      <c r="Q143" s="227"/>
      <c r="R143" s="228"/>
      <c r="S143" s="229"/>
    </row>
    <row r="144" spans="1:19" ht="17.25" thickBot="1">
      <c r="A144" s="130" t="s">
        <v>150</v>
      </c>
      <c r="B144" s="131">
        <v>10.6</v>
      </c>
      <c r="C144" s="79">
        <v>-6.1946902700000001E-2</v>
      </c>
      <c r="D144" s="24">
        <v>10.4</v>
      </c>
      <c r="E144" s="25">
        <f t="shared" si="74"/>
        <v>-1.886792452830182E-2</v>
      </c>
      <c r="F144" s="104">
        <f>IF(ISNUMBER(D144), $B145 * E144, "")</f>
        <v>-1886.7924528301821</v>
      </c>
      <c r="G144" s="102">
        <v>10.5</v>
      </c>
      <c r="H144" s="25">
        <f t="shared" si="75"/>
        <v>-9.4339622641509101E-3</v>
      </c>
      <c r="I144" s="103">
        <f>IF(ISNUMBER(G144), $B145 * H144, "")</f>
        <v>-943.39622641509106</v>
      </c>
      <c r="J144" s="24">
        <v>10.5</v>
      </c>
      <c r="K144" s="25">
        <f t="shared" si="76"/>
        <v>-9.4339622641509101E-3</v>
      </c>
      <c r="L144" s="104">
        <f>IF(ISNUMBER(J144), $B145 * K144, "")</f>
        <v>-943.39622641509106</v>
      </c>
      <c r="M144" s="102">
        <v>10.4</v>
      </c>
      <c r="N144" s="25">
        <f t="shared" si="77"/>
        <v>-1.886792452830182E-2</v>
      </c>
      <c r="O144" s="104">
        <f>IF(ISNUMBER(M144), $B145 * N144, "")</f>
        <v>-1886.7924528301821</v>
      </c>
      <c r="Q144" s="230"/>
      <c r="R144" s="231"/>
      <c r="S144" s="232"/>
    </row>
    <row r="145" spans="1:19" ht="17.25" thickBot="1">
      <c r="A145" s="132" t="s">
        <v>270</v>
      </c>
      <c r="B145" s="291">
        <f>$B$37</f>
        <v>100000</v>
      </c>
      <c r="C145" s="292"/>
      <c r="D145" s="26" t="s">
        <v>271</v>
      </c>
      <c r="E145" s="27">
        <f>IF(COUNT(E125:E144), SUM(E125:E144) / COUNT(E125:E144), 0)</f>
        <v>-1.5755329647138577E-2</v>
      </c>
      <c r="F145" s="28">
        <f>SUM(F125:F144)</f>
        <v>-31510.659294277153</v>
      </c>
      <c r="G145" s="26" t="s">
        <v>271</v>
      </c>
      <c r="H145" s="27">
        <f>IF(COUNT(H125:H144), SUM(H125:H144) / COUNT(H125:H144), 0)</f>
        <v>-5.8991578432831971E-3</v>
      </c>
      <c r="I145" s="28">
        <f>SUM(I125:I144)</f>
        <v>-11798.315686566399</v>
      </c>
      <c r="J145" s="26" t="s">
        <v>271</v>
      </c>
      <c r="K145" s="27">
        <f>IF(COUNT(K125:K144), SUM(K125:K144) / COUNT(K125:K144), 0)</f>
        <v>-1.5449033071823276E-2</v>
      </c>
      <c r="L145" s="28">
        <f>SUM(L125:L144)</f>
        <v>-30898.066143646563</v>
      </c>
      <c r="M145" s="26" t="s">
        <v>271</v>
      </c>
      <c r="N145" s="27">
        <f>IF(COUNT(N125:N144), SUM(N125:N144) / COUNT(N125:N144), 0)</f>
        <v>-8.6772413045545817E-3</v>
      </c>
      <c r="O145" s="28">
        <f>SUM(O125:O144)</f>
        <v>-17354.48260910916</v>
      </c>
      <c r="Q145" s="233"/>
      <c r="R145" s="234"/>
      <c r="S145" s="23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48"/>
      <c r="R148" s="248"/>
      <c r="S148" s="248"/>
    </row>
    <row r="149" spans="1:19" ht="17.25" thickBot="1">
      <c r="A149" s="165" t="s">
        <v>267</v>
      </c>
      <c r="B149" s="249" t="s">
        <v>49</v>
      </c>
      <c r="C149" s="251"/>
      <c r="D149" s="249" t="s">
        <v>58</v>
      </c>
      <c r="E149" s="250"/>
      <c r="F149" s="251"/>
      <c r="G149" s="252">
        <f>_xlfn.IFNA(VLOOKUP(B149, 현재가테이블!$B$2:$D$200, 2, FALSE), "-")</f>
        <v>54440000</v>
      </c>
      <c r="H149" s="253"/>
      <c r="I149" s="254"/>
      <c r="J149" s="249" t="s">
        <v>59</v>
      </c>
      <c r="K149" s="250"/>
      <c r="L149" s="251"/>
      <c r="M149" s="255">
        <f>_xlfn.IFNA(VLOOKUP(B149, 현재가테이블!$B$2:$D$200, 3, FALSE), "-")</f>
        <v>1.07123628E-2</v>
      </c>
      <c r="N149" s="256"/>
      <c r="O149" s="257"/>
      <c r="Q149" s="248"/>
      <c r="R149" s="248"/>
      <c r="S149" s="248"/>
    </row>
    <row r="150" spans="1:19" ht="17.25" thickBot="1">
      <c r="A150" s="293" t="s">
        <v>55</v>
      </c>
      <c r="B150" s="289" t="str">
        <f>TEXT($G$1, "[$-ko-KR]yyyy-mm-dd(ddd) ") &amp; "오전 00:00"</f>
        <v>2021-08-03(화) 오전 00:00</v>
      </c>
      <c r="C150" s="290"/>
      <c r="D150" s="262" t="str">
        <f>TEXT($G$1, "[$-ko-KR]yyyy-mm-dd(ddd) ") &amp; "오후 14:00"</f>
        <v>2021-08-03(화) 오후 14:00</v>
      </c>
      <c r="E150" s="263"/>
      <c r="F150" s="264"/>
      <c r="G150" s="262" t="str">
        <f>TEXT($G$1, "[$-ko-KR]yyyy-mm-dd(ddd) ") &amp; "오후 19:00"</f>
        <v>2021-08-03(화) 오후 19:00</v>
      </c>
      <c r="H150" s="263"/>
      <c r="I150" s="264"/>
      <c r="J150" s="262" t="str">
        <f>TEXT($G$1, "[$-ko-KR]yyyy-mm-dd(ddd) ") &amp; "오후 21:00"</f>
        <v>2021-08-03(화) 오후 21:00</v>
      </c>
      <c r="K150" s="263"/>
      <c r="L150" s="264"/>
      <c r="M150" s="262" t="str">
        <f>TEXT($G$1+1, "[$-ko-KR]yyyy-mm-dd(ddd) ") &amp; "오전 00:00"</f>
        <v>2021-08-04(수) 오전 00:00</v>
      </c>
      <c r="N150" s="263"/>
      <c r="O150" s="264"/>
      <c r="Q150" s="248"/>
      <c r="R150" s="248"/>
      <c r="S150" s="248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8"/>
      <c r="R151" s="238"/>
      <c r="S151" s="238"/>
    </row>
    <row r="152" spans="1:19" ht="17.25" thickBot="1">
      <c r="A152" s="123" t="s">
        <v>184</v>
      </c>
      <c r="B152" s="124">
        <v>905</v>
      </c>
      <c r="C152" s="76">
        <v>-5.4945055E-3</v>
      </c>
      <c r="D152" s="13">
        <v>888</v>
      </c>
      <c r="E152" s="14">
        <f>IF(ISNUMBER(D152), (D152 - $B152) / $B152, "")</f>
        <v>-1.8784530386740331E-2</v>
      </c>
      <c r="F152" s="16">
        <f>IF(ISNUMBER(D152), $B172 * E152, "")</f>
        <v>-1878.4530386740332</v>
      </c>
      <c r="G152" s="29">
        <v>897</v>
      </c>
      <c r="H152" s="14">
        <f>IF(ISNUMBER(G152), (G152 - $B152) / $B152, "")</f>
        <v>-8.8397790055248626E-3</v>
      </c>
      <c r="I152" s="100">
        <f>IF(ISNUMBER(G152), $B172 * H152, "")</f>
        <v>-883.97790055248629</v>
      </c>
      <c r="J152" s="13">
        <v>893</v>
      </c>
      <c r="K152" s="14">
        <f>IF(ISNUMBER(J152), (J152 - $B152) / $B152, "")</f>
        <v>-1.3259668508287293E-2</v>
      </c>
      <c r="L152" s="16">
        <f>IF(ISNUMBER(J152), $B172 * K152, "")</f>
        <v>-1325.9668508287293</v>
      </c>
      <c r="M152" s="29">
        <v>894</v>
      </c>
      <c r="N152" s="14">
        <f>IF(ISNUMBER(M152), (M152 - $B152) / $B152, "")</f>
        <v>-1.2154696132596685E-2</v>
      </c>
      <c r="O152" s="16">
        <f>IF(ISNUMBER(M152), $B172 * N152, "")</f>
        <v>-1215.4696132596684</v>
      </c>
      <c r="Q152" s="248"/>
      <c r="R152" s="248"/>
      <c r="S152" s="248"/>
    </row>
    <row r="153" spans="1:19" ht="17.25" thickBot="1">
      <c r="A153" s="125" t="s">
        <v>236</v>
      </c>
      <c r="B153" s="126">
        <v>561</v>
      </c>
      <c r="C153" s="77">
        <v>-8.8339222999999998E-3</v>
      </c>
      <c r="D153" s="15">
        <v>546</v>
      </c>
      <c r="E153" s="32">
        <f t="shared" ref="E153:E156" si="78">IF(ISNUMBER(D153), (D153 - $B153) / $B153, "")</f>
        <v>-2.6737967914438502E-2</v>
      </c>
      <c r="F153" s="18">
        <f>IF(ISNUMBER(D153), $B172 * E153, "")</f>
        <v>-2673.79679144385</v>
      </c>
      <c r="G153" s="31">
        <v>551</v>
      </c>
      <c r="H153" s="32">
        <f t="shared" ref="H153:H156" si="79">IF(ISNUMBER(G153), (G153 - $B153) / $B153, "")</f>
        <v>-1.7825311942959002E-2</v>
      </c>
      <c r="I153" s="101">
        <f>IF(ISNUMBER(G153), $B172 * H153, "")</f>
        <v>-1782.5311942959001</v>
      </c>
      <c r="J153" s="15">
        <v>548</v>
      </c>
      <c r="K153" s="32">
        <f t="shared" ref="K153:K156" si="80">IF(ISNUMBER(J153), (J153 - $B153) / $B153, "")</f>
        <v>-2.3172905525846704E-2</v>
      </c>
      <c r="L153" s="18">
        <f>IF(ISNUMBER(J153), $B172 * K153, "")</f>
        <v>-2317.2905525846704</v>
      </c>
      <c r="M153" s="31">
        <v>552</v>
      </c>
      <c r="N153" s="32">
        <f t="shared" ref="N153:N156" si="81">IF(ISNUMBER(M153), (M153 - $B153) / $B153, "")</f>
        <v>-1.6042780748663103E-2</v>
      </c>
      <c r="O153" s="18">
        <f>IF(ISNUMBER(M153), $B172 * N153, "")</f>
        <v>-1604.2780748663104</v>
      </c>
      <c r="Q153" s="248"/>
      <c r="R153" s="248"/>
      <c r="S153" s="248"/>
    </row>
    <row r="154" spans="1:19" ht="17.25" thickBot="1">
      <c r="A154" s="125" t="s">
        <v>124</v>
      </c>
      <c r="B154" s="126">
        <v>308</v>
      </c>
      <c r="C154" s="77">
        <v>-9.6463022999999995E-3</v>
      </c>
      <c r="D154" s="15">
        <v>301</v>
      </c>
      <c r="E154" s="32">
        <f t="shared" si="78"/>
        <v>-2.2727272727272728E-2</v>
      </c>
      <c r="F154" s="18">
        <f>IF(ISNUMBER(D154), $B172 * E154, "")</f>
        <v>-2272.727272727273</v>
      </c>
      <c r="G154" s="31">
        <v>305</v>
      </c>
      <c r="H154" s="32">
        <f t="shared" si="79"/>
        <v>-9.74025974025974E-3</v>
      </c>
      <c r="I154" s="101">
        <f>IF(ISNUMBER(G154), $B172 * H154, "")</f>
        <v>-974.02597402597405</v>
      </c>
      <c r="J154" s="15">
        <v>301</v>
      </c>
      <c r="K154" s="32">
        <f t="shared" si="80"/>
        <v>-2.2727272727272728E-2</v>
      </c>
      <c r="L154" s="18">
        <f>IF(ISNUMBER(J154), $B172 * K154, "")</f>
        <v>-2272.727272727273</v>
      </c>
      <c r="M154" s="31">
        <v>305</v>
      </c>
      <c r="N154" s="32">
        <f t="shared" si="81"/>
        <v>-9.74025974025974E-3</v>
      </c>
      <c r="O154" s="18">
        <f>IF(ISNUMBER(M154), $B172 * N154, "")</f>
        <v>-974.02597402597405</v>
      </c>
      <c r="Q154" s="238"/>
      <c r="R154" s="238"/>
      <c r="S154" s="238"/>
    </row>
    <row r="155" spans="1:19" ht="17.25" thickBot="1">
      <c r="A155" s="125" t="s">
        <v>230</v>
      </c>
      <c r="B155" s="126">
        <v>175</v>
      </c>
      <c r="C155" s="77">
        <v>-1.1299435E-2</v>
      </c>
      <c r="D155" s="15">
        <v>176</v>
      </c>
      <c r="E155" s="32">
        <f t="shared" si="78"/>
        <v>5.7142857142857143E-3</v>
      </c>
      <c r="F155" s="18">
        <f>IF(ISNUMBER(D155), $B172 * E155, "")</f>
        <v>571.42857142857144</v>
      </c>
      <c r="G155" s="31">
        <v>178</v>
      </c>
      <c r="H155" s="32">
        <f t="shared" si="79"/>
        <v>1.7142857142857144E-2</v>
      </c>
      <c r="I155" s="101">
        <f>IF(ISNUMBER(G155), $B172 * H155, "")</f>
        <v>1714.2857142857144</v>
      </c>
      <c r="J155" s="15">
        <v>176</v>
      </c>
      <c r="K155" s="32">
        <f t="shared" si="80"/>
        <v>5.7142857142857143E-3</v>
      </c>
      <c r="L155" s="18">
        <f>IF(ISNUMBER(J155), $B172 * K155, "")</f>
        <v>571.42857142857144</v>
      </c>
      <c r="M155" s="31">
        <v>178</v>
      </c>
      <c r="N155" s="32">
        <f t="shared" si="81"/>
        <v>1.7142857142857144E-2</v>
      </c>
      <c r="O155" s="18">
        <f>IF(ISNUMBER(M155), $B172 * N155, "")</f>
        <v>1714.2857142857144</v>
      </c>
      <c r="Q155" s="238"/>
      <c r="R155" s="238"/>
      <c r="S155" s="238"/>
    </row>
    <row r="156" spans="1:19" ht="17.25" thickBot="1">
      <c r="A156" s="127" t="s">
        <v>206</v>
      </c>
      <c r="B156" s="128">
        <v>304</v>
      </c>
      <c r="C156" s="78">
        <v>-1.2987013E-2</v>
      </c>
      <c r="D156" s="20">
        <v>298</v>
      </c>
      <c r="E156" s="21">
        <f t="shared" si="78"/>
        <v>-1.9736842105263157E-2</v>
      </c>
      <c r="F156" s="22">
        <f>IF(ISNUMBER(D156), $B172 * E156, "")</f>
        <v>-1973.6842105263156</v>
      </c>
      <c r="G156" s="30">
        <v>308</v>
      </c>
      <c r="H156" s="21">
        <f t="shared" si="79"/>
        <v>1.3157894736842105E-2</v>
      </c>
      <c r="I156" s="105">
        <f>IF(ISNUMBER(G156), $B172 * H156, "")</f>
        <v>1315.7894736842104</v>
      </c>
      <c r="J156" s="20">
        <v>304</v>
      </c>
      <c r="K156" s="21">
        <f t="shared" si="80"/>
        <v>0</v>
      </c>
      <c r="L156" s="22">
        <f>IF(ISNUMBER(J156), $B172 * K156, "")</f>
        <v>0</v>
      </c>
      <c r="M156" s="30">
        <v>307</v>
      </c>
      <c r="N156" s="21">
        <f t="shared" si="81"/>
        <v>9.8684210526315784E-3</v>
      </c>
      <c r="O156" s="22">
        <f>IF(ISNUMBER(M156), $B172 * N156, "")</f>
        <v>986.8421052631578</v>
      </c>
      <c r="Q156" s="238"/>
      <c r="R156" s="238"/>
      <c r="S156" s="238"/>
    </row>
    <row r="157" spans="1:19" ht="17.25" thickBot="1">
      <c r="A157" s="125" t="s">
        <v>218</v>
      </c>
      <c r="B157" s="129">
        <v>121</v>
      </c>
      <c r="C157" s="80">
        <v>-1.6260162599999999E-2</v>
      </c>
      <c r="D157" s="106">
        <v>116</v>
      </c>
      <c r="E157" s="107">
        <f>IF(ISNUMBER(D157), (D157 - $B157) / $B157, "")</f>
        <v>-4.1322314049586778E-2</v>
      </c>
      <c r="F157" s="108">
        <f>IF(ISNUMBER(D157), $B172 * E157, "")</f>
        <v>-4132.2314049586776</v>
      </c>
      <c r="G157" s="109">
        <v>116</v>
      </c>
      <c r="H157" s="107">
        <f>IF(ISNUMBER(G157), (G157 - $B157) / $B157, "")</f>
        <v>-4.1322314049586778E-2</v>
      </c>
      <c r="I157" s="110">
        <f>IF(ISNUMBER(G157), $B172 * H157, "")</f>
        <v>-4132.2314049586776</v>
      </c>
      <c r="J157" s="106">
        <v>116</v>
      </c>
      <c r="K157" s="107">
        <f>IF(ISNUMBER(J157), (J157 - $B157) / $B157, "")</f>
        <v>-4.1322314049586778E-2</v>
      </c>
      <c r="L157" s="108">
        <f>IF(ISNUMBER(J157), $B172 * K157, "")</f>
        <v>-4132.2314049586776</v>
      </c>
      <c r="M157" s="109">
        <v>117</v>
      </c>
      <c r="N157" s="107">
        <f>IF(ISNUMBER(M157), (M157 - $B157) / $B157, "")</f>
        <v>-3.3057851239669422E-2</v>
      </c>
      <c r="O157" s="108">
        <f>IF(ISNUMBER(M157), $B172 * N157, "")</f>
        <v>-3305.7851239669421</v>
      </c>
      <c r="Q157" s="238"/>
      <c r="R157" s="238"/>
      <c r="S157" s="238"/>
    </row>
    <row r="158" spans="1:19" ht="17.25" thickBot="1">
      <c r="A158" s="125" t="s">
        <v>228</v>
      </c>
      <c r="B158" s="126">
        <v>349</v>
      </c>
      <c r="C158" s="77">
        <v>-1.6901408499999999E-2</v>
      </c>
      <c r="D158" s="15">
        <v>344</v>
      </c>
      <c r="E158" s="32">
        <f t="shared" ref="E158:E161" si="82">IF(ISNUMBER(D158), (D158 - $B158) / $B158, "")</f>
        <v>-1.4326647564469915E-2</v>
      </c>
      <c r="F158" s="18">
        <f>IF(ISNUMBER(D158), $B172 * E158, "")</f>
        <v>-1432.6647564469915</v>
      </c>
      <c r="G158" s="31">
        <v>355</v>
      </c>
      <c r="H158" s="32">
        <f t="shared" ref="H158:H161" si="83">IF(ISNUMBER(G158), (G158 - $B158) / $B158, "")</f>
        <v>1.7191977077363897E-2</v>
      </c>
      <c r="I158" s="101">
        <f>IF(ISNUMBER(G158), $B172 * H158, "")</f>
        <v>1719.1977077363897</v>
      </c>
      <c r="J158" s="15">
        <v>352</v>
      </c>
      <c r="K158" s="32">
        <f t="shared" ref="K158:K161" si="84">IF(ISNUMBER(J158), (J158 - $B158) / $B158, "")</f>
        <v>8.5959885386819486E-3</v>
      </c>
      <c r="L158" s="18">
        <f>IF(ISNUMBER(J158), $B172 * K158, "")</f>
        <v>859.59885386819485</v>
      </c>
      <c r="M158" s="31">
        <v>356</v>
      </c>
      <c r="N158" s="32">
        <f t="shared" ref="N158:N161" si="85">IF(ISNUMBER(M158), (M158 - $B158) / $B158, "")</f>
        <v>2.0057306590257881E-2</v>
      </c>
      <c r="O158" s="18">
        <f>IF(ISNUMBER(M158), $B172 * N158, "")</f>
        <v>2005.7306590257881</v>
      </c>
      <c r="Q158" s="238"/>
      <c r="R158" s="238"/>
      <c r="S158" s="238"/>
    </row>
    <row r="159" spans="1:19" ht="17.25" thickBot="1">
      <c r="A159" s="125" t="s">
        <v>166</v>
      </c>
      <c r="B159" s="126">
        <v>155</v>
      </c>
      <c r="C159" s="77">
        <v>-1.8987341800000002E-2</v>
      </c>
      <c r="D159" s="15">
        <v>152</v>
      </c>
      <c r="E159" s="32">
        <f t="shared" si="82"/>
        <v>-1.935483870967742E-2</v>
      </c>
      <c r="F159" s="18">
        <f>IF(ISNUMBER(D159), $B172 * E159, "")</f>
        <v>-1935.483870967742</v>
      </c>
      <c r="G159" s="31">
        <v>154</v>
      </c>
      <c r="H159" s="32">
        <f t="shared" si="83"/>
        <v>-6.4516129032258064E-3</v>
      </c>
      <c r="I159" s="101">
        <f>IF(ISNUMBER(G159), $B172 * H159, "")</f>
        <v>-645.16129032258061</v>
      </c>
      <c r="J159" s="15">
        <v>153</v>
      </c>
      <c r="K159" s="32">
        <f t="shared" si="84"/>
        <v>-1.2903225806451613E-2</v>
      </c>
      <c r="L159" s="18">
        <f>IF(ISNUMBER(J159), $B172 * K159, "")</f>
        <v>-1290.3225806451612</v>
      </c>
      <c r="M159" s="31">
        <v>153</v>
      </c>
      <c r="N159" s="32">
        <f t="shared" si="85"/>
        <v>-1.2903225806451613E-2</v>
      </c>
      <c r="O159" s="18">
        <f>IF(ISNUMBER(M159), $B172 * N159, "")</f>
        <v>-1290.3225806451612</v>
      </c>
      <c r="Q159" s="238"/>
      <c r="R159" s="238"/>
      <c r="S159" s="238"/>
    </row>
    <row r="160" spans="1:19" ht="17.25" thickBot="1">
      <c r="A160" s="125" t="s">
        <v>222</v>
      </c>
      <c r="B160" s="126">
        <v>120</v>
      </c>
      <c r="C160" s="77">
        <v>-2.4390243900000001E-2</v>
      </c>
      <c r="D160" s="15">
        <v>117</v>
      </c>
      <c r="E160" s="32">
        <f t="shared" si="82"/>
        <v>-2.5000000000000001E-2</v>
      </c>
      <c r="F160" s="18">
        <f>IF(ISNUMBER(D160), $B172 * E160, "")</f>
        <v>-2500</v>
      </c>
      <c r="G160" s="31">
        <v>117</v>
      </c>
      <c r="H160" s="32">
        <f t="shared" si="83"/>
        <v>-2.5000000000000001E-2</v>
      </c>
      <c r="I160" s="101">
        <f>IF(ISNUMBER(G160), $B172 * H160, "")</f>
        <v>-2500</v>
      </c>
      <c r="J160" s="15">
        <v>117</v>
      </c>
      <c r="K160" s="32">
        <f t="shared" si="84"/>
        <v>-2.5000000000000001E-2</v>
      </c>
      <c r="L160" s="18">
        <f>IF(ISNUMBER(J160), $B172 * K160, "")</f>
        <v>-2500</v>
      </c>
      <c r="M160" s="31">
        <v>117</v>
      </c>
      <c r="N160" s="32">
        <f t="shared" si="85"/>
        <v>-2.5000000000000001E-2</v>
      </c>
      <c r="O160" s="18">
        <f>IF(ISNUMBER(M160), $B172 * N160, "")</f>
        <v>-2500</v>
      </c>
      <c r="Q160" s="33"/>
      <c r="R160" s="33"/>
    </row>
    <row r="161" spans="1:19" ht="17.25" thickBot="1">
      <c r="A161" s="130" t="s">
        <v>242</v>
      </c>
      <c r="B161" s="131">
        <v>425</v>
      </c>
      <c r="C161" s="79">
        <v>-2.7459954200000001E-2</v>
      </c>
      <c r="D161" s="24">
        <v>416</v>
      </c>
      <c r="E161" s="25">
        <f t="shared" si="82"/>
        <v>-2.1176470588235293E-2</v>
      </c>
      <c r="F161" s="104">
        <f>IF(ISNUMBER(D161), $B172 * E161, "")</f>
        <v>-2117.6470588235293</v>
      </c>
      <c r="G161" s="102">
        <v>420</v>
      </c>
      <c r="H161" s="25">
        <f t="shared" si="83"/>
        <v>-1.1764705882352941E-2</v>
      </c>
      <c r="I161" s="103">
        <f>IF(ISNUMBER(G161), $B172 * H161, "")</f>
        <v>-1176.4705882352941</v>
      </c>
      <c r="J161" s="24">
        <v>419</v>
      </c>
      <c r="K161" s="25">
        <f t="shared" si="84"/>
        <v>-1.411764705882353E-2</v>
      </c>
      <c r="L161" s="104">
        <f>IF(ISNUMBER(J161), $B172 * K161, "")</f>
        <v>-1411.7647058823529</v>
      </c>
      <c r="M161" s="102">
        <v>422</v>
      </c>
      <c r="N161" s="25">
        <f t="shared" si="85"/>
        <v>-7.058823529411765E-3</v>
      </c>
      <c r="O161" s="104">
        <f>IF(ISNUMBER(M161), $B172 * N161, "")</f>
        <v>-705.88235294117646</v>
      </c>
      <c r="Q161" s="239"/>
      <c r="R161" s="240"/>
      <c r="S161" s="241"/>
    </row>
    <row r="162" spans="1:19">
      <c r="A162" s="123" t="s">
        <v>174</v>
      </c>
      <c r="B162" s="124">
        <v>305</v>
      </c>
      <c r="C162" s="76">
        <v>-2.8662420399999999E-2</v>
      </c>
      <c r="D162" s="13">
        <v>311</v>
      </c>
      <c r="E162" s="14">
        <f>IF(ISNUMBER(D162), (D162 - $B162) / $B162, "")</f>
        <v>1.9672131147540985E-2</v>
      </c>
      <c r="F162" s="16">
        <f>IF(ISNUMBER(D162), $B172 * E162, "")</f>
        <v>1967.2131147540986</v>
      </c>
      <c r="G162" s="29">
        <v>317</v>
      </c>
      <c r="H162" s="14">
        <f>IF(ISNUMBER(G162), (G162 - $B162) / $B162, "")</f>
        <v>3.9344262295081971E-2</v>
      </c>
      <c r="I162" s="100">
        <f>IF(ISNUMBER(G162), $B172 * H162, "")</f>
        <v>3934.4262295081971</v>
      </c>
      <c r="J162" s="13">
        <v>314</v>
      </c>
      <c r="K162" s="14">
        <f>IF(ISNUMBER(J162), (J162 - $B162) / $B162, "")</f>
        <v>2.9508196721311476E-2</v>
      </c>
      <c r="L162" s="16">
        <f>IF(ISNUMBER(J162), $B172 * K162, "")</f>
        <v>2950.8196721311474</v>
      </c>
      <c r="M162" s="29">
        <v>327</v>
      </c>
      <c r="N162" s="14">
        <f>IF(ISNUMBER(M162), (M162 - $B162) / $B162, "")</f>
        <v>7.2131147540983612E-2</v>
      </c>
      <c r="O162" s="16">
        <f>IF(ISNUMBER(M162), $B172 * N162, "")</f>
        <v>7213.1147540983611</v>
      </c>
      <c r="Q162" s="242"/>
      <c r="R162" s="243"/>
      <c r="S162" s="244"/>
    </row>
    <row r="163" spans="1:19" ht="17.25" thickBot="1">
      <c r="A163" s="125" t="s">
        <v>164</v>
      </c>
      <c r="B163" s="126">
        <v>302</v>
      </c>
      <c r="C163" s="77">
        <v>-2.8938906800000001E-2</v>
      </c>
      <c r="D163" s="15">
        <v>296</v>
      </c>
      <c r="E163" s="32">
        <f t="shared" ref="E163:E166" si="86">IF(ISNUMBER(D163), (D163 - $B163) / $B163, "")</f>
        <v>-1.9867549668874173E-2</v>
      </c>
      <c r="F163" s="18">
        <f>IF(ISNUMBER(D163), $B172 * E163, "")</f>
        <v>-1986.7549668874174</v>
      </c>
      <c r="G163" s="31">
        <v>294</v>
      </c>
      <c r="H163" s="32">
        <f t="shared" ref="H163:H166" si="87">IF(ISNUMBER(G163), (G163 - $B163) / $B163, "")</f>
        <v>-2.6490066225165563E-2</v>
      </c>
      <c r="I163" s="101">
        <f>IF(ISNUMBER(G163), $B172 * H163, "")</f>
        <v>-2649.0066225165565</v>
      </c>
      <c r="J163" s="15">
        <v>291</v>
      </c>
      <c r="K163" s="32">
        <f t="shared" ref="K163:K166" si="88">IF(ISNUMBER(J163), (J163 - $B163) / $B163, "")</f>
        <v>-3.6423841059602648E-2</v>
      </c>
      <c r="L163" s="18">
        <f>IF(ISNUMBER(J163), $B172 * K163, "")</f>
        <v>-3642.3841059602646</v>
      </c>
      <c r="M163" s="31">
        <v>292</v>
      </c>
      <c r="N163" s="32">
        <f t="shared" ref="N163:N166" si="89">IF(ISNUMBER(M163), (M163 - $B163) / $B163, "")</f>
        <v>-3.3112582781456956E-2</v>
      </c>
      <c r="O163" s="18">
        <f>IF(ISNUMBER(M163), $B172 * N163, "")</f>
        <v>-3311.2582781456958</v>
      </c>
      <c r="Q163" s="245"/>
      <c r="R163" s="246"/>
      <c r="S163" s="247"/>
    </row>
    <row r="164" spans="1:19" ht="17.25" thickBot="1">
      <c r="A164" s="125" t="s">
        <v>194</v>
      </c>
      <c r="B164" s="126">
        <v>134</v>
      </c>
      <c r="C164" s="77">
        <v>-2.89855072E-2</v>
      </c>
      <c r="D164" s="15">
        <v>132</v>
      </c>
      <c r="E164" s="32">
        <f t="shared" si="86"/>
        <v>-1.4925373134328358E-2</v>
      </c>
      <c r="F164" s="18">
        <f>IF(ISNUMBER(D164), $B172 * E164, "")</f>
        <v>-1492.5373134328358</v>
      </c>
      <c r="G164" s="31">
        <v>133</v>
      </c>
      <c r="H164" s="32">
        <f t="shared" si="87"/>
        <v>-7.462686567164179E-3</v>
      </c>
      <c r="I164" s="101">
        <f>IF(ISNUMBER(G164), $B172 * H164, "")</f>
        <v>-746.26865671641792</v>
      </c>
      <c r="J164" s="15">
        <v>131</v>
      </c>
      <c r="K164" s="32">
        <f t="shared" si="88"/>
        <v>-2.2388059701492536E-2</v>
      </c>
      <c r="L164" s="18">
        <f>IF(ISNUMBER(J164), $B172 * K164, "")</f>
        <v>-2238.8059701492534</v>
      </c>
      <c r="M164" s="31">
        <v>131</v>
      </c>
      <c r="N164" s="32">
        <f t="shared" si="89"/>
        <v>-2.2388059701492536E-2</v>
      </c>
      <c r="O164" s="18">
        <f>IF(ISNUMBER(M164), $B172 * N164, "")</f>
        <v>-2238.8059701492534</v>
      </c>
      <c r="Q164" s="238"/>
      <c r="R164" s="238"/>
      <c r="S164" s="238"/>
    </row>
    <row r="165" spans="1:19" ht="17.25" thickBot="1">
      <c r="A165" s="125" t="s">
        <v>192</v>
      </c>
      <c r="B165" s="126">
        <v>209</v>
      </c>
      <c r="C165" s="77">
        <v>-3.68663594E-2</v>
      </c>
      <c r="D165" s="15">
        <v>203</v>
      </c>
      <c r="E165" s="32">
        <f t="shared" si="86"/>
        <v>-2.8708133971291867E-2</v>
      </c>
      <c r="F165" s="18">
        <f>IF(ISNUMBER(D165), $B172 * E165, "")</f>
        <v>-2870.8133971291868</v>
      </c>
      <c r="G165" s="31">
        <v>209</v>
      </c>
      <c r="H165" s="32">
        <f t="shared" si="87"/>
        <v>0</v>
      </c>
      <c r="I165" s="101">
        <f>IF(ISNUMBER(G165), $B172 * H165, "")</f>
        <v>0</v>
      </c>
      <c r="J165" s="15">
        <v>206</v>
      </c>
      <c r="K165" s="32">
        <f t="shared" si="88"/>
        <v>-1.4354066985645933E-2</v>
      </c>
      <c r="L165" s="18">
        <f>IF(ISNUMBER(J165), $B172 * K165, "")</f>
        <v>-1435.4066985645934</v>
      </c>
      <c r="M165" s="31">
        <v>207</v>
      </c>
      <c r="N165" s="32">
        <f t="shared" si="89"/>
        <v>-9.5693779904306216E-3</v>
      </c>
      <c r="O165" s="18">
        <f>IF(ISNUMBER(M165), $B172 * N165, "")</f>
        <v>-956.93779904306211</v>
      </c>
      <c r="Q165" s="248"/>
      <c r="R165" s="248"/>
      <c r="S165" s="248"/>
    </row>
    <row r="166" spans="1:19" ht="17.25" thickBot="1">
      <c r="A166" s="127" t="s">
        <v>110</v>
      </c>
      <c r="B166" s="128">
        <v>129</v>
      </c>
      <c r="C166" s="78">
        <v>-3.7313432799999997E-2</v>
      </c>
      <c r="D166" s="20">
        <v>133</v>
      </c>
      <c r="E166" s="21">
        <f t="shared" si="86"/>
        <v>3.1007751937984496E-2</v>
      </c>
      <c r="F166" s="22">
        <f>IF(ISNUMBER(D166), $B172 * E166, "")</f>
        <v>3100.7751937984494</v>
      </c>
      <c r="G166" s="30">
        <v>138</v>
      </c>
      <c r="H166" s="21">
        <f t="shared" si="87"/>
        <v>6.9767441860465115E-2</v>
      </c>
      <c r="I166" s="105">
        <f>IF(ISNUMBER(G166), $B172 * H166, "")</f>
        <v>6976.7441860465115</v>
      </c>
      <c r="J166" s="20">
        <v>132</v>
      </c>
      <c r="K166" s="21">
        <f t="shared" si="88"/>
        <v>2.3255813953488372E-2</v>
      </c>
      <c r="L166" s="22">
        <f>IF(ISNUMBER(J166), $B172 * K166, "")</f>
        <v>2325.5813953488373</v>
      </c>
      <c r="M166" s="30">
        <v>133</v>
      </c>
      <c r="N166" s="21">
        <f t="shared" si="89"/>
        <v>3.1007751937984496E-2</v>
      </c>
      <c r="O166" s="22">
        <f>IF(ISNUMBER(M166), $B172 * N166, "")</f>
        <v>3100.7751937984494</v>
      </c>
      <c r="Q166" s="248"/>
      <c r="R166" s="248"/>
      <c r="S166" s="248"/>
    </row>
    <row r="167" spans="1:19" ht="17.25" thickBot="1">
      <c r="A167" s="125" t="s">
        <v>200</v>
      </c>
      <c r="B167" s="129">
        <v>132</v>
      </c>
      <c r="C167" s="80">
        <v>-4.3478260900000003E-2</v>
      </c>
      <c r="D167" s="106">
        <v>128</v>
      </c>
      <c r="E167" s="107">
        <f>IF(ISNUMBER(D167), (D167 - $B167) / $B167, "")</f>
        <v>-3.0303030303030304E-2</v>
      </c>
      <c r="F167" s="108">
        <f>IF(ISNUMBER(D167), $B172 * E167, "")</f>
        <v>-3030.3030303030305</v>
      </c>
      <c r="G167" s="109">
        <v>129</v>
      </c>
      <c r="H167" s="107">
        <f>IF(ISNUMBER(G167), (G167 - $B167) / $B167, "")</f>
        <v>-2.2727272727272728E-2</v>
      </c>
      <c r="I167" s="110">
        <f>IF(ISNUMBER(G167), $B172 * H167, "")</f>
        <v>-2272.727272727273</v>
      </c>
      <c r="J167" s="106">
        <v>127</v>
      </c>
      <c r="K167" s="107">
        <f>IF(ISNUMBER(J167), (J167 - $B167) / $B167, "")</f>
        <v>-3.787878787878788E-2</v>
      </c>
      <c r="L167" s="108">
        <f>IF(ISNUMBER(J167), $B172 * K167, "")</f>
        <v>-3787.878787878788</v>
      </c>
      <c r="M167" s="109">
        <v>128</v>
      </c>
      <c r="N167" s="107">
        <f>IF(ISNUMBER(M167), (M167 - $B167) / $B167, "")</f>
        <v>-3.0303030303030304E-2</v>
      </c>
      <c r="O167" s="108">
        <f>IF(ISNUMBER(M167), $B172 * N167, "")</f>
        <v>-3030.3030303030305</v>
      </c>
      <c r="Q167" s="238"/>
      <c r="R167" s="238"/>
      <c r="S167" s="238"/>
    </row>
    <row r="168" spans="1:19" ht="17.25" thickBot="1">
      <c r="A168" s="125" t="s">
        <v>214</v>
      </c>
      <c r="B168" s="126">
        <v>548</v>
      </c>
      <c r="C168" s="77">
        <v>-4.5296167200000001E-2</v>
      </c>
      <c r="D168" s="15">
        <v>895</v>
      </c>
      <c r="E168" s="32">
        <f t="shared" ref="E168:E171" si="90">IF(ISNUMBER(D168), (D168 - $B168) / $B168, "")</f>
        <v>0.63321167883211682</v>
      </c>
      <c r="F168" s="18">
        <f>IF(ISNUMBER(D168), $B172 * E168, "")</f>
        <v>63321.167883211681</v>
      </c>
      <c r="G168" s="31">
        <v>873</v>
      </c>
      <c r="H168" s="32">
        <f t="shared" ref="H168:H171" si="91">IF(ISNUMBER(G168), (G168 - $B168) / $B168, "")</f>
        <v>0.59306569343065696</v>
      </c>
      <c r="I168" s="101">
        <f>IF(ISNUMBER(G168), $B172 * H168, "")</f>
        <v>59306.569343065697</v>
      </c>
      <c r="J168" s="15">
        <v>853</v>
      </c>
      <c r="K168" s="32">
        <f t="shared" ref="K168:K171" si="92">IF(ISNUMBER(J168), (J168 - $B168) / $B168, "")</f>
        <v>0.55656934306569339</v>
      </c>
      <c r="L168" s="18">
        <f>IF(ISNUMBER(J168), $B172 * K168, "")</f>
        <v>55656.934306569339</v>
      </c>
      <c r="M168" s="31">
        <v>867</v>
      </c>
      <c r="N168" s="32">
        <f t="shared" ref="N168:N171" si="93">IF(ISNUMBER(M168), (M168 - $B168) / $B168, "")</f>
        <v>0.58211678832116787</v>
      </c>
      <c r="O168" s="18">
        <f>IF(ISNUMBER(M168), $B172 * N168, "")</f>
        <v>58211.678832116784</v>
      </c>
      <c r="Q168" s="238"/>
      <c r="R168" s="238"/>
      <c r="S168" s="238"/>
    </row>
    <row r="169" spans="1:19" ht="17.25" thickBot="1">
      <c r="A169" s="125" t="s">
        <v>254</v>
      </c>
      <c r="B169" s="126">
        <v>272</v>
      </c>
      <c r="C169" s="77">
        <v>-5.2264808400000001E-2</v>
      </c>
      <c r="D169" s="15">
        <v>278</v>
      </c>
      <c r="E169" s="32">
        <f t="shared" si="90"/>
        <v>2.2058823529411766E-2</v>
      </c>
      <c r="F169" s="18">
        <f>IF(ISNUMBER(D169), $B172 * E169, "")</f>
        <v>2205.8823529411766</v>
      </c>
      <c r="G169" s="31">
        <v>288</v>
      </c>
      <c r="H169" s="32">
        <f t="shared" si="91"/>
        <v>5.8823529411764705E-2</v>
      </c>
      <c r="I169" s="101">
        <f>IF(ISNUMBER(G169), $B172 * H169, "")</f>
        <v>5882.3529411764703</v>
      </c>
      <c r="J169" s="15">
        <v>282</v>
      </c>
      <c r="K169" s="32">
        <f t="shared" si="92"/>
        <v>3.6764705882352942E-2</v>
      </c>
      <c r="L169" s="18">
        <f>IF(ISNUMBER(J169), $B172 * K169, "")</f>
        <v>3676.4705882352941</v>
      </c>
      <c r="M169" s="31">
        <v>281</v>
      </c>
      <c r="N169" s="32">
        <f t="shared" si="93"/>
        <v>3.3088235294117647E-2</v>
      </c>
      <c r="O169" s="18">
        <f>IF(ISNUMBER(M169), $B172 * N169, "")</f>
        <v>3308.8235294117649</v>
      </c>
      <c r="Q169" s="238"/>
      <c r="R169" s="238"/>
      <c r="S169" s="238"/>
    </row>
    <row r="170" spans="1:19">
      <c r="A170" s="125" t="s">
        <v>144</v>
      </c>
      <c r="B170" s="126">
        <v>113</v>
      </c>
      <c r="C170" s="77">
        <v>-6.6115702499999998E-2</v>
      </c>
      <c r="D170" s="15">
        <v>113</v>
      </c>
      <c r="E170" s="32">
        <f t="shared" si="90"/>
        <v>0</v>
      </c>
      <c r="F170" s="18">
        <f>IF(ISNUMBER(D170), $B172 * E170, "")</f>
        <v>0</v>
      </c>
      <c r="G170" s="31">
        <v>115</v>
      </c>
      <c r="H170" s="32">
        <f t="shared" si="91"/>
        <v>1.7699115044247787E-2</v>
      </c>
      <c r="I170" s="101">
        <f>IF(ISNUMBER(G170), $B172 * H170, "")</f>
        <v>1769.9115044247787</v>
      </c>
      <c r="J170" s="15">
        <v>112</v>
      </c>
      <c r="K170" s="32">
        <f t="shared" si="92"/>
        <v>-8.8495575221238937E-3</v>
      </c>
      <c r="L170" s="18">
        <f>IF(ISNUMBER(J170), $B172 * K170, "")</f>
        <v>-884.95575221238937</v>
      </c>
      <c r="M170" s="31">
        <v>111</v>
      </c>
      <c r="N170" s="32">
        <f t="shared" si="93"/>
        <v>-1.7699115044247787E-2</v>
      </c>
      <c r="O170" s="18">
        <f>IF(ISNUMBER(M170), $B172 * N170, "")</f>
        <v>-1769.9115044247787</v>
      </c>
      <c r="Q170" s="227"/>
      <c r="R170" s="228"/>
      <c r="S170" s="229"/>
    </row>
    <row r="171" spans="1:19" ht="17.25" thickBot="1">
      <c r="A171" s="130" t="s">
        <v>220</v>
      </c>
      <c r="B171" s="131">
        <v>208</v>
      </c>
      <c r="C171" s="79">
        <v>-7.9646017700000002E-2</v>
      </c>
      <c r="D171" s="24">
        <v>203</v>
      </c>
      <c r="E171" s="25">
        <f t="shared" si="90"/>
        <v>-2.403846153846154E-2</v>
      </c>
      <c r="F171" s="104">
        <f>IF(ISNUMBER(D171), $B172 * E171, "")</f>
        <v>-2403.8461538461538</v>
      </c>
      <c r="G171" s="102">
        <v>205</v>
      </c>
      <c r="H171" s="25">
        <f t="shared" si="91"/>
        <v>-1.4423076923076924E-2</v>
      </c>
      <c r="I171" s="103">
        <f>IF(ISNUMBER(G171), $B172 * H171, "")</f>
        <v>-1442.3076923076924</v>
      </c>
      <c r="J171" s="24">
        <v>203</v>
      </c>
      <c r="K171" s="25">
        <f t="shared" si="92"/>
        <v>-2.403846153846154E-2</v>
      </c>
      <c r="L171" s="104">
        <f>IF(ISNUMBER(J171), $B172 * K171, "")</f>
        <v>-2403.8461538461538</v>
      </c>
      <c r="M171" s="102">
        <v>204</v>
      </c>
      <c r="N171" s="25">
        <f t="shared" si="93"/>
        <v>-1.9230769230769232E-2</v>
      </c>
      <c r="O171" s="104">
        <f>IF(ISNUMBER(M171), $B172 * N171, "")</f>
        <v>-1923.0769230769231</v>
      </c>
      <c r="Q171" s="230"/>
      <c r="R171" s="231"/>
      <c r="S171" s="232"/>
    </row>
    <row r="172" spans="1:19" ht="17.25" thickBot="1">
      <c r="A172" s="132" t="s">
        <v>270</v>
      </c>
      <c r="B172" s="291">
        <f>$B$37</f>
        <v>100000</v>
      </c>
      <c r="C172" s="292"/>
      <c r="D172" s="26" t="s">
        <v>271</v>
      </c>
      <c r="E172" s="27">
        <f>IF(COUNT(E152:E171), SUM(E152:E171) / COUNT(E152:E171), 0)</f>
        <v>1.9232761924983469E-2</v>
      </c>
      <c r="F172" s="28">
        <f>SUM(F152:F171)</f>
        <v>38465.523849966936</v>
      </c>
      <c r="G172" s="26" t="s">
        <v>271</v>
      </c>
      <c r="H172" s="27">
        <f>IF(COUNT(H152:H171), SUM(H152:H171) / COUNT(H152:H171), 0)</f>
        <v>3.1707284251634563E-2</v>
      </c>
      <c r="I172" s="28">
        <f>SUM(I152:I171)</f>
        <v>63414.568503269118</v>
      </c>
      <c r="J172" s="26" t="s">
        <v>271</v>
      </c>
      <c r="K172" s="27">
        <f>IF(COUNT(K152:K171), SUM(K152:K171) / COUNT(K152:K171), 0)</f>
        <v>1.8198626275671537E-2</v>
      </c>
      <c r="L172" s="28">
        <f>SUM(L152:L171)</f>
        <v>36397.252551343074</v>
      </c>
      <c r="M172" s="26" t="s">
        <v>271</v>
      </c>
      <c r="N172" s="27">
        <f>IF(COUNT(N152:N171), SUM(N152:N171) / COUNT(N152:N171), 0)</f>
        <v>2.5857596781576019E-2</v>
      </c>
      <c r="O172" s="28">
        <f>SUM(O152:O171)</f>
        <v>51715.193563152039</v>
      </c>
      <c r="Q172" s="233"/>
      <c r="R172" s="234"/>
      <c r="S172" s="23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48"/>
      <c r="R175" s="248"/>
      <c r="S175" s="248"/>
    </row>
    <row r="176" spans="1:19" ht="17.25" thickBot="1">
      <c r="A176" s="165" t="s">
        <v>267</v>
      </c>
      <c r="B176" s="249" t="s">
        <v>49</v>
      </c>
      <c r="C176" s="251"/>
      <c r="D176" s="249" t="s">
        <v>58</v>
      </c>
      <c r="E176" s="250"/>
      <c r="F176" s="251"/>
      <c r="G176" s="252">
        <f>_xlfn.IFNA(VLOOKUP(B176, 현재가테이블!$B$2:$D$200, 2, FALSE), "-")</f>
        <v>54440000</v>
      </c>
      <c r="H176" s="253"/>
      <c r="I176" s="254"/>
      <c r="J176" s="249" t="s">
        <v>59</v>
      </c>
      <c r="K176" s="250"/>
      <c r="L176" s="251"/>
      <c r="M176" s="255">
        <f>_xlfn.IFNA(VLOOKUP(B176, 현재가테이블!$B$2:$D$200, 3, FALSE), "-")</f>
        <v>1.07123628E-2</v>
      </c>
      <c r="N176" s="256"/>
      <c r="O176" s="257"/>
      <c r="Q176" s="248"/>
      <c r="R176" s="248"/>
      <c r="S176" s="248"/>
    </row>
    <row r="177" spans="1:19" ht="17.25" thickBot="1">
      <c r="A177" s="293" t="s">
        <v>55</v>
      </c>
      <c r="B177" s="289" t="str">
        <f>TEXT($G$1, "[$-ko-KR]yyyy-mm-dd(ddd) ") &amp; "오전 00:00"</f>
        <v>2021-08-03(화) 오전 00:00</v>
      </c>
      <c r="C177" s="290"/>
      <c r="D177" s="262" t="str">
        <f>TEXT($G$1, "[$-ko-KR]yyyy-mm-dd(ddd) ") &amp; "오후 14:00"</f>
        <v>2021-08-03(화) 오후 14:00</v>
      </c>
      <c r="E177" s="263"/>
      <c r="F177" s="264"/>
      <c r="G177" s="262" t="str">
        <f>TEXT($G$1, "[$-ko-KR]yyyy-mm-dd(ddd) ") &amp; "오후 19:00"</f>
        <v>2021-08-03(화) 오후 19:00</v>
      </c>
      <c r="H177" s="263"/>
      <c r="I177" s="264"/>
      <c r="J177" s="262" t="str">
        <f>TEXT($G$1, "[$-ko-KR]yyyy-mm-dd(ddd) ") &amp; "오후 21:00"</f>
        <v>2021-08-03(화) 오후 21:00</v>
      </c>
      <c r="K177" s="263"/>
      <c r="L177" s="264"/>
      <c r="M177" s="262" t="str">
        <f>TEXT($G$1+1, "[$-ko-KR]yyyy-mm-dd(ddd) ") &amp; "오전 00:00"</f>
        <v>2021-08-04(수) 오전 00:00</v>
      </c>
      <c r="N177" s="263"/>
      <c r="O177" s="264"/>
      <c r="Q177" s="248"/>
      <c r="R177" s="248"/>
      <c r="S177" s="248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8"/>
      <c r="R178" s="238"/>
      <c r="S178" s="238"/>
    </row>
    <row r="179" spans="1:19" ht="17.25" thickBot="1">
      <c r="A179" s="123" t="s">
        <v>242</v>
      </c>
      <c r="B179" s="124">
        <v>425</v>
      </c>
      <c r="C179" s="76">
        <v>-2.7459954200000001E-2</v>
      </c>
      <c r="D179" s="13">
        <v>416</v>
      </c>
      <c r="E179" s="14">
        <f>IF(ISNUMBER(D179), (D179 - $B179) / $B179, "")</f>
        <v>-2.1176470588235293E-2</v>
      </c>
      <c r="F179" s="16">
        <f>IF(ISNUMBER(D179), $B199 * E179, "")</f>
        <v>-2117.6470588235293</v>
      </c>
      <c r="G179" s="29">
        <v>420</v>
      </c>
      <c r="H179" s="14">
        <f>IF(ISNUMBER(G179), (G179 - $B179) / $B179, "")</f>
        <v>-1.1764705882352941E-2</v>
      </c>
      <c r="I179" s="100">
        <f>IF(ISNUMBER(G179), $B199 * H179, "")</f>
        <v>-1176.4705882352941</v>
      </c>
      <c r="J179" s="13">
        <v>419</v>
      </c>
      <c r="K179" s="14">
        <f>IF(ISNUMBER(J179), (J179 - $B179) / $B179, "")</f>
        <v>-1.411764705882353E-2</v>
      </c>
      <c r="L179" s="16">
        <f>IF(ISNUMBER(J179), $B199 * K179, "")</f>
        <v>-1411.7647058823529</v>
      </c>
      <c r="M179" s="29">
        <v>422</v>
      </c>
      <c r="N179" s="14">
        <f>IF(ISNUMBER(M179), (M179 - $B179) / $B179, "")</f>
        <v>-7.058823529411765E-3</v>
      </c>
      <c r="O179" s="16">
        <f>IF(ISNUMBER(M179), $B199 * N179, "")</f>
        <v>-705.88235294117646</v>
      </c>
      <c r="Q179" s="248"/>
      <c r="R179" s="248"/>
      <c r="S179" s="248"/>
    </row>
    <row r="180" spans="1:19" ht="17.25" thickBot="1">
      <c r="A180" s="125" t="s">
        <v>210</v>
      </c>
      <c r="B180" s="126">
        <v>10.5</v>
      </c>
      <c r="C180" s="77">
        <v>-2.77777778E-2</v>
      </c>
      <c r="D180" s="15">
        <v>10.199999999999999</v>
      </c>
      <c r="E180" s="32">
        <f t="shared" ref="E180:E183" si="94">IF(ISNUMBER(D180), (D180 - $B180) / $B180, "")</f>
        <v>-2.857142857142864E-2</v>
      </c>
      <c r="F180" s="18">
        <f>IF(ISNUMBER(D180), $B199 * E180, "")</f>
        <v>-2857.1428571428642</v>
      </c>
      <c r="G180" s="31">
        <v>10.4</v>
      </c>
      <c r="H180" s="32">
        <f t="shared" ref="H180:H183" si="95">IF(ISNUMBER(G180), (G180 - $B180) / $B180, "")</f>
        <v>-9.52380952380949E-3</v>
      </c>
      <c r="I180" s="101">
        <f>IF(ISNUMBER(G180), $B199 * H180, "")</f>
        <v>-952.380952380949</v>
      </c>
      <c r="J180" s="15">
        <v>10.3</v>
      </c>
      <c r="K180" s="32">
        <f t="shared" ref="K180:K183" si="96">IF(ISNUMBER(J180), (J180 - $B180) / $B180, "")</f>
        <v>-1.904761904761898E-2</v>
      </c>
      <c r="L180" s="18">
        <f>IF(ISNUMBER(J180), $B199 * K180, "")</f>
        <v>-1904.761904761898</v>
      </c>
      <c r="M180" s="31">
        <v>10.3</v>
      </c>
      <c r="N180" s="32">
        <f t="shared" ref="N180:N183" si="97">IF(ISNUMBER(M180), (M180 - $B180) / $B180, "")</f>
        <v>-1.904761904761898E-2</v>
      </c>
      <c r="O180" s="18">
        <f>IF(ISNUMBER(M180), $B199 * N180, "")</f>
        <v>-1904.761904761898</v>
      </c>
      <c r="Q180" s="248"/>
      <c r="R180" s="248"/>
      <c r="S180" s="248"/>
    </row>
    <row r="181" spans="1:19" ht="17.25" thickBot="1">
      <c r="A181" s="125" t="s">
        <v>174</v>
      </c>
      <c r="B181" s="126">
        <v>305</v>
      </c>
      <c r="C181" s="77">
        <v>-2.8662420399999999E-2</v>
      </c>
      <c r="D181" s="15">
        <v>311</v>
      </c>
      <c r="E181" s="32">
        <f t="shared" si="94"/>
        <v>1.9672131147540985E-2</v>
      </c>
      <c r="F181" s="18">
        <f>IF(ISNUMBER(D181), $B199 * E181, "")</f>
        <v>1967.2131147540986</v>
      </c>
      <c r="G181" s="31">
        <v>317</v>
      </c>
      <c r="H181" s="32">
        <f t="shared" si="95"/>
        <v>3.9344262295081971E-2</v>
      </c>
      <c r="I181" s="101">
        <f>IF(ISNUMBER(G181), $B199 * H181, "")</f>
        <v>3934.4262295081971</v>
      </c>
      <c r="J181" s="15">
        <v>314</v>
      </c>
      <c r="K181" s="32">
        <f t="shared" si="96"/>
        <v>2.9508196721311476E-2</v>
      </c>
      <c r="L181" s="18">
        <f>IF(ISNUMBER(J181), $B199 * K181, "")</f>
        <v>2950.8196721311474</v>
      </c>
      <c r="M181" s="31">
        <v>327</v>
      </c>
      <c r="N181" s="32">
        <f t="shared" si="97"/>
        <v>7.2131147540983612E-2</v>
      </c>
      <c r="O181" s="18">
        <f>IF(ISNUMBER(M181), $B199 * N181, "")</f>
        <v>7213.1147540983611</v>
      </c>
      <c r="Q181" s="238"/>
      <c r="R181" s="238"/>
      <c r="S181" s="238"/>
    </row>
    <row r="182" spans="1:19" ht="17.25" thickBot="1">
      <c r="A182" s="125" t="s">
        <v>224</v>
      </c>
      <c r="B182" s="126">
        <v>3890</v>
      </c>
      <c r="C182" s="77">
        <v>-2.8714107400000001E-2</v>
      </c>
      <c r="D182" s="15">
        <v>3730</v>
      </c>
      <c r="E182" s="32">
        <f t="shared" si="94"/>
        <v>-4.1131105398457581E-2</v>
      </c>
      <c r="F182" s="18">
        <f>IF(ISNUMBER(D182), $B199 * E182, "")</f>
        <v>-4113.1105398457585</v>
      </c>
      <c r="G182" s="31">
        <v>3735</v>
      </c>
      <c r="H182" s="32">
        <f t="shared" si="95"/>
        <v>-3.9845758354755782E-2</v>
      </c>
      <c r="I182" s="101">
        <f>IF(ISNUMBER(G182), $B199 * H182, "")</f>
        <v>-3984.5758354755781</v>
      </c>
      <c r="J182" s="15">
        <v>3705</v>
      </c>
      <c r="K182" s="32">
        <f t="shared" si="96"/>
        <v>-4.7557840616966579E-2</v>
      </c>
      <c r="L182" s="18">
        <f>IF(ISNUMBER(J182), $B199 * K182, "")</f>
        <v>-4755.7840616966578</v>
      </c>
      <c r="M182" s="31">
        <v>3735</v>
      </c>
      <c r="N182" s="32">
        <f t="shared" si="97"/>
        <v>-3.9845758354755782E-2</v>
      </c>
      <c r="O182" s="18">
        <f>IF(ISNUMBER(M182), $B199 * N182, "")</f>
        <v>-3984.5758354755781</v>
      </c>
      <c r="Q182" s="238"/>
      <c r="R182" s="238"/>
      <c r="S182" s="238"/>
    </row>
    <row r="183" spans="1:19" ht="17.25" thickBot="1">
      <c r="A183" s="127" t="s">
        <v>164</v>
      </c>
      <c r="B183" s="128">
        <v>302</v>
      </c>
      <c r="C183" s="78">
        <v>-2.8938906800000001E-2</v>
      </c>
      <c r="D183" s="20">
        <v>296</v>
      </c>
      <c r="E183" s="21">
        <f t="shared" si="94"/>
        <v>-1.9867549668874173E-2</v>
      </c>
      <c r="F183" s="22">
        <f>IF(ISNUMBER(D183), $B199 * E183, "")</f>
        <v>-1986.7549668874174</v>
      </c>
      <c r="G183" s="30">
        <v>294</v>
      </c>
      <c r="H183" s="21">
        <f t="shared" si="95"/>
        <v>-2.6490066225165563E-2</v>
      </c>
      <c r="I183" s="105">
        <f>IF(ISNUMBER(G183), $B199 * H183, "")</f>
        <v>-2649.0066225165565</v>
      </c>
      <c r="J183" s="20">
        <v>291</v>
      </c>
      <c r="K183" s="21">
        <f t="shared" si="96"/>
        <v>-3.6423841059602648E-2</v>
      </c>
      <c r="L183" s="22">
        <f>IF(ISNUMBER(J183), $B199 * K183, "")</f>
        <v>-3642.3841059602646</v>
      </c>
      <c r="M183" s="30">
        <v>292</v>
      </c>
      <c r="N183" s="21">
        <f t="shared" si="97"/>
        <v>-3.3112582781456956E-2</v>
      </c>
      <c r="O183" s="22">
        <f>IF(ISNUMBER(M183), $B199 * N183, "")</f>
        <v>-3311.2582781456958</v>
      </c>
      <c r="Q183" s="238"/>
      <c r="R183" s="238"/>
      <c r="S183" s="238"/>
    </row>
    <row r="184" spans="1:19" ht="17.25" thickBot="1">
      <c r="A184" s="125" t="s">
        <v>194</v>
      </c>
      <c r="B184" s="129">
        <v>134</v>
      </c>
      <c r="C184" s="80">
        <v>-2.89855072E-2</v>
      </c>
      <c r="D184" s="106">
        <v>132</v>
      </c>
      <c r="E184" s="107">
        <f>IF(ISNUMBER(D184), (D184 - $B184) / $B184, "")</f>
        <v>-1.4925373134328358E-2</v>
      </c>
      <c r="F184" s="108">
        <f>IF(ISNUMBER(D184), $B199 * E184, "")</f>
        <v>-1492.5373134328358</v>
      </c>
      <c r="G184" s="109">
        <v>133</v>
      </c>
      <c r="H184" s="107">
        <f>IF(ISNUMBER(G184), (G184 - $B184) / $B184, "")</f>
        <v>-7.462686567164179E-3</v>
      </c>
      <c r="I184" s="110">
        <f>IF(ISNUMBER(G184), $B199 * H184, "")</f>
        <v>-746.26865671641792</v>
      </c>
      <c r="J184" s="106">
        <v>131</v>
      </c>
      <c r="K184" s="107">
        <f>IF(ISNUMBER(J184), (J184 - $B184) / $B184, "")</f>
        <v>-2.2388059701492536E-2</v>
      </c>
      <c r="L184" s="108">
        <f>IF(ISNUMBER(J184), $B199 * K184, "")</f>
        <v>-2238.8059701492534</v>
      </c>
      <c r="M184" s="109">
        <v>131</v>
      </c>
      <c r="N184" s="107">
        <f>IF(ISNUMBER(M184), (M184 - $B184) / $B184, "")</f>
        <v>-2.2388059701492536E-2</v>
      </c>
      <c r="O184" s="108">
        <f>IF(ISNUMBER(M184), $B199 * N184, "")</f>
        <v>-2238.8059701492534</v>
      </c>
      <c r="Q184" s="238"/>
      <c r="R184" s="238"/>
      <c r="S184" s="238"/>
    </row>
    <row r="185" spans="1:19" ht="17.25" thickBot="1">
      <c r="A185" s="125" t="s">
        <v>246</v>
      </c>
      <c r="B185" s="126">
        <v>8185</v>
      </c>
      <c r="C185" s="77">
        <v>-3.1933767000000002E-2</v>
      </c>
      <c r="D185" s="15">
        <v>7915</v>
      </c>
      <c r="E185" s="32">
        <f t="shared" ref="E185:E188" si="98">IF(ISNUMBER(D185), (D185 - $B185) / $B185, "")</f>
        <v>-3.2987171655467315E-2</v>
      </c>
      <c r="F185" s="18">
        <f>IF(ISNUMBER(D185), $B199 * E185, "")</f>
        <v>-3298.7171655467314</v>
      </c>
      <c r="G185" s="31">
        <v>7975</v>
      </c>
      <c r="H185" s="32">
        <f t="shared" ref="H185:H188" si="99">IF(ISNUMBER(G185), (G185 - $B185) / $B185, "")</f>
        <v>-2.5656689065363471E-2</v>
      </c>
      <c r="I185" s="101">
        <f>IF(ISNUMBER(G185), $B199 * H185, "")</f>
        <v>-2565.6689065363471</v>
      </c>
      <c r="J185" s="15">
        <v>7930</v>
      </c>
      <c r="K185" s="32">
        <f t="shared" ref="K185:K188" si="100">IF(ISNUMBER(J185), (J185 - $B185) / $B185, "")</f>
        <v>-3.1154551007941355E-2</v>
      </c>
      <c r="L185" s="18">
        <f>IF(ISNUMBER(J185), $B199 * K185, "")</f>
        <v>-3115.4551007941354</v>
      </c>
      <c r="M185" s="31">
        <v>8010</v>
      </c>
      <c r="N185" s="32">
        <f t="shared" ref="N185:N188" si="101">IF(ISNUMBER(M185), (M185 - $B185) / $B185, "")</f>
        <v>-2.1380574221136223E-2</v>
      </c>
      <c r="O185" s="18">
        <f>IF(ISNUMBER(M185), $B199 * N185, "")</f>
        <v>-2138.0574221136221</v>
      </c>
      <c r="Q185" s="238"/>
      <c r="R185" s="238"/>
      <c r="S185" s="238"/>
    </row>
    <row r="186" spans="1:19" ht="17.25" thickBot="1">
      <c r="A186" s="125" t="s">
        <v>178</v>
      </c>
      <c r="B186" s="126">
        <v>15</v>
      </c>
      <c r="C186" s="77">
        <v>-3.2258064500000003E-2</v>
      </c>
      <c r="D186" s="15">
        <v>14.6</v>
      </c>
      <c r="E186" s="32">
        <f t="shared" si="98"/>
        <v>-2.6666666666666689E-2</v>
      </c>
      <c r="F186" s="18">
        <f>IF(ISNUMBER(D186), $B199 * E186, "")</f>
        <v>-2666.6666666666688</v>
      </c>
      <c r="G186" s="31">
        <v>14.7</v>
      </c>
      <c r="H186" s="32">
        <f t="shared" si="99"/>
        <v>-2.0000000000000049E-2</v>
      </c>
      <c r="I186" s="101">
        <f>IF(ISNUMBER(G186), $B199 * H186, "")</f>
        <v>-2000.000000000005</v>
      </c>
      <c r="J186" s="15">
        <v>14.5</v>
      </c>
      <c r="K186" s="32">
        <f t="shared" si="100"/>
        <v>-3.3333333333333333E-2</v>
      </c>
      <c r="L186" s="18">
        <f>IF(ISNUMBER(J186), $B199 * K186, "")</f>
        <v>-3333.3333333333335</v>
      </c>
      <c r="M186" s="31">
        <v>14.8</v>
      </c>
      <c r="N186" s="32">
        <f t="shared" si="101"/>
        <v>-1.3333333333333286E-2</v>
      </c>
      <c r="O186" s="18">
        <f>IF(ISNUMBER(M186), $B199 * N186, "")</f>
        <v>-1333.3333333333285</v>
      </c>
      <c r="Q186" s="238"/>
      <c r="R186" s="238"/>
      <c r="S186" s="238"/>
    </row>
    <row r="187" spans="1:19" ht="17.25" thickBot="1">
      <c r="A187" s="125" t="s">
        <v>192</v>
      </c>
      <c r="B187" s="126">
        <v>209</v>
      </c>
      <c r="C187" s="77">
        <v>-3.68663594E-2</v>
      </c>
      <c r="D187" s="15">
        <v>203</v>
      </c>
      <c r="E187" s="32">
        <f t="shared" si="98"/>
        <v>-2.8708133971291867E-2</v>
      </c>
      <c r="F187" s="18">
        <f>IF(ISNUMBER(D187), $B199 * E187, "")</f>
        <v>-2870.8133971291868</v>
      </c>
      <c r="G187" s="31">
        <v>209</v>
      </c>
      <c r="H187" s="32">
        <f t="shared" si="99"/>
        <v>0</v>
      </c>
      <c r="I187" s="101">
        <f>IF(ISNUMBER(G187), $B199 * H187, "")</f>
        <v>0</v>
      </c>
      <c r="J187" s="15">
        <v>206</v>
      </c>
      <c r="K187" s="32">
        <f t="shared" si="100"/>
        <v>-1.4354066985645933E-2</v>
      </c>
      <c r="L187" s="18">
        <f>IF(ISNUMBER(J187), $B199 * K187, "")</f>
        <v>-1435.4066985645934</v>
      </c>
      <c r="M187" s="31">
        <v>207</v>
      </c>
      <c r="N187" s="32">
        <f t="shared" si="101"/>
        <v>-9.5693779904306216E-3</v>
      </c>
      <c r="O187" s="18">
        <f>IF(ISNUMBER(M187), $B199 * N187, "")</f>
        <v>-956.93779904306211</v>
      </c>
      <c r="Q187" s="33"/>
      <c r="R187" s="33"/>
    </row>
    <row r="188" spans="1:19" ht="17.25" thickBot="1">
      <c r="A188" s="130" t="s">
        <v>110</v>
      </c>
      <c r="B188" s="131">
        <v>129</v>
      </c>
      <c r="C188" s="79">
        <v>-3.7313432799999997E-2</v>
      </c>
      <c r="D188" s="24">
        <v>133</v>
      </c>
      <c r="E188" s="25">
        <f t="shared" si="98"/>
        <v>3.1007751937984496E-2</v>
      </c>
      <c r="F188" s="104">
        <f>IF(ISNUMBER(D188), $B199 * E188, "")</f>
        <v>3100.7751937984494</v>
      </c>
      <c r="G188" s="102">
        <v>138</v>
      </c>
      <c r="H188" s="25">
        <f t="shared" si="99"/>
        <v>6.9767441860465115E-2</v>
      </c>
      <c r="I188" s="103">
        <f>IF(ISNUMBER(G188), $B199 * H188, "")</f>
        <v>6976.7441860465115</v>
      </c>
      <c r="J188" s="24">
        <v>132</v>
      </c>
      <c r="K188" s="25">
        <f t="shared" si="100"/>
        <v>2.3255813953488372E-2</v>
      </c>
      <c r="L188" s="104">
        <f>IF(ISNUMBER(J188), $B199 * K188, "")</f>
        <v>2325.5813953488373</v>
      </c>
      <c r="M188" s="102">
        <v>133</v>
      </c>
      <c r="N188" s="25">
        <f t="shared" si="101"/>
        <v>3.1007751937984496E-2</v>
      </c>
      <c r="O188" s="104">
        <f>IF(ISNUMBER(M188), $B199 * N188, "")</f>
        <v>3100.7751937984494</v>
      </c>
      <c r="Q188" s="239"/>
      <c r="R188" s="240"/>
      <c r="S188" s="241"/>
    </row>
    <row r="189" spans="1:19">
      <c r="A189" s="123" t="s">
        <v>244</v>
      </c>
      <c r="B189" s="124">
        <v>1295</v>
      </c>
      <c r="C189" s="76">
        <v>-4.07407407E-2</v>
      </c>
      <c r="D189" s="13">
        <v>1285</v>
      </c>
      <c r="E189" s="14">
        <f>IF(ISNUMBER(D189), (D189 - $B189) / $B189, "")</f>
        <v>-7.7220077220077222E-3</v>
      </c>
      <c r="F189" s="16">
        <f>IF(ISNUMBER(D189), $B199 * E189, "")</f>
        <v>-772.20077220077224</v>
      </c>
      <c r="G189" s="29">
        <v>1305</v>
      </c>
      <c r="H189" s="14">
        <f>IF(ISNUMBER(G189), (G189 - $B189) / $B189, "")</f>
        <v>7.7220077220077222E-3</v>
      </c>
      <c r="I189" s="100">
        <f>IF(ISNUMBER(G189), $B199 * H189, "")</f>
        <v>772.20077220077224</v>
      </c>
      <c r="J189" s="13">
        <v>1295</v>
      </c>
      <c r="K189" s="14">
        <f>IF(ISNUMBER(J189), (J189 - $B189) / $B189, "")</f>
        <v>0</v>
      </c>
      <c r="L189" s="16">
        <f>IF(ISNUMBER(J189), $B199 * K189, "")</f>
        <v>0</v>
      </c>
      <c r="M189" s="29">
        <v>1310</v>
      </c>
      <c r="N189" s="14">
        <f>IF(ISNUMBER(M189), (M189 - $B189) / $B189, "")</f>
        <v>1.1583011583011582E-2</v>
      </c>
      <c r="O189" s="16">
        <f>IF(ISNUMBER(M189), $B199 * N189, "")</f>
        <v>1158.3011583011582</v>
      </c>
      <c r="Q189" s="242"/>
      <c r="R189" s="243"/>
      <c r="S189" s="244"/>
    </row>
    <row r="190" spans="1:19" ht="17.25" thickBot="1">
      <c r="A190" s="125" t="s">
        <v>202</v>
      </c>
      <c r="B190" s="126">
        <v>62.7</v>
      </c>
      <c r="C190" s="77">
        <v>-4.12844037E-2</v>
      </c>
      <c r="D190" s="15">
        <v>68.2</v>
      </c>
      <c r="E190" s="32">
        <f t="shared" ref="E190:E193" si="102">IF(ISNUMBER(D190), (D190 - $B190) / $B190, "")</f>
        <v>8.771929824561403E-2</v>
      </c>
      <c r="F190" s="18">
        <f>IF(ISNUMBER(D190), $B199 * E190, "")</f>
        <v>8771.9298245614027</v>
      </c>
      <c r="G190" s="31">
        <v>68.7</v>
      </c>
      <c r="H190" s="32">
        <f t="shared" ref="H190:H193" si="103">IF(ISNUMBER(G190), (G190 - $B190) / $B190, "")</f>
        <v>9.569377990430622E-2</v>
      </c>
      <c r="I190" s="101">
        <f>IF(ISNUMBER(G190), $B199 * H190, "")</f>
        <v>9569.3779904306211</v>
      </c>
      <c r="J190" s="15">
        <v>67.599999999999994</v>
      </c>
      <c r="K190" s="32">
        <f t="shared" ref="K190:K193" si="104">IF(ISNUMBER(J190), (J190 - $B190) / $B190, "")</f>
        <v>7.8149920255183275E-2</v>
      </c>
      <c r="L190" s="18">
        <f>IF(ISNUMBER(J190), $B199 * K190, "")</f>
        <v>7814.9920255183279</v>
      </c>
      <c r="M190" s="31">
        <v>67.400000000000006</v>
      </c>
      <c r="N190" s="32">
        <f t="shared" ref="N190:N193" si="105">IF(ISNUMBER(M190), (M190 - $B190) / $B190, "")</f>
        <v>7.4960127591706588E-2</v>
      </c>
      <c r="O190" s="18">
        <f>IF(ISNUMBER(M190), $B199 * N190, "")</f>
        <v>7496.0127591706587</v>
      </c>
      <c r="Q190" s="245"/>
      <c r="R190" s="246"/>
      <c r="S190" s="247"/>
    </row>
    <row r="191" spans="1:19" ht="17.25" thickBot="1">
      <c r="A191" s="125" t="s">
        <v>188</v>
      </c>
      <c r="B191" s="126">
        <v>11.1</v>
      </c>
      <c r="C191" s="77">
        <v>-4.31034483E-2</v>
      </c>
      <c r="D191" s="15">
        <v>10.7</v>
      </c>
      <c r="E191" s="32">
        <f t="shared" si="102"/>
        <v>-3.603603603603607E-2</v>
      </c>
      <c r="F191" s="18">
        <f>IF(ISNUMBER(D191), $B199 * E191, "")</f>
        <v>-3603.6036036036071</v>
      </c>
      <c r="G191" s="31">
        <v>10.8</v>
      </c>
      <c r="H191" s="32">
        <f t="shared" si="103"/>
        <v>-2.7027027027026931E-2</v>
      </c>
      <c r="I191" s="101">
        <f>IF(ISNUMBER(G191), $B199 * H191, "")</f>
        <v>-2702.7027027026929</v>
      </c>
      <c r="J191" s="15">
        <v>10.7</v>
      </c>
      <c r="K191" s="32">
        <f t="shared" si="104"/>
        <v>-3.603603603603607E-2</v>
      </c>
      <c r="L191" s="18">
        <f>IF(ISNUMBER(J191), $B199 * K191, "")</f>
        <v>-3603.6036036036071</v>
      </c>
      <c r="M191" s="31">
        <v>11</v>
      </c>
      <c r="N191" s="32">
        <f t="shared" si="105"/>
        <v>-9.0090090090089777E-3</v>
      </c>
      <c r="O191" s="18">
        <f>IF(ISNUMBER(M191), $B199 * N191, "")</f>
        <v>-900.9009009008978</v>
      </c>
      <c r="Q191" s="238"/>
      <c r="R191" s="238"/>
      <c r="S191" s="238"/>
    </row>
    <row r="192" spans="1:19" ht="17.25" thickBot="1">
      <c r="A192" s="125" t="s">
        <v>200</v>
      </c>
      <c r="B192" s="126">
        <v>132</v>
      </c>
      <c r="C192" s="77">
        <v>-4.3478260900000003E-2</v>
      </c>
      <c r="D192" s="15">
        <v>128</v>
      </c>
      <c r="E192" s="32">
        <f t="shared" si="102"/>
        <v>-3.0303030303030304E-2</v>
      </c>
      <c r="F192" s="18">
        <f>IF(ISNUMBER(D192), $B199 * E192, "")</f>
        <v>-3030.3030303030305</v>
      </c>
      <c r="G192" s="31">
        <v>129</v>
      </c>
      <c r="H192" s="32">
        <f t="shared" si="103"/>
        <v>-2.2727272727272728E-2</v>
      </c>
      <c r="I192" s="101">
        <f>IF(ISNUMBER(G192), $B199 * H192, "")</f>
        <v>-2272.727272727273</v>
      </c>
      <c r="J192" s="15">
        <v>127</v>
      </c>
      <c r="K192" s="32">
        <f t="shared" si="104"/>
        <v>-3.787878787878788E-2</v>
      </c>
      <c r="L192" s="18">
        <f>IF(ISNUMBER(J192), $B199 * K192, "")</f>
        <v>-3787.878787878788</v>
      </c>
      <c r="M192" s="31">
        <v>128</v>
      </c>
      <c r="N192" s="32">
        <f t="shared" si="105"/>
        <v>-3.0303030303030304E-2</v>
      </c>
      <c r="O192" s="18">
        <f>IF(ISNUMBER(M192), $B199 * N192, "")</f>
        <v>-3030.3030303030305</v>
      </c>
      <c r="Q192" s="248"/>
      <c r="R192" s="248"/>
      <c r="S192" s="248"/>
    </row>
    <row r="193" spans="1:19" ht="17.25" thickBot="1">
      <c r="A193" s="127" t="s">
        <v>214</v>
      </c>
      <c r="B193" s="128">
        <v>548</v>
      </c>
      <c r="C193" s="78">
        <v>-4.5296167200000001E-2</v>
      </c>
      <c r="D193" s="20">
        <v>895</v>
      </c>
      <c r="E193" s="21">
        <f t="shared" si="102"/>
        <v>0.63321167883211682</v>
      </c>
      <c r="F193" s="22">
        <f>IF(ISNUMBER(D193), $B199 * E193, "")</f>
        <v>63321.167883211681</v>
      </c>
      <c r="G193" s="30">
        <v>873</v>
      </c>
      <c r="H193" s="21">
        <f t="shared" si="103"/>
        <v>0.59306569343065696</v>
      </c>
      <c r="I193" s="105">
        <f>IF(ISNUMBER(G193), $B199 * H193, "")</f>
        <v>59306.569343065697</v>
      </c>
      <c r="J193" s="20">
        <v>853</v>
      </c>
      <c r="K193" s="21">
        <f t="shared" si="104"/>
        <v>0.55656934306569339</v>
      </c>
      <c r="L193" s="22">
        <f>IF(ISNUMBER(J193), $B199 * K193, "")</f>
        <v>55656.934306569339</v>
      </c>
      <c r="M193" s="30">
        <v>867</v>
      </c>
      <c r="N193" s="21">
        <f t="shared" si="105"/>
        <v>0.58211678832116787</v>
      </c>
      <c r="O193" s="22">
        <f>IF(ISNUMBER(M193), $B199 * N193, "")</f>
        <v>58211.678832116784</v>
      </c>
      <c r="Q193" s="248"/>
      <c r="R193" s="248"/>
      <c r="S193" s="248"/>
    </row>
    <row r="194" spans="1:19" ht="17.25" thickBot="1">
      <c r="A194" s="125" t="s">
        <v>234</v>
      </c>
      <c r="B194" s="129">
        <v>62</v>
      </c>
      <c r="C194" s="80">
        <v>-5.05359877E-2</v>
      </c>
      <c r="D194" s="106">
        <v>63.9</v>
      </c>
      <c r="E194" s="107">
        <f>IF(ISNUMBER(D194), (D194 - $B194) / $B194, "")</f>
        <v>3.0645161290322558E-2</v>
      </c>
      <c r="F194" s="108">
        <f>IF(ISNUMBER(D194), $B199 * E194, "")</f>
        <v>3064.5161290322558</v>
      </c>
      <c r="G194" s="109">
        <v>64.8</v>
      </c>
      <c r="H194" s="107">
        <f>IF(ISNUMBER(G194), (G194 - $B194) / $B194, "")</f>
        <v>4.5161290322580601E-2</v>
      </c>
      <c r="I194" s="110">
        <f>IF(ISNUMBER(G194), $B199 * H194, "")</f>
        <v>4516.1290322580599</v>
      </c>
      <c r="J194" s="106">
        <v>63.7</v>
      </c>
      <c r="K194" s="107">
        <f>IF(ISNUMBER(J194), (J194 - $B194) / $B194, "")</f>
        <v>2.7419354838709723E-2</v>
      </c>
      <c r="L194" s="108">
        <f>IF(ISNUMBER(J194), $B199 * K194, "")</f>
        <v>2741.9354838709723</v>
      </c>
      <c r="M194" s="109">
        <v>63.7</v>
      </c>
      <c r="N194" s="107">
        <f>IF(ISNUMBER(M194), (M194 - $B194) / $B194, "")</f>
        <v>2.7419354838709723E-2</v>
      </c>
      <c r="O194" s="108">
        <f>IF(ISNUMBER(M194), $B199 * N194, "")</f>
        <v>2741.9354838709723</v>
      </c>
      <c r="Q194" s="238"/>
      <c r="R194" s="238"/>
      <c r="S194" s="238"/>
    </row>
    <row r="195" spans="1:19" ht="17.25" thickBot="1">
      <c r="A195" s="125" t="s">
        <v>254</v>
      </c>
      <c r="B195" s="126">
        <v>272</v>
      </c>
      <c r="C195" s="77">
        <v>-5.2264808400000001E-2</v>
      </c>
      <c r="D195" s="15">
        <v>278</v>
      </c>
      <c r="E195" s="32">
        <f t="shared" ref="E195:E198" si="106">IF(ISNUMBER(D195), (D195 - $B195) / $B195, "")</f>
        <v>2.2058823529411766E-2</v>
      </c>
      <c r="F195" s="18">
        <f>IF(ISNUMBER(D195), $B199 * E195, "")</f>
        <v>2205.8823529411766</v>
      </c>
      <c r="G195" s="31">
        <v>288</v>
      </c>
      <c r="H195" s="32">
        <f t="shared" ref="H195:H198" si="107">IF(ISNUMBER(G195), (G195 - $B195) / $B195, "")</f>
        <v>5.8823529411764705E-2</v>
      </c>
      <c r="I195" s="101">
        <f>IF(ISNUMBER(G195), $B199 * H195, "")</f>
        <v>5882.3529411764703</v>
      </c>
      <c r="J195" s="15">
        <v>282</v>
      </c>
      <c r="K195" s="32">
        <f t="shared" ref="K195:K198" si="108">IF(ISNUMBER(J195), (J195 - $B195) / $B195, "")</f>
        <v>3.6764705882352942E-2</v>
      </c>
      <c r="L195" s="18">
        <f>IF(ISNUMBER(J195), $B199 * K195, "")</f>
        <v>3676.4705882352941</v>
      </c>
      <c r="M195" s="31">
        <v>281</v>
      </c>
      <c r="N195" s="32">
        <f t="shared" ref="N195:N198" si="109">IF(ISNUMBER(M195), (M195 - $B195) / $B195, "")</f>
        <v>3.3088235294117647E-2</v>
      </c>
      <c r="O195" s="18">
        <f>IF(ISNUMBER(M195), $B199 * N195, "")</f>
        <v>3308.8235294117649</v>
      </c>
      <c r="Q195" s="238"/>
      <c r="R195" s="238"/>
      <c r="S195" s="238"/>
    </row>
    <row r="196" spans="1:19" ht="17.25" thickBot="1">
      <c r="A196" s="125" t="s">
        <v>150</v>
      </c>
      <c r="B196" s="126">
        <v>10.6</v>
      </c>
      <c r="C196" s="77">
        <v>-6.1946902700000001E-2</v>
      </c>
      <c r="D196" s="15">
        <v>10.4</v>
      </c>
      <c r="E196" s="32">
        <f t="shared" si="106"/>
        <v>-1.886792452830182E-2</v>
      </c>
      <c r="F196" s="18">
        <f>IF(ISNUMBER(D196), $B199 * E196, "")</f>
        <v>-1886.7924528301821</v>
      </c>
      <c r="G196" s="31">
        <v>10.5</v>
      </c>
      <c r="H196" s="32">
        <f t="shared" si="107"/>
        <v>-9.4339622641509101E-3</v>
      </c>
      <c r="I196" s="101">
        <f>IF(ISNUMBER(G196), $B199 * H196, "")</f>
        <v>-943.39622641509106</v>
      </c>
      <c r="J196" s="15">
        <v>10.5</v>
      </c>
      <c r="K196" s="32">
        <f t="shared" si="108"/>
        <v>-9.4339622641509101E-3</v>
      </c>
      <c r="L196" s="18">
        <f>IF(ISNUMBER(J196), $B199 * K196, "")</f>
        <v>-943.39622641509106</v>
      </c>
      <c r="M196" s="31">
        <v>10.4</v>
      </c>
      <c r="N196" s="32">
        <f t="shared" si="109"/>
        <v>-1.886792452830182E-2</v>
      </c>
      <c r="O196" s="18">
        <f>IF(ISNUMBER(M196), $B199 * N196, "")</f>
        <v>-1886.7924528301821</v>
      </c>
      <c r="Q196" s="238"/>
      <c r="R196" s="238"/>
      <c r="S196" s="238"/>
    </row>
    <row r="197" spans="1:19">
      <c r="A197" s="125" t="s">
        <v>144</v>
      </c>
      <c r="B197" s="126">
        <v>113</v>
      </c>
      <c r="C197" s="77">
        <v>-6.6115702499999998E-2</v>
      </c>
      <c r="D197" s="15">
        <v>113</v>
      </c>
      <c r="E197" s="32">
        <f t="shared" si="106"/>
        <v>0</v>
      </c>
      <c r="F197" s="18">
        <f>IF(ISNUMBER(D197), $B199 * E197, "")</f>
        <v>0</v>
      </c>
      <c r="G197" s="31">
        <v>115</v>
      </c>
      <c r="H197" s="32">
        <f t="shared" si="107"/>
        <v>1.7699115044247787E-2</v>
      </c>
      <c r="I197" s="101">
        <f>IF(ISNUMBER(G197), $B199 * H197, "")</f>
        <v>1769.9115044247787</v>
      </c>
      <c r="J197" s="15">
        <v>112</v>
      </c>
      <c r="K197" s="32">
        <f t="shared" si="108"/>
        <v>-8.8495575221238937E-3</v>
      </c>
      <c r="L197" s="18">
        <f>IF(ISNUMBER(J197), $B199 * K197, "")</f>
        <v>-884.95575221238937</v>
      </c>
      <c r="M197" s="31">
        <v>111</v>
      </c>
      <c r="N197" s="32">
        <f t="shared" si="109"/>
        <v>-1.7699115044247787E-2</v>
      </c>
      <c r="O197" s="18">
        <f>IF(ISNUMBER(M197), $B199 * N197, "")</f>
        <v>-1769.9115044247787</v>
      </c>
      <c r="Q197" s="227"/>
      <c r="R197" s="228"/>
      <c r="S197" s="229"/>
    </row>
    <row r="198" spans="1:19" ht="17.25" thickBot="1">
      <c r="A198" s="130" t="s">
        <v>220</v>
      </c>
      <c r="B198" s="131">
        <v>208</v>
      </c>
      <c r="C198" s="79">
        <v>-7.9646017700000002E-2</v>
      </c>
      <c r="D198" s="24">
        <v>203</v>
      </c>
      <c r="E198" s="25">
        <f t="shared" si="106"/>
        <v>-2.403846153846154E-2</v>
      </c>
      <c r="F198" s="104">
        <f>IF(ISNUMBER(D198), $B199 * E198, "")</f>
        <v>-2403.8461538461538</v>
      </c>
      <c r="G198" s="102">
        <v>205</v>
      </c>
      <c r="H198" s="25">
        <f t="shared" si="107"/>
        <v>-1.4423076923076924E-2</v>
      </c>
      <c r="I198" s="103">
        <f>IF(ISNUMBER(G198), $B199 * H198, "")</f>
        <v>-1442.3076923076924</v>
      </c>
      <c r="J198" s="24">
        <v>203</v>
      </c>
      <c r="K198" s="25">
        <f t="shared" si="108"/>
        <v>-2.403846153846154E-2</v>
      </c>
      <c r="L198" s="104">
        <f>IF(ISNUMBER(J198), $B199 * K198, "")</f>
        <v>-2403.8461538461538</v>
      </c>
      <c r="M198" s="102">
        <v>204</v>
      </c>
      <c r="N198" s="25">
        <f t="shared" si="109"/>
        <v>-1.9230769230769232E-2</v>
      </c>
      <c r="O198" s="104">
        <f>IF(ISNUMBER(M198), $B199 * N198, "")</f>
        <v>-1923.0769230769231</v>
      </c>
      <c r="Q198" s="230"/>
      <c r="R198" s="231"/>
      <c r="S198" s="232"/>
    </row>
    <row r="199" spans="1:19" ht="17.25" thickBot="1">
      <c r="A199" s="132" t="s">
        <v>270</v>
      </c>
      <c r="B199" s="291">
        <f>$B$37</f>
        <v>100000</v>
      </c>
      <c r="C199" s="292"/>
      <c r="D199" s="26" t="s">
        <v>271</v>
      </c>
      <c r="E199" s="27">
        <f>IF(COUNT(E179:E198), SUM(E179:E198) / COUNT(E179:E198), 0)</f>
        <v>2.4665674260020164E-2</v>
      </c>
      <c r="F199" s="28">
        <f>SUM(F179:F198)</f>
        <v>49331.348520040323</v>
      </c>
      <c r="G199" s="26" t="s">
        <v>271</v>
      </c>
      <c r="H199" s="27">
        <f>IF(COUNT(H179:H198), SUM(H179:H198) / COUNT(H179:H198), 0)</f>
        <v>3.5646103271548615E-2</v>
      </c>
      <c r="I199" s="28">
        <f>SUM(I179:I198)</f>
        <v>71292.206543097214</v>
      </c>
      <c r="J199" s="26" t="s">
        <v>271</v>
      </c>
      <c r="K199" s="27">
        <f>IF(COUNT(K179:K198), SUM(K179:K198) / COUNT(K179:K198), 0)</f>
        <v>2.0852678533287698E-2</v>
      </c>
      <c r="L199" s="28">
        <f>SUM(L179:L198)</f>
        <v>41705.357066575394</v>
      </c>
      <c r="M199" s="26" t="s">
        <v>271</v>
      </c>
      <c r="N199" s="27">
        <f>IF(COUNT(N179:N198), SUM(N179:N198) / COUNT(N179:N198), 0)</f>
        <v>2.8573022001634363E-2</v>
      </c>
      <c r="O199" s="28">
        <f>SUM(O179:O198)</f>
        <v>57146.044003268718</v>
      </c>
      <c r="Q199" s="233"/>
      <c r="R199" s="234"/>
      <c r="S199" s="23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70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70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70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70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70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70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70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70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70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9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98" priority="157">
      <formula>AND($N17 &gt; 0, ISNUMBER($N17))</formula>
    </cfRule>
    <cfRule type="expression" dxfId="2697" priority="158">
      <formula>AND($N17 = 0 * ISNUMBER($N17))</formula>
    </cfRule>
    <cfRule type="expression" dxfId="2696" priority="159">
      <formula>AND($N17 &lt; 0, ISNUMBER($N17))</formula>
    </cfRule>
  </conditionalFormatting>
  <conditionalFormatting sqref="A17:F36">
    <cfRule type="expression" dxfId="2695" priority="166">
      <formula>AND($E17 &gt; 0, ISNUMBER($E17))</formula>
    </cfRule>
    <cfRule type="expression" dxfId="2694" priority="167">
      <formula>AND($E17 = 0 * ISNUMBER($E17))</formula>
    </cfRule>
    <cfRule type="expression" dxfId="2693" priority="168">
      <formula>AND($E17 &lt; 0, ISNUMBER($E17))</formula>
    </cfRule>
  </conditionalFormatting>
  <conditionalFormatting sqref="A17:C36 G17:I36">
    <cfRule type="expression" dxfId="2692" priority="163">
      <formula>AND($H17 &gt; 0, ISNUMBER($H17))</formula>
    </cfRule>
    <cfRule type="expression" dxfId="2691" priority="164">
      <formula>AND($H17 = 0 * ISNUMBER($H17))</formula>
    </cfRule>
    <cfRule type="expression" dxfId="2690" priority="165">
      <formula>AND($H17 &lt; 0, ISNUMBER($H17))</formula>
    </cfRule>
  </conditionalFormatting>
  <conditionalFormatting sqref="A17:C36 J17:L36">
    <cfRule type="expression" dxfId="2689" priority="160">
      <formula>AND($K17 &gt; 0, ISNUMBER($K17))</formula>
    </cfRule>
    <cfRule type="expression" dxfId="2688" priority="161">
      <formula>AND($K17 = 0 * ISNUMBER($K17))</formula>
    </cfRule>
    <cfRule type="expression" dxfId="2687" priority="162">
      <formula>AND($K17 &lt; 0, ISNUMBER($K17))</formula>
    </cfRule>
  </conditionalFormatting>
  <conditionalFormatting sqref="D15:F16 E37:F37">
    <cfRule type="expression" dxfId="2686" priority="154">
      <formula>$E$37 &gt; 0</formula>
    </cfRule>
    <cfRule type="expression" dxfId="2685" priority="155">
      <formula>$E$37 = 0</formula>
    </cfRule>
    <cfRule type="expression" dxfId="2684" priority="156">
      <formula>$E$37 &lt; 0</formula>
    </cfRule>
  </conditionalFormatting>
  <conditionalFormatting sqref="G15:I16 H37:I37">
    <cfRule type="expression" dxfId="2683" priority="151">
      <formula>$H$37 &gt; 0</formula>
    </cfRule>
    <cfRule type="expression" dxfId="2682" priority="152">
      <formula>$H$37 = 0</formula>
    </cfRule>
    <cfRule type="expression" dxfId="2681" priority="153">
      <formula>$H$37 &lt; 0</formula>
    </cfRule>
  </conditionalFormatting>
  <conditionalFormatting sqref="J15:L16 K37:L37">
    <cfRule type="expression" dxfId="2680" priority="148">
      <formula>$K$37 &gt; 0</formula>
    </cfRule>
    <cfRule type="expression" dxfId="2679" priority="149">
      <formula>$K$37 = 0</formula>
    </cfRule>
    <cfRule type="expression" dxfId="2678" priority="150">
      <formula>$K$37 &lt; 0</formula>
    </cfRule>
  </conditionalFormatting>
  <conditionalFormatting sqref="M15:O16 N37:O37">
    <cfRule type="expression" dxfId="2677" priority="145">
      <formula>$N$37 &gt; 0</formula>
    </cfRule>
    <cfRule type="expression" dxfId="2676" priority="146">
      <formula>$N$37 = 0</formula>
    </cfRule>
    <cfRule type="expression" dxfId="2675" priority="147">
      <formula>$N$37 &lt; 0</formula>
    </cfRule>
  </conditionalFormatting>
  <conditionalFormatting sqref="A44:C63 M44:O63">
    <cfRule type="expression" dxfId="2674" priority="133">
      <formula>AND($N44 &gt; 0, ISNUMBER($N44))</formula>
    </cfRule>
    <cfRule type="expression" dxfId="2673" priority="134">
      <formula>AND($N44 = 0 * ISNUMBER($N44))</formula>
    </cfRule>
    <cfRule type="expression" dxfId="2672" priority="135">
      <formula>AND($N44 &lt; 0, ISNUMBER($N44))</formula>
    </cfRule>
  </conditionalFormatting>
  <conditionalFormatting sqref="A44:F63">
    <cfRule type="expression" dxfId="2671" priority="142">
      <formula>AND($E44 &gt; 0, ISNUMBER($E44))</formula>
    </cfRule>
    <cfRule type="expression" dxfId="2670" priority="143">
      <formula>AND($E44 = 0 * ISNUMBER($E44))</formula>
    </cfRule>
    <cfRule type="expression" dxfId="2669" priority="144">
      <formula>AND($E44 &lt; 0, ISNUMBER($E44))</formula>
    </cfRule>
  </conditionalFormatting>
  <conditionalFormatting sqref="A44:C63 G44:I63">
    <cfRule type="expression" dxfId="2668" priority="139">
      <formula>AND($H44 &gt; 0, ISNUMBER($H44))</formula>
    </cfRule>
    <cfRule type="expression" dxfId="2667" priority="140">
      <formula>AND($H44 = 0 * ISNUMBER($H44))</formula>
    </cfRule>
    <cfRule type="expression" dxfId="2666" priority="141">
      <formula>AND($H44 &lt; 0, ISNUMBER($H44))</formula>
    </cfRule>
  </conditionalFormatting>
  <conditionalFormatting sqref="A44:C63 J44:L63">
    <cfRule type="expression" dxfId="2665" priority="136">
      <formula>AND($K44 &gt; 0, ISNUMBER($K44))</formula>
    </cfRule>
    <cfRule type="expression" dxfId="2664" priority="137">
      <formula>AND($K44 = 0 * ISNUMBER($K44))</formula>
    </cfRule>
    <cfRule type="expression" dxfId="2663" priority="138">
      <formula>AND($K44 &lt; 0, ISNUMBER($K44))</formula>
    </cfRule>
  </conditionalFormatting>
  <conditionalFormatting sqref="D42:F43 E64:F64">
    <cfRule type="expression" dxfId="2662" priority="130">
      <formula>$E$64 &gt; 0</formula>
    </cfRule>
    <cfRule type="expression" dxfId="2661" priority="131">
      <formula>$E$64 = 0</formula>
    </cfRule>
    <cfRule type="expression" dxfId="2660" priority="132">
      <formula>$E$64 &lt; 0</formula>
    </cfRule>
  </conditionalFormatting>
  <conditionalFormatting sqref="G42:I43 H64:I64">
    <cfRule type="expression" dxfId="2659" priority="127">
      <formula>$H$64 &gt; 0</formula>
    </cfRule>
    <cfRule type="expression" dxfId="2658" priority="128">
      <formula>$H$64 = 0</formula>
    </cfRule>
    <cfRule type="expression" dxfId="2657" priority="129">
      <formula>$H$64 &lt; 0</formula>
    </cfRule>
  </conditionalFormatting>
  <conditionalFormatting sqref="J42:L43 K64:L64">
    <cfRule type="expression" dxfId="2656" priority="124">
      <formula>$K$64 &gt; 0</formula>
    </cfRule>
    <cfRule type="expression" dxfId="2655" priority="125">
      <formula>$K$64 = 0</formula>
    </cfRule>
    <cfRule type="expression" dxfId="2654" priority="126">
      <formula>$K$64 &lt; 0</formula>
    </cfRule>
  </conditionalFormatting>
  <conditionalFormatting sqref="M42:O43 N64:O64">
    <cfRule type="expression" dxfId="2653" priority="121">
      <formula>$N$64 &gt; 0</formula>
    </cfRule>
    <cfRule type="expression" dxfId="2652" priority="122">
      <formula>$N$64 = 0</formula>
    </cfRule>
    <cfRule type="expression" dxfId="2651" priority="123">
      <formula>$N$64 &lt; 0</formula>
    </cfRule>
  </conditionalFormatting>
  <conditionalFormatting sqref="A71:C90 M71:O90">
    <cfRule type="expression" dxfId="2650" priority="109">
      <formula>AND($N71 &gt; 0, ISNUMBER($N71))</formula>
    </cfRule>
    <cfRule type="expression" dxfId="2649" priority="110">
      <formula>AND($N71 = 0 * ISNUMBER($N71))</formula>
    </cfRule>
    <cfRule type="expression" dxfId="2648" priority="111">
      <formula>AND($N71 &lt; 0, ISNUMBER($N71))</formula>
    </cfRule>
  </conditionalFormatting>
  <conditionalFormatting sqref="A71:F90">
    <cfRule type="expression" dxfId="2647" priority="118">
      <formula>AND($E71 &gt; 0, ISNUMBER($E71))</formula>
    </cfRule>
    <cfRule type="expression" dxfId="2646" priority="119">
      <formula>AND($E71 = 0 * ISNUMBER($E71))</formula>
    </cfRule>
    <cfRule type="expression" dxfId="2645" priority="120">
      <formula>AND($E71 &lt; 0, ISNUMBER($E71))</formula>
    </cfRule>
  </conditionalFormatting>
  <conditionalFormatting sqref="A71:C90 G71:I90">
    <cfRule type="expression" dxfId="2644" priority="115">
      <formula>AND($H71 &gt; 0, ISNUMBER($H71))</formula>
    </cfRule>
    <cfRule type="expression" dxfId="2643" priority="116">
      <formula>AND($H71 = 0 * ISNUMBER($H71))</formula>
    </cfRule>
    <cfRule type="expression" dxfId="2642" priority="117">
      <formula>AND($H71 &lt; 0, ISNUMBER($H71))</formula>
    </cfRule>
  </conditionalFormatting>
  <conditionalFormatting sqref="A71:C90 J71:L90">
    <cfRule type="expression" dxfId="2641" priority="112">
      <formula>AND($K71 &gt; 0, ISNUMBER($K71))</formula>
    </cfRule>
    <cfRule type="expression" dxfId="2640" priority="113">
      <formula>AND($K71 = 0 * ISNUMBER($K71))</formula>
    </cfRule>
    <cfRule type="expression" dxfId="2639" priority="114">
      <formula>AND($K71 &lt; 0, ISNUMBER($K71))</formula>
    </cfRule>
  </conditionalFormatting>
  <conditionalFormatting sqref="D69:F70 E91:F91">
    <cfRule type="expression" dxfId="2638" priority="106">
      <formula>$E$91 &gt; 0</formula>
    </cfRule>
    <cfRule type="expression" dxfId="2637" priority="107">
      <formula>$E$91 = 0</formula>
    </cfRule>
    <cfRule type="expression" dxfId="2636" priority="108">
      <formula>$E$91 &lt; 0</formula>
    </cfRule>
  </conditionalFormatting>
  <conditionalFormatting sqref="G69:I70 H91:I91">
    <cfRule type="expression" dxfId="2635" priority="103">
      <formula>$H$91 &gt; 0</formula>
    </cfRule>
    <cfRule type="expression" dxfId="2634" priority="104">
      <formula>$H$91 = 0</formula>
    </cfRule>
    <cfRule type="expression" dxfId="2633" priority="105">
      <formula>$H$91 &lt; 0</formula>
    </cfRule>
  </conditionalFormatting>
  <conditionalFormatting sqref="J69:L70 K91:L91">
    <cfRule type="expression" dxfId="2632" priority="100">
      <formula>$K$91 &gt; 0</formula>
    </cfRule>
    <cfRule type="expression" dxfId="2631" priority="101">
      <formula>$K$91 = 0</formula>
    </cfRule>
    <cfRule type="expression" dxfId="2630" priority="102">
      <formula>$K$91 &lt; 0</formula>
    </cfRule>
  </conditionalFormatting>
  <conditionalFormatting sqref="M69:O70 N91:O91">
    <cfRule type="expression" dxfId="2629" priority="97">
      <formula>$N$91 &gt; 0</formula>
    </cfRule>
    <cfRule type="expression" dxfId="2628" priority="98">
      <formula>$N$91 = 0</formula>
    </cfRule>
    <cfRule type="expression" dxfId="2627" priority="99">
      <formula>$N$91 &lt; 0</formula>
    </cfRule>
  </conditionalFormatting>
  <conditionalFormatting sqref="A98:C117 M98:O117">
    <cfRule type="expression" dxfId="2626" priority="85">
      <formula>AND($N98 &gt; 0, ISNUMBER($N98))</formula>
    </cfRule>
    <cfRule type="expression" dxfId="2625" priority="86">
      <formula>AND($N98 = 0 * ISNUMBER($N98))</formula>
    </cfRule>
    <cfRule type="expression" dxfId="2624" priority="87">
      <formula>AND($N98 &lt; 0, ISNUMBER($N98))</formula>
    </cfRule>
  </conditionalFormatting>
  <conditionalFormatting sqref="A98:F117">
    <cfRule type="expression" dxfId="2623" priority="94">
      <formula>AND($E98 &gt; 0, ISNUMBER($E98))</formula>
    </cfRule>
    <cfRule type="expression" dxfId="2622" priority="95">
      <formula>AND($E98 = 0 * ISNUMBER($E98))</formula>
    </cfRule>
    <cfRule type="expression" dxfId="2621" priority="96">
      <formula>AND($E98 &lt; 0, ISNUMBER($E98))</formula>
    </cfRule>
  </conditionalFormatting>
  <conditionalFormatting sqref="A98:C117 G98:I117">
    <cfRule type="expression" dxfId="2620" priority="91">
      <formula>AND($H98 &gt; 0, ISNUMBER($H98))</formula>
    </cfRule>
    <cfRule type="expression" dxfId="2619" priority="92">
      <formula>AND($H98 = 0 * ISNUMBER($H98))</formula>
    </cfRule>
    <cfRule type="expression" dxfId="2618" priority="93">
      <formula>AND($H98 &lt; 0, ISNUMBER($H98))</formula>
    </cfRule>
  </conditionalFormatting>
  <conditionalFormatting sqref="A98:C117 J98:L117">
    <cfRule type="expression" dxfId="2617" priority="88">
      <formula>AND($K98 &gt; 0, ISNUMBER($K98))</formula>
    </cfRule>
    <cfRule type="expression" dxfId="2616" priority="89">
      <formula>AND($K98 = 0 * ISNUMBER($K98))</formula>
    </cfRule>
    <cfRule type="expression" dxfId="2615" priority="90">
      <formula>AND($K98 &lt; 0, ISNUMBER($K98))</formula>
    </cfRule>
  </conditionalFormatting>
  <conditionalFormatting sqref="D96:F97 E118:F118">
    <cfRule type="expression" dxfId="2614" priority="82">
      <formula>$E$118 &gt; 0</formula>
    </cfRule>
    <cfRule type="expression" dxfId="2613" priority="83">
      <formula>$E$118 = 0</formula>
    </cfRule>
    <cfRule type="expression" dxfId="2612" priority="84">
      <formula>$E$118 &lt; 0</formula>
    </cfRule>
  </conditionalFormatting>
  <conditionalFormatting sqref="G96:I97 H118:I118">
    <cfRule type="expression" dxfId="2611" priority="79">
      <formula>$H$118 &gt; 0</formula>
    </cfRule>
    <cfRule type="expression" dxfId="2610" priority="80">
      <formula>$H$118 = 0</formula>
    </cfRule>
    <cfRule type="expression" dxfId="2609" priority="81">
      <formula>$H$118 &lt; 0</formula>
    </cfRule>
  </conditionalFormatting>
  <conditionalFormatting sqref="J96:L97 K118:L118">
    <cfRule type="expression" dxfId="2608" priority="76">
      <formula>$K$118 &gt; 0</formula>
    </cfRule>
    <cfRule type="expression" dxfId="2607" priority="77">
      <formula>$K$118 = 0</formula>
    </cfRule>
    <cfRule type="expression" dxfId="2606" priority="78">
      <formula>$K$118 &lt; 0</formula>
    </cfRule>
  </conditionalFormatting>
  <conditionalFormatting sqref="M96:O97 N118:O118">
    <cfRule type="expression" dxfId="2605" priority="73">
      <formula>$N$118 &gt; 0</formula>
    </cfRule>
    <cfRule type="expression" dxfId="2604" priority="74">
      <formula>$N$118 = 0</formula>
    </cfRule>
    <cfRule type="expression" dxfId="2603" priority="75">
      <formula>$N$118 &lt; 0</formula>
    </cfRule>
  </conditionalFormatting>
  <conditionalFormatting sqref="A125:C144 M125:O144">
    <cfRule type="expression" dxfId="2602" priority="61">
      <formula>AND($N125 &gt; 0, ISNUMBER($N125))</formula>
    </cfRule>
    <cfRule type="expression" dxfId="2601" priority="62">
      <formula>AND($N125 = 0 * ISNUMBER($N125))</formula>
    </cfRule>
    <cfRule type="expression" dxfId="2600" priority="63">
      <formula>AND($N125 &lt; 0, ISNUMBER($N125))</formula>
    </cfRule>
  </conditionalFormatting>
  <conditionalFormatting sqref="A125:F144">
    <cfRule type="expression" dxfId="2599" priority="70">
      <formula>AND($E125 &gt; 0, ISNUMBER($E125))</formula>
    </cfRule>
    <cfRule type="expression" dxfId="2598" priority="71">
      <formula>AND($E125 = 0 * ISNUMBER($E125))</formula>
    </cfRule>
    <cfRule type="expression" dxfId="2597" priority="72">
      <formula>AND($E125 &lt; 0, ISNUMBER($E125))</formula>
    </cfRule>
  </conditionalFormatting>
  <conditionalFormatting sqref="A125:C144 G125:I144">
    <cfRule type="expression" dxfId="2596" priority="67">
      <formula>AND($H125 &gt; 0, ISNUMBER($H125))</formula>
    </cfRule>
    <cfRule type="expression" dxfId="2595" priority="68">
      <formula>AND($H125 = 0 * ISNUMBER($H125))</formula>
    </cfRule>
    <cfRule type="expression" dxfId="2594" priority="69">
      <formula>AND($H125 &lt; 0, ISNUMBER($H125))</formula>
    </cfRule>
  </conditionalFormatting>
  <conditionalFormatting sqref="A125:C144 J125:L144">
    <cfRule type="expression" dxfId="2593" priority="64">
      <formula>AND($K125 &gt; 0, ISNUMBER($K125))</formula>
    </cfRule>
    <cfRule type="expression" dxfId="2592" priority="65">
      <formula>AND($K125 = 0 * ISNUMBER($K125))</formula>
    </cfRule>
    <cfRule type="expression" dxfId="2591" priority="66">
      <formula>AND($K125 &lt; 0, ISNUMBER($K125))</formula>
    </cfRule>
  </conditionalFormatting>
  <conditionalFormatting sqref="D123:F124 E145:F145">
    <cfRule type="expression" dxfId="2590" priority="58">
      <formula>$E$145 &gt; 0</formula>
    </cfRule>
    <cfRule type="expression" dxfId="2589" priority="59">
      <formula>$E$145 = 0</formula>
    </cfRule>
    <cfRule type="expression" dxfId="2588" priority="60">
      <formula>$E$145 &lt; 0</formula>
    </cfRule>
  </conditionalFormatting>
  <conditionalFormatting sqref="G123:I124 H145:I145">
    <cfRule type="expression" dxfId="2587" priority="55">
      <formula>$H$145 &gt; 0</formula>
    </cfRule>
    <cfRule type="expression" dxfId="2586" priority="56">
      <formula>$H$145 = 0</formula>
    </cfRule>
    <cfRule type="expression" dxfId="2585" priority="57">
      <formula>$H$145 &lt; 0</formula>
    </cfRule>
  </conditionalFormatting>
  <conditionalFormatting sqref="J123:L124 K145:L145">
    <cfRule type="expression" dxfId="2584" priority="52">
      <formula>$K$145 &gt; 0</formula>
    </cfRule>
    <cfRule type="expression" dxfId="2583" priority="53">
      <formula>$K$145 = 0</formula>
    </cfRule>
    <cfRule type="expression" dxfId="2582" priority="54">
      <formula>$K$145 &lt; 0</formula>
    </cfRule>
  </conditionalFormatting>
  <conditionalFormatting sqref="M123:O124 N145:O145">
    <cfRule type="expression" dxfId="2581" priority="49">
      <formula>$N$145 &gt; 0</formula>
    </cfRule>
    <cfRule type="expression" dxfId="2580" priority="50">
      <formula>$N$145 = 0</formula>
    </cfRule>
    <cfRule type="expression" dxfId="2579" priority="51">
      <formula>$N$145 &lt; 0</formula>
    </cfRule>
  </conditionalFormatting>
  <conditionalFormatting sqref="A152:C171 M152:O171">
    <cfRule type="expression" dxfId="2578" priority="37">
      <formula>AND($N152 &gt; 0, ISNUMBER($N152))</formula>
    </cfRule>
    <cfRule type="expression" dxfId="2577" priority="38">
      <formula>AND($N152 = 0 * ISNUMBER($N152))</formula>
    </cfRule>
    <cfRule type="expression" dxfId="2576" priority="39">
      <formula>AND($N152 &lt; 0, ISNUMBER($N152))</formula>
    </cfRule>
  </conditionalFormatting>
  <conditionalFormatting sqref="A152:F171">
    <cfRule type="expression" dxfId="2575" priority="46">
      <formula>AND($E152 &gt; 0, ISNUMBER($E152))</formula>
    </cfRule>
    <cfRule type="expression" dxfId="2574" priority="47">
      <formula>AND($E152 = 0 * ISNUMBER($E152))</formula>
    </cfRule>
    <cfRule type="expression" dxfId="2573" priority="48">
      <formula>AND($E152 &lt; 0, ISNUMBER($E152))</formula>
    </cfRule>
  </conditionalFormatting>
  <conditionalFormatting sqref="A152:C171 G152:I171">
    <cfRule type="expression" dxfId="2572" priority="43">
      <formula>AND($H152 &gt; 0, ISNUMBER($H152))</formula>
    </cfRule>
    <cfRule type="expression" dxfId="2571" priority="44">
      <formula>AND($H152 = 0 * ISNUMBER($H152))</formula>
    </cfRule>
    <cfRule type="expression" dxfId="2570" priority="45">
      <formula>AND($H152 &lt; 0, ISNUMBER($H152))</formula>
    </cfRule>
  </conditionalFormatting>
  <conditionalFormatting sqref="A152:C171 J152:L171">
    <cfRule type="expression" dxfId="2569" priority="40">
      <formula>AND($K152 &gt; 0, ISNUMBER($K152))</formula>
    </cfRule>
    <cfRule type="expression" dxfId="2568" priority="41">
      <formula>AND($K152 = 0 * ISNUMBER($K152))</formula>
    </cfRule>
    <cfRule type="expression" dxfId="2567" priority="42">
      <formula>AND($K152 &lt; 0, ISNUMBER($K152))</formula>
    </cfRule>
  </conditionalFormatting>
  <conditionalFormatting sqref="D150:F151 E172:F172">
    <cfRule type="expression" dxfId="2566" priority="34">
      <formula>$E$172 &gt; 0</formula>
    </cfRule>
    <cfRule type="expression" dxfId="2565" priority="35">
      <formula>$E$172 = 0</formula>
    </cfRule>
    <cfRule type="expression" dxfId="2564" priority="36">
      <formula>$E$172 &lt; 0</formula>
    </cfRule>
  </conditionalFormatting>
  <conditionalFormatting sqref="G150:I151 H172:I172">
    <cfRule type="expression" dxfId="2563" priority="31">
      <formula>$H$172 &gt; 0</formula>
    </cfRule>
    <cfRule type="expression" dxfId="2562" priority="32">
      <formula>$H$172 = 0</formula>
    </cfRule>
    <cfRule type="expression" dxfId="2561" priority="33">
      <formula>$H$172 &lt; 0</formula>
    </cfRule>
  </conditionalFormatting>
  <conditionalFormatting sqref="J150:L151 K172:L172">
    <cfRule type="expression" dxfId="2560" priority="28">
      <formula>$K$172 &gt; 0</formula>
    </cfRule>
    <cfRule type="expression" dxfId="2559" priority="29">
      <formula>$K$172 = 0</formula>
    </cfRule>
    <cfRule type="expression" dxfId="2558" priority="30">
      <formula>$K$172 &lt; 0</formula>
    </cfRule>
  </conditionalFormatting>
  <conditionalFormatting sqref="M150:O151 N172:O172">
    <cfRule type="expression" dxfId="2557" priority="25">
      <formula>$N$172 &gt; 0</formula>
    </cfRule>
    <cfRule type="expression" dxfId="2556" priority="26">
      <formula>$N$172 = 0</formula>
    </cfRule>
    <cfRule type="expression" dxfId="2555" priority="27">
      <formula>$N$172 &lt; 0</formula>
    </cfRule>
  </conditionalFormatting>
  <conditionalFormatting sqref="A179:C198 M179:O198">
    <cfRule type="expression" dxfId="2554" priority="13">
      <formula>AND($N179 &gt; 0, ISNUMBER($N179))</formula>
    </cfRule>
    <cfRule type="expression" dxfId="2553" priority="14">
      <formula>AND($N179 = 0 * ISNUMBER($N179))</formula>
    </cfRule>
    <cfRule type="expression" dxfId="2552" priority="15">
      <formula>AND($N179 &lt; 0, ISNUMBER($N179))</formula>
    </cfRule>
  </conditionalFormatting>
  <conditionalFormatting sqref="A179:F198">
    <cfRule type="expression" dxfId="2551" priority="22">
      <formula>AND($E179 &gt; 0, ISNUMBER($E179))</formula>
    </cfRule>
    <cfRule type="expression" dxfId="2550" priority="23">
      <formula>AND($E179 = 0 * ISNUMBER($E179))</formula>
    </cfRule>
    <cfRule type="expression" dxfId="2549" priority="24">
      <formula>AND($E179 &lt; 0, ISNUMBER($E179))</formula>
    </cfRule>
  </conditionalFormatting>
  <conditionalFormatting sqref="A179:C198 G179:I198">
    <cfRule type="expression" dxfId="2548" priority="19">
      <formula>AND($H179 &gt; 0, ISNUMBER($H179))</formula>
    </cfRule>
    <cfRule type="expression" dxfId="2547" priority="20">
      <formula>AND($H179 = 0 * ISNUMBER($H179))</formula>
    </cfRule>
    <cfRule type="expression" dxfId="2546" priority="21">
      <formula>AND($H179 &lt; 0, ISNUMBER($H179))</formula>
    </cfRule>
  </conditionalFormatting>
  <conditionalFormatting sqref="A179:C198 J179:L198">
    <cfRule type="expression" dxfId="2545" priority="16">
      <formula>AND($K179 &gt; 0, ISNUMBER($K179))</formula>
    </cfRule>
    <cfRule type="expression" dxfId="2544" priority="17">
      <formula>AND($K179 = 0 * ISNUMBER($K179))</formula>
    </cfRule>
    <cfRule type="expression" dxfId="2543" priority="18">
      <formula>AND($K179 &lt; 0, ISNUMBER($K179))</formula>
    </cfRule>
  </conditionalFormatting>
  <conditionalFormatting sqref="D177:F178 E199:F199">
    <cfRule type="expression" dxfId="2542" priority="10">
      <formula>$E$199 &gt; 0</formula>
    </cfRule>
    <cfRule type="expression" dxfId="2541" priority="11">
      <formula>$E$199 = 0</formula>
    </cfRule>
    <cfRule type="expression" dxfId="2540" priority="12">
      <formula>$E$199 &lt; 0</formula>
    </cfRule>
  </conditionalFormatting>
  <conditionalFormatting sqref="G177:I178 H199:I199">
    <cfRule type="expression" dxfId="2539" priority="7">
      <formula>$H$199 &gt; 0</formula>
    </cfRule>
    <cfRule type="expression" dxfId="2538" priority="8">
      <formula>$H$199 = 0</formula>
    </cfRule>
    <cfRule type="expression" dxfId="2537" priority="9">
      <formula>$H$199 &lt; 0</formula>
    </cfRule>
  </conditionalFormatting>
  <conditionalFormatting sqref="J177:L178 K199:L199">
    <cfRule type="expression" dxfId="2536" priority="4">
      <formula>$K$199 &gt; 0</formula>
    </cfRule>
    <cfRule type="expression" dxfId="2535" priority="5">
      <formula>$K$199 = 0</formula>
    </cfRule>
    <cfRule type="expression" dxfId="2534" priority="6">
      <formula>$K$199 &lt; 0</formula>
    </cfRule>
  </conditionalFormatting>
  <conditionalFormatting sqref="M177:O178 N199:O199">
    <cfRule type="expression" dxfId="2533" priority="1">
      <formula>$N$199 &gt; 0</formula>
    </cfRule>
    <cfRule type="expression" dxfId="2532" priority="2">
      <formula>$N$199 = 0</formula>
    </cfRule>
    <cfRule type="expression" dxfId="253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735E8-EAB8-47E1-AAB0-9CF58417F85D}">
  <sheetPr codeName="Sheet10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80">
        <v>44412</v>
      </c>
      <c r="H1" s="281"/>
      <c r="I1" s="282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83" t="s">
        <v>8</v>
      </c>
      <c r="C2" s="284"/>
      <c r="D2" s="284"/>
      <c r="E2" s="284"/>
      <c r="F2" s="285"/>
      <c r="G2" s="277" t="s">
        <v>46</v>
      </c>
      <c r="H2" s="278"/>
      <c r="I2" s="279"/>
      <c r="J2" s="1" t="s">
        <v>3</v>
      </c>
      <c r="K2" s="283" t="s">
        <v>320</v>
      </c>
      <c r="L2" s="284"/>
      <c r="M2" s="284"/>
      <c r="N2" s="284"/>
      <c r="O2" s="285"/>
      <c r="Q2" s="2" t="s">
        <v>6</v>
      </c>
      <c r="R2" s="3">
        <v>0.375</v>
      </c>
    </row>
    <row r="3" spans="1:19" ht="17.25" customHeight="1" thickBot="1">
      <c r="A3" s="118" t="s">
        <v>7</v>
      </c>
      <c r="B3" s="274" t="s">
        <v>328</v>
      </c>
      <c r="C3" s="275"/>
      <c r="D3" s="275"/>
      <c r="E3" s="275"/>
      <c r="F3" s="276"/>
      <c r="G3" s="27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-327 KRW (-0.02%)</v>
      </c>
      <c r="H3" s="271"/>
      <c r="I3" s="272"/>
      <c r="J3" s="4" t="s">
        <v>7</v>
      </c>
      <c r="K3" s="274" t="s">
        <v>321</v>
      </c>
      <c r="L3" s="275"/>
      <c r="M3" s="275"/>
      <c r="N3" s="275"/>
      <c r="O3" s="27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4" t="s">
        <v>16</v>
      </c>
      <c r="C4" s="275"/>
      <c r="D4" s="275"/>
      <c r="E4" s="275"/>
      <c r="F4" s="276"/>
      <c r="G4" s="277" t="s">
        <v>44</v>
      </c>
      <c r="H4" s="278"/>
      <c r="I4" s="279"/>
      <c r="J4" s="4" t="s">
        <v>11</v>
      </c>
      <c r="K4" s="274" t="s">
        <v>322</v>
      </c>
      <c r="L4" s="275"/>
      <c r="M4" s="275"/>
      <c r="N4" s="275"/>
      <c r="O4" s="27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4" t="s">
        <v>319</v>
      </c>
      <c r="C5" s="275"/>
      <c r="D5" s="275"/>
      <c r="E5" s="275"/>
      <c r="F5" s="276"/>
      <c r="G5" s="27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33,329 KRW (1.67%)</v>
      </c>
      <c r="H5" s="271"/>
      <c r="I5" s="272"/>
      <c r="J5" s="4" t="s">
        <v>15</v>
      </c>
      <c r="K5" s="274" t="s">
        <v>323</v>
      </c>
      <c r="L5" s="275"/>
      <c r="M5" s="275"/>
      <c r="N5" s="275"/>
      <c r="O5" s="276"/>
    </row>
    <row r="6" spans="1:19">
      <c r="A6" s="118" t="s">
        <v>18</v>
      </c>
      <c r="B6" s="274"/>
      <c r="C6" s="275"/>
      <c r="D6" s="275"/>
      <c r="E6" s="275"/>
      <c r="F6" s="276"/>
      <c r="G6" s="277" t="s">
        <v>45</v>
      </c>
      <c r="H6" s="278"/>
      <c r="I6" s="279"/>
      <c r="J6" s="4" t="s">
        <v>18</v>
      </c>
      <c r="K6" s="274" t="s">
        <v>324</v>
      </c>
      <c r="L6" s="275"/>
      <c r="M6" s="275"/>
      <c r="N6" s="275"/>
      <c r="O6" s="276"/>
    </row>
    <row r="7" spans="1:19" ht="17.25" thickBot="1">
      <c r="A7" s="118" t="s">
        <v>21</v>
      </c>
      <c r="B7" s="274"/>
      <c r="C7" s="275"/>
      <c r="D7" s="275"/>
      <c r="E7" s="275"/>
      <c r="F7" s="276"/>
      <c r="G7" s="27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2,986 KRW (0.15%)</v>
      </c>
      <c r="H7" s="271"/>
      <c r="I7" s="272"/>
      <c r="J7" s="4" t="s">
        <v>21</v>
      </c>
      <c r="K7" s="274" t="s">
        <v>325</v>
      </c>
      <c r="L7" s="275"/>
      <c r="M7" s="275"/>
      <c r="N7" s="275"/>
      <c r="O7" s="276"/>
    </row>
    <row r="8" spans="1:19" ht="17.25" thickBot="1">
      <c r="A8" s="118" t="s">
        <v>24</v>
      </c>
      <c r="B8" s="274"/>
      <c r="C8" s="275"/>
      <c r="D8" s="275"/>
      <c r="E8" s="275"/>
      <c r="F8" s="276"/>
      <c r="G8" s="277" t="s">
        <v>255</v>
      </c>
      <c r="H8" s="278"/>
      <c r="I8" s="279"/>
      <c r="J8" s="4" t="s">
        <v>24</v>
      </c>
      <c r="K8" s="274"/>
      <c r="L8" s="275"/>
      <c r="M8" s="275"/>
      <c r="N8" s="275"/>
      <c r="O8" s="276"/>
      <c r="Q8" s="249" t="s">
        <v>27</v>
      </c>
      <c r="R8" s="251"/>
    </row>
    <row r="9" spans="1:19" ht="17.25" thickBot="1">
      <c r="A9" s="118" t="s">
        <v>28</v>
      </c>
      <c r="B9" s="274"/>
      <c r="C9" s="275"/>
      <c r="D9" s="275"/>
      <c r="E9" s="275"/>
      <c r="F9" s="276"/>
      <c r="G9" s="27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13,118 KRW (0.66%)</v>
      </c>
      <c r="H9" s="271"/>
      <c r="I9" s="272"/>
      <c r="J9" s="4" t="s">
        <v>28</v>
      </c>
      <c r="K9" s="274"/>
      <c r="L9" s="275"/>
      <c r="M9" s="275"/>
      <c r="N9" s="275"/>
      <c r="O9" s="276"/>
      <c r="Q9" s="2" t="s">
        <v>29</v>
      </c>
      <c r="R9" s="6">
        <v>10</v>
      </c>
    </row>
    <row r="10" spans="1:19">
      <c r="A10" s="118" t="s">
        <v>30</v>
      </c>
      <c r="B10" s="274"/>
      <c r="C10" s="275"/>
      <c r="D10" s="275"/>
      <c r="E10" s="275"/>
      <c r="F10" s="276"/>
      <c r="G10" s="277" t="s">
        <v>47</v>
      </c>
      <c r="H10" s="278"/>
      <c r="I10" s="279"/>
      <c r="J10" s="4" t="s">
        <v>30</v>
      </c>
      <c r="K10" s="274" t="s">
        <v>326</v>
      </c>
      <c r="L10" s="275"/>
      <c r="M10" s="275"/>
      <c r="N10" s="275"/>
      <c r="O10" s="276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7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1"/>
      <c r="I11" s="272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48"/>
      <c r="R13" s="248"/>
      <c r="S13" s="248"/>
    </row>
    <row r="14" spans="1:19" ht="17.25" customHeight="1" thickBot="1">
      <c r="A14" s="169" t="s">
        <v>35</v>
      </c>
      <c r="B14" s="249" t="s">
        <v>36</v>
      </c>
      <c r="C14" s="251"/>
      <c r="D14" s="249" t="s">
        <v>37</v>
      </c>
      <c r="E14" s="250"/>
      <c r="F14" s="251"/>
      <c r="G14" s="252">
        <f>_xlfn.IFNA(VLOOKUP(B14, 현재가테이블!$B$2:$D$200, 2, FALSE), "-")</f>
        <v>54440000</v>
      </c>
      <c r="H14" s="253"/>
      <c r="I14" s="254"/>
      <c r="J14" s="249" t="s">
        <v>38</v>
      </c>
      <c r="K14" s="250"/>
      <c r="L14" s="251"/>
      <c r="M14" s="255">
        <f>_xlfn.IFNA(VLOOKUP(B14, 현재가테이블!$B$2:$D$200, 3, FALSE), "-")</f>
        <v>1.07123628E-2</v>
      </c>
      <c r="N14" s="256"/>
      <c r="O14" s="257"/>
      <c r="Q14" s="248"/>
      <c r="R14" s="248"/>
      <c r="S14" s="248"/>
    </row>
    <row r="15" spans="1:19" ht="17.25" customHeight="1" thickBot="1">
      <c r="A15" s="286" t="s">
        <v>39</v>
      </c>
      <c r="B15" s="287" t="str">
        <f>TEXT($G$1, "[$-ko-KR]yyyy-mm-dd(ddd) ") &amp; "오전 00:00"</f>
        <v>2021-08-04(수) 오전 00:00</v>
      </c>
      <c r="C15" s="288"/>
      <c r="D15" s="262" t="str">
        <f>TEXT($G$1, "[$-ko-KR]yyyy-mm-dd(ddd) ") &amp; "오후 14:00"</f>
        <v>2021-08-04(수) 오후 14:00</v>
      </c>
      <c r="E15" s="263"/>
      <c r="F15" s="264"/>
      <c r="G15" s="262" t="str">
        <f>TEXT($G$1, "[$-ko-KR]yyyy-mm-dd(ddd) ") &amp; "오후 19:00"</f>
        <v>2021-08-04(수) 오후 19:00</v>
      </c>
      <c r="H15" s="263"/>
      <c r="I15" s="264"/>
      <c r="J15" s="262" t="str">
        <f>TEXT($G$1, "[$-ko-KR]yyyy-mm-dd(ddd) ") &amp; "오후 21:00"</f>
        <v>2021-08-04(수) 오후 21:00</v>
      </c>
      <c r="K15" s="263"/>
      <c r="L15" s="264"/>
      <c r="M15" s="262" t="str">
        <f>TEXT($G$1+1, "[$-ko-KR]yyyy-mm-dd(ddd) ") &amp; "오전 00:00"</f>
        <v>2021-08-05(목) 오전 00:00</v>
      </c>
      <c r="N15" s="263"/>
      <c r="O15" s="264"/>
      <c r="Q15" s="248"/>
      <c r="R15" s="248"/>
      <c r="S15" s="248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8"/>
      <c r="R17" s="248"/>
      <c r="S17" s="24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8"/>
      <c r="R18" s="248"/>
      <c r="S18" s="24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8"/>
      <c r="R19" s="238"/>
      <c r="S19" s="23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8"/>
      <c r="R20" s="238"/>
      <c r="S20" s="23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8"/>
      <c r="R21" s="238"/>
      <c r="S21" s="23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8"/>
      <c r="R22" s="238"/>
      <c r="S22" s="23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8"/>
      <c r="R23" s="238"/>
      <c r="S23" s="23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8"/>
      <c r="R24" s="238"/>
      <c r="S24" s="23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9"/>
      <c r="R26" s="240"/>
      <c r="S26" s="24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2"/>
      <c r="R27" s="243"/>
      <c r="S27" s="24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5"/>
      <c r="R28" s="246"/>
      <c r="S28" s="24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8"/>
      <c r="R29" s="238"/>
      <c r="S29" s="23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8"/>
      <c r="R30" s="248"/>
      <c r="S30" s="24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8"/>
      <c r="R31" s="248"/>
      <c r="S31" s="24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8"/>
      <c r="R32" s="238"/>
      <c r="S32" s="23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7"/>
      <c r="R35" s="228"/>
      <c r="S35" s="22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0"/>
      <c r="R36" s="231"/>
      <c r="S36" s="232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3"/>
      <c r="R37" s="234"/>
      <c r="S37" s="23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48"/>
      <c r="R40" s="248"/>
      <c r="S40" s="248"/>
    </row>
    <row r="41" spans="1:19" ht="17.25" customHeight="1" thickBot="1">
      <c r="A41" s="169" t="s">
        <v>267</v>
      </c>
      <c r="B41" s="249" t="s">
        <v>49</v>
      </c>
      <c r="C41" s="251"/>
      <c r="D41" s="249" t="s">
        <v>58</v>
      </c>
      <c r="E41" s="250"/>
      <c r="F41" s="251"/>
      <c r="G41" s="252">
        <f>_xlfn.IFNA(VLOOKUP(B41, 현재가테이블!$B$2:$D$200, 2, FALSE), "-")</f>
        <v>54440000</v>
      </c>
      <c r="H41" s="253"/>
      <c r="I41" s="254"/>
      <c r="J41" s="249" t="s">
        <v>59</v>
      </c>
      <c r="K41" s="250"/>
      <c r="L41" s="251"/>
      <c r="M41" s="255">
        <f>_xlfn.IFNA(VLOOKUP(B41, 현재가테이블!$B$2:$D$200, 3, FALSE), "-")</f>
        <v>1.07123628E-2</v>
      </c>
      <c r="N41" s="256"/>
      <c r="O41" s="257"/>
      <c r="Q41" s="248"/>
      <c r="R41" s="248"/>
      <c r="S41" s="248"/>
    </row>
    <row r="42" spans="1:19" ht="17.25" customHeight="1" thickBot="1">
      <c r="A42" s="293" t="s">
        <v>55</v>
      </c>
      <c r="B42" s="289" t="str">
        <f>TEXT($G$1, "[$-ko-KR]yyyy-mm-dd(ddd) ") &amp; "오전 00:00"</f>
        <v>2021-08-04(수) 오전 00:00</v>
      </c>
      <c r="C42" s="290"/>
      <c r="D42" s="262" t="str">
        <f>TEXT($G$1, "[$-ko-KR]yyyy-mm-dd(ddd) ") &amp; "오후 14:00"</f>
        <v>2021-08-04(수) 오후 14:00</v>
      </c>
      <c r="E42" s="263"/>
      <c r="F42" s="264"/>
      <c r="G42" s="262" t="str">
        <f>TEXT($G$1, "[$-ko-KR]yyyy-mm-dd(ddd) ") &amp; "오후 19:00"</f>
        <v>2021-08-04(수) 오후 19:00</v>
      </c>
      <c r="H42" s="263"/>
      <c r="I42" s="264"/>
      <c r="J42" s="262" t="str">
        <f>TEXT($G$1, "[$-ko-KR]yyyy-mm-dd(ddd) ") &amp; "오후 21:00"</f>
        <v>2021-08-04(수) 오후 21:00</v>
      </c>
      <c r="K42" s="263"/>
      <c r="L42" s="264"/>
      <c r="M42" s="262" t="str">
        <f>TEXT($G$1+1, "[$-ko-KR]yyyy-mm-dd(ddd) ") &amp; "오전 00:00"</f>
        <v>2021-08-05(목) 오전 00:00</v>
      </c>
      <c r="N42" s="263"/>
      <c r="O42" s="264"/>
      <c r="Q42" s="248"/>
      <c r="R42" s="248"/>
      <c r="S42" s="248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8"/>
      <c r="R43" s="238"/>
      <c r="S43" s="238"/>
    </row>
    <row r="44" spans="1:19" ht="17.25" customHeight="1" thickBot="1">
      <c r="A44" s="123" t="s">
        <v>202</v>
      </c>
      <c r="B44" s="124">
        <v>67.400000000000006</v>
      </c>
      <c r="C44" s="76">
        <v>4.0123456799999999E-2</v>
      </c>
      <c r="D44" s="13">
        <v>65.2</v>
      </c>
      <c r="E44" s="14">
        <f>IF(ISNUMBER(D44), (D44 - $B44) / $B44, "")</f>
        <v>-3.264094955489618E-2</v>
      </c>
      <c r="F44" s="16">
        <f>IF(ISNUMBER(D44), $B64 * E44, "")</f>
        <v>-3264.0949554896179</v>
      </c>
      <c r="G44" s="29">
        <v>65.3</v>
      </c>
      <c r="H44" s="14">
        <f>IF(ISNUMBER(G44), (G44 - $B44) / $B44, "")</f>
        <v>-3.1157270029673716E-2</v>
      </c>
      <c r="I44" s="100">
        <f>IF(ISNUMBER(G44), $B64 * H44, "")</f>
        <v>-3115.7270029673714</v>
      </c>
      <c r="J44" s="13">
        <v>65.599999999999994</v>
      </c>
      <c r="K44" s="14">
        <f>IF(ISNUMBER(J44), (J44 - $B44) / $B44, "")</f>
        <v>-2.67062314540061E-2</v>
      </c>
      <c r="L44" s="16">
        <f>IF(ISNUMBER(J44), $B64 * K44, "")</f>
        <v>-2670.6231454006102</v>
      </c>
      <c r="M44" s="29">
        <v>67.8</v>
      </c>
      <c r="N44" s="14">
        <f>IF(ISNUMBER(M44), (M44 - $B44) / $B44, "")</f>
        <v>5.9347181008900804E-3</v>
      </c>
      <c r="O44" s="16">
        <f>IF(ISNUMBER(M44), $B64 * N44, "")</f>
        <v>593.47181008900804</v>
      </c>
      <c r="Q44" s="248"/>
      <c r="R44" s="248"/>
      <c r="S44" s="248"/>
    </row>
    <row r="45" spans="1:19" ht="17.25" customHeight="1" thickBot="1">
      <c r="A45" s="125" t="s">
        <v>240</v>
      </c>
      <c r="B45" s="126">
        <v>58.9</v>
      </c>
      <c r="C45" s="77">
        <v>1.3769363200000001E-2</v>
      </c>
      <c r="D45" s="15">
        <v>57.7</v>
      </c>
      <c r="E45" s="32">
        <f t="shared" ref="E45:E48" si="14">IF(ISNUMBER(D45), (D45 - $B45) / $B45, "")</f>
        <v>-2.0373514431239317E-2</v>
      </c>
      <c r="F45" s="18">
        <f>IF(ISNUMBER(D45), $B64 * E45, "")</f>
        <v>-2037.3514431239316</v>
      </c>
      <c r="G45" s="31">
        <v>57.5</v>
      </c>
      <c r="H45" s="32">
        <f t="shared" ref="H45:H48" si="15">IF(ISNUMBER(G45), (G45 - $B45) / $B45, "")</f>
        <v>-2.3769100169779265E-2</v>
      </c>
      <c r="I45" s="101">
        <f>IF(ISNUMBER(G45), $B64 * H45, "")</f>
        <v>-2376.9100169779267</v>
      </c>
      <c r="J45" s="15">
        <v>57.9</v>
      </c>
      <c r="K45" s="32">
        <f t="shared" ref="K45:K48" si="16">IF(ISNUMBER(J45), (J45 - $B45) / $B45, "")</f>
        <v>-1.6977928692699491E-2</v>
      </c>
      <c r="L45" s="18">
        <f>IF(ISNUMBER(J45), $B64 * K45, "")</f>
        <v>-1697.7928692699491</v>
      </c>
      <c r="M45" s="31">
        <v>58.5</v>
      </c>
      <c r="N45" s="32">
        <f t="shared" ref="N45:N48" si="17">IF(ISNUMBER(M45), (M45 - $B45) / $B45, "")</f>
        <v>-6.7911714770797719E-3</v>
      </c>
      <c r="O45" s="18">
        <f>IF(ISNUMBER(M45), $B64 * N45, "")</f>
        <v>-679.11714770797721</v>
      </c>
      <c r="Q45" s="248"/>
      <c r="R45" s="248"/>
      <c r="S45" s="248"/>
    </row>
    <row r="46" spans="1:19" ht="17.25" customHeight="1" thickBot="1">
      <c r="A46" s="125" t="s">
        <v>190</v>
      </c>
      <c r="B46" s="126">
        <v>15.6</v>
      </c>
      <c r="C46" s="77">
        <v>1.2987013E-2</v>
      </c>
      <c r="D46" s="15">
        <v>15.6</v>
      </c>
      <c r="E46" s="32">
        <f t="shared" si="14"/>
        <v>0</v>
      </c>
      <c r="F46" s="18">
        <f>IF(ISNUMBER(D46), $B64 * E46, "")</f>
        <v>0</v>
      </c>
      <c r="G46" s="31">
        <v>15.3</v>
      </c>
      <c r="H46" s="32">
        <f t="shared" si="15"/>
        <v>-1.9230769230769162E-2</v>
      </c>
      <c r="I46" s="101">
        <f>IF(ISNUMBER(G46), $B64 * H46, "")</f>
        <v>-1923.0769230769163</v>
      </c>
      <c r="J46" s="15">
        <v>15.5</v>
      </c>
      <c r="K46" s="32">
        <f t="shared" si="16"/>
        <v>-6.4102564102563875E-3</v>
      </c>
      <c r="L46" s="18">
        <f>IF(ISNUMBER(J46), $B64 * K46, "")</f>
        <v>-641.02564102563872</v>
      </c>
      <c r="M46" s="31">
        <v>15.6</v>
      </c>
      <c r="N46" s="32">
        <f t="shared" si="17"/>
        <v>0</v>
      </c>
      <c r="O46" s="18">
        <f>IF(ISNUMBER(M46), $B64 * N46, "")</f>
        <v>0</v>
      </c>
      <c r="Q46" s="238"/>
      <c r="R46" s="238"/>
      <c r="S46" s="238"/>
    </row>
    <row r="47" spans="1:19" ht="17.25" customHeight="1" thickBot="1">
      <c r="A47" s="125" t="s">
        <v>98</v>
      </c>
      <c r="B47" s="126">
        <v>3.38</v>
      </c>
      <c r="C47" s="77">
        <v>1.19760479E-2</v>
      </c>
      <c r="D47" s="15">
        <v>3.5</v>
      </c>
      <c r="E47" s="32">
        <f t="shared" si="14"/>
        <v>3.5502958579881692E-2</v>
      </c>
      <c r="F47" s="18">
        <f>IF(ISNUMBER(D47), $B64 * E47, "")</f>
        <v>3550.2958579881692</v>
      </c>
      <c r="G47" s="31">
        <v>3.47</v>
      </c>
      <c r="H47" s="32">
        <f t="shared" si="15"/>
        <v>2.6627218934911333E-2</v>
      </c>
      <c r="I47" s="101">
        <f>IF(ISNUMBER(G47), $B64 * H47, "")</f>
        <v>2662.7218934911334</v>
      </c>
      <c r="J47" s="15">
        <v>3.54</v>
      </c>
      <c r="K47" s="32">
        <f t="shared" si="16"/>
        <v>4.7337278106508916E-2</v>
      </c>
      <c r="L47" s="18">
        <f>IF(ISNUMBER(J47), $B64 * K47, "")</f>
        <v>4733.727810650892</v>
      </c>
      <c r="M47" s="31">
        <v>3.67</v>
      </c>
      <c r="N47" s="32">
        <f t="shared" si="17"/>
        <v>8.5798816568047345E-2</v>
      </c>
      <c r="O47" s="18">
        <f>IF(ISNUMBER(M47), $B64 * N47, "")</f>
        <v>8579.881656804735</v>
      </c>
      <c r="Q47" s="238"/>
      <c r="R47" s="238"/>
      <c r="S47" s="238"/>
    </row>
    <row r="48" spans="1:19" ht="17.25" customHeight="1" thickBot="1">
      <c r="A48" s="127" t="s">
        <v>152</v>
      </c>
      <c r="B48" s="128">
        <v>75.400000000000006</v>
      </c>
      <c r="C48" s="78">
        <v>2.6595744999999998E-3</v>
      </c>
      <c r="D48" s="20">
        <v>75.5</v>
      </c>
      <c r="E48" s="21">
        <f t="shared" si="14"/>
        <v>1.3262599469495266E-3</v>
      </c>
      <c r="F48" s="22">
        <f>IF(ISNUMBER(D48), $B64 * E48, "")</f>
        <v>132.62599469495265</v>
      </c>
      <c r="G48" s="30">
        <v>75.400000000000006</v>
      </c>
      <c r="H48" s="21">
        <f t="shared" si="15"/>
        <v>0</v>
      </c>
      <c r="I48" s="105">
        <f>IF(ISNUMBER(G48), $B64 * H48, "")</f>
        <v>0</v>
      </c>
      <c r="J48" s="20">
        <v>76.5</v>
      </c>
      <c r="K48" s="21">
        <f t="shared" si="16"/>
        <v>1.4588859416445547E-2</v>
      </c>
      <c r="L48" s="22">
        <f>IF(ISNUMBER(J48), $B64 * K48, "")</f>
        <v>1458.8859416445548</v>
      </c>
      <c r="M48" s="30">
        <v>78.3</v>
      </c>
      <c r="N48" s="21">
        <f t="shared" si="17"/>
        <v>3.8461538461538346E-2</v>
      </c>
      <c r="O48" s="22">
        <f>IF(ISNUMBER(M48), $B64 * N48, "")</f>
        <v>3846.1538461538344</v>
      </c>
      <c r="Q48" s="238"/>
      <c r="R48" s="238"/>
      <c r="S48" s="238"/>
    </row>
    <row r="49" spans="1:19" ht="17.25" customHeight="1" thickBot="1">
      <c r="A49" s="125" t="s">
        <v>234</v>
      </c>
      <c r="B49" s="129">
        <v>63.7</v>
      </c>
      <c r="C49" s="80">
        <v>0</v>
      </c>
      <c r="D49" s="106">
        <v>62.7</v>
      </c>
      <c r="E49" s="107">
        <f>IF(ISNUMBER(D49), (D49 - $B49) / $B49, "")</f>
        <v>-1.5698587127158554E-2</v>
      </c>
      <c r="F49" s="108">
        <f>IF(ISNUMBER(D49), $B64 * E49, "")</f>
        <v>-1569.8587127158555</v>
      </c>
      <c r="G49" s="109">
        <v>61.7</v>
      </c>
      <c r="H49" s="107">
        <f>IF(ISNUMBER(G49), (G49 - $B49) / $B49, "")</f>
        <v>-3.1397174254317109E-2</v>
      </c>
      <c r="I49" s="110">
        <f>IF(ISNUMBER(G49), $B64 * H49, "")</f>
        <v>-3139.717425431711</v>
      </c>
      <c r="J49" s="106">
        <v>62.3</v>
      </c>
      <c r="K49" s="107">
        <f>IF(ISNUMBER(J49), (J49 - $B49) / $B49, "")</f>
        <v>-2.1978021978022066E-2</v>
      </c>
      <c r="L49" s="108">
        <f>IF(ISNUMBER(J49), $B64 * K49, "")</f>
        <v>-2197.8021978022066</v>
      </c>
      <c r="M49" s="109">
        <v>63.2</v>
      </c>
      <c r="N49" s="107">
        <f>IF(ISNUMBER(M49), (M49 - $B49) / $B49, "")</f>
        <v>-7.8492935635792772E-3</v>
      </c>
      <c r="O49" s="108">
        <f>IF(ISNUMBER(M49), $B64 * N49, "")</f>
        <v>-784.92935635792776</v>
      </c>
      <c r="Q49" s="238"/>
      <c r="R49" s="238"/>
      <c r="S49" s="238"/>
    </row>
    <row r="50" spans="1:19" ht="17.25" customHeight="1" thickBot="1">
      <c r="A50" s="125" t="s">
        <v>128</v>
      </c>
      <c r="B50" s="126">
        <v>99.8</v>
      </c>
      <c r="C50" s="77">
        <v>-2E-3</v>
      </c>
      <c r="D50" s="15">
        <v>99.7</v>
      </c>
      <c r="E50" s="32">
        <f t="shared" ref="E50:E53" si="18">IF(ISNUMBER(D50), (D50 - $B50) / $B50, "")</f>
        <v>-1.0020040080159752E-3</v>
      </c>
      <c r="F50" s="18">
        <f>IF(ISNUMBER(D50), $B64 * E50, "")</f>
        <v>-100.20040080159751</v>
      </c>
      <c r="G50" s="31">
        <v>99.1</v>
      </c>
      <c r="H50" s="32">
        <f t="shared" ref="H50:H53" si="19">IF(ISNUMBER(G50), (G50 - $B50) / $B50, "")</f>
        <v>-7.0140280561122531E-3</v>
      </c>
      <c r="I50" s="101">
        <f>IF(ISNUMBER(G50), $B64 * H50, "")</f>
        <v>-701.40280561122529</v>
      </c>
      <c r="J50" s="15">
        <v>100</v>
      </c>
      <c r="K50" s="32">
        <f t="shared" ref="K50:K53" si="20">IF(ISNUMBER(J50), (J50 - $B50) / $B50, "")</f>
        <v>2.0040080160320926E-3</v>
      </c>
      <c r="L50" s="18">
        <f>IF(ISNUMBER(J50), $B64 * K50, "")</f>
        <v>200.40080160320926</v>
      </c>
      <c r="M50" s="31">
        <v>103</v>
      </c>
      <c r="N50" s="32">
        <f t="shared" ref="N50:N53" si="21">IF(ISNUMBER(M50), (M50 - $B50) / $B50, "")</f>
        <v>3.2064128256513058E-2</v>
      </c>
      <c r="O50" s="18">
        <f>IF(ISNUMBER(M50), $B64 * N50, "")</f>
        <v>3206.4128256513059</v>
      </c>
      <c r="Q50" s="238"/>
      <c r="R50" s="238"/>
      <c r="S50" s="238"/>
    </row>
    <row r="51" spans="1:19" ht="17.25" customHeight="1" thickBot="1">
      <c r="A51" s="125" t="s">
        <v>188</v>
      </c>
      <c r="B51" s="126">
        <v>11</v>
      </c>
      <c r="C51" s="77">
        <v>-1.7857142900000001E-2</v>
      </c>
      <c r="D51" s="15">
        <v>10.9</v>
      </c>
      <c r="E51" s="32">
        <f t="shared" si="18"/>
        <v>-9.0909090909090592E-3</v>
      </c>
      <c r="F51" s="18">
        <f>IF(ISNUMBER(D51), $B64 * E51, "")</f>
        <v>-909.09090909090594</v>
      </c>
      <c r="G51" s="31">
        <v>10.8</v>
      </c>
      <c r="H51" s="32">
        <f t="shared" si="19"/>
        <v>-1.8181818181818118E-2</v>
      </c>
      <c r="I51" s="101">
        <f>IF(ISNUMBER(G51), $B64 * H51, "")</f>
        <v>-1818.1818181818119</v>
      </c>
      <c r="J51" s="15">
        <v>10.9</v>
      </c>
      <c r="K51" s="32">
        <f t="shared" si="20"/>
        <v>-9.0909090909090592E-3</v>
      </c>
      <c r="L51" s="18">
        <f>IF(ISNUMBER(J51), $B64 * K51, "")</f>
        <v>-909.09090909090594</v>
      </c>
      <c r="M51" s="31">
        <v>11.1</v>
      </c>
      <c r="N51" s="32">
        <f t="shared" si="21"/>
        <v>9.0909090909090592E-3</v>
      </c>
      <c r="O51" s="18">
        <f>IF(ISNUMBER(M51), $B64 * N51, "")</f>
        <v>909.09090909090594</v>
      </c>
      <c r="Q51" s="238"/>
      <c r="R51" s="238"/>
      <c r="S51" s="238"/>
    </row>
    <row r="52" spans="1:19" ht="17.25" customHeight="1" thickBot="1">
      <c r="A52" s="125" t="s">
        <v>178</v>
      </c>
      <c r="B52" s="126">
        <v>14.8</v>
      </c>
      <c r="C52" s="77">
        <v>-2.6315789499999999E-2</v>
      </c>
      <c r="D52" s="15">
        <v>15.1</v>
      </c>
      <c r="E52" s="32">
        <f t="shared" si="18"/>
        <v>2.0270270270270199E-2</v>
      </c>
      <c r="F52" s="18">
        <f>IF(ISNUMBER(D52), $B64 * E52, "")</f>
        <v>2027.0270270270198</v>
      </c>
      <c r="G52" s="31">
        <v>14.8</v>
      </c>
      <c r="H52" s="32">
        <f t="shared" si="19"/>
        <v>0</v>
      </c>
      <c r="I52" s="101">
        <f>IF(ISNUMBER(G52), $B64 * H52, "")</f>
        <v>0</v>
      </c>
      <c r="J52" s="15">
        <v>14.9</v>
      </c>
      <c r="K52" s="32">
        <f t="shared" si="20"/>
        <v>6.7567567567567328E-3</v>
      </c>
      <c r="L52" s="18">
        <f>IF(ISNUMBER(J52), $B64 * K52, "")</f>
        <v>675.67567567567323</v>
      </c>
      <c r="M52" s="31">
        <v>15.1</v>
      </c>
      <c r="N52" s="32">
        <f t="shared" si="21"/>
        <v>2.0270270270270199E-2</v>
      </c>
      <c r="O52" s="18">
        <f>IF(ISNUMBER(M52), $B64 * N52, "")</f>
        <v>2027.0270270270198</v>
      </c>
      <c r="Q52" s="33"/>
      <c r="R52" s="33"/>
    </row>
    <row r="53" spans="1:19" ht="17.25" customHeight="1" thickBot="1">
      <c r="A53" s="130" t="s">
        <v>132</v>
      </c>
      <c r="B53" s="131">
        <v>91.7</v>
      </c>
      <c r="C53" s="79">
        <v>-3.1678986300000003E-2</v>
      </c>
      <c r="D53" s="24">
        <v>91.5</v>
      </c>
      <c r="E53" s="25">
        <f t="shared" si="18"/>
        <v>-2.1810250817884715E-3</v>
      </c>
      <c r="F53" s="104">
        <f>IF(ISNUMBER(D53), $B64 * E53, "")</f>
        <v>-218.10250817884716</v>
      </c>
      <c r="G53" s="102">
        <v>90.6</v>
      </c>
      <c r="H53" s="25">
        <f t="shared" si="19"/>
        <v>-1.1995637949836515E-2</v>
      </c>
      <c r="I53" s="103">
        <f>IF(ISNUMBER(G53), $B64 * H53, "")</f>
        <v>-1199.5637949836514</v>
      </c>
      <c r="J53" s="24">
        <v>90.9</v>
      </c>
      <c r="K53" s="25">
        <f t="shared" si="20"/>
        <v>-8.7241003271537314E-3</v>
      </c>
      <c r="L53" s="104">
        <f>IF(ISNUMBER(J53), $B64 * K53, "")</f>
        <v>-872.41003271537318</v>
      </c>
      <c r="M53" s="102">
        <v>93.4</v>
      </c>
      <c r="N53" s="25">
        <f t="shared" si="21"/>
        <v>1.8538713195201777E-2</v>
      </c>
      <c r="O53" s="104">
        <f>IF(ISNUMBER(M53), $B64 * N53, "")</f>
        <v>1853.8713195201776</v>
      </c>
      <c r="Q53" s="239"/>
      <c r="R53" s="240"/>
      <c r="S53" s="241"/>
    </row>
    <row r="54" spans="1:19" ht="17.25" customHeight="1">
      <c r="A54" s="123" t="s">
        <v>130</v>
      </c>
      <c r="B54" s="124">
        <v>89.9</v>
      </c>
      <c r="C54" s="76">
        <v>-3.2292787900000001E-2</v>
      </c>
      <c r="D54" s="13">
        <v>89.8</v>
      </c>
      <c r="E54" s="14">
        <f>IF(ISNUMBER(D54), (D54 - $B54) / $B54, "")</f>
        <v>-1.1123470522804062E-3</v>
      </c>
      <c r="F54" s="16">
        <f>IF(ISNUMBER(D54), $B64 * E54, "")</f>
        <v>-111.23470522804062</v>
      </c>
      <c r="G54" s="29">
        <v>89.1</v>
      </c>
      <c r="H54" s="14">
        <f>IF(ISNUMBER(G54), (G54 - $B54) / $B54, "")</f>
        <v>-8.8987764182426182E-3</v>
      </c>
      <c r="I54" s="100">
        <f>IF(ISNUMBER(G54), $B64 * H54, "")</f>
        <v>-889.87764182426179</v>
      </c>
      <c r="J54" s="13">
        <v>89.8</v>
      </c>
      <c r="K54" s="14">
        <f>IF(ISNUMBER(J54), (J54 - $B54) / $B54, "")</f>
        <v>-1.1123470522804062E-3</v>
      </c>
      <c r="L54" s="16">
        <f>IF(ISNUMBER(J54), $B64 * K54, "")</f>
        <v>-111.23470522804062</v>
      </c>
      <c r="M54" s="29">
        <v>90.7</v>
      </c>
      <c r="N54" s="14">
        <f>IF(ISNUMBER(M54), (M54 - $B54) / $B54, "")</f>
        <v>8.8987764182424586E-3</v>
      </c>
      <c r="O54" s="16">
        <f>IF(ISNUMBER(M54), $B64 * N54, "")</f>
        <v>889.87764182424587</v>
      </c>
      <c r="Q54" s="242"/>
      <c r="R54" s="243"/>
      <c r="S54" s="244"/>
    </row>
    <row r="55" spans="1:19" ht="17.25" customHeight="1" thickBot="1">
      <c r="A55" s="125" t="s">
        <v>216</v>
      </c>
      <c r="B55" s="126">
        <v>9.08</v>
      </c>
      <c r="C55" s="77">
        <v>-3.4042553199999999E-2</v>
      </c>
      <c r="D55" s="15">
        <v>9.06</v>
      </c>
      <c r="E55" s="32">
        <f t="shared" ref="E55:E58" si="22">IF(ISNUMBER(D55), (D55 - $B55) / $B55, "")</f>
        <v>-2.2026431718061203E-3</v>
      </c>
      <c r="F55" s="18">
        <f>IF(ISNUMBER(D55), $B64 * E55, "")</f>
        <v>-220.26431718061204</v>
      </c>
      <c r="G55" s="31">
        <v>9</v>
      </c>
      <c r="H55" s="32">
        <f t="shared" ref="H55:H58" si="23">IF(ISNUMBER(G55), (G55 - $B55) / $B55, "")</f>
        <v>-8.8105726872246774E-3</v>
      </c>
      <c r="I55" s="101">
        <f>IF(ISNUMBER(G55), $B64 * H55, "")</f>
        <v>-881.05726872246771</v>
      </c>
      <c r="J55" s="15">
        <v>9.0399999999999991</v>
      </c>
      <c r="K55" s="32">
        <f t="shared" ref="K55:K58" si="24">IF(ISNUMBER(J55), (J55 - $B55) / $B55, "")</f>
        <v>-4.4052863436124367E-3</v>
      </c>
      <c r="L55" s="18">
        <f>IF(ISNUMBER(J55), $B64 * K55, "")</f>
        <v>-440.52863436124369</v>
      </c>
      <c r="M55" s="31">
        <v>9.18</v>
      </c>
      <c r="N55" s="32">
        <f t="shared" ref="N55:N58" si="25">IF(ISNUMBER(M55), (M55 - $B55) / $B55, "")</f>
        <v>1.1013215859030798E-2</v>
      </c>
      <c r="O55" s="18">
        <f>IF(ISNUMBER(M55), $B64 * N55, "")</f>
        <v>1101.3215859030797</v>
      </c>
      <c r="Q55" s="245"/>
      <c r="R55" s="246"/>
      <c r="S55" s="247"/>
    </row>
    <row r="56" spans="1:19" ht="17.25" customHeight="1" thickBot="1">
      <c r="A56" s="125" t="s">
        <v>250</v>
      </c>
      <c r="B56" s="126">
        <v>59.1</v>
      </c>
      <c r="C56" s="77">
        <v>-3.4313725500000003E-2</v>
      </c>
      <c r="D56" s="15">
        <v>59.2</v>
      </c>
      <c r="E56" s="32">
        <f t="shared" si="22"/>
        <v>1.6920473773265892E-3</v>
      </c>
      <c r="F56" s="18">
        <f>IF(ISNUMBER(D56), $B64 * E56, "")</f>
        <v>169.20473773265891</v>
      </c>
      <c r="G56" s="31">
        <v>58.2</v>
      </c>
      <c r="H56" s="32">
        <f t="shared" si="23"/>
        <v>-1.5228426395939063E-2</v>
      </c>
      <c r="I56" s="101">
        <f>IF(ISNUMBER(G56), $B64 * H56, "")</f>
        <v>-1522.8426395939061</v>
      </c>
      <c r="J56" s="15">
        <v>59.2</v>
      </c>
      <c r="K56" s="32">
        <f t="shared" si="24"/>
        <v>1.6920473773265892E-3</v>
      </c>
      <c r="L56" s="18">
        <f>IF(ISNUMBER(J56), $B64 * K56, "")</f>
        <v>169.20473773265891</v>
      </c>
      <c r="M56" s="31">
        <v>60.8</v>
      </c>
      <c r="N56" s="32">
        <f t="shared" si="25"/>
        <v>2.8764805414551533E-2</v>
      </c>
      <c r="O56" s="18">
        <f>IF(ISNUMBER(M56), $B64 * N56, "")</f>
        <v>2876.4805414551533</v>
      </c>
      <c r="Q56" s="238"/>
      <c r="R56" s="238"/>
      <c r="S56" s="238"/>
    </row>
    <row r="57" spans="1:19" ht="17.25" customHeight="1" thickBot="1">
      <c r="A57" s="125" t="s">
        <v>210</v>
      </c>
      <c r="B57" s="126">
        <v>10.3</v>
      </c>
      <c r="C57" s="77">
        <v>-3.7383177599999998E-2</v>
      </c>
      <c r="D57" s="15">
        <v>10.5</v>
      </c>
      <c r="E57" s="32">
        <f t="shared" si="22"/>
        <v>1.9417475728155269E-2</v>
      </c>
      <c r="F57" s="18">
        <f>IF(ISNUMBER(D57), $B64 * E57, "")</f>
        <v>1941.7475728155268</v>
      </c>
      <c r="G57" s="31">
        <v>10.3</v>
      </c>
      <c r="H57" s="32">
        <f t="shared" si="23"/>
        <v>0</v>
      </c>
      <c r="I57" s="101">
        <f>IF(ISNUMBER(G57), $B64 * H57, "")</f>
        <v>0</v>
      </c>
      <c r="J57" s="15">
        <v>10.3</v>
      </c>
      <c r="K57" s="32">
        <f t="shared" si="24"/>
        <v>0</v>
      </c>
      <c r="L57" s="18">
        <f>IF(ISNUMBER(J57), $B64 * K57, "")</f>
        <v>0</v>
      </c>
      <c r="M57" s="31">
        <v>10.5</v>
      </c>
      <c r="N57" s="32">
        <f t="shared" si="25"/>
        <v>1.9417475728155269E-2</v>
      </c>
      <c r="O57" s="18">
        <f>IF(ISNUMBER(M57), $B64 * N57, "")</f>
        <v>1941.7475728155268</v>
      </c>
      <c r="Q57" s="248"/>
      <c r="R57" s="248"/>
      <c r="S57" s="248"/>
    </row>
    <row r="58" spans="1:19" ht="17.25" customHeight="1" thickBot="1">
      <c r="A58" s="127" t="s">
        <v>72</v>
      </c>
      <c r="B58" s="128">
        <v>20.399999999999999</v>
      </c>
      <c r="C58" s="78">
        <v>-3.7735849100000003E-2</v>
      </c>
      <c r="D58" s="20">
        <v>20.2</v>
      </c>
      <c r="E58" s="21">
        <f t="shared" si="22"/>
        <v>-9.8039215686274161E-3</v>
      </c>
      <c r="F58" s="22">
        <f>IF(ISNUMBER(D58), $B64 * E58, "")</f>
        <v>-980.39215686274156</v>
      </c>
      <c r="G58" s="30">
        <v>20.100000000000001</v>
      </c>
      <c r="H58" s="21">
        <f t="shared" si="23"/>
        <v>-1.4705882352941037E-2</v>
      </c>
      <c r="I58" s="105">
        <f>IF(ISNUMBER(G58), $B64 * H58, "")</f>
        <v>-1470.5882352941037</v>
      </c>
      <c r="J58" s="20">
        <v>20.100000000000001</v>
      </c>
      <c r="K58" s="21">
        <f t="shared" si="24"/>
        <v>-1.4705882352941037E-2</v>
      </c>
      <c r="L58" s="22">
        <f>IF(ISNUMBER(J58), $B64 * K58, "")</f>
        <v>-1470.5882352941037</v>
      </c>
      <c r="M58" s="30">
        <v>20.5</v>
      </c>
      <c r="N58" s="21">
        <f t="shared" si="25"/>
        <v>4.9019607843137957E-3</v>
      </c>
      <c r="O58" s="22">
        <f>IF(ISNUMBER(M58), $B64 * N58, "")</f>
        <v>490.19607843137959</v>
      </c>
      <c r="Q58" s="248"/>
      <c r="R58" s="248"/>
      <c r="S58" s="248"/>
    </row>
    <row r="59" spans="1:19" ht="17.25" customHeight="1" thickBot="1">
      <c r="A59" s="125" t="s">
        <v>204</v>
      </c>
      <c r="B59" s="129">
        <v>12.4</v>
      </c>
      <c r="C59" s="80">
        <v>-3.8759689899999998E-2</v>
      </c>
      <c r="D59" s="106">
        <v>12.2</v>
      </c>
      <c r="E59" s="107">
        <f>IF(ISNUMBER(D59), (D59 - $B59) / $B59, "")</f>
        <v>-1.6129032258064602E-2</v>
      </c>
      <c r="F59" s="108">
        <f>IF(ISNUMBER(D59), $B64 * E59, "")</f>
        <v>-1612.9032258064603</v>
      </c>
      <c r="G59" s="109">
        <v>11.9</v>
      </c>
      <c r="H59" s="107">
        <f>IF(ISNUMBER(G59), (G59 - $B59) / $B59, "")</f>
        <v>-4.0322580645161289E-2</v>
      </c>
      <c r="I59" s="110">
        <f>IF(ISNUMBER(G59), $B64 * H59, "")</f>
        <v>-4032.2580645161288</v>
      </c>
      <c r="J59" s="106">
        <v>12.1</v>
      </c>
      <c r="K59" s="107">
        <f>IF(ISNUMBER(J59), (J59 - $B59) / $B59, "")</f>
        <v>-2.4193548387096833E-2</v>
      </c>
      <c r="L59" s="108">
        <f>IF(ISNUMBER(J59), $B64 * K59, "")</f>
        <v>-2419.3548387096835</v>
      </c>
      <c r="M59" s="109">
        <v>12.3</v>
      </c>
      <c r="N59" s="107">
        <f>IF(ISNUMBER(M59), (M59 - $B59) / $B59, "")</f>
        <v>-8.0645161290322284E-3</v>
      </c>
      <c r="O59" s="108">
        <f>IF(ISNUMBER(M59), $B64 * N59, "")</f>
        <v>-806.45161290322278</v>
      </c>
      <c r="Q59" s="238"/>
      <c r="R59" s="238"/>
      <c r="S59" s="238"/>
    </row>
    <row r="60" spans="1:19" ht="17.25" customHeight="1" thickBot="1">
      <c r="A60" s="125" t="s">
        <v>122</v>
      </c>
      <c r="B60" s="126">
        <v>24.8</v>
      </c>
      <c r="C60" s="77">
        <v>-3.8759689899999998E-2</v>
      </c>
      <c r="D60" s="15">
        <v>24.6</v>
      </c>
      <c r="E60" s="32">
        <f t="shared" ref="E60:E63" si="26">IF(ISNUMBER(D60), (D60 - $B60) / $B60, "")</f>
        <v>-8.0645161290322284E-3</v>
      </c>
      <c r="F60" s="18">
        <f>IF(ISNUMBER(D60), $B64 * E60, "")</f>
        <v>-806.45161290322278</v>
      </c>
      <c r="G60" s="31">
        <v>24.3</v>
      </c>
      <c r="H60" s="32">
        <f t="shared" ref="H60:H63" si="27">IF(ISNUMBER(G60), (G60 - $B60) / $B60, "")</f>
        <v>-2.0161290322580645E-2</v>
      </c>
      <c r="I60" s="101">
        <f>IF(ISNUMBER(G60), $B64 * H60, "")</f>
        <v>-2016.1290322580644</v>
      </c>
      <c r="J60" s="15">
        <v>24.6</v>
      </c>
      <c r="K60" s="32">
        <f t="shared" ref="K60:K63" si="28">IF(ISNUMBER(J60), (J60 - $B60) / $B60, "")</f>
        <v>-8.0645161290322284E-3</v>
      </c>
      <c r="L60" s="18">
        <f>IF(ISNUMBER(J60), $B64 * K60, "")</f>
        <v>-806.45161290322278</v>
      </c>
      <c r="M60" s="31">
        <v>25.2</v>
      </c>
      <c r="N60" s="32">
        <f t="shared" ref="N60:N63" si="29">IF(ISNUMBER(M60), (M60 - $B60) / $B60, "")</f>
        <v>1.6129032258064457E-2</v>
      </c>
      <c r="O60" s="18">
        <f>IF(ISNUMBER(M60), $B64 * N60, "")</f>
        <v>1612.9032258064456</v>
      </c>
      <c r="Q60" s="238"/>
      <c r="R60" s="238"/>
      <c r="S60" s="238"/>
    </row>
    <row r="61" spans="1:19" ht="17.25" customHeight="1" thickBot="1">
      <c r="A61" s="125" t="s">
        <v>162</v>
      </c>
      <c r="B61" s="126">
        <v>91.2</v>
      </c>
      <c r="C61" s="77">
        <v>-4.2016806699999999E-2</v>
      </c>
      <c r="D61" s="15">
        <v>91</v>
      </c>
      <c r="E61" s="32">
        <f t="shared" si="26"/>
        <v>-2.192982456140382E-3</v>
      </c>
      <c r="F61" s="18">
        <f>IF(ISNUMBER(D61), $B64 * E61, "")</f>
        <v>-219.29824561403819</v>
      </c>
      <c r="G61" s="31">
        <v>89.7</v>
      </c>
      <c r="H61" s="32">
        <f t="shared" si="27"/>
        <v>-1.6447368421052631E-2</v>
      </c>
      <c r="I61" s="101">
        <f>IF(ISNUMBER(G61), $B64 * H61, "")</f>
        <v>-1644.7368421052631</v>
      </c>
      <c r="J61" s="15">
        <v>90.3</v>
      </c>
      <c r="K61" s="32">
        <f t="shared" si="28"/>
        <v>-9.8684210526316408E-3</v>
      </c>
      <c r="L61" s="18">
        <f>IF(ISNUMBER(J61), $B64 * K61, "")</f>
        <v>-986.84210526316406</v>
      </c>
      <c r="M61" s="31">
        <v>91.9</v>
      </c>
      <c r="N61" s="32">
        <f t="shared" si="29"/>
        <v>7.6754385964912589E-3</v>
      </c>
      <c r="O61" s="18">
        <f>IF(ISNUMBER(M61), $B64 * N61, "")</f>
        <v>767.54385964912592</v>
      </c>
      <c r="Q61" s="238"/>
      <c r="R61" s="238"/>
      <c r="S61" s="238"/>
    </row>
    <row r="62" spans="1:19" ht="17.25" customHeight="1">
      <c r="A62" s="125" t="s">
        <v>148</v>
      </c>
      <c r="B62" s="126">
        <v>17.600000000000001</v>
      </c>
      <c r="C62" s="77">
        <v>-4.3478260900000003E-2</v>
      </c>
      <c r="D62" s="15">
        <v>17.899999999999999</v>
      </c>
      <c r="E62" s="32">
        <f t="shared" si="26"/>
        <v>1.7045454545454381E-2</v>
      </c>
      <c r="F62" s="18">
        <f>IF(ISNUMBER(D62), $B64 * E62, "")</f>
        <v>1704.5454545454381</v>
      </c>
      <c r="G62" s="31">
        <v>17.7</v>
      </c>
      <c r="H62" s="32">
        <f t="shared" si="27"/>
        <v>5.6818181818180605E-3</v>
      </c>
      <c r="I62" s="101">
        <f>IF(ISNUMBER(G62), $B64 * H62, "")</f>
        <v>568.18181818180608</v>
      </c>
      <c r="J62" s="15">
        <v>18</v>
      </c>
      <c r="K62" s="32">
        <f t="shared" si="28"/>
        <v>2.2727272727272645E-2</v>
      </c>
      <c r="L62" s="18">
        <f>IF(ISNUMBER(J62), $B64 * K62, "")</f>
        <v>2272.7272727272643</v>
      </c>
      <c r="M62" s="31">
        <v>18.3</v>
      </c>
      <c r="N62" s="32">
        <f t="shared" si="29"/>
        <v>3.977272727272723E-2</v>
      </c>
      <c r="O62" s="18">
        <f>IF(ISNUMBER(M62), $B64 * N62, "")</f>
        <v>3977.2727272727229</v>
      </c>
      <c r="Q62" s="227"/>
      <c r="R62" s="228"/>
      <c r="S62" s="229"/>
    </row>
    <row r="63" spans="1:19" ht="17.25" customHeight="1" thickBot="1">
      <c r="A63" s="130" t="s">
        <v>208</v>
      </c>
      <c r="B63" s="131">
        <v>10.8</v>
      </c>
      <c r="C63" s="79">
        <v>-4.4247787599999998E-2</v>
      </c>
      <c r="D63" s="24">
        <v>10.7</v>
      </c>
      <c r="E63" s="25">
        <f t="shared" si="26"/>
        <v>-9.2592592592593906E-3</v>
      </c>
      <c r="F63" s="104">
        <f>IF(ISNUMBER(D63), $B64 * E63, "")</f>
        <v>-925.92592592593905</v>
      </c>
      <c r="G63" s="102">
        <v>10.5</v>
      </c>
      <c r="H63" s="25">
        <f t="shared" si="27"/>
        <v>-2.7777777777777842E-2</v>
      </c>
      <c r="I63" s="103">
        <f>IF(ISNUMBER(G63), $B64 * H63, "")</f>
        <v>-2777.7777777777842</v>
      </c>
      <c r="J63" s="24">
        <v>10.7</v>
      </c>
      <c r="K63" s="25">
        <f t="shared" si="28"/>
        <v>-9.2592592592593906E-3</v>
      </c>
      <c r="L63" s="104">
        <f>IF(ISNUMBER(J63), $B64 * K63, "")</f>
        <v>-925.92592592593905</v>
      </c>
      <c r="M63" s="102">
        <v>10.9</v>
      </c>
      <c r="N63" s="25">
        <f t="shared" si="29"/>
        <v>9.2592592592592258E-3</v>
      </c>
      <c r="O63" s="104">
        <f>IF(ISNUMBER(M63), $B64 * N63, "")</f>
        <v>925.92592592592257</v>
      </c>
      <c r="Q63" s="230"/>
      <c r="R63" s="231"/>
      <c r="S63" s="232"/>
    </row>
    <row r="64" spans="1:19" ht="17.25" customHeight="1" thickBot="1">
      <c r="A64" s="132" t="s">
        <v>270</v>
      </c>
      <c r="B64" s="291">
        <f>$B$37</f>
        <v>100000</v>
      </c>
      <c r="C64" s="292"/>
      <c r="D64" s="26" t="s">
        <v>271</v>
      </c>
      <c r="E64" s="27">
        <f>IF(COUNT(E44:E63), SUM(E44:E63) / COUNT(E44:E63), 0)</f>
        <v>-1.7248612370590222E-3</v>
      </c>
      <c r="F64" s="28">
        <f>SUM(F44:F63)</f>
        <v>-3449.7224741180453</v>
      </c>
      <c r="G64" s="26" t="s">
        <v>271</v>
      </c>
      <c r="H64" s="27">
        <f>IF(COUNT(H44:H63), SUM(H44:H63) / COUNT(H44:H63), 0)</f>
        <v>-1.3139471788824828E-2</v>
      </c>
      <c r="I64" s="28">
        <f>SUM(I44:I63)</f>
        <v>-26278.943577649658</v>
      </c>
      <c r="J64" s="26" t="s">
        <v>271</v>
      </c>
      <c r="K64" s="27">
        <f>IF(COUNT(K44:K63), SUM(K44:K63) / COUNT(K44:K63), 0)</f>
        <v>-3.3195243064779141E-3</v>
      </c>
      <c r="L64" s="28">
        <f>SUM(L44:L63)</f>
        <v>-6639.0486129558276</v>
      </c>
      <c r="M64" s="26" t="s">
        <v>271</v>
      </c>
      <c r="N64" s="27">
        <f>IF(COUNT(N44:N63), SUM(N44:N63) / COUNT(N44:N63), 0)</f>
        <v>1.6664340218225732E-2</v>
      </c>
      <c r="O64" s="28">
        <f>SUM(O44:O63)</f>
        <v>33328.680436451461</v>
      </c>
      <c r="Q64" s="233"/>
      <c r="R64" s="234"/>
      <c r="S64" s="23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48"/>
      <c r="R67" s="248"/>
      <c r="S67" s="248"/>
    </row>
    <row r="68" spans="1:19" ht="17.25" thickBot="1">
      <c r="A68" s="169" t="s">
        <v>267</v>
      </c>
      <c r="B68" s="249" t="s">
        <v>49</v>
      </c>
      <c r="C68" s="251"/>
      <c r="D68" s="249" t="s">
        <v>58</v>
      </c>
      <c r="E68" s="250"/>
      <c r="F68" s="251"/>
      <c r="G68" s="252">
        <f>_xlfn.IFNA(VLOOKUP(B68, 현재가테이블!$B$2:$D$200, 2, FALSE), "-")</f>
        <v>54440000</v>
      </c>
      <c r="H68" s="253"/>
      <c r="I68" s="254"/>
      <c r="J68" s="249" t="s">
        <v>59</v>
      </c>
      <c r="K68" s="250"/>
      <c r="L68" s="251"/>
      <c r="M68" s="255">
        <f>_xlfn.IFNA(VLOOKUP(B68, 현재가테이블!$B$2:$D$200, 3, FALSE), "-")</f>
        <v>1.07123628E-2</v>
      </c>
      <c r="N68" s="256"/>
      <c r="O68" s="257"/>
      <c r="Q68" s="248"/>
      <c r="R68" s="248"/>
      <c r="S68" s="248"/>
    </row>
    <row r="69" spans="1:19" ht="17.25" thickBot="1">
      <c r="A69" s="293" t="s">
        <v>55</v>
      </c>
      <c r="B69" s="289" t="str">
        <f>TEXT($G$1, "[$-ko-KR]yyyy-mm-dd(ddd) ") &amp; "오전 00:00"</f>
        <v>2021-08-04(수) 오전 00:00</v>
      </c>
      <c r="C69" s="290"/>
      <c r="D69" s="262" t="str">
        <f>TEXT($G$1, "[$-ko-KR]yyyy-mm-dd(ddd) ") &amp; "오후 14:00"</f>
        <v>2021-08-04(수) 오후 14:00</v>
      </c>
      <c r="E69" s="263"/>
      <c r="F69" s="264"/>
      <c r="G69" s="262" t="str">
        <f>TEXT($G$1, "[$-ko-KR]yyyy-mm-dd(ddd) ") &amp; "오후 19:00"</f>
        <v>2021-08-04(수) 오후 19:00</v>
      </c>
      <c r="H69" s="263"/>
      <c r="I69" s="264"/>
      <c r="J69" s="262" t="str">
        <f>TEXT($G$1, "[$-ko-KR]yyyy-mm-dd(ddd) ") &amp; "오후 21:00"</f>
        <v>2021-08-04(수) 오후 21:00</v>
      </c>
      <c r="K69" s="263"/>
      <c r="L69" s="264"/>
      <c r="M69" s="262" t="str">
        <f>TEXT($G$1+1, "[$-ko-KR]yyyy-mm-dd(ddd) ") &amp; "오전 00:00"</f>
        <v>2021-08-05(목) 오전 00:00</v>
      </c>
      <c r="N69" s="263"/>
      <c r="O69" s="264"/>
      <c r="Q69" s="248"/>
      <c r="R69" s="248"/>
      <c r="S69" s="248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8"/>
      <c r="R70" s="238"/>
      <c r="S70" s="238"/>
    </row>
    <row r="71" spans="1:19" ht="17.25" thickBot="1">
      <c r="A71" s="123" t="s">
        <v>54</v>
      </c>
      <c r="B71" s="124">
        <v>253</v>
      </c>
      <c r="C71" s="76">
        <v>4.11522634E-2</v>
      </c>
      <c r="D71" s="13">
        <v>248</v>
      </c>
      <c r="E71" s="14">
        <f>IF(ISNUMBER(D71), (D71 - $B71) / $B71, "")</f>
        <v>-1.9762845849802372E-2</v>
      </c>
      <c r="F71" s="16">
        <f>IF(ISNUMBER(D71), $B91 * E71, "")</f>
        <v>-1976.2845849802372</v>
      </c>
      <c r="G71" s="29">
        <v>243</v>
      </c>
      <c r="H71" s="14">
        <f>IF(ISNUMBER(G71), (G71 - $B71) / $B71, "")</f>
        <v>-3.9525691699604744E-2</v>
      </c>
      <c r="I71" s="100">
        <f>IF(ISNUMBER(G71), $B91 * H71, "")</f>
        <v>-3952.5691699604745</v>
      </c>
      <c r="J71" s="13">
        <v>247</v>
      </c>
      <c r="K71" s="14">
        <f>IF(ISNUMBER(J71), (J71 - $B71) / $B71, "")</f>
        <v>-2.3715415019762844E-2</v>
      </c>
      <c r="L71" s="16">
        <f>IF(ISNUMBER(J71), $B91 * K71, "")</f>
        <v>-2371.5415019762845</v>
      </c>
      <c r="M71" s="29">
        <v>247</v>
      </c>
      <c r="N71" s="14">
        <f>IF(ISNUMBER(M71), (M71 - $B71) / $B71, "")</f>
        <v>-2.3715415019762844E-2</v>
      </c>
      <c r="O71" s="16">
        <f>IF(ISNUMBER(M71), $B91 * N71, "")</f>
        <v>-2371.5415019762845</v>
      </c>
      <c r="Q71" s="248"/>
      <c r="R71" s="248"/>
      <c r="S71" s="248"/>
    </row>
    <row r="72" spans="1:19" ht="17.25" thickBot="1">
      <c r="A72" s="125" t="s">
        <v>252</v>
      </c>
      <c r="B72" s="126">
        <v>931</v>
      </c>
      <c r="C72" s="77">
        <v>3.7904124900000002E-2</v>
      </c>
      <c r="D72" s="15">
        <v>892</v>
      </c>
      <c r="E72" s="32">
        <f t="shared" ref="E72:E75" si="30">IF(ISNUMBER(D72), (D72 - $B72) / $B72, "")</f>
        <v>-4.1890440386680987E-2</v>
      </c>
      <c r="F72" s="18">
        <f>IF(ISNUMBER(D72), $B91 * E72, "")</f>
        <v>-4189.0440386680984</v>
      </c>
      <c r="G72" s="31">
        <v>881</v>
      </c>
      <c r="H72" s="32">
        <f t="shared" ref="H72:H75" si="31">IF(ISNUMBER(G72), (G72 - $B72) / $B72, "")</f>
        <v>-5.3705692803437163E-2</v>
      </c>
      <c r="I72" s="101">
        <f>IF(ISNUMBER(G72), $B91 * H72, "")</f>
        <v>-5370.5692803437159</v>
      </c>
      <c r="J72" s="15">
        <v>887</v>
      </c>
      <c r="K72" s="32">
        <f t="shared" ref="K72:K75" si="32">IF(ISNUMBER(J72), (J72 - $B72) / $B72, "")</f>
        <v>-4.7261009667024706E-2</v>
      </c>
      <c r="L72" s="18">
        <f>IF(ISNUMBER(J72), $B91 * K72, "")</f>
        <v>-4726.1009667024709</v>
      </c>
      <c r="M72" s="31">
        <v>896</v>
      </c>
      <c r="N72" s="32">
        <f t="shared" ref="N72:N75" si="33">IF(ISNUMBER(M72), (M72 - $B72) / $B72, "")</f>
        <v>-3.7593984962406013E-2</v>
      </c>
      <c r="O72" s="18">
        <f>IF(ISNUMBER(M72), $B91 * N72, "")</f>
        <v>-3759.3984962406012</v>
      </c>
      <c r="Q72" s="248"/>
      <c r="R72" s="248"/>
      <c r="S72" s="248"/>
    </row>
    <row r="73" spans="1:19" ht="17.25" thickBot="1">
      <c r="A73" s="125" t="s">
        <v>104</v>
      </c>
      <c r="B73" s="126">
        <v>976</v>
      </c>
      <c r="C73" s="77">
        <v>2.7368421099999998E-2</v>
      </c>
      <c r="D73" s="15">
        <v>971</v>
      </c>
      <c r="E73" s="32">
        <f t="shared" si="30"/>
        <v>-5.1229508196721308E-3</v>
      </c>
      <c r="F73" s="18">
        <f>IF(ISNUMBER(D73), $B91 * E73, "")</f>
        <v>-512.29508196721304</v>
      </c>
      <c r="G73" s="31">
        <v>976</v>
      </c>
      <c r="H73" s="32">
        <f t="shared" si="31"/>
        <v>0</v>
      </c>
      <c r="I73" s="101">
        <f>IF(ISNUMBER(G73), $B91 * H73, "")</f>
        <v>0</v>
      </c>
      <c r="J73" s="15">
        <v>992</v>
      </c>
      <c r="K73" s="32">
        <f t="shared" si="32"/>
        <v>1.6393442622950821E-2</v>
      </c>
      <c r="L73" s="18">
        <f>IF(ISNUMBER(J73), $B91 * K73, "")</f>
        <v>1639.344262295082</v>
      </c>
      <c r="M73" s="31">
        <v>992</v>
      </c>
      <c r="N73" s="32">
        <f t="shared" si="33"/>
        <v>1.6393442622950821E-2</v>
      </c>
      <c r="O73" s="18">
        <f>IF(ISNUMBER(M73), $B91 * N73, "")</f>
        <v>1639.344262295082</v>
      </c>
      <c r="Q73" s="238"/>
      <c r="R73" s="238"/>
      <c r="S73" s="238"/>
    </row>
    <row r="74" spans="1:19" ht="17.25" thickBot="1">
      <c r="A74" s="125" t="s">
        <v>61</v>
      </c>
      <c r="B74" s="126">
        <v>810</v>
      </c>
      <c r="C74" s="77">
        <v>1.12359551E-2</v>
      </c>
      <c r="D74" s="15">
        <v>802</v>
      </c>
      <c r="E74" s="32">
        <f t="shared" si="30"/>
        <v>-9.876543209876543E-3</v>
      </c>
      <c r="F74" s="18">
        <f>IF(ISNUMBER(D74), $B91 * E74, "")</f>
        <v>-987.65432098765427</v>
      </c>
      <c r="G74" s="31">
        <v>811</v>
      </c>
      <c r="H74" s="32">
        <f t="shared" si="31"/>
        <v>1.2345679012345679E-3</v>
      </c>
      <c r="I74" s="101">
        <f>IF(ISNUMBER(G74), $B91 * H74, "")</f>
        <v>123.45679012345678</v>
      </c>
      <c r="J74" s="15">
        <v>820</v>
      </c>
      <c r="K74" s="32">
        <f t="shared" si="32"/>
        <v>1.2345679012345678E-2</v>
      </c>
      <c r="L74" s="18">
        <f>IF(ISNUMBER(J74), $B91 * K74, "")</f>
        <v>1234.5679012345679</v>
      </c>
      <c r="M74" s="31">
        <v>827</v>
      </c>
      <c r="N74" s="32">
        <f t="shared" si="33"/>
        <v>2.0987654320987655E-2</v>
      </c>
      <c r="O74" s="18">
        <f>IF(ISNUMBER(M74), $B91 * N74, "")</f>
        <v>2098.7654320987654</v>
      </c>
      <c r="Q74" s="238"/>
      <c r="R74" s="238"/>
      <c r="S74" s="238"/>
    </row>
    <row r="75" spans="1:19" ht="17.25" thickBot="1">
      <c r="A75" s="127" t="s">
        <v>110</v>
      </c>
      <c r="B75" s="128">
        <v>133</v>
      </c>
      <c r="C75" s="78">
        <v>7.5757576E-3</v>
      </c>
      <c r="D75" s="20">
        <v>131</v>
      </c>
      <c r="E75" s="21">
        <f t="shared" si="30"/>
        <v>-1.5037593984962405E-2</v>
      </c>
      <c r="F75" s="22">
        <f>IF(ISNUMBER(D75), $B91 * E75, "")</f>
        <v>-1503.7593984962405</v>
      </c>
      <c r="G75" s="30">
        <v>127</v>
      </c>
      <c r="H75" s="21">
        <f t="shared" si="31"/>
        <v>-4.5112781954887216E-2</v>
      </c>
      <c r="I75" s="105">
        <f>IF(ISNUMBER(G75), $B91 * H75, "")</f>
        <v>-4511.2781954887214</v>
      </c>
      <c r="J75" s="20">
        <v>129</v>
      </c>
      <c r="K75" s="21">
        <f t="shared" si="32"/>
        <v>-3.007518796992481E-2</v>
      </c>
      <c r="L75" s="22">
        <f>IF(ISNUMBER(J75), $B91 * K75, "")</f>
        <v>-3007.5187969924809</v>
      </c>
      <c r="M75" s="30">
        <v>132</v>
      </c>
      <c r="N75" s="21">
        <f t="shared" si="33"/>
        <v>-7.5187969924812026E-3</v>
      </c>
      <c r="O75" s="22">
        <f>IF(ISNUMBER(M75), $B91 * N75, "")</f>
        <v>-751.87969924812023</v>
      </c>
      <c r="Q75" s="238"/>
      <c r="R75" s="238"/>
      <c r="S75" s="238"/>
    </row>
    <row r="76" spans="1:19" ht="17.25" thickBot="1">
      <c r="A76" s="125" t="s">
        <v>51</v>
      </c>
      <c r="B76" s="129">
        <v>320</v>
      </c>
      <c r="C76" s="80">
        <v>6.2893081999999996E-3</v>
      </c>
      <c r="D76" s="106">
        <v>314</v>
      </c>
      <c r="E76" s="107">
        <f>IF(ISNUMBER(D76), (D76 - $B76) / $B76, "")</f>
        <v>-1.8749999999999999E-2</v>
      </c>
      <c r="F76" s="108">
        <f>IF(ISNUMBER(D76), $B91 * E76, "")</f>
        <v>-1875</v>
      </c>
      <c r="G76" s="109">
        <v>313</v>
      </c>
      <c r="H76" s="107">
        <f>IF(ISNUMBER(G76), (G76 - $B76) / $B76, "")</f>
        <v>-2.1874999999999999E-2</v>
      </c>
      <c r="I76" s="110">
        <f>IF(ISNUMBER(G76), $B91 * H76, "")</f>
        <v>-2187.5</v>
      </c>
      <c r="J76" s="106">
        <v>315</v>
      </c>
      <c r="K76" s="107">
        <f>IF(ISNUMBER(J76), (J76 - $B76) / $B76, "")</f>
        <v>-1.5625E-2</v>
      </c>
      <c r="L76" s="108">
        <f>IF(ISNUMBER(J76), $B91 * K76, "")</f>
        <v>-1562.5</v>
      </c>
      <c r="M76" s="109">
        <v>321</v>
      </c>
      <c r="N76" s="107">
        <f>IF(ISNUMBER(M76), (M76 - $B76) / $B76, "")</f>
        <v>3.1250000000000002E-3</v>
      </c>
      <c r="O76" s="108">
        <f>IF(ISNUMBER(M76), $B91 * N76, "")</f>
        <v>312.5</v>
      </c>
      <c r="Q76" s="238"/>
      <c r="R76" s="238"/>
      <c r="S76" s="238"/>
    </row>
    <row r="77" spans="1:19" ht="17.25" thickBot="1">
      <c r="A77" s="125" t="s">
        <v>214</v>
      </c>
      <c r="B77" s="126">
        <v>867</v>
      </c>
      <c r="C77" s="77">
        <v>2.3121386999999998E-3</v>
      </c>
      <c r="D77" s="15">
        <v>758</v>
      </c>
      <c r="E77" s="32">
        <f t="shared" ref="E77:E80" si="34">IF(ISNUMBER(D77), (D77 - $B77) / $B77, "")</f>
        <v>-0.12572087658592848</v>
      </c>
      <c r="F77" s="18">
        <f>IF(ISNUMBER(D77), $B91 * E77, "")</f>
        <v>-12572.087658592849</v>
      </c>
      <c r="G77" s="31">
        <v>744</v>
      </c>
      <c r="H77" s="32">
        <f t="shared" ref="H77:H80" si="35">IF(ISNUMBER(G77), (G77 - $B77) / $B77, "")</f>
        <v>-0.14186851211072665</v>
      </c>
      <c r="I77" s="101">
        <f>IF(ISNUMBER(G77), $B91 * H77, "")</f>
        <v>-14186.851211072666</v>
      </c>
      <c r="J77" s="15">
        <v>757</v>
      </c>
      <c r="K77" s="32">
        <f t="shared" ref="K77:K80" si="36">IF(ISNUMBER(J77), (J77 - $B77) / $B77, "")</f>
        <v>-0.12687427912341406</v>
      </c>
      <c r="L77" s="18">
        <f>IF(ISNUMBER(J77), $B91 * K77, "")</f>
        <v>-12687.427912341407</v>
      </c>
      <c r="M77" s="31">
        <v>759</v>
      </c>
      <c r="N77" s="32">
        <f t="shared" ref="N77:N80" si="37">IF(ISNUMBER(M77), (M77 - $B77) / $B77, "")</f>
        <v>-0.1245674740484429</v>
      </c>
      <c r="O77" s="18">
        <f>IF(ISNUMBER(M77), $B91 * N77, "")</f>
        <v>-12456.747404844289</v>
      </c>
      <c r="Q77" s="238"/>
      <c r="R77" s="238"/>
      <c r="S77" s="238"/>
    </row>
    <row r="78" spans="1:19" ht="17.25" thickBot="1">
      <c r="A78" s="125" t="s">
        <v>138</v>
      </c>
      <c r="B78" s="126">
        <v>367</v>
      </c>
      <c r="C78" s="77">
        <v>-1.6085790900000001E-2</v>
      </c>
      <c r="D78" s="15">
        <v>365</v>
      </c>
      <c r="E78" s="32">
        <f t="shared" si="34"/>
        <v>-5.4495912806539508E-3</v>
      </c>
      <c r="F78" s="18">
        <f>IF(ISNUMBER(D78), $B91 * E78, "")</f>
        <v>-544.95912806539502</v>
      </c>
      <c r="G78" s="31">
        <v>364</v>
      </c>
      <c r="H78" s="32">
        <f t="shared" si="35"/>
        <v>-8.1743869209809257E-3</v>
      </c>
      <c r="I78" s="101">
        <f>IF(ISNUMBER(G78), $B91 * H78, "")</f>
        <v>-817.43869209809259</v>
      </c>
      <c r="J78" s="15">
        <v>366</v>
      </c>
      <c r="K78" s="32">
        <f t="shared" si="36"/>
        <v>-2.7247956403269754E-3</v>
      </c>
      <c r="L78" s="18">
        <f>IF(ISNUMBER(J78), $B91 * K78, "")</f>
        <v>-272.47956403269751</v>
      </c>
      <c r="M78" s="31">
        <v>368</v>
      </c>
      <c r="N78" s="32">
        <f t="shared" si="37"/>
        <v>2.7247956403269754E-3</v>
      </c>
      <c r="O78" s="18">
        <f>IF(ISNUMBER(M78), $B91 * N78, "")</f>
        <v>272.47956403269751</v>
      </c>
      <c r="Q78" s="238"/>
      <c r="R78" s="238"/>
      <c r="S78" s="238"/>
    </row>
    <row r="79" spans="1:19" ht="17.25" thickBot="1">
      <c r="A79" s="125" t="s">
        <v>228</v>
      </c>
      <c r="B79" s="126">
        <v>356</v>
      </c>
      <c r="C79" s="77">
        <v>-1.65745856E-2</v>
      </c>
      <c r="D79" s="15">
        <v>356</v>
      </c>
      <c r="E79" s="32">
        <f t="shared" si="34"/>
        <v>0</v>
      </c>
      <c r="F79" s="18">
        <f>IF(ISNUMBER(D79), $B91 * E79, "")</f>
        <v>0</v>
      </c>
      <c r="G79" s="31">
        <v>354</v>
      </c>
      <c r="H79" s="32">
        <f t="shared" si="35"/>
        <v>-5.6179775280898875E-3</v>
      </c>
      <c r="I79" s="101">
        <f>IF(ISNUMBER(G79), $B91 * H79, "")</f>
        <v>-561.79775280898878</v>
      </c>
      <c r="J79" s="15">
        <v>357</v>
      </c>
      <c r="K79" s="32">
        <f t="shared" si="36"/>
        <v>2.8089887640449437E-3</v>
      </c>
      <c r="L79" s="18">
        <f>IF(ISNUMBER(J79), $B91 * K79, "")</f>
        <v>280.89887640449439</v>
      </c>
      <c r="M79" s="31">
        <v>362</v>
      </c>
      <c r="N79" s="32">
        <f t="shared" si="37"/>
        <v>1.6853932584269662E-2</v>
      </c>
      <c r="O79" s="18">
        <f>IF(ISNUMBER(M79), $B91 * N79, "")</f>
        <v>1685.3932584269662</v>
      </c>
      <c r="Q79" s="33"/>
      <c r="R79" s="33"/>
    </row>
    <row r="80" spans="1:19" ht="17.25" thickBot="1">
      <c r="A80" s="130" t="s">
        <v>102</v>
      </c>
      <c r="B80" s="131">
        <v>937</v>
      </c>
      <c r="C80" s="79">
        <v>-1.6789087099999999E-2</v>
      </c>
      <c r="D80" s="24">
        <v>936</v>
      </c>
      <c r="E80" s="25">
        <f t="shared" si="34"/>
        <v>-1.0672358591248667E-3</v>
      </c>
      <c r="F80" s="104">
        <f>IF(ISNUMBER(D80), $B91 * E80, "")</f>
        <v>-106.72358591248667</v>
      </c>
      <c r="G80" s="102">
        <v>933</v>
      </c>
      <c r="H80" s="25">
        <f t="shared" si="35"/>
        <v>-4.2689434364994666E-3</v>
      </c>
      <c r="I80" s="103">
        <f>IF(ISNUMBER(G80), $B91 * H80, "")</f>
        <v>-426.89434364994668</v>
      </c>
      <c r="J80" s="24">
        <v>942</v>
      </c>
      <c r="K80" s="25">
        <f t="shared" si="36"/>
        <v>5.3361792956243331E-3</v>
      </c>
      <c r="L80" s="104">
        <f>IF(ISNUMBER(J80), $B91 * K80, "")</f>
        <v>533.61792956243335</v>
      </c>
      <c r="M80" s="102">
        <v>954</v>
      </c>
      <c r="N80" s="25">
        <f t="shared" si="37"/>
        <v>1.8143009605122731E-2</v>
      </c>
      <c r="O80" s="104">
        <f>IF(ISNUMBER(M80), $B91 * N80, "")</f>
        <v>1814.3009605122732</v>
      </c>
      <c r="Q80" s="239"/>
      <c r="R80" s="240"/>
      <c r="S80" s="241"/>
    </row>
    <row r="81" spans="1:19">
      <c r="A81" s="123" t="s">
        <v>174</v>
      </c>
      <c r="B81" s="124">
        <v>327</v>
      </c>
      <c r="C81" s="76">
        <v>-1.8018018E-2</v>
      </c>
      <c r="D81" s="13">
        <v>318</v>
      </c>
      <c r="E81" s="14">
        <f>IF(ISNUMBER(D81), (D81 - $B81) / $B81, "")</f>
        <v>-2.7522935779816515E-2</v>
      </c>
      <c r="F81" s="16">
        <f>IF(ISNUMBER(D81), $B91 * E81, "")</f>
        <v>-2752.2935779816517</v>
      </c>
      <c r="G81" s="29">
        <v>313</v>
      </c>
      <c r="H81" s="14">
        <f>IF(ISNUMBER(G81), (G81 - $B81) / $B81, "")</f>
        <v>-4.2813455657492352E-2</v>
      </c>
      <c r="I81" s="100">
        <f>IF(ISNUMBER(G81), $B91 * H81, "")</f>
        <v>-4281.345565749235</v>
      </c>
      <c r="J81" s="13">
        <v>317</v>
      </c>
      <c r="K81" s="14">
        <f>IF(ISNUMBER(J81), (J81 - $B81) / $B81, "")</f>
        <v>-3.0581039755351681E-2</v>
      </c>
      <c r="L81" s="16">
        <f>IF(ISNUMBER(J81), $B91 * K81, "")</f>
        <v>-3058.103975535168</v>
      </c>
      <c r="M81" s="29">
        <v>321</v>
      </c>
      <c r="N81" s="14">
        <f>IF(ISNUMBER(M81), (M81 - $B81) / $B81, "")</f>
        <v>-1.834862385321101E-2</v>
      </c>
      <c r="O81" s="16">
        <f>IF(ISNUMBER(M81), $B91 * N81, "")</f>
        <v>-1834.8623853211011</v>
      </c>
      <c r="Q81" s="242"/>
      <c r="R81" s="243"/>
      <c r="S81" s="244"/>
    </row>
    <row r="82" spans="1:19" ht="17.25" thickBot="1">
      <c r="A82" s="125" t="s">
        <v>90</v>
      </c>
      <c r="B82" s="126">
        <v>840</v>
      </c>
      <c r="C82" s="77">
        <v>-1.8691588799999999E-2</v>
      </c>
      <c r="D82" s="15">
        <v>833</v>
      </c>
      <c r="E82" s="32">
        <f t="shared" ref="E82:E85" si="38">IF(ISNUMBER(D82), (D82 - $B82) / $B82, "")</f>
        <v>-8.3333333333333332E-3</v>
      </c>
      <c r="F82" s="18">
        <f>IF(ISNUMBER(D82), $B91 * E82, "")</f>
        <v>-833.33333333333337</v>
      </c>
      <c r="G82" s="31">
        <v>817</v>
      </c>
      <c r="H82" s="32">
        <f t="shared" ref="H82:H85" si="39">IF(ISNUMBER(G82), (G82 - $B82) / $B82, "")</f>
        <v>-2.7380952380952381E-2</v>
      </c>
      <c r="I82" s="101">
        <f>IF(ISNUMBER(G82), $B91 * H82, "")</f>
        <v>-2738.0952380952381</v>
      </c>
      <c r="J82" s="15">
        <v>826</v>
      </c>
      <c r="K82" s="32">
        <f t="shared" ref="K82:K85" si="40">IF(ISNUMBER(J82), (J82 - $B82) / $B82, "")</f>
        <v>-1.6666666666666666E-2</v>
      </c>
      <c r="L82" s="18">
        <f>IF(ISNUMBER(J82), $B91 * K82, "")</f>
        <v>-1666.6666666666667</v>
      </c>
      <c r="M82" s="31">
        <v>841</v>
      </c>
      <c r="N82" s="32">
        <f t="shared" ref="N82:N85" si="41">IF(ISNUMBER(M82), (M82 - $B82) / $B82, "")</f>
        <v>1.1904761904761906E-3</v>
      </c>
      <c r="O82" s="18">
        <f>IF(ISNUMBER(M82), $B91 * N82, "")</f>
        <v>119.04761904761907</v>
      </c>
      <c r="Q82" s="245"/>
      <c r="R82" s="246"/>
      <c r="S82" s="247"/>
    </row>
    <row r="83" spans="1:19" ht="17.25" thickBot="1">
      <c r="A83" s="125" t="s">
        <v>266</v>
      </c>
      <c r="B83" s="126">
        <v>231</v>
      </c>
      <c r="C83" s="77">
        <v>-2.11864407E-2</v>
      </c>
      <c r="D83" s="15">
        <v>230</v>
      </c>
      <c r="E83" s="32">
        <f t="shared" si="38"/>
        <v>-4.329004329004329E-3</v>
      </c>
      <c r="F83" s="18">
        <f>IF(ISNUMBER(D83), $B91 * E83, "")</f>
        <v>-432.90043290043292</v>
      </c>
      <c r="G83" s="31">
        <v>228</v>
      </c>
      <c r="H83" s="32">
        <f t="shared" si="39"/>
        <v>-1.2987012987012988E-2</v>
      </c>
      <c r="I83" s="101">
        <f>IF(ISNUMBER(G83), $B91 * H83, "")</f>
        <v>-1298.7012987012988</v>
      </c>
      <c r="J83" s="15">
        <v>230</v>
      </c>
      <c r="K83" s="32">
        <f t="shared" si="40"/>
        <v>-4.329004329004329E-3</v>
      </c>
      <c r="L83" s="18">
        <f>IF(ISNUMBER(J83), $B91 * K83, "")</f>
        <v>-432.90043290043292</v>
      </c>
      <c r="M83" s="31">
        <v>231</v>
      </c>
      <c r="N83" s="32">
        <f t="shared" si="41"/>
        <v>0</v>
      </c>
      <c r="O83" s="18">
        <f>IF(ISNUMBER(M83), $B91 * N83, "")</f>
        <v>0</v>
      </c>
      <c r="Q83" s="238"/>
      <c r="R83" s="238"/>
      <c r="S83" s="238"/>
    </row>
    <row r="84" spans="1:19" ht="17.25" thickBot="1">
      <c r="A84" s="125" t="s">
        <v>80</v>
      </c>
      <c r="B84" s="126">
        <v>745</v>
      </c>
      <c r="C84" s="77">
        <v>-2.23097113E-2</v>
      </c>
      <c r="D84" s="15">
        <v>748</v>
      </c>
      <c r="E84" s="32">
        <f t="shared" si="38"/>
        <v>4.0268456375838931E-3</v>
      </c>
      <c r="F84" s="18">
        <f>IF(ISNUMBER(D84), $B91 * E84, "")</f>
        <v>402.68456375838929</v>
      </c>
      <c r="G84" s="31">
        <v>772</v>
      </c>
      <c r="H84" s="32">
        <f t="shared" si="39"/>
        <v>3.6241610738255034E-2</v>
      </c>
      <c r="I84" s="101">
        <f>IF(ISNUMBER(G84), $B91 * H84, "")</f>
        <v>3624.1610738255035</v>
      </c>
      <c r="J84" s="15">
        <v>770</v>
      </c>
      <c r="K84" s="32">
        <f t="shared" si="40"/>
        <v>3.3557046979865772E-2</v>
      </c>
      <c r="L84" s="18">
        <f>IF(ISNUMBER(J84), $B91 * K84, "")</f>
        <v>3355.7046979865772</v>
      </c>
      <c r="M84" s="31">
        <v>779</v>
      </c>
      <c r="N84" s="32">
        <f t="shared" si="41"/>
        <v>4.5637583892617448E-2</v>
      </c>
      <c r="O84" s="18">
        <f>IF(ISNUMBER(M84), $B91 * N84, "")</f>
        <v>4563.7583892617449</v>
      </c>
      <c r="Q84" s="248"/>
      <c r="R84" s="248"/>
      <c r="S84" s="248"/>
    </row>
    <row r="85" spans="1:19" ht="17.25" thickBot="1">
      <c r="A85" s="127" t="s">
        <v>86</v>
      </c>
      <c r="B85" s="128">
        <v>301</v>
      </c>
      <c r="C85" s="78">
        <v>-2.5889967600000001E-2</v>
      </c>
      <c r="D85" s="20">
        <v>301</v>
      </c>
      <c r="E85" s="21">
        <f t="shared" si="38"/>
        <v>0</v>
      </c>
      <c r="F85" s="22">
        <f>IF(ISNUMBER(D85), $B91 * E85, "")</f>
        <v>0</v>
      </c>
      <c r="G85" s="30">
        <v>299</v>
      </c>
      <c r="H85" s="21">
        <f t="shared" si="39"/>
        <v>-6.6445182724252493E-3</v>
      </c>
      <c r="I85" s="105">
        <f>IF(ISNUMBER(G85), $B91 * H85, "")</f>
        <v>-664.45182724252493</v>
      </c>
      <c r="J85" s="20">
        <v>301</v>
      </c>
      <c r="K85" s="21">
        <f t="shared" si="40"/>
        <v>0</v>
      </c>
      <c r="L85" s="22">
        <f>IF(ISNUMBER(J85), $B91 * K85, "")</f>
        <v>0</v>
      </c>
      <c r="M85" s="30">
        <v>304</v>
      </c>
      <c r="N85" s="21">
        <f t="shared" si="41"/>
        <v>9.9667774086378731E-3</v>
      </c>
      <c r="O85" s="22">
        <f>IF(ISNUMBER(M85), $B91 * N85, "")</f>
        <v>996.67774086378734</v>
      </c>
      <c r="Q85" s="248"/>
      <c r="R85" s="248"/>
      <c r="S85" s="248"/>
    </row>
    <row r="86" spans="1:19" ht="17.25" thickBot="1">
      <c r="A86" s="125" t="s">
        <v>184</v>
      </c>
      <c r="B86" s="129">
        <v>894</v>
      </c>
      <c r="C86" s="80">
        <v>-2.61437908E-2</v>
      </c>
      <c r="D86" s="106">
        <v>892</v>
      </c>
      <c r="E86" s="107">
        <f>IF(ISNUMBER(D86), (D86 - $B86) / $B86, "")</f>
        <v>-2.2371364653243847E-3</v>
      </c>
      <c r="F86" s="108">
        <f>IF(ISNUMBER(D86), $B91 * E86, "")</f>
        <v>-223.71364653243847</v>
      </c>
      <c r="G86" s="109">
        <v>890</v>
      </c>
      <c r="H86" s="107">
        <f>IF(ISNUMBER(G86), (G86 - $B86) / $B86, "")</f>
        <v>-4.4742729306487695E-3</v>
      </c>
      <c r="I86" s="110">
        <f>IF(ISNUMBER(G86), $B91 * H86, "")</f>
        <v>-447.42729306487695</v>
      </c>
      <c r="J86" s="106">
        <v>896</v>
      </c>
      <c r="K86" s="107">
        <f>IF(ISNUMBER(J86), (J86 - $B86) / $B86, "")</f>
        <v>2.2371364653243847E-3</v>
      </c>
      <c r="L86" s="108">
        <f>IF(ISNUMBER(J86), $B91 * K86, "")</f>
        <v>223.71364653243847</v>
      </c>
      <c r="M86" s="109">
        <v>903</v>
      </c>
      <c r="N86" s="107">
        <f>IF(ISNUMBER(M86), (M86 - $B86) / $B86, "")</f>
        <v>1.0067114093959731E-2</v>
      </c>
      <c r="O86" s="108">
        <f>IF(ISNUMBER(M86), $B91 * N86, "")</f>
        <v>1006.7114093959731</v>
      </c>
      <c r="Q86" s="238"/>
      <c r="R86" s="238"/>
      <c r="S86" s="238"/>
    </row>
    <row r="87" spans="1:19" ht="17.25" thickBot="1">
      <c r="A87" s="125" t="s">
        <v>232</v>
      </c>
      <c r="B87" s="126">
        <v>463</v>
      </c>
      <c r="C87" s="77">
        <v>-2.7310924399999999E-2</v>
      </c>
      <c r="D87" s="15">
        <v>456</v>
      </c>
      <c r="E87" s="32">
        <f t="shared" ref="E87:E90" si="42">IF(ISNUMBER(D87), (D87 - $B87) / $B87, "")</f>
        <v>-1.511879049676026E-2</v>
      </c>
      <c r="F87" s="18">
        <f>IF(ISNUMBER(D87), $B91 * E87, "")</f>
        <v>-1511.8790496760259</v>
      </c>
      <c r="G87" s="31">
        <v>453</v>
      </c>
      <c r="H87" s="32">
        <f t="shared" ref="H87:H90" si="43">IF(ISNUMBER(G87), (G87 - $B87) / $B87, "")</f>
        <v>-2.159827213822894E-2</v>
      </c>
      <c r="I87" s="101">
        <f>IF(ISNUMBER(G87), $B91 * H87, "")</f>
        <v>-2159.827213822894</v>
      </c>
      <c r="J87" s="15">
        <v>456</v>
      </c>
      <c r="K87" s="32">
        <f t="shared" ref="K87:K90" si="44">IF(ISNUMBER(J87), (J87 - $B87) / $B87, "")</f>
        <v>-1.511879049676026E-2</v>
      </c>
      <c r="L87" s="18">
        <f>IF(ISNUMBER(J87), $B91 * K87, "")</f>
        <v>-1511.8790496760259</v>
      </c>
      <c r="M87" s="31">
        <v>466</v>
      </c>
      <c r="N87" s="32">
        <f t="shared" ref="N87:N90" si="45">IF(ISNUMBER(M87), (M87 - $B87) / $B87, "")</f>
        <v>6.4794816414686825E-3</v>
      </c>
      <c r="O87" s="18">
        <f>IF(ISNUMBER(M87), $B91 * N87, "")</f>
        <v>647.94816414686829</v>
      </c>
      <c r="Q87" s="238"/>
      <c r="R87" s="238"/>
      <c r="S87" s="238"/>
    </row>
    <row r="88" spans="1:19" ht="17.25" thickBot="1">
      <c r="A88" s="125" t="s">
        <v>230</v>
      </c>
      <c r="B88" s="126">
        <v>178</v>
      </c>
      <c r="C88" s="77">
        <v>-2.73224044E-2</v>
      </c>
      <c r="D88" s="15">
        <v>180</v>
      </c>
      <c r="E88" s="32">
        <f t="shared" si="42"/>
        <v>1.1235955056179775E-2</v>
      </c>
      <c r="F88" s="18">
        <f>IF(ISNUMBER(D88), $B91 * E88, "")</f>
        <v>1123.5955056179776</v>
      </c>
      <c r="G88" s="31">
        <v>181</v>
      </c>
      <c r="H88" s="32">
        <f t="shared" si="43"/>
        <v>1.6853932584269662E-2</v>
      </c>
      <c r="I88" s="101">
        <f>IF(ISNUMBER(G88), $B91 * H88, "")</f>
        <v>1685.3932584269662</v>
      </c>
      <c r="J88" s="15">
        <v>182</v>
      </c>
      <c r="K88" s="32">
        <f t="shared" si="44"/>
        <v>2.247191011235955E-2</v>
      </c>
      <c r="L88" s="18">
        <f>IF(ISNUMBER(J88), $B91 * K88, "")</f>
        <v>2247.1910112359551</v>
      </c>
      <c r="M88" s="31">
        <v>188</v>
      </c>
      <c r="N88" s="32">
        <f t="shared" si="45"/>
        <v>5.6179775280898875E-2</v>
      </c>
      <c r="O88" s="18">
        <f>IF(ISNUMBER(M88), $B91 * N88, "")</f>
        <v>5617.9775280898875</v>
      </c>
      <c r="Q88" s="238"/>
      <c r="R88" s="238"/>
      <c r="S88" s="238"/>
    </row>
    <row r="89" spans="1:19">
      <c r="A89" s="125" t="s">
        <v>118</v>
      </c>
      <c r="B89" s="126">
        <v>141</v>
      </c>
      <c r="C89" s="77">
        <v>-2.75862069E-2</v>
      </c>
      <c r="D89" s="15">
        <v>140</v>
      </c>
      <c r="E89" s="32">
        <f t="shared" si="42"/>
        <v>-7.0921985815602835E-3</v>
      </c>
      <c r="F89" s="18">
        <f>IF(ISNUMBER(D89), $B91 * E89, "")</f>
        <v>-709.21985815602841</v>
      </c>
      <c r="G89" s="31">
        <v>141</v>
      </c>
      <c r="H89" s="32">
        <f t="shared" si="43"/>
        <v>0</v>
      </c>
      <c r="I89" s="101">
        <f>IF(ISNUMBER(G89), $B91 * H89, "")</f>
        <v>0</v>
      </c>
      <c r="J89" s="15">
        <v>141</v>
      </c>
      <c r="K89" s="32">
        <f t="shared" si="44"/>
        <v>0</v>
      </c>
      <c r="L89" s="18">
        <f>IF(ISNUMBER(J89), $B91 * K89, "")</f>
        <v>0</v>
      </c>
      <c r="M89" s="31">
        <v>143</v>
      </c>
      <c r="N89" s="32">
        <f t="shared" si="45"/>
        <v>1.4184397163120567E-2</v>
      </c>
      <c r="O89" s="18">
        <f>IF(ISNUMBER(M89), $B91 * N89, "")</f>
        <v>1418.4397163120568</v>
      </c>
      <c r="Q89" s="227"/>
      <c r="R89" s="228"/>
      <c r="S89" s="229"/>
    </row>
    <row r="90" spans="1:19" ht="17.25" thickBot="1">
      <c r="A90" s="130" t="s">
        <v>124</v>
      </c>
      <c r="B90" s="131">
        <v>305</v>
      </c>
      <c r="C90" s="79">
        <v>-2.8662420399999999E-2</v>
      </c>
      <c r="D90" s="24">
        <v>303</v>
      </c>
      <c r="E90" s="25">
        <f t="shared" si="42"/>
        <v>-6.5573770491803279E-3</v>
      </c>
      <c r="F90" s="104">
        <f>IF(ISNUMBER(D90), $B91 * E90, "")</f>
        <v>-655.73770491803282</v>
      </c>
      <c r="G90" s="102">
        <v>307</v>
      </c>
      <c r="H90" s="25">
        <f t="shared" si="43"/>
        <v>6.5573770491803279E-3</v>
      </c>
      <c r="I90" s="103">
        <f>IF(ISNUMBER(G90), $B91 * H90, "")</f>
        <v>655.73770491803282</v>
      </c>
      <c r="J90" s="24">
        <v>308</v>
      </c>
      <c r="K90" s="25">
        <f t="shared" si="44"/>
        <v>9.8360655737704927E-3</v>
      </c>
      <c r="L90" s="104">
        <f>IF(ISNUMBER(J90), $B91 * K90, "")</f>
        <v>983.60655737704928</v>
      </c>
      <c r="M90" s="102">
        <v>311</v>
      </c>
      <c r="N90" s="25">
        <f t="shared" si="45"/>
        <v>1.9672131147540985E-2</v>
      </c>
      <c r="O90" s="104">
        <f>IF(ISNUMBER(M90), $B91 * N90, "")</f>
        <v>1967.2131147540986</v>
      </c>
      <c r="Q90" s="230"/>
      <c r="R90" s="231"/>
      <c r="S90" s="232"/>
    </row>
    <row r="91" spans="1:19" ht="17.25" thickBot="1">
      <c r="A91" s="132" t="s">
        <v>270</v>
      </c>
      <c r="B91" s="291">
        <f>$B$37</f>
        <v>100000</v>
      </c>
      <c r="C91" s="292"/>
      <c r="D91" s="26" t="s">
        <v>271</v>
      </c>
      <c r="E91" s="27">
        <f>IF(COUNT(E71:E90), SUM(E71:E90) / COUNT(E71:E90), 0)</f>
        <v>-1.4930302665895876E-2</v>
      </c>
      <c r="F91" s="28">
        <f>SUM(F71:F90)</f>
        <v>-29860.605331791754</v>
      </c>
      <c r="G91" s="26" t="s">
        <v>271</v>
      </c>
      <c r="H91" s="27">
        <f>IF(COUNT(H71:H90), SUM(H71:H90) / COUNT(H71:H90), 0)</f>
        <v>-1.8757999127402364E-2</v>
      </c>
      <c r="I91" s="28">
        <f>SUM(I71:I90)</f>
        <v>-37515.998254804719</v>
      </c>
      <c r="J91" s="26" t="s">
        <v>271</v>
      </c>
      <c r="K91" s="27">
        <f>IF(COUNT(K71:K90), SUM(K71:K90) / COUNT(K71:K90), 0)</f>
        <v>-1.0399236992097521E-2</v>
      </c>
      <c r="L91" s="28">
        <f>SUM(L71:L90)</f>
        <v>-20798.473984195036</v>
      </c>
      <c r="M91" s="26" t="s">
        <v>271</v>
      </c>
      <c r="N91" s="27">
        <f>IF(COUNT(N71:N90), SUM(N71:N90) / COUNT(N71:N90), 0)</f>
        <v>1.4930638358037112E-3</v>
      </c>
      <c r="O91" s="28">
        <f>SUM(O71:O90)</f>
        <v>2986.1276716074244</v>
      </c>
      <c r="Q91" s="233"/>
      <c r="R91" s="234"/>
      <c r="S91" s="23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48"/>
      <c r="R94" s="248"/>
      <c r="S94" s="248"/>
    </row>
    <row r="95" spans="1:19" ht="17.25" thickBot="1">
      <c r="A95" s="169" t="s">
        <v>267</v>
      </c>
      <c r="B95" s="249" t="s">
        <v>49</v>
      </c>
      <c r="C95" s="251"/>
      <c r="D95" s="249" t="s">
        <v>58</v>
      </c>
      <c r="E95" s="250"/>
      <c r="F95" s="251"/>
      <c r="G95" s="252">
        <f>_xlfn.IFNA(VLOOKUP(B95, 현재가테이블!$B$2:$D$200, 2, FALSE), "-")</f>
        <v>54440000</v>
      </c>
      <c r="H95" s="253"/>
      <c r="I95" s="254"/>
      <c r="J95" s="249" t="s">
        <v>59</v>
      </c>
      <c r="K95" s="250"/>
      <c r="L95" s="251"/>
      <c r="M95" s="255">
        <f>_xlfn.IFNA(VLOOKUP(B95, 현재가테이블!$B$2:$D$200, 3, FALSE), "-")</f>
        <v>1.07123628E-2</v>
      </c>
      <c r="N95" s="256"/>
      <c r="O95" s="257"/>
      <c r="Q95" s="248"/>
      <c r="R95" s="248"/>
      <c r="S95" s="248"/>
    </row>
    <row r="96" spans="1:19" ht="17.25" thickBot="1">
      <c r="A96" s="293" t="s">
        <v>55</v>
      </c>
      <c r="B96" s="289" t="str">
        <f>TEXT($G$1, "[$-ko-KR]yyyy-mm-dd(ddd) ") &amp; "오전 00:00"</f>
        <v>2021-08-04(수) 오전 00:00</v>
      </c>
      <c r="C96" s="290"/>
      <c r="D96" s="262" t="str">
        <f>TEXT($G$1, "[$-ko-KR]yyyy-mm-dd(ddd) ") &amp; "오후 14:00"</f>
        <v>2021-08-04(수) 오후 14:00</v>
      </c>
      <c r="E96" s="263"/>
      <c r="F96" s="264"/>
      <c r="G96" s="262" t="str">
        <f>TEXT($G$1, "[$-ko-KR]yyyy-mm-dd(ddd) ") &amp; "오후 19:00"</f>
        <v>2021-08-04(수) 오후 19:00</v>
      </c>
      <c r="H96" s="263"/>
      <c r="I96" s="264"/>
      <c r="J96" s="262" t="str">
        <f>TEXT($G$1, "[$-ko-KR]yyyy-mm-dd(ddd) ") &amp; "오후 21:00"</f>
        <v>2021-08-04(수) 오후 21:00</v>
      </c>
      <c r="K96" s="263"/>
      <c r="L96" s="264"/>
      <c r="M96" s="262" t="str">
        <f>TEXT($G$1+1, "[$-ko-KR]yyyy-mm-dd(ddd) ") &amp; "오전 00:00"</f>
        <v>2021-08-05(목) 오전 00:00</v>
      </c>
      <c r="N96" s="263"/>
      <c r="O96" s="264"/>
      <c r="Q96" s="248"/>
      <c r="R96" s="248"/>
      <c r="S96" s="248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8"/>
      <c r="R97" s="238"/>
      <c r="S97" s="238"/>
    </row>
    <row r="98" spans="1:19" ht="17.25" thickBot="1">
      <c r="A98" s="123" t="s">
        <v>168</v>
      </c>
      <c r="B98" s="124">
        <v>1645</v>
      </c>
      <c r="C98" s="76">
        <v>0.13058419239999999</v>
      </c>
      <c r="D98" s="13">
        <v>1515</v>
      </c>
      <c r="E98" s="14">
        <f>IF(ISNUMBER(D98), (D98 - $B98) / $B98, "")</f>
        <v>-7.9027355623100301E-2</v>
      </c>
      <c r="F98" s="16">
        <f>IF(ISNUMBER(D98), $B118 * E98, "")</f>
        <v>-7902.7355623100302</v>
      </c>
      <c r="G98" s="29">
        <v>1520</v>
      </c>
      <c r="H98" s="14">
        <f>IF(ISNUMBER(G98), (G98 - $B98) / $B98, "")</f>
        <v>-7.598784194528875E-2</v>
      </c>
      <c r="I98" s="100">
        <f>IF(ISNUMBER(G98), $B118 * H98, "")</f>
        <v>-7598.7841945288747</v>
      </c>
      <c r="J98" s="13">
        <v>1515</v>
      </c>
      <c r="K98" s="14">
        <f>IF(ISNUMBER(J98), (J98 - $B98) / $B98, "")</f>
        <v>-7.9027355623100301E-2</v>
      </c>
      <c r="L98" s="16">
        <f>IF(ISNUMBER(J98), $B118 * K98, "")</f>
        <v>-7902.7355623100302</v>
      </c>
      <c r="M98" s="29">
        <v>1560</v>
      </c>
      <c r="N98" s="14">
        <f>IF(ISNUMBER(M98), (M98 - $B98) / $B98, "")</f>
        <v>-5.1671732522796353E-2</v>
      </c>
      <c r="O98" s="16">
        <f>IF(ISNUMBER(M98), $B118 * N98, "")</f>
        <v>-5167.1732522796356</v>
      </c>
      <c r="Q98" s="248"/>
      <c r="R98" s="248"/>
      <c r="S98" s="248"/>
    </row>
    <row r="99" spans="1:19" ht="17.25" thickBot="1">
      <c r="A99" s="125" t="s">
        <v>116</v>
      </c>
      <c r="B99" s="126">
        <v>7185</v>
      </c>
      <c r="C99" s="77">
        <v>7.4794315599999994E-2</v>
      </c>
      <c r="D99" s="15">
        <v>6820</v>
      </c>
      <c r="E99" s="32">
        <f t="shared" ref="E99:E102" si="46">IF(ISNUMBER(D99), (D99 - $B99) / $B99, "")</f>
        <v>-5.0800278357689632E-2</v>
      </c>
      <c r="F99" s="18">
        <f>IF(ISNUMBER(D99), $B118 * E99, "")</f>
        <v>-5080.0278357689631</v>
      </c>
      <c r="G99" s="31">
        <v>6790</v>
      </c>
      <c r="H99" s="32">
        <f t="shared" ref="H99:H102" si="47">IF(ISNUMBER(G99), (G99 - $B99) / $B99, "")</f>
        <v>-5.4975643702157274E-2</v>
      </c>
      <c r="I99" s="101">
        <f>IF(ISNUMBER(G99), $B118 * H99, "")</f>
        <v>-5497.5643702157276</v>
      </c>
      <c r="J99" s="15">
        <v>6860</v>
      </c>
      <c r="K99" s="32">
        <f t="shared" ref="K99:K102" si="48">IF(ISNUMBER(J99), (J99 - $B99) / $B99, "")</f>
        <v>-4.5233124565066112E-2</v>
      </c>
      <c r="L99" s="18">
        <f>IF(ISNUMBER(J99), $B118 * K99, "")</f>
        <v>-4523.3124565066109</v>
      </c>
      <c r="M99" s="31">
        <v>7090</v>
      </c>
      <c r="N99" s="32">
        <f t="shared" ref="N99:N102" si="49">IF(ISNUMBER(M99), (M99 - $B99) / $B99, "")</f>
        <v>-1.3221990257480862E-2</v>
      </c>
      <c r="O99" s="18">
        <f>IF(ISNUMBER(M99), $B118 * N99, "")</f>
        <v>-1322.1990257480863</v>
      </c>
      <c r="Q99" s="248"/>
      <c r="R99" s="248"/>
      <c r="S99" s="248"/>
    </row>
    <row r="100" spans="1:19" ht="17.25" thickBot="1">
      <c r="A100" s="125" t="s">
        <v>226</v>
      </c>
      <c r="B100" s="126">
        <v>1790</v>
      </c>
      <c r="C100" s="77">
        <v>6.5476190500000003E-2</v>
      </c>
      <c r="D100" s="15">
        <v>1755</v>
      </c>
      <c r="E100" s="32">
        <f t="shared" si="46"/>
        <v>-1.9553072625698324E-2</v>
      </c>
      <c r="F100" s="18">
        <f>IF(ISNUMBER(D100), $B118 * E100, "")</f>
        <v>-1955.3072625698323</v>
      </c>
      <c r="G100" s="31">
        <v>1735</v>
      </c>
      <c r="H100" s="32">
        <f t="shared" si="47"/>
        <v>-3.0726256983240222E-2</v>
      </c>
      <c r="I100" s="101">
        <f>IF(ISNUMBER(G100), $B118 * H100, "")</f>
        <v>-3072.6256983240223</v>
      </c>
      <c r="J100" s="15">
        <v>1755</v>
      </c>
      <c r="K100" s="32">
        <f t="shared" si="48"/>
        <v>-1.9553072625698324E-2</v>
      </c>
      <c r="L100" s="18">
        <f>IF(ISNUMBER(J100), $B118 * K100, "")</f>
        <v>-1955.3072625698323</v>
      </c>
      <c r="M100" s="31">
        <v>1795</v>
      </c>
      <c r="N100" s="32">
        <f t="shared" si="49"/>
        <v>2.7932960893854749E-3</v>
      </c>
      <c r="O100" s="18">
        <f>IF(ISNUMBER(M100), $B118 * N100, "")</f>
        <v>279.32960893854749</v>
      </c>
      <c r="Q100" s="238"/>
      <c r="R100" s="238"/>
      <c r="S100" s="238"/>
    </row>
    <row r="101" spans="1:19" ht="17.25" thickBot="1">
      <c r="A101" s="125" t="s">
        <v>54</v>
      </c>
      <c r="B101" s="126">
        <v>253</v>
      </c>
      <c r="C101" s="77">
        <v>4.11522634E-2</v>
      </c>
      <c r="D101" s="15">
        <v>248</v>
      </c>
      <c r="E101" s="32">
        <f t="shared" si="46"/>
        <v>-1.9762845849802372E-2</v>
      </c>
      <c r="F101" s="18">
        <f>IF(ISNUMBER(D101), $B118 * E101, "")</f>
        <v>-1976.2845849802372</v>
      </c>
      <c r="G101" s="31">
        <v>243</v>
      </c>
      <c r="H101" s="32">
        <f t="shared" si="47"/>
        <v>-3.9525691699604744E-2</v>
      </c>
      <c r="I101" s="101">
        <f>IF(ISNUMBER(G101), $B118 * H101, "")</f>
        <v>-3952.5691699604745</v>
      </c>
      <c r="J101" s="15">
        <v>247</v>
      </c>
      <c r="K101" s="32">
        <f t="shared" si="48"/>
        <v>-2.3715415019762844E-2</v>
      </c>
      <c r="L101" s="18">
        <f>IF(ISNUMBER(J101), $B118 * K101, "")</f>
        <v>-2371.5415019762845</v>
      </c>
      <c r="M101" s="31">
        <v>247</v>
      </c>
      <c r="N101" s="32">
        <f t="shared" si="49"/>
        <v>-2.3715415019762844E-2</v>
      </c>
      <c r="O101" s="18">
        <f>IF(ISNUMBER(M101), $B118 * N101, "")</f>
        <v>-2371.5415019762845</v>
      </c>
      <c r="Q101" s="238"/>
      <c r="R101" s="238"/>
      <c r="S101" s="238"/>
    </row>
    <row r="102" spans="1:19" ht="17.25" thickBot="1">
      <c r="A102" s="127" t="s">
        <v>202</v>
      </c>
      <c r="B102" s="128">
        <v>67.400000000000006</v>
      </c>
      <c r="C102" s="78">
        <v>4.0123456799999999E-2</v>
      </c>
      <c r="D102" s="20">
        <v>65.2</v>
      </c>
      <c r="E102" s="21">
        <f t="shared" si="46"/>
        <v>-3.264094955489618E-2</v>
      </c>
      <c r="F102" s="22">
        <f>IF(ISNUMBER(D102), $B118 * E102, "")</f>
        <v>-3264.0949554896179</v>
      </c>
      <c r="G102" s="30">
        <v>65.3</v>
      </c>
      <c r="H102" s="21">
        <f t="shared" si="47"/>
        <v>-3.1157270029673716E-2</v>
      </c>
      <c r="I102" s="105">
        <f>IF(ISNUMBER(G102), $B118 * H102, "")</f>
        <v>-3115.7270029673714</v>
      </c>
      <c r="J102" s="20">
        <v>65.599999999999994</v>
      </c>
      <c r="K102" s="21">
        <f t="shared" si="48"/>
        <v>-2.67062314540061E-2</v>
      </c>
      <c r="L102" s="22">
        <f>IF(ISNUMBER(J102), $B118 * K102, "")</f>
        <v>-2670.6231454006102</v>
      </c>
      <c r="M102" s="30">
        <v>67.8</v>
      </c>
      <c r="N102" s="21">
        <f t="shared" si="49"/>
        <v>5.9347181008900804E-3</v>
      </c>
      <c r="O102" s="22">
        <f>IF(ISNUMBER(M102), $B118 * N102, "")</f>
        <v>593.47181008900804</v>
      </c>
      <c r="Q102" s="238"/>
      <c r="R102" s="238"/>
      <c r="S102" s="238"/>
    </row>
    <row r="103" spans="1:19" ht="17.25" thickBot="1">
      <c r="A103" s="125" t="s">
        <v>252</v>
      </c>
      <c r="B103" s="129">
        <v>931</v>
      </c>
      <c r="C103" s="80">
        <v>3.7904124900000002E-2</v>
      </c>
      <c r="D103" s="106">
        <v>892</v>
      </c>
      <c r="E103" s="107">
        <f>IF(ISNUMBER(D103), (D103 - $B103) / $B103, "")</f>
        <v>-4.1890440386680987E-2</v>
      </c>
      <c r="F103" s="108">
        <f>IF(ISNUMBER(D103), $B118 * E103, "")</f>
        <v>-4189.0440386680984</v>
      </c>
      <c r="G103" s="109">
        <v>881</v>
      </c>
      <c r="H103" s="107">
        <f>IF(ISNUMBER(G103), (G103 - $B103) / $B103, "")</f>
        <v>-5.3705692803437163E-2</v>
      </c>
      <c r="I103" s="110">
        <f>IF(ISNUMBER(G103), $B118 * H103, "")</f>
        <v>-5370.5692803437159</v>
      </c>
      <c r="J103" s="106">
        <v>887</v>
      </c>
      <c r="K103" s="107">
        <f>IF(ISNUMBER(J103), (J103 - $B103) / $B103, "")</f>
        <v>-4.7261009667024706E-2</v>
      </c>
      <c r="L103" s="108">
        <f>IF(ISNUMBER(J103), $B118 * K103, "")</f>
        <v>-4726.1009667024709</v>
      </c>
      <c r="M103" s="109">
        <v>896</v>
      </c>
      <c r="N103" s="107">
        <f>IF(ISNUMBER(M103), (M103 - $B103) / $B103, "")</f>
        <v>-3.7593984962406013E-2</v>
      </c>
      <c r="O103" s="108">
        <f>IF(ISNUMBER(M103), $B118 * N103, "")</f>
        <v>-3759.3984962406012</v>
      </c>
      <c r="Q103" s="238"/>
      <c r="R103" s="238"/>
      <c r="S103" s="238"/>
    </row>
    <row r="104" spans="1:19" ht="17.25" thickBot="1">
      <c r="A104" s="125" t="s">
        <v>82</v>
      </c>
      <c r="B104" s="126">
        <v>1575</v>
      </c>
      <c r="C104" s="77">
        <v>3.6184210500000001E-2</v>
      </c>
      <c r="D104" s="15">
        <v>1570</v>
      </c>
      <c r="E104" s="32">
        <f t="shared" ref="E104:E107" si="50">IF(ISNUMBER(D104), (D104 - $B104) / $B104, "")</f>
        <v>-3.1746031746031746E-3</v>
      </c>
      <c r="F104" s="18">
        <f>IF(ISNUMBER(D104), $B118 * E104, "")</f>
        <v>-317.46031746031747</v>
      </c>
      <c r="G104" s="31">
        <v>1550</v>
      </c>
      <c r="H104" s="32">
        <f t="shared" ref="H104:H107" si="51">IF(ISNUMBER(G104), (G104 - $B104) / $B104, "")</f>
        <v>-1.5873015873015872E-2</v>
      </c>
      <c r="I104" s="101">
        <f>IF(ISNUMBER(G104), $B118 * H104, "")</f>
        <v>-1587.3015873015872</v>
      </c>
      <c r="J104" s="15">
        <v>1575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1585</v>
      </c>
      <c r="N104" s="32">
        <f t="shared" ref="N104:N107" si="53">IF(ISNUMBER(M104), (M104 - $B104) / $B104, "")</f>
        <v>6.3492063492063492E-3</v>
      </c>
      <c r="O104" s="18">
        <f>IF(ISNUMBER(M104), $B118 * N104, "")</f>
        <v>634.92063492063494</v>
      </c>
      <c r="Q104" s="238"/>
      <c r="R104" s="238"/>
      <c r="S104" s="238"/>
    </row>
    <row r="105" spans="1:19" ht="17.25" thickBot="1">
      <c r="A105" s="125" t="s">
        <v>104</v>
      </c>
      <c r="B105" s="126">
        <v>976</v>
      </c>
      <c r="C105" s="77">
        <v>2.7368421099999998E-2</v>
      </c>
      <c r="D105" s="15">
        <v>971</v>
      </c>
      <c r="E105" s="32">
        <f t="shared" si="50"/>
        <v>-5.1229508196721308E-3</v>
      </c>
      <c r="F105" s="18">
        <f>IF(ISNUMBER(D105), $B118 * E105, "")</f>
        <v>-512.29508196721304</v>
      </c>
      <c r="G105" s="31">
        <v>976</v>
      </c>
      <c r="H105" s="32">
        <f t="shared" si="51"/>
        <v>0</v>
      </c>
      <c r="I105" s="101">
        <f>IF(ISNUMBER(G105), $B118 * H105, "")</f>
        <v>0</v>
      </c>
      <c r="J105" s="15">
        <v>992</v>
      </c>
      <c r="K105" s="32">
        <f t="shared" si="52"/>
        <v>1.6393442622950821E-2</v>
      </c>
      <c r="L105" s="18">
        <f>IF(ISNUMBER(J105), $B118 * K105, "")</f>
        <v>1639.344262295082</v>
      </c>
      <c r="M105" s="31">
        <v>992</v>
      </c>
      <c r="N105" s="32">
        <f t="shared" si="53"/>
        <v>1.6393442622950821E-2</v>
      </c>
      <c r="O105" s="18">
        <f>IF(ISNUMBER(M105), $B118 * N105, "")</f>
        <v>1639.344262295082</v>
      </c>
      <c r="Q105" s="238"/>
      <c r="R105" s="238"/>
      <c r="S105" s="238"/>
    </row>
    <row r="106" spans="1:19" ht="17.25" thickBot="1">
      <c r="A106" s="125" t="s">
        <v>69</v>
      </c>
      <c r="B106" s="126">
        <v>4680</v>
      </c>
      <c r="C106" s="77">
        <v>2.29508197E-2</v>
      </c>
      <c r="D106" s="15">
        <v>5000</v>
      </c>
      <c r="E106" s="32">
        <f t="shared" si="50"/>
        <v>6.8376068376068383E-2</v>
      </c>
      <c r="F106" s="18">
        <f>IF(ISNUMBER(D106), $B118 * E106, "")</f>
        <v>6837.6068376068379</v>
      </c>
      <c r="G106" s="31">
        <v>4920</v>
      </c>
      <c r="H106" s="32">
        <f t="shared" si="51"/>
        <v>5.128205128205128E-2</v>
      </c>
      <c r="I106" s="101">
        <f>IF(ISNUMBER(G106), $B118 * H106, "")</f>
        <v>5128.2051282051279</v>
      </c>
      <c r="J106" s="15">
        <v>5000</v>
      </c>
      <c r="K106" s="32">
        <f t="shared" si="52"/>
        <v>6.8376068376068383E-2</v>
      </c>
      <c r="L106" s="18">
        <f>IF(ISNUMBER(J106), $B118 * K106, "")</f>
        <v>6837.6068376068379</v>
      </c>
      <c r="M106" s="31">
        <v>5170</v>
      </c>
      <c r="N106" s="32">
        <f t="shared" si="53"/>
        <v>0.1047008547008547</v>
      </c>
      <c r="O106" s="18">
        <f>IF(ISNUMBER(M106), $B118 * N106, "")</f>
        <v>10470.085470085471</v>
      </c>
      <c r="Q106" s="33"/>
      <c r="R106" s="33"/>
    </row>
    <row r="107" spans="1:19" ht="17.25" thickBot="1">
      <c r="A107" s="130" t="s">
        <v>196</v>
      </c>
      <c r="B107" s="131">
        <v>4065</v>
      </c>
      <c r="C107" s="79">
        <v>1.7521902400000001E-2</v>
      </c>
      <c r="D107" s="24">
        <v>3985</v>
      </c>
      <c r="E107" s="25">
        <f t="shared" si="50"/>
        <v>-1.968019680196802E-2</v>
      </c>
      <c r="F107" s="104">
        <f>IF(ISNUMBER(D107), $B118 * E107, "")</f>
        <v>-1968.019680196802</v>
      </c>
      <c r="G107" s="102">
        <v>3995</v>
      </c>
      <c r="H107" s="25">
        <f t="shared" si="51"/>
        <v>-1.7220172201722016E-2</v>
      </c>
      <c r="I107" s="103">
        <f>IF(ISNUMBER(G107), $B118 * H107, "")</f>
        <v>-1722.0172201722016</v>
      </c>
      <c r="J107" s="24">
        <v>4015</v>
      </c>
      <c r="K107" s="25">
        <f t="shared" si="52"/>
        <v>-1.2300123001230012E-2</v>
      </c>
      <c r="L107" s="104">
        <f>IF(ISNUMBER(J107), $B118 * K107, "")</f>
        <v>-1230.0123001230013</v>
      </c>
      <c r="M107" s="102">
        <v>4045</v>
      </c>
      <c r="N107" s="25">
        <f t="shared" si="53"/>
        <v>-4.9200492004920051E-3</v>
      </c>
      <c r="O107" s="104">
        <f>IF(ISNUMBER(M107), $B118 * N107, "")</f>
        <v>-492.00492004920051</v>
      </c>
      <c r="Q107" s="239"/>
      <c r="R107" s="240"/>
      <c r="S107" s="241"/>
    </row>
    <row r="108" spans="1:19">
      <c r="A108" s="123" t="s">
        <v>240</v>
      </c>
      <c r="B108" s="124">
        <v>58.9</v>
      </c>
      <c r="C108" s="76">
        <v>1.3769363200000001E-2</v>
      </c>
      <c r="D108" s="13">
        <v>57.7</v>
      </c>
      <c r="E108" s="14">
        <f>IF(ISNUMBER(D108), (D108 - $B108) / $B108, "")</f>
        <v>-2.0373514431239317E-2</v>
      </c>
      <c r="F108" s="16">
        <f>IF(ISNUMBER(D108), $B118 * E108, "")</f>
        <v>-2037.3514431239316</v>
      </c>
      <c r="G108" s="29">
        <v>57.5</v>
      </c>
      <c r="H108" s="14">
        <f>IF(ISNUMBER(G108), (G108 - $B108) / $B108, "")</f>
        <v>-2.3769100169779265E-2</v>
      </c>
      <c r="I108" s="100">
        <f>IF(ISNUMBER(G108), $B118 * H108, "")</f>
        <v>-2376.9100169779267</v>
      </c>
      <c r="J108" s="13">
        <v>57.9</v>
      </c>
      <c r="K108" s="14">
        <f>IF(ISNUMBER(J108), (J108 - $B108) / $B108, "")</f>
        <v>-1.6977928692699491E-2</v>
      </c>
      <c r="L108" s="16">
        <f>IF(ISNUMBER(J108), $B118 * K108, "")</f>
        <v>-1697.7928692699491</v>
      </c>
      <c r="M108" s="29">
        <v>58.5</v>
      </c>
      <c r="N108" s="14">
        <f>IF(ISNUMBER(M108), (M108 - $B108) / $B108, "")</f>
        <v>-6.7911714770797719E-3</v>
      </c>
      <c r="O108" s="16">
        <f>IF(ISNUMBER(M108), $B118 * N108, "")</f>
        <v>-679.11714770797721</v>
      </c>
      <c r="Q108" s="242"/>
      <c r="R108" s="243"/>
      <c r="S108" s="244"/>
    </row>
    <row r="109" spans="1:19" ht="17.25" thickBot="1">
      <c r="A109" s="125" t="s">
        <v>190</v>
      </c>
      <c r="B109" s="126">
        <v>15.6</v>
      </c>
      <c r="C109" s="77">
        <v>1.2987013E-2</v>
      </c>
      <c r="D109" s="15">
        <v>15.6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15.3</v>
      </c>
      <c r="H109" s="32">
        <f t="shared" ref="H109:H112" si="55">IF(ISNUMBER(G109), (G109 - $B109) / $B109, "")</f>
        <v>-1.9230769230769162E-2</v>
      </c>
      <c r="I109" s="101">
        <f>IF(ISNUMBER(G109), $B118 * H109, "")</f>
        <v>-1923.0769230769163</v>
      </c>
      <c r="J109" s="15">
        <v>15.5</v>
      </c>
      <c r="K109" s="32">
        <f t="shared" ref="K109:K112" si="56">IF(ISNUMBER(J109), (J109 - $B109) / $B109, "")</f>
        <v>-6.4102564102563875E-3</v>
      </c>
      <c r="L109" s="18">
        <f>IF(ISNUMBER(J109), $B118 * K109, "")</f>
        <v>-641.02564102563872</v>
      </c>
      <c r="M109" s="31">
        <v>15.6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45"/>
      <c r="R109" s="246"/>
      <c r="S109" s="247"/>
    </row>
    <row r="110" spans="1:19" ht="17.25" thickBot="1">
      <c r="A110" s="125" t="s">
        <v>98</v>
      </c>
      <c r="B110" s="126">
        <v>3.38</v>
      </c>
      <c r="C110" s="77">
        <v>1.19760479E-2</v>
      </c>
      <c r="D110" s="15">
        <v>3.5</v>
      </c>
      <c r="E110" s="32">
        <f t="shared" si="54"/>
        <v>3.5502958579881692E-2</v>
      </c>
      <c r="F110" s="18">
        <f>IF(ISNUMBER(D110), $B118 * E110, "")</f>
        <v>3550.2958579881692</v>
      </c>
      <c r="G110" s="31">
        <v>3.47</v>
      </c>
      <c r="H110" s="32">
        <f t="shared" si="55"/>
        <v>2.6627218934911333E-2</v>
      </c>
      <c r="I110" s="101">
        <f>IF(ISNUMBER(G110), $B118 * H110, "")</f>
        <v>2662.7218934911334</v>
      </c>
      <c r="J110" s="15">
        <v>3.54</v>
      </c>
      <c r="K110" s="32">
        <f t="shared" si="56"/>
        <v>4.7337278106508916E-2</v>
      </c>
      <c r="L110" s="18">
        <f>IF(ISNUMBER(J110), $B118 * K110, "")</f>
        <v>4733.727810650892</v>
      </c>
      <c r="M110" s="31">
        <v>3.67</v>
      </c>
      <c r="N110" s="32">
        <f t="shared" si="57"/>
        <v>8.5798816568047345E-2</v>
      </c>
      <c r="O110" s="18">
        <f>IF(ISNUMBER(M110), $B118 * N110, "")</f>
        <v>8579.881656804735</v>
      </c>
      <c r="Q110" s="238"/>
      <c r="R110" s="238"/>
      <c r="S110" s="238"/>
    </row>
    <row r="111" spans="1:19" ht="17.25" thickBot="1">
      <c r="A111" s="125" t="s">
        <v>106</v>
      </c>
      <c r="B111" s="126">
        <v>63520</v>
      </c>
      <c r="C111" s="77">
        <v>1.1626055099999999E-2</v>
      </c>
      <c r="D111" s="15">
        <v>63560</v>
      </c>
      <c r="E111" s="32">
        <f t="shared" si="54"/>
        <v>6.2972292191435767E-4</v>
      </c>
      <c r="F111" s="18">
        <f>IF(ISNUMBER(D111), $B118 * E111, "")</f>
        <v>62.97229219143577</v>
      </c>
      <c r="G111" s="31">
        <v>60360</v>
      </c>
      <c r="H111" s="32">
        <f t="shared" si="55"/>
        <v>-4.974811083123426E-2</v>
      </c>
      <c r="I111" s="101">
        <f>IF(ISNUMBER(G111), $B118 * H111, "")</f>
        <v>-4974.8110831234262</v>
      </c>
      <c r="J111" s="15">
        <v>60740</v>
      </c>
      <c r="K111" s="32">
        <f t="shared" si="56"/>
        <v>-4.3765743073047862E-2</v>
      </c>
      <c r="L111" s="18">
        <f>IF(ISNUMBER(J111), $B118 * K111, "")</f>
        <v>-4376.5743073047861</v>
      </c>
      <c r="M111" s="31">
        <v>61510</v>
      </c>
      <c r="N111" s="32">
        <f t="shared" si="57"/>
        <v>-3.1643576826196472E-2</v>
      </c>
      <c r="O111" s="18">
        <f>IF(ISNUMBER(M111), $B118 * N111, "")</f>
        <v>-3164.3576826196472</v>
      </c>
      <c r="Q111" s="248"/>
      <c r="R111" s="248"/>
      <c r="S111" s="248"/>
    </row>
    <row r="112" spans="1:19" ht="17.25" thickBot="1">
      <c r="A112" s="127" t="s">
        <v>61</v>
      </c>
      <c r="B112" s="128">
        <v>810</v>
      </c>
      <c r="C112" s="78">
        <v>1.12359551E-2</v>
      </c>
      <c r="D112" s="20">
        <v>802</v>
      </c>
      <c r="E112" s="21">
        <f t="shared" si="54"/>
        <v>-9.876543209876543E-3</v>
      </c>
      <c r="F112" s="22">
        <f>IF(ISNUMBER(D112), $B118 * E112, "")</f>
        <v>-987.65432098765427</v>
      </c>
      <c r="G112" s="30">
        <v>811</v>
      </c>
      <c r="H112" s="21">
        <f t="shared" si="55"/>
        <v>1.2345679012345679E-3</v>
      </c>
      <c r="I112" s="105">
        <f>IF(ISNUMBER(G112), $B118 * H112, "")</f>
        <v>123.45679012345678</v>
      </c>
      <c r="J112" s="20">
        <v>820</v>
      </c>
      <c r="K112" s="21">
        <f t="shared" si="56"/>
        <v>1.2345679012345678E-2</v>
      </c>
      <c r="L112" s="22">
        <f>IF(ISNUMBER(J112), $B118 * K112, "")</f>
        <v>1234.5679012345679</v>
      </c>
      <c r="M112" s="30">
        <v>827</v>
      </c>
      <c r="N112" s="21">
        <f t="shared" si="57"/>
        <v>2.0987654320987655E-2</v>
      </c>
      <c r="O112" s="22">
        <f>IF(ISNUMBER(M112), $B118 * N112, "")</f>
        <v>2098.7654320987654</v>
      </c>
      <c r="Q112" s="248"/>
      <c r="R112" s="248"/>
      <c r="S112" s="248"/>
    </row>
    <row r="113" spans="1:19" ht="17.25" thickBot="1">
      <c r="A113" s="125" t="s">
        <v>110</v>
      </c>
      <c r="B113" s="129">
        <v>133</v>
      </c>
      <c r="C113" s="80">
        <v>7.5757576E-3</v>
      </c>
      <c r="D113" s="106">
        <v>131</v>
      </c>
      <c r="E113" s="107">
        <f>IF(ISNUMBER(D113), (D113 - $B113) / $B113, "")</f>
        <v>-1.5037593984962405E-2</v>
      </c>
      <c r="F113" s="108">
        <f>IF(ISNUMBER(D113), $B118 * E113, "")</f>
        <v>-1503.7593984962405</v>
      </c>
      <c r="G113" s="109">
        <v>127</v>
      </c>
      <c r="H113" s="107">
        <f>IF(ISNUMBER(G113), (G113 - $B113) / $B113, "")</f>
        <v>-4.5112781954887216E-2</v>
      </c>
      <c r="I113" s="110">
        <f>IF(ISNUMBER(G113), $B118 * H113, "")</f>
        <v>-4511.2781954887214</v>
      </c>
      <c r="J113" s="106">
        <v>129</v>
      </c>
      <c r="K113" s="107">
        <f>IF(ISNUMBER(J113), (J113 - $B113) / $B113, "")</f>
        <v>-3.007518796992481E-2</v>
      </c>
      <c r="L113" s="108">
        <f>IF(ISNUMBER(J113), $B118 * K113, "")</f>
        <v>-3007.5187969924809</v>
      </c>
      <c r="M113" s="109">
        <v>132</v>
      </c>
      <c r="N113" s="107">
        <f>IF(ISNUMBER(M113), (M113 - $B113) / $B113, "")</f>
        <v>-7.5187969924812026E-3</v>
      </c>
      <c r="O113" s="108">
        <f>IF(ISNUMBER(M113), $B118 * N113, "")</f>
        <v>-751.87969924812023</v>
      </c>
      <c r="Q113" s="238"/>
      <c r="R113" s="238"/>
      <c r="S113" s="238"/>
    </row>
    <row r="114" spans="1:19" ht="17.25" thickBot="1">
      <c r="A114" s="125" t="s">
        <v>51</v>
      </c>
      <c r="B114" s="126">
        <v>320</v>
      </c>
      <c r="C114" s="77">
        <v>6.2893081999999996E-3</v>
      </c>
      <c r="D114" s="15">
        <v>314</v>
      </c>
      <c r="E114" s="32">
        <f t="shared" ref="E114:E117" si="58">IF(ISNUMBER(D114), (D114 - $B114) / $B114, "")</f>
        <v>-1.8749999999999999E-2</v>
      </c>
      <c r="F114" s="18">
        <f>IF(ISNUMBER(D114), $B118 * E114, "")</f>
        <v>-1875</v>
      </c>
      <c r="G114" s="31">
        <v>313</v>
      </c>
      <c r="H114" s="32">
        <f t="shared" ref="H114:H117" si="59">IF(ISNUMBER(G114), (G114 - $B114) / $B114, "")</f>
        <v>-2.1874999999999999E-2</v>
      </c>
      <c r="I114" s="101">
        <f>IF(ISNUMBER(G114), $B118 * H114, "")</f>
        <v>-2187.5</v>
      </c>
      <c r="J114" s="15">
        <v>315</v>
      </c>
      <c r="K114" s="32">
        <f t="shared" ref="K114:K117" si="60">IF(ISNUMBER(J114), (J114 - $B114) / $B114, "")</f>
        <v>-1.5625E-2</v>
      </c>
      <c r="L114" s="18">
        <f>IF(ISNUMBER(J114), $B118 * K114, "")</f>
        <v>-1562.5</v>
      </c>
      <c r="M114" s="31">
        <v>321</v>
      </c>
      <c r="N114" s="32">
        <f t="shared" ref="N114:N117" si="61">IF(ISNUMBER(M114), (M114 - $B114) / $B114, "")</f>
        <v>3.1250000000000002E-3</v>
      </c>
      <c r="O114" s="18">
        <f>IF(ISNUMBER(M114), $B118 * N114, "")</f>
        <v>312.5</v>
      </c>
      <c r="Q114" s="238"/>
      <c r="R114" s="238"/>
      <c r="S114" s="238"/>
    </row>
    <row r="115" spans="1:19" ht="17.25" thickBot="1">
      <c r="A115" s="125" t="s">
        <v>84</v>
      </c>
      <c r="B115" s="126">
        <v>4700</v>
      </c>
      <c r="C115" s="77">
        <v>5.3475935999999996E-3</v>
      </c>
      <c r="D115" s="15">
        <v>4675</v>
      </c>
      <c r="E115" s="32">
        <f t="shared" si="58"/>
        <v>-5.3191489361702126E-3</v>
      </c>
      <c r="F115" s="18">
        <f>IF(ISNUMBER(D115), $B118 * E115, "")</f>
        <v>-531.91489361702122</v>
      </c>
      <c r="G115" s="31">
        <v>4645</v>
      </c>
      <c r="H115" s="32">
        <f t="shared" si="59"/>
        <v>-1.1702127659574468E-2</v>
      </c>
      <c r="I115" s="101">
        <f>IF(ISNUMBER(G115), $B118 * H115, "")</f>
        <v>-1170.2127659574467</v>
      </c>
      <c r="J115" s="15">
        <v>4665</v>
      </c>
      <c r="K115" s="32">
        <f t="shared" si="60"/>
        <v>-7.4468085106382982E-3</v>
      </c>
      <c r="L115" s="18">
        <f>IF(ISNUMBER(J115), $B118 * K115, "")</f>
        <v>-744.68085106382978</v>
      </c>
      <c r="M115" s="31">
        <v>4765</v>
      </c>
      <c r="N115" s="32">
        <f t="shared" si="61"/>
        <v>1.3829787234042552E-2</v>
      </c>
      <c r="O115" s="18">
        <f>IF(ISNUMBER(M115), $B118 * N115, "")</f>
        <v>1382.9787234042553</v>
      </c>
      <c r="Q115" s="238"/>
      <c r="R115" s="238"/>
      <c r="S115" s="238"/>
    </row>
    <row r="116" spans="1:19">
      <c r="A116" s="125" t="s">
        <v>152</v>
      </c>
      <c r="B116" s="126">
        <v>75.400000000000006</v>
      </c>
      <c r="C116" s="77">
        <v>2.6595744999999998E-3</v>
      </c>
      <c r="D116" s="15">
        <v>75.5</v>
      </c>
      <c r="E116" s="32">
        <f t="shared" si="58"/>
        <v>1.3262599469495266E-3</v>
      </c>
      <c r="F116" s="18">
        <f>IF(ISNUMBER(D116), $B118 * E116, "")</f>
        <v>132.62599469495265</v>
      </c>
      <c r="G116" s="31">
        <v>75.400000000000006</v>
      </c>
      <c r="H116" s="32">
        <f t="shared" si="59"/>
        <v>0</v>
      </c>
      <c r="I116" s="101">
        <f>IF(ISNUMBER(G116), $B118 * H116, "")</f>
        <v>0</v>
      </c>
      <c r="J116" s="15">
        <v>76.5</v>
      </c>
      <c r="K116" s="32">
        <f t="shared" si="60"/>
        <v>1.4588859416445547E-2</v>
      </c>
      <c r="L116" s="18">
        <f>IF(ISNUMBER(J116), $B118 * K116, "")</f>
        <v>1458.8859416445548</v>
      </c>
      <c r="M116" s="31">
        <v>78.3</v>
      </c>
      <c r="N116" s="32">
        <f t="shared" si="61"/>
        <v>3.8461538461538346E-2</v>
      </c>
      <c r="O116" s="18">
        <f>IF(ISNUMBER(M116), $B118 * N116, "")</f>
        <v>3846.1538461538344</v>
      </c>
      <c r="Q116" s="227"/>
      <c r="R116" s="228"/>
      <c r="S116" s="229"/>
    </row>
    <row r="117" spans="1:19" ht="17.25" thickBot="1">
      <c r="A117" s="130" t="s">
        <v>214</v>
      </c>
      <c r="B117" s="131">
        <v>867</v>
      </c>
      <c r="C117" s="79">
        <v>2.3121386999999998E-3</v>
      </c>
      <c r="D117" s="24">
        <v>758</v>
      </c>
      <c r="E117" s="25">
        <f t="shared" si="58"/>
        <v>-0.12572087658592848</v>
      </c>
      <c r="F117" s="104">
        <f>IF(ISNUMBER(D117), $B118 * E117, "")</f>
        <v>-12572.087658592849</v>
      </c>
      <c r="G117" s="102">
        <v>744</v>
      </c>
      <c r="H117" s="25">
        <f t="shared" si="59"/>
        <v>-0.14186851211072665</v>
      </c>
      <c r="I117" s="103">
        <f>IF(ISNUMBER(G117), $B118 * H117, "")</f>
        <v>-14186.851211072666</v>
      </c>
      <c r="J117" s="24">
        <v>757</v>
      </c>
      <c r="K117" s="25">
        <f t="shared" si="60"/>
        <v>-0.12687427912341406</v>
      </c>
      <c r="L117" s="104">
        <f>IF(ISNUMBER(J117), $B118 * K117, "")</f>
        <v>-12687.427912341407</v>
      </c>
      <c r="M117" s="102">
        <v>759</v>
      </c>
      <c r="N117" s="25">
        <f t="shared" si="61"/>
        <v>-0.1245674740484429</v>
      </c>
      <c r="O117" s="104">
        <f>IF(ISNUMBER(M117), $B118 * N117, "")</f>
        <v>-12456.747404844289</v>
      </c>
      <c r="Q117" s="230"/>
      <c r="R117" s="231"/>
      <c r="S117" s="232"/>
    </row>
    <row r="118" spans="1:19" ht="17.25" thickBot="1">
      <c r="A118" s="132" t="s">
        <v>270</v>
      </c>
      <c r="B118" s="291">
        <f>$B$37</f>
        <v>100000</v>
      </c>
      <c r="C118" s="292"/>
      <c r="D118" s="26" t="s">
        <v>271</v>
      </c>
      <c r="E118" s="27">
        <f>IF(COUNT(E98:E117), SUM(E98:E117) / COUNT(E98:E117), 0)</f>
        <v>-1.8044768025873709E-2</v>
      </c>
      <c r="F118" s="28">
        <f>SUM(F98:F117)</f>
        <v>-36089.536051747404</v>
      </c>
      <c r="G118" s="26" t="s">
        <v>271</v>
      </c>
      <c r="H118" s="27">
        <f>IF(COUNT(H98:H117), SUM(H98:H117) / COUNT(H98:H117), 0)</f>
        <v>-2.7666707453845685E-2</v>
      </c>
      <c r="I118" s="28">
        <f>SUM(I98:I117)</f>
        <v>-55333.414907691353</v>
      </c>
      <c r="J118" s="26" t="s">
        <v>271</v>
      </c>
      <c r="K118" s="27">
        <f>IF(COUNT(K98:K117), SUM(K98:K117) / COUNT(K98:K117), 0)</f>
        <v>-1.7096510410077499E-2</v>
      </c>
      <c r="L118" s="28">
        <f>SUM(L98:L117)</f>
        <v>-34193.02082015499</v>
      </c>
      <c r="M118" s="26" t="s">
        <v>271</v>
      </c>
      <c r="N118" s="27">
        <f>IF(COUNT(N98:N117), SUM(N98:N117) / COUNT(N98:N117), 0)</f>
        <v>-1.6349384296175385E-4</v>
      </c>
      <c r="O118" s="28">
        <f>SUM(O98:O117)</f>
        <v>-326.98768592350825</v>
      </c>
      <c r="Q118" s="233"/>
      <c r="R118" s="234"/>
      <c r="S118" s="23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48"/>
      <c r="R121" s="248"/>
      <c r="S121" s="248"/>
    </row>
    <row r="122" spans="1:19" ht="17.25" thickBot="1">
      <c r="A122" s="169" t="s">
        <v>267</v>
      </c>
      <c r="B122" s="249" t="s">
        <v>49</v>
      </c>
      <c r="C122" s="251"/>
      <c r="D122" s="249" t="s">
        <v>58</v>
      </c>
      <c r="E122" s="250"/>
      <c r="F122" s="251"/>
      <c r="G122" s="252">
        <f>_xlfn.IFNA(VLOOKUP(B122, 현재가테이블!$B$2:$D$200, 2, FALSE), "-")</f>
        <v>54440000</v>
      </c>
      <c r="H122" s="253"/>
      <c r="I122" s="254"/>
      <c r="J122" s="249" t="s">
        <v>59</v>
      </c>
      <c r="K122" s="250"/>
      <c r="L122" s="251"/>
      <c r="M122" s="255">
        <f>_xlfn.IFNA(VLOOKUP(B122, 현재가테이블!$B$2:$D$200, 3, FALSE), "-")</f>
        <v>1.07123628E-2</v>
      </c>
      <c r="N122" s="256"/>
      <c r="O122" s="257"/>
      <c r="Q122" s="248"/>
      <c r="R122" s="248"/>
      <c r="S122" s="248"/>
    </row>
    <row r="123" spans="1:19" ht="17.25" thickBot="1">
      <c r="A123" s="293" t="s">
        <v>55</v>
      </c>
      <c r="B123" s="289" t="str">
        <f>TEXT($G$1, "[$-ko-KR]yyyy-mm-dd(ddd) ") &amp; "오전 00:00"</f>
        <v>2021-08-04(수) 오전 00:00</v>
      </c>
      <c r="C123" s="290"/>
      <c r="D123" s="262" t="str">
        <f>TEXT($G$1, "[$-ko-KR]yyyy-mm-dd(ddd) ") &amp; "오후 14:00"</f>
        <v>2021-08-04(수) 오후 14:00</v>
      </c>
      <c r="E123" s="263"/>
      <c r="F123" s="264"/>
      <c r="G123" s="262" t="str">
        <f>TEXT($G$1, "[$-ko-KR]yyyy-mm-dd(ddd) ") &amp; "오후 19:00"</f>
        <v>2021-08-04(수) 오후 19:00</v>
      </c>
      <c r="H123" s="263"/>
      <c r="I123" s="264"/>
      <c r="J123" s="262" t="str">
        <f>TEXT($G$1, "[$-ko-KR]yyyy-mm-dd(ddd) ") &amp; "오후 21:00"</f>
        <v>2021-08-04(수) 오후 21:00</v>
      </c>
      <c r="K123" s="263"/>
      <c r="L123" s="264"/>
      <c r="M123" s="262" t="str">
        <f>TEXT($G$1+1, "[$-ko-KR]yyyy-mm-dd(ddd) ") &amp; "오전 00:00"</f>
        <v>2021-08-05(목) 오전 00:00</v>
      </c>
      <c r="N123" s="263"/>
      <c r="O123" s="264"/>
      <c r="Q123" s="248"/>
      <c r="R123" s="248"/>
      <c r="S123" s="248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8"/>
      <c r="R124" s="238"/>
      <c r="S124" s="238"/>
    </row>
    <row r="125" spans="1:19" ht="17.25" thickBot="1">
      <c r="A125" s="123" t="s">
        <v>98</v>
      </c>
      <c r="B125" s="124">
        <v>3.38</v>
      </c>
      <c r="C125" s="76">
        <v>1.19760479E-2</v>
      </c>
      <c r="D125" s="13">
        <v>3.5</v>
      </c>
      <c r="E125" s="14">
        <f>IF(ISNUMBER(D125), (D125 - $B125) / $B125, "")</f>
        <v>3.5502958579881692E-2</v>
      </c>
      <c r="F125" s="16">
        <f>IF(ISNUMBER(D125), $B145 * E125, "")</f>
        <v>3550.2958579881692</v>
      </c>
      <c r="G125" s="29">
        <v>3.47</v>
      </c>
      <c r="H125" s="14">
        <f>IF(ISNUMBER(G125), (G125 - $B125) / $B125, "")</f>
        <v>2.6627218934911333E-2</v>
      </c>
      <c r="I125" s="100">
        <f>IF(ISNUMBER(G125), $B145 * H125, "")</f>
        <v>2662.7218934911334</v>
      </c>
      <c r="J125" s="13">
        <v>3.54</v>
      </c>
      <c r="K125" s="14">
        <f>IF(ISNUMBER(J125), (J125 - $B125) / $B125, "")</f>
        <v>4.7337278106508916E-2</v>
      </c>
      <c r="L125" s="16">
        <f>IF(ISNUMBER(J125), $B145 * K125, "")</f>
        <v>4733.727810650892</v>
      </c>
      <c r="M125" s="29">
        <v>3.67</v>
      </c>
      <c r="N125" s="14">
        <f>IF(ISNUMBER(M125), (M125 - $B125) / $B125, "")</f>
        <v>8.5798816568047345E-2</v>
      </c>
      <c r="O125" s="16">
        <f>IF(ISNUMBER(M125), $B145 * N125, "")</f>
        <v>8579.881656804735</v>
      </c>
      <c r="Q125" s="248"/>
      <c r="R125" s="248"/>
      <c r="S125" s="248"/>
    </row>
    <row r="126" spans="1:19" ht="17.25" thickBot="1">
      <c r="A126" s="125" t="s">
        <v>152</v>
      </c>
      <c r="B126" s="126">
        <v>75.400000000000006</v>
      </c>
      <c r="C126" s="77">
        <v>2.6595744999999998E-3</v>
      </c>
      <c r="D126" s="15">
        <v>75.5</v>
      </c>
      <c r="E126" s="32">
        <f t="shared" ref="E126:E129" si="62">IF(ISNUMBER(D126), (D126 - $B126) / $B126, "")</f>
        <v>1.3262599469495266E-3</v>
      </c>
      <c r="F126" s="18">
        <f>IF(ISNUMBER(D126), $B145 * E126, "")</f>
        <v>132.62599469495265</v>
      </c>
      <c r="G126" s="31">
        <v>75.400000000000006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76.5</v>
      </c>
      <c r="K126" s="32">
        <f t="shared" ref="K126:K129" si="64">IF(ISNUMBER(J126), (J126 - $B126) / $B126, "")</f>
        <v>1.4588859416445547E-2</v>
      </c>
      <c r="L126" s="18">
        <f>IF(ISNUMBER(J126), $B145 * K126, "")</f>
        <v>1458.8859416445548</v>
      </c>
      <c r="M126" s="31">
        <v>78.3</v>
      </c>
      <c r="N126" s="32">
        <f t="shared" ref="N126:N129" si="65">IF(ISNUMBER(M126), (M126 - $B126) / $B126, "")</f>
        <v>3.8461538461538346E-2</v>
      </c>
      <c r="O126" s="18">
        <f>IF(ISNUMBER(M126), $B145 * N126, "")</f>
        <v>3846.1538461538344</v>
      </c>
      <c r="Q126" s="248"/>
      <c r="R126" s="248"/>
      <c r="S126" s="248"/>
    </row>
    <row r="127" spans="1:19" ht="17.25" thickBot="1">
      <c r="A127" s="125" t="s">
        <v>234</v>
      </c>
      <c r="B127" s="126">
        <v>63.7</v>
      </c>
      <c r="C127" s="77">
        <v>0</v>
      </c>
      <c r="D127" s="15">
        <v>62.7</v>
      </c>
      <c r="E127" s="32">
        <f t="shared" si="62"/>
        <v>-1.5698587127158554E-2</v>
      </c>
      <c r="F127" s="18">
        <f>IF(ISNUMBER(D127), $B145 * E127, "")</f>
        <v>-1569.8587127158555</v>
      </c>
      <c r="G127" s="31">
        <v>61.7</v>
      </c>
      <c r="H127" s="32">
        <f t="shared" si="63"/>
        <v>-3.1397174254317109E-2</v>
      </c>
      <c r="I127" s="101">
        <f>IF(ISNUMBER(G127), $B145 * H127, "")</f>
        <v>-3139.717425431711</v>
      </c>
      <c r="J127" s="15">
        <v>62.3</v>
      </c>
      <c r="K127" s="32">
        <f t="shared" si="64"/>
        <v>-2.1978021978022066E-2</v>
      </c>
      <c r="L127" s="18">
        <f>IF(ISNUMBER(J127), $B145 * K127, "")</f>
        <v>-2197.8021978022066</v>
      </c>
      <c r="M127" s="31">
        <v>63.2</v>
      </c>
      <c r="N127" s="32">
        <f t="shared" si="65"/>
        <v>-7.8492935635792772E-3</v>
      </c>
      <c r="O127" s="18">
        <f>IF(ISNUMBER(M127), $B145 * N127, "")</f>
        <v>-784.92935635792776</v>
      </c>
      <c r="Q127" s="238"/>
      <c r="R127" s="238"/>
      <c r="S127" s="238"/>
    </row>
    <row r="128" spans="1:19" ht="17.25" thickBot="1">
      <c r="A128" s="125" t="s">
        <v>128</v>
      </c>
      <c r="B128" s="126">
        <v>99.8</v>
      </c>
      <c r="C128" s="77">
        <v>-2E-3</v>
      </c>
      <c r="D128" s="15">
        <v>99.7</v>
      </c>
      <c r="E128" s="32">
        <f t="shared" si="62"/>
        <v>-1.0020040080159752E-3</v>
      </c>
      <c r="F128" s="18">
        <f>IF(ISNUMBER(D128), $B145 * E128, "")</f>
        <v>-100.20040080159751</v>
      </c>
      <c r="G128" s="31">
        <v>99.1</v>
      </c>
      <c r="H128" s="32">
        <f t="shared" si="63"/>
        <v>-7.0140280561122531E-3</v>
      </c>
      <c r="I128" s="101">
        <f>IF(ISNUMBER(G128), $B145 * H128, "")</f>
        <v>-701.40280561122529</v>
      </c>
      <c r="J128" s="15">
        <v>100</v>
      </c>
      <c r="K128" s="32">
        <f t="shared" si="64"/>
        <v>2.0040080160320926E-3</v>
      </c>
      <c r="L128" s="18">
        <f>IF(ISNUMBER(J128), $B145 * K128, "")</f>
        <v>200.40080160320926</v>
      </c>
      <c r="M128" s="31">
        <v>103</v>
      </c>
      <c r="N128" s="32">
        <f t="shared" si="65"/>
        <v>3.2064128256513058E-2</v>
      </c>
      <c r="O128" s="18">
        <f>IF(ISNUMBER(M128), $B145 * N128, "")</f>
        <v>3206.4128256513059</v>
      </c>
      <c r="Q128" s="238"/>
      <c r="R128" s="238"/>
      <c r="S128" s="238"/>
    </row>
    <row r="129" spans="1:19" ht="17.25" thickBot="1">
      <c r="A129" s="127" t="s">
        <v>188</v>
      </c>
      <c r="B129" s="128">
        <v>11</v>
      </c>
      <c r="C129" s="78">
        <v>-1.7857142900000001E-2</v>
      </c>
      <c r="D129" s="20">
        <v>10.9</v>
      </c>
      <c r="E129" s="21">
        <f t="shared" si="62"/>
        <v>-9.0909090909090592E-3</v>
      </c>
      <c r="F129" s="22">
        <f>IF(ISNUMBER(D129), $B145 * E129, "")</f>
        <v>-909.09090909090594</v>
      </c>
      <c r="G129" s="30">
        <v>10.8</v>
      </c>
      <c r="H129" s="21">
        <f t="shared" si="63"/>
        <v>-1.8181818181818118E-2</v>
      </c>
      <c r="I129" s="105">
        <f>IF(ISNUMBER(G129), $B145 * H129, "")</f>
        <v>-1818.1818181818119</v>
      </c>
      <c r="J129" s="20">
        <v>10.9</v>
      </c>
      <c r="K129" s="21">
        <f t="shared" si="64"/>
        <v>-9.0909090909090592E-3</v>
      </c>
      <c r="L129" s="22">
        <f>IF(ISNUMBER(J129), $B145 * K129, "")</f>
        <v>-909.09090909090594</v>
      </c>
      <c r="M129" s="30">
        <v>11.1</v>
      </c>
      <c r="N129" s="21">
        <f t="shared" si="65"/>
        <v>9.0909090909090592E-3</v>
      </c>
      <c r="O129" s="22">
        <f>IF(ISNUMBER(M129), $B145 * N129, "")</f>
        <v>909.09090909090594</v>
      </c>
      <c r="Q129" s="238"/>
      <c r="R129" s="238"/>
      <c r="S129" s="238"/>
    </row>
    <row r="130" spans="1:19" ht="17.25" thickBot="1">
      <c r="A130" s="125" t="s">
        <v>178</v>
      </c>
      <c r="B130" s="129">
        <v>14.8</v>
      </c>
      <c r="C130" s="80">
        <v>-2.6315789499999999E-2</v>
      </c>
      <c r="D130" s="106">
        <v>15.1</v>
      </c>
      <c r="E130" s="107">
        <f>IF(ISNUMBER(D130), (D130 - $B130) / $B130, "")</f>
        <v>2.0270270270270199E-2</v>
      </c>
      <c r="F130" s="108">
        <f>IF(ISNUMBER(D130), $B145 * E130, "")</f>
        <v>2027.0270270270198</v>
      </c>
      <c r="G130" s="109">
        <v>14.8</v>
      </c>
      <c r="H130" s="107">
        <f>IF(ISNUMBER(G130), (G130 - $B130) / $B130, "")</f>
        <v>0</v>
      </c>
      <c r="I130" s="110">
        <f>IF(ISNUMBER(G130), $B145 * H130, "")</f>
        <v>0</v>
      </c>
      <c r="J130" s="106">
        <v>14.9</v>
      </c>
      <c r="K130" s="107">
        <f>IF(ISNUMBER(J130), (J130 - $B130) / $B130, "")</f>
        <v>6.7567567567567328E-3</v>
      </c>
      <c r="L130" s="108">
        <f>IF(ISNUMBER(J130), $B145 * K130, "")</f>
        <v>675.67567567567323</v>
      </c>
      <c r="M130" s="109">
        <v>15.1</v>
      </c>
      <c r="N130" s="107">
        <f>IF(ISNUMBER(M130), (M130 - $B130) / $B130, "")</f>
        <v>2.0270270270270199E-2</v>
      </c>
      <c r="O130" s="108">
        <f>IF(ISNUMBER(M130), $B145 * N130, "")</f>
        <v>2027.0270270270198</v>
      </c>
      <c r="Q130" s="238"/>
      <c r="R130" s="238"/>
      <c r="S130" s="238"/>
    </row>
    <row r="131" spans="1:19" ht="17.25" thickBot="1">
      <c r="A131" s="125" t="s">
        <v>132</v>
      </c>
      <c r="B131" s="126">
        <v>91.7</v>
      </c>
      <c r="C131" s="77">
        <v>-3.1678986300000003E-2</v>
      </c>
      <c r="D131" s="15">
        <v>91.5</v>
      </c>
      <c r="E131" s="32">
        <f t="shared" ref="E131:E134" si="66">IF(ISNUMBER(D131), (D131 - $B131) / $B131, "")</f>
        <v>-2.1810250817884715E-3</v>
      </c>
      <c r="F131" s="18">
        <f>IF(ISNUMBER(D131), $B145 * E131, "")</f>
        <v>-218.10250817884716</v>
      </c>
      <c r="G131" s="31">
        <v>90.6</v>
      </c>
      <c r="H131" s="32">
        <f t="shared" ref="H131:H134" si="67">IF(ISNUMBER(G131), (G131 - $B131) / $B131, "")</f>
        <v>-1.1995637949836515E-2</v>
      </c>
      <c r="I131" s="101">
        <f>IF(ISNUMBER(G131), $B145 * H131, "")</f>
        <v>-1199.5637949836514</v>
      </c>
      <c r="J131" s="15">
        <v>90.9</v>
      </c>
      <c r="K131" s="32">
        <f t="shared" ref="K131:K134" si="68">IF(ISNUMBER(J131), (J131 - $B131) / $B131, "")</f>
        <v>-8.7241003271537314E-3</v>
      </c>
      <c r="L131" s="18">
        <f>IF(ISNUMBER(J131), $B145 * K131, "")</f>
        <v>-872.41003271537318</v>
      </c>
      <c r="M131" s="31">
        <v>93.4</v>
      </c>
      <c r="N131" s="32">
        <f t="shared" ref="N131:N134" si="69">IF(ISNUMBER(M131), (M131 - $B131) / $B131, "")</f>
        <v>1.8538713195201777E-2</v>
      </c>
      <c r="O131" s="18">
        <f>IF(ISNUMBER(M131), $B145 * N131, "")</f>
        <v>1853.8713195201776</v>
      </c>
      <c r="Q131" s="238"/>
      <c r="R131" s="238"/>
      <c r="S131" s="238"/>
    </row>
    <row r="132" spans="1:19" ht="17.25" thickBot="1">
      <c r="A132" s="125" t="s">
        <v>130</v>
      </c>
      <c r="B132" s="126">
        <v>89.9</v>
      </c>
      <c r="C132" s="77">
        <v>-3.2292787900000001E-2</v>
      </c>
      <c r="D132" s="15">
        <v>89.8</v>
      </c>
      <c r="E132" s="32">
        <f t="shared" si="66"/>
        <v>-1.1123470522804062E-3</v>
      </c>
      <c r="F132" s="18">
        <f>IF(ISNUMBER(D132), $B145 * E132, "")</f>
        <v>-111.23470522804062</v>
      </c>
      <c r="G132" s="31">
        <v>89.1</v>
      </c>
      <c r="H132" s="32">
        <f t="shared" si="67"/>
        <v>-8.8987764182426182E-3</v>
      </c>
      <c r="I132" s="101">
        <f>IF(ISNUMBER(G132), $B145 * H132, "")</f>
        <v>-889.87764182426179</v>
      </c>
      <c r="J132" s="15">
        <v>89.8</v>
      </c>
      <c r="K132" s="32">
        <f t="shared" si="68"/>
        <v>-1.1123470522804062E-3</v>
      </c>
      <c r="L132" s="18">
        <f>IF(ISNUMBER(J132), $B145 * K132, "")</f>
        <v>-111.23470522804062</v>
      </c>
      <c r="M132" s="31">
        <v>90.7</v>
      </c>
      <c r="N132" s="32">
        <f t="shared" si="69"/>
        <v>8.8987764182424586E-3</v>
      </c>
      <c r="O132" s="18">
        <f>IF(ISNUMBER(M132), $B145 * N132, "")</f>
        <v>889.87764182424587</v>
      </c>
      <c r="Q132" s="238"/>
      <c r="R132" s="238"/>
      <c r="S132" s="238"/>
    </row>
    <row r="133" spans="1:19" ht="17.25" thickBot="1">
      <c r="A133" s="125" t="s">
        <v>216</v>
      </c>
      <c r="B133" s="126">
        <v>9.08</v>
      </c>
      <c r="C133" s="77">
        <v>-3.4042553199999999E-2</v>
      </c>
      <c r="D133" s="15">
        <v>9.06</v>
      </c>
      <c r="E133" s="32">
        <f t="shared" si="66"/>
        <v>-2.2026431718061203E-3</v>
      </c>
      <c r="F133" s="18">
        <f>IF(ISNUMBER(D133), $B145 * E133, "")</f>
        <v>-220.26431718061204</v>
      </c>
      <c r="G133" s="31">
        <v>9</v>
      </c>
      <c r="H133" s="32">
        <f t="shared" si="67"/>
        <v>-8.8105726872246774E-3</v>
      </c>
      <c r="I133" s="101">
        <f>IF(ISNUMBER(G133), $B145 * H133, "")</f>
        <v>-881.05726872246771</v>
      </c>
      <c r="J133" s="15">
        <v>9.0399999999999991</v>
      </c>
      <c r="K133" s="32">
        <f t="shared" si="68"/>
        <v>-4.4052863436124367E-3</v>
      </c>
      <c r="L133" s="18">
        <f>IF(ISNUMBER(J133), $B145 * K133, "")</f>
        <v>-440.52863436124369</v>
      </c>
      <c r="M133" s="31">
        <v>9.18</v>
      </c>
      <c r="N133" s="32">
        <f t="shared" si="69"/>
        <v>1.1013215859030798E-2</v>
      </c>
      <c r="O133" s="18">
        <f>IF(ISNUMBER(M133), $B145 * N133, "")</f>
        <v>1101.3215859030797</v>
      </c>
      <c r="Q133" s="33"/>
      <c r="R133" s="33"/>
    </row>
    <row r="134" spans="1:19" ht="17.25" thickBot="1">
      <c r="A134" s="130" t="s">
        <v>250</v>
      </c>
      <c r="B134" s="131">
        <v>59.1</v>
      </c>
      <c r="C134" s="79">
        <v>-3.4313725500000003E-2</v>
      </c>
      <c r="D134" s="24">
        <v>59.2</v>
      </c>
      <c r="E134" s="25">
        <f t="shared" si="66"/>
        <v>1.6920473773265892E-3</v>
      </c>
      <c r="F134" s="104">
        <f>IF(ISNUMBER(D134), $B145 * E134, "")</f>
        <v>169.20473773265891</v>
      </c>
      <c r="G134" s="102">
        <v>58.2</v>
      </c>
      <c r="H134" s="25">
        <f t="shared" si="67"/>
        <v>-1.5228426395939063E-2</v>
      </c>
      <c r="I134" s="103">
        <f>IF(ISNUMBER(G134), $B145 * H134, "")</f>
        <v>-1522.8426395939061</v>
      </c>
      <c r="J134" s="24">
        <v>59.2</v>
      </c>
      <c r="K134" s="25">
        <f t="shared" si="68"/>
        <v>1.6920473773265892E-3</v>
      </c>
      <c r="L134" s="104">
        <f>IF(ISNUMBER(J134), $B145 * K134, "")</f>
        <v>169.20473773265891</v>
      </c>
      <c r="M134" s="102">
        <v>60.8</v>
      </c>
      <c r="N134" s="25">
        <f t="shared" si="69"/>
        <v>2.8764805414551533E-2</v>
      </c>
      <c r="O134" s="104">
        <f>IF(ISNUMBER(M134), $B145 * N134, "")</f>
        <v>2876.4805414551533</v>
      </c>
      <c r="Q134" s="239"/>
      <c r="R134" s="240"/>
      <c r="S134" s="241"/>
    </row>
    <row r="135" spans="1:19">
      <c r="A135" s="123" t="s">
        <v>210</v>
      </c>
      <c r="B135" s="124">
        <v>10.3</v>
      </c>
      <c r="C135" s="76">
        <v>-3.7383177599999998E-2</v>
      </c>
      <c r="D135" s="13">
        <v>10.5</v>
      </c>
      <c r="E135" s="14">
        <f>IF(ISNUMBER(D135), (D135 - $B135) / $B135, "")</f>
        <v>1.9417475728155269E-2</v>
      </c>
      <c r="F135" s="16">
        <f>IF(ISNUMBER(D135), $B145 * E135, "")</f>
        <v>1941.7475728155268</v>
      </c>
      <c r="G135" s="29">
        <v>10.3</v>
      </c>
      <c r="H135" s="14">
        <f>IF(ISNUMBER(G135), (G135 - $B135) / $B135, "")</f>
        <v>0</v>
      </c>
      <c r="I135" s="100">
        <f>IF(ISNUMBER(G135), $B145 * H135, "")</f>
        <v>0</v>
      </c>
      <c r="J135" s="13">
        <v>10.3</v>
      </c>
      <c r="K135" s="14">
        <f>IF(ISNUMBER(J135), (J135 - $B135) / $B135, "")</f>
        <v>0</v>
      </c>
      <c r="L135" s="16">
        <f>IF(ISNUMBER(J135), $B145 * K135, "")</f>
        <v>0</v>
      </c>
      <c r="M135" s="29">
        <v>10.5</v>
      </c>
      <c r="N135" s="14">
        <f>IF(ISNUMBER(M135), (M135 - $B135) / $B135, "")</f>
        <v>1.9417475728155269E-2</v>
      </c>
      <c r="O135" s="16">
        <f>IF(ISNUMBER(M135), $B145 * N135, "")</f>
        <v>1941.7475728155268</v>
      </c>
      <c r="Q135" s="242"/>
      <c r="R135" s="243"/>
      <c r="S135" s="244"/>
    </row>
    <row r="136" spans="1:19" ht="17.25" thickBot="1">
      <c r="A136" s="125" t="s">
        <v>72</v>
      </c>
      <c r="B136" s="126">
        <v>20.399999999999999</v>
      </c>
      <c r="C136" s="77">
        <v>-3.7735849100000003E-2</v>
      </c>
      <c r="D136" s="15">
        <v>20.2</v>
      </c>
      <c r="E136" s="32">
        <f t="shared" ref="E136:E139" si="70">IF(ISNUMBER(D136), (D136 - $B136) / $B136, "")</f>
        <v>-9.8039215686274161E-3</v>
      </c>
      <c r="F136" s="18">
        <f>IF(ISNUMBER(D136), $B145 * E136, "")</f>
        <v>-980.39215686274156</v>
      </c>
      <c r="G136" s="31">
        <v>20.100000000000001</v>
      </c>
      <c r="H136" s="32">
        <f t="shared" ref="H136:H139" si="71">IF(ISNUMBER(G136), (G136 - $B136) / $B136, "")</f>
        <v>-1.4705882352941037E-2</v>
      </c>
      <c r="I136" s="101">
        <f>IF(ISNUMBER(G136), $B145 * H136, "")</f>
        <v>-1470.5882352941037</v>
      </c>
      <c r="J136" s="15">
        <v>20.100000000000001</v>
      </c>
      <c r="K136" s="32">
        <f t="shared" ref="K136:K139" si="72">IF(ISNUMBER(J136), (J136 - $B136) / $B136, "")</f>
        <v>-1.4705882352941037E-2</v>
      </c>
      <c r="L136" s="18">
        <f>IF(ISNUMBER(J136), $B145 * K136, "")</f>
        <v>-1470.5882352941037</v>
      </c>
      <c r="M136" s="31">
        <v>20.5</v>
      </c>
      <c r="N136" s="32">
        <f t="shared" ref="N136:N139" si="73">IF(ISNUMBER(M136), (M136 - $B136) / $B136, "")</f>
        <v>4.9019607843137957E-3</v>
      </c>
      <c r="O136" s="18">
        <f>IF(ISNUMBER(M136), $B145 * N136, "")</f>
        <v>490.19607843137959</v>
      </c>
      <c r="Q136" s="245"/>
      <c r="R136" s="246"/>
      <c r="S136" s="247"/>
    </row>
    <row r="137" spans="1:19" ht="17.25" thickBot="1">
      <c r="A137" s="125" t="s">
        <v>204</v>
      </c>
      <c r="B137" s="126">
        <v>12.4</v>
      </c>
      <c r="C137" s="77">
        <v>-3.8759689899999998E-2</v>
      </c>
      <c r="D137" s="15">
        <v>12.2</v>
      </c>
      <c r="E137" s="32">
        <f t="shared" si="70"/>
        <v>-1.6129032258064602E-2</v>
      </c>
      <c r="F137" s="18">
        <f>IF(ISNUMBER(D137), $B145 * E137, "")</f>
        <v>-1612.9032258064603</v>
      </c>
      <c r="G137" s="31">
        <v>11.9</v>
      </c>
      <c r="H137" s="32">
        <f t="shared" si="71"/>
        <v>-4.0322580645161289E-2</v>
      </c>
      <c r="I137" s="101">
        <f>IF(ISNUMBER(G137), $B145 * H137, "")</f>
        <v>-4032.2580645161288</v>
      </c>
      <c r="J137" s="15">
        <v>12.1</v>
      </c>
      <c r="K137" s="32">
        <f t="shared" si="72"/>
        <v>-2.4193548387096833E-2</v>
      </c>
      <c r="L137" s="18">
        <f>IF(ISNUMBER(J137), $B145 * K137, "")</f>
        <v>-2419.3548387096835</v>
      </c>
      <c r="M137" s="31">
        <v>12.3</v>
      </c>
      <c r="N137" s="32">
        <f t="shared" si="73"/>
        <v>-8.0645161290322284E-3</v>
      </c>
      <c r="O137" s="18">
        <f>IF(ISNUMBER(M137), $B145 * N137, "")</f>
        <v>-806.45161290322278</v>
      </c>
      <c r="Q137" s="238"/>
      <c r="R137" s="238"/>
      <c r="S137" s="238"/>
    </row>
    <row r="138" spans="1:19" ht="17.25" thickBot="1">
      <c r="A138" s="125" t="s">
        <v>122</v>
      </c>
      <c r="B138" s="126">
        <v>24.8</v>
      </c>
      <c r="C138" s="77">
        <v>-3.8759689899999998E-2</v>
      </c>
      <c r="D138" s="15">
        <v>24.6</v>
      </c>
      <c r="E138" s="32">
        <f t="shared" si="70"/>
        <v>-8.0645161290322284E-3</v>
      </c>
      <c r="F138" s="18">
        <f>IF(ISNUMBER(D138), $B145 * E138, "")</f>
        <v>-806.45161290322278</v>
      </c>
      <c r="G138" s="31">
        <v>24.3</v>
      </c>
      <c r="H138" s="32">
        <f t="shared" si="71"/>
        <v>-2.0161290322580645E-2</v>
      </c>
      <c r="I138" s="101">
        <f>IF(ISNUMBER(G138), $B145 * H138, "")</f>
        <v>-2016.1290322580644</v>
      </c>
      <c r="J138" s="15">
        <v>24.6</v>
      </c>
      <c r="K138" s="32">
        <f t="shared" si="72"/>
        <v>-8.0645161290322284E-3</v>
      </c>
      <c r="L138" s="18">
        <f>IF(ISNUMBER(J138), $B145 * K138, "")</f>
        <v>-806.45161290322278</v>
      </c>
      <c r="M138" s="31">
        <v>25.2</v>
      </c>
      <c r="N138" s="32">
        <f t="shared" si="73"/>
        <v>1.6129032258064457E-2</v>
      </c>
      <c r="O138" s="18">
        <f>IF(ISNUMBER(M138), $B145 * N138, "")</f>
        <v>1612.9032258064456</v>
      </c>
      <c r="Q138" s="248"/>
      <c r="R138" s="248"/>
      <c r="S138" s="248"/>
    </row>
    <row r="139" spans="1:19" ht="17.25" thickBot="1">
      <c r="A139" s="127" t="s">
        <v>162</v>
      </c>
      <c r="B139" s="128">
        <v>91.2</v>
      </c>
      <c r="C139" s="78">
        <v>-4.2016806699999999E-2</v>
      </c>
      <c r="D139" s="20">
        <v>91</v>
      </c>
      <c r="E139" s="21">
        <f t="shared" si="70"/>
        <v>-2.192982456140382E-3</v>
      </c>
      <c r="F139" s="22">
        <f>IF(ISNUMBER(D139), $B145 * E139, "")</f>
        <v>-219.29824561403819</v>
      </c>
      <c r="G139" s="30">
        <v>89.7</v>
      </c>
      <c r="H139" s="21">
        <f t="shared" si="71"/>
        <v>-1.6447368421052631E-2</v>
      </c>
      <c r="I139" s="105">
        <f>IF(ISNUMBER(G139), $B145 * H139, "")</f>
        <v>-1644.7368421052631</v>
      </c>
      <c r="J139" s="20">
        <v>90.3</v>
      </c>
      <c r="K139" s="21">
        <f t="shared" si="72"/>
        <v>-9.8684210526316408E-3</v>
      </c>
      <c r="L139" s="22">
        <f>IF(ISNUMBER(J139), $B145 * K139, "")</f>
        <v>-986.84210526316406</v>
      </c>
      <c r="M139" s="30">
        <v>91.9</v>
      </c>
      <c r="N139" s="21">
        <f t="shared" si="73"/>
        <v>7.6754385964912589E-3</v>
      </c>
      <c r="O139" s="22">
        <f>IF(ISNUMBER(M139), $B145 * N139, "")</f>
        <v>767.54385964912592</v>
      </c>
      <c r="Q139" s="248"/>
      <c r="R139" s="248"/>
      <c r="S139" s="248"/>
    </row>
    <row r="140" spans="1:19" ht="17.25" thickBot="1">
      <c r="A140" s="125" t="s">
        <v>148</v>
      </c>
      <c r="B140" s="129">
        <v>17.600000000000001</v>
      </c>
      <c r="C140" s="80">
        <v>-4.3478260900000003E-2</v>
      </c>
      <c r="D140" s="106">
        <v>17.899999999999999</v>
      </c>
      <c r="E140" s="107">
        <f>IF(ISNUMBER(D140), (D140 - $B140) / $B140, "")</f>
        <v>1.7045454545454381E-2</v>
      </c>
      <c r="F140" s="108">
        <f>IF(ISNUMBER(D140), $B145 * E140, "")</f>
        <v>1704.5454545454381</v>
      </c>
      <c r="G140" s="109">
        <v>17.7</v>
      </c>
      <c r="H140" s="107">
        <f>IF(ISNUMBER(G140), (G140 - $B140) / $B140, "")</f>
        <v>5.6818181818180605E-3</v>
      </c>
      <c r="I140" s="110">
        <f>IF(ISNUMBER(G140), $B145 * H140, "")</f>
        <v>568.18181818180608</v>
      </c>
      <c r="J140" s="106">
        <v>18</v>
      </c>
      <c r="K140" s="107">
        <f>IF(ISNUMBER(J140), (J140 - $B140) / $B140, "")</f>
        <v>2.2727272727272645E-2</v>
      </c>
      <c r="L140" s="108">
        <f>IF(ISNUMBER(J140), $B145 * K140, "")</f>
        <v>2272.7272727272643</v>
      </c>
      <c r="M140" s="109">
        <v>18.3</v>
      </c>
      <c r="N140" s="107">
        <f>IF(ISNUMBER(M140), (M140 - $B140) / $B140, "")</f>
        <v>3.977272727272723E-2</v>
      </c>
      <c r="O140" s="108">
        <f>IF(ISNUMBER(M140), $B145 * N140, "")</f>
        <v>3977.2727272727229</v>
      </c>
      <c r="Q140" s="238"/>
      <c r="R140" s="238"/>
      <c r="S140" s="238"/>
    </row>
    <row r="141" spans="1:19" ht="17.25" thickBot="1">
      <c r="A141" s="125" t="s">
        <v>208</v>
      </c>
      <c r="B141" s="126">
        <v>10.8</v>
      </c>
      <c r="C141" s="77">
        <v>-4.4247787599999998E-2</v>
      </c>
      <c r="D141" s="15">
        <v>10.7</v>
      </c>
      <c r="E141" s="32">
        <f t="shared" ref="E141:E144" si="74">IF(ISNUMBER(D141), (D141 - $B141) / $B141, "")</f>
        <v>-9.2592592592593906E-3</v>
      </c>
      <c r="F141" s="18">
        <f>IF(ISNUMBER(D141), $B145 * E141, "")</f>
        <v>-925.92592592593905</v>
      </c>
      <c r="G141" s="31">
        <v>10.5</v>
      </c>
      <c r="H141" s="32">
        <f t="shared" ref="H141:H144" si="75">IF(ISNUMBER(G141), (G141 - $B141) / $B141, "")</f>
        <v>-2.7777777777777842E-2</v>
      </c>
      <c r="I141" s="101">
        <f>IF(ISNUMBER(G141), $B145 * H141, "")</f>
        <v>-2777.7777777777842</v>
      </c>
      <c r="J141" s="15">
        <v>10.7</v>
      </c>
      <c r="K141" s="32">
        <f t="shared" ref="K141:K144" si="76">IF(ISNUMBER(J141), (J141 - $B141) / $B141, "")</f>
        <v>-9.2592592592593906E-3</v>
      </c>
      <c r="L141" s="18">
        <f>IF(ISNUMBER(J141), $B145 * K141, "")</f>
        <v>-925.92592592593905</v>
      </c>
      <c r="M141" s="31">
        <v>10.9</v>
      </c>
      <c r="N141" s="32">
        <f t="shared" ref="N141:N144" si="77">IF(ISNUMBER(M141), (M141 - $B141) / $B141, "")</f>
        <v>9.2592592592592258E-3</v>
      </c>
      <c r="O141" s="18">
        <f>IF(ISNUMBER(M141), $B145 * N141, "")</f>
        <v>925.92592592592257</v>
      </c>
      <c r="Q141" s="238"/>
      <c r="R141" s="238"/>
      <c r="S141" s="238"/>
    </row>
    <row r="142" spans="1:19" ht="17.25" thickBot="1">
      <c r="A142" s="125" t="s">
        <v>238</v>
      </c>
      <c r="B142" s="126">
        <v>93.7</v>
      </c>
      <c r="C142" s="77">
        <v>-4.5824847299999999E-2</v>
      </c>
      <c r="D142" s="15">
        <v>92.9</v>
      </c>
      <c r="E142" s="32">
        <f t="shared" si="74"/>
        <v>-8.5378868729989021E-3</v>
      </c>
      <c r="F142" s="18">
        <f>IF(ISNUMBER(D142), $B145 * E142, "")</f>
        <v>-853.78868729989017</v>
      </c>
      <c r="G142" s="31">
        <v>92.1</v>
      </c>
      <c r="H142" s="32">
        <f t="shared" si="75"/>
        <v>-1.7075773745997957E-2</v>
      </c>
      <c r="I142" s="101">
        <f>IF(ISNUMBER(G142), $B145 * H142, "")</f>
        <v>-1707.5773745997956</v>
      </c>
      <c r="J142" s="15">
        <v>92.4</v>
      </c>
      <c r="K142" s="32">
        <f t="shared" si="76"/>
        <v>-1.3874066168623234E-2</v>
      </c>
      <c r="L142" s="18">
        <f>IF(ISNUMBER(J142), $B145 * K142, "")</f>
        <v>-1387.4066168623235</v>
      </c>
      <c r="M142" s="31">
        <v>93.8</v>
      </c>
      <c r="N142" s="32">
        <f t="shared" si="77"/>
        <v>1.0672358591248059E-3</v>
      </c>
      <c r="O142" s="18">
        <f>IF(ISNUMBER(M142), $B145 * N142, "")</f>
        <v>106.7235859124806</v>
      </c>
      <c r="Q142" s="238"/>
      <c r="R142" s="238"/>
      <c r="S142" s="238"/>
    </row>
    <row r="143" spans="1:19">
      <c r="A143" s="125" t="s">
        <v>150</v>
      </c>
      <c r="B143" s="126">
        <v>10.4</v>
      </c>
      <c r="C143" s="77">
        <v>-4.58715596E-2</v>
      </c>
      <c r="D143" s="15">
        <v>10.4</v>
      </c>
      <c r="E143" s="32">
        <f t="shared" si="74"/>
        <v>0</v>
      </c>
      <c r="F143" s="18">
        <f>IF(ISNUMBER(D143), $B145 * E143, "")</f>
        <v>0</v>
      </c>
      <c r="G143" s="31">
        <v>10.4</v>
      </c>
      <c r="H143" s="32">
        <f t="shared" si="75"/>
        <v>0</v>
      </c>
      <c r="I143" s="101">
        <f>IF(ISNUMBER(G143), $B145 * H143, "")</f>
        <v>0</v>
      </c>
      <c r="J143" s="15">
        <v>10.5</v>
      </c>
      <c r="K143" s="32">
        <f t="shared" si="76"/>
        <v>9.6153846153845812E-3</v>
      </c>
      <c r="L143" s="18">
        <f>IF(ISNUMBER(J143), $B145 * K143, "")</f>
        <v>961.53846153845814</v>
      </c>
      <c r="M143" s="31">
        <v>10.6</v>
      </c>
      <c r="N143" s="32">
        <f t="shared" si="77"/>
        <v>1.9230769230769162E-2</v>
      </c>
      <c r="O143" s="18">
        <f>IF(ISNUMBER(M143), $B145 * N143, "")</f>
        <v>1923.0769230769163</v>
      </c>
      <c r="Q143" s="227"/>
      <c r="R143" s="228"/>
      <c r="S143" s="229"/>
    </row>
    <row r="144" spans="1:19" ht="17.25" thickBot="1">
      <c r="A144" s="130" t="s">
        <v>65</v>
      </c>
      <c r="B144" s="131">
        <v>28.5</v>
      </c>
      <c r="C144" s="79">
        <v>-4.68227425E-2</v>
      </c>
      <c r="D144" s="24">
        <v>28.5</v>
      </c>
      <c r="E144" s="25">
        <f t="shared" si="74"/>
        <v>0</v>
      </c>
      <c r="F144" s="104">
        <f>IF(ISNUMBER(D144), $B145 * E144, "")</f>
        <v>0</v>
      </c>
      <c r="G144" s="102">
        <v>28.1</v>
      </c>
      <c r="H144" s="25">
        <f t="shared" si="75"/>
        <v>-1.4035087719298196E-2</v>
      </c>
      <c r="I144" s="103">
        <f>IF(ISNUMBER(G144), $B145 * H144, "")</f>
        <v>-1403.5087719298197</v>
      </c>
      <c r="J144" s="24">
        <v>28.3</v>
      </c>
      <c r="K144" s="25">
        <f t="shared" si="76"/>
        <v>-7.0175438596490978E-3</v>
      </c>
      <c r="L144" s="104">
        <f>IF(ISNUMBER(J144), $B145 * K144, "")</f>
        <v>-701.75438596490983</v>
      </c>
      <c r="M144" s="102">
        <v>28.8</v>
      </c>
      <c r="N144" s="25">
        <f t="shared" si="77"/>
        <v>1.052631578947371E-2</v>
      </c>
      <c r="O144" s="104">
        <f>IF(ISNUMBER(M144), $B145 * N144, "")</f>
        <v>1052.6315789473711</v>
      </c>
      <c r="Q144" s="230"/>
      <c r="R144" s="231"/>
      <c r="S144" s="232"/>
    </row>
    <row r="145" spans="1:19" ht="17.25" thickBot="1">
      <c r="A145" s="132" t="s">
        <v>270</v>
      </c>
      <c r="B145" s="291">
        <f>$B$37</f>
        <v>100000</v>
      </c>
      <c r="C145" s="292"/>
      <c r="D145" s="26" t="s">
        <v>271</v>
      </c>
      <c r="E145" s="27">
        <f>IF(COUNT(E125:E144), SUM(E125:E144) / COUNT(E125:E144), 0)</f>
        <v>4.9896761859780764E-4</v>
      </c>
      <c r="F145" s="28">
        <f>SUM(F125:F144)</f>
        <v>997.93523719561495</v>
      </c>
      <c r="G145" s="26" t="s">
        <v>271</v>
      </c>
      <c r="H145" s="27">
        <f>IF(COUNT(H125:H144), SUM(H125:H144) / COUNT(H125:H144), 0)</f>
        <v>-1.0987157890578528E-2</v>
      </c>
      <c r="I145" s="28">
        <f>SUM(I125:I144)</f>
        <v>-21974.315781157053</v>
      </c>
      <c r="J145" s="26" t="s">
        <v>271</v>
      </c>
      <c r="K145" s="27">
        <f>IF(COUNT(K125:K144), SUM(K125:K144) / COUNT(K125:K144), 0)</f>
        <v>-1.3786147492742026E-3</v>
      </c>
      <c r="L145" s="28">
        <f>SUM(L125:L144)</f>
        <v>-2757.2294985484064</v>
      </c>
      <c r="M145" s="26" t="s">
        <v>271</v>
      </c>
      <c r="N145" s="27">
        <f>IF(COUNT(N125:N144), SUM(N125:N144) / COUNT(N125:N144), 0)</f>
        <v>1.8248378931003603E-2</v>
      </c>
      <c r="O145" s="28">
        <f>SUM(O125:O144)</f>
        <v>36496.757862007194</v>
      </c>
      <c r="Q145" s="233"/>
      <c r="R145" s="234"/>
      <c r="S145" s="23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48"/>
      <c r="R148" s="248"/>
      <c r="S148" s="248"/>
    </row>
    <row r="149" spans="1:19" ht="17.25" thickBot="1">
      <c r="A149" s="169" t="s">
        <v>267</v>
      </c>
      <c r="B149" s="249" t="s">
        <v>49</v>
      </c>
      <c r="C149" s="251"/>
      <c r="D149" s="249" t="s">
        <v>58</v>
      </c>
      <c r="E149" s="250"/>
      <c r="F149" s="251"/>
      <c r="G149" s="252">
        <f>_xlfn.IFNA(VLOOKUP(B149, 현재가테이블!$B$2:$D$200, 2, FALSE), "-")</f>
        <v>54440000</v>
      </c>
      <c r="H149" s="253"/>
      <c r="I149" s="254"/>
      <c r="J149" s="249" t="s">
        <v>59</v>
      </c>
      <c r="K149" s="250"/>
      <c r="L149" s="251"/>
      <c r="M149" s="255">
        <f>_xlfn.IFNA(VLOOKUP(B149, 현재가테이블!$B$2:$D$200, 3, FALSE), "-")</f>
        <v>1.07123628E-2</v>
      </c>
      <c r="N149" s="256"/>
      <c r="O149" s="257"/>
      <c r="Q149" s="248"/>
      <c r="R149" s="248"/>
      <c r="S149" s="248"/>
    </row>
    <row r="150" spans="1:19" ht="17.25" thickBot="1">
      <c r="A150" s="293" t="s">
        <v>55</v>
      </c>
      <c r="B150" s="289" t="str">
        <f>TEXT($G$1, "[$-ko-KR]yyyy-mm-dd(ddd) ") &amp; "오전 00:00"</f>
        <v>2021-08-04(수) 오전 00:00</v>
      </c>
      <c r="C150" s="290"/>
      <c r="D150" s="262" t="str">
        <f>TEXT($G$1, "[$-ko-KR]yyyy-mm-dd(ddd) ") &amp; "오후 14:00"</f>
        <v>2021-08-04(수) 오후 14:00</v>
      </c>
      <c r="E150" s="263"/>
      <c r="F150" s="264"/>
      <c r="G150" s="262" t="str">
        <f>TEXT($G$1, "[$-ko-KR]yyyy-mm-dd(ddd) ") &amp; "오후 19:00"</f>
        <v>2021-08-04(수) 오후 19:00</v>
      </c>
      <c r="H150" s="263"/>
      <c r="I150" s="264"/>
      <c r="J150" s="262" t="str">
        <f>TEXT($G$1, "[$-ko-KR]yyyy-mm-dd(ddd) ") &amp; "오후 21:00"</f>
        <v>2021-08-04(수) 오후 21:00</v>
      </c>
      <c r="K150" s="263"/>
      <c r="L150" s="264"/>
      <c r="M150" s="262" t="str">
        <f>TEXT($G$1+1, "[$-ko-KR]yyyy-mm-dd(ddd) ") &amp; "오전 00:00"</f>
        <v>2021-08-05(목) 오전 00:00</v>
      </c>
      <c r="N150" s="263"/>
      <c r="O150" s="264"/>
      <c r="Q150" s="248"/>
      <c r="R150" s="248"/>
      <c r="S150" s="248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8"/>
      <c r="R151" s="238"/>
      <c r="S151" s="238"/>
    </row>
    <row r="152" spans="1:19" ht="17.25" thickBot="1">
      <c r="A152" s="123" t="s">
        <v>184</v>
      </c>
      <c r="B152" s="124">
        <v>894</v>
      </c>
      <c r="C152" s="76">
        <v>-2.61437908E-2</v>
      </c>
      <c r="D152" s="13">
        <v>892</v>
      </c>
      <c r="E152" s="14">
        <f>IF(ISNUMBER(D152), (D152 - $B152) / $B152, "")</f>
        <v>-2.2371364653243847E-3</v>
      </c>
      <c r="F152" s="16">
        <f>IF(ISNUMBER(D152), $B172 * E152, "")</f>
        <v>-223.71364653243847</v>
      </c>
      <c r="G152" s="29">
        <v>890</v>
      </c>
      <c r="H152" s="14">
        <f>IF(ISNUMBER(G152), (G152 - $B152) / $B152, "")</f>
        <v>-4.4742729306487695E-3</v>
      </c>
      <c r="I152" s="100">
        <f>IF(ISNUMBER(G152), $B172 * H152, "")</f>
        <v>-447.42729306487695</v>
      </c>
      <c r="J152" s="13">
        <v>896</v>
      </c>
      <c r="K152" s="14">
        <f>IF(ISNUMBER(J152), (J152 - $B152) / $B152, "")</f>
        <v>2.2371364653243847E-3</v>
      </c>
      <c r="L152" s="16">
        <f>IF(ISNUMBER(J152), $B172 * K152, "")</f>
        <v>223.71364653243847</v>
      </c>
      <c r="M152" s="29">
        <v>903</v>
      </c>
      <c r="N152" s="14">
        <f>IF(ISNUMBER(M152), (M152 - $B152) / $B152, "")</f>
        <v>1.0067114093959731E-2</v>
      </c>
      <c r="O152" s="16">
        <f>IF(ISNUMBER(M152), $B172 * N152, "")</f>
        <v>1006.7114093959731</v>
      </c>
      <c r="Q152" s="248"/>
      <c r="R152" s="248"/>
      <c r="S152" s="248"/>
    </row>
    <row r="153" spans="1:19" ht="17.25" thickBot="1">
      <c r="A153" s="125" t="s">
        <v>232</v>
      </c>
      <c r="B153" s="126">
        <v>463</v>
      </c>
      <c r="C153" s="77">
        <v>-2.7310924399999999E-2</v>
      </c>
      <c r="D153" s="15">
        <v>456</v>
      </c>
      <c r="E153" s="32">
        <f t="shared" ref="E153:E156" si="78">IF(ISNUMBER(D153), (D153 - $B153) / $B153, "")</f>
        <v>-1.511879049676026E-2</v>
      </c>
      <c r="F153" s="18">
        <f>IF(ISNUMBER(D153), $B172 * E153, "")</f>
        <v>-1511.8790496760259</v>
      </c>
      <c r="G153" s="31">
        <v>453</v>
      </c>
      <c r="H153" s="32">
        <f t="shared" ref="H153:H156" si="79">IF(ISNUMBER(G153), (G153 - $B153) / $B153, "")</f>
        <v>-2.159827213822894E-2</v>
      </c>
      <c r="I153" s="101">
        <f>IF(ISNUMBER(G153), $B172 * H153, "")</f>
        <v>-2159.827213822894</v>
      </c>
      <c r="J153" s="15">
        <v>456</v>
      </c>
      <c r="K153" s="32">
        <f t="shared" ref="K153:K156" si="80">IF(ISNUMBER(J153), (J153 - $B153) / $B153, "")</f>
        <v>-1.511879049676026E-2</v>
      </c>
      <c r="L153" s="18">
        <f>IF(ISNUMBER(J153), $B172 * K153, "")</f>
        <v>-1511.8790496760259</v>
      </c>
      <c r="M153" s="31">
        <v>466</v>
      </c>
      <c r="N153" s="32">
        <f t="shared" ref="N153:N156" si="81">IF(ISNUMBER(M153), (M153 - $B153) / $B153, "")</f>
        <v>6.4794816414686825E-3</v>
      </c>
      <c r="O153" s="18">
        <f>IF(ISNUMBER(M153), $B172 * N153, "")</f>
        <v>647.94816414686829</v>
      </c>
      <c r="Q153" s="248"/>
      <c r="R153" s="248"/>
      <c r="S153" s="248"/>
    </row>
    <row r="154" spans="1:19" ht="17.25" thickBot="1">
      <c r="A154" s="125" t="s">
        <v>230</v>
      </c>
      <c r="B154" s="126">
        <v>178</v>
      </c>
      <c r="C154" s="77">
        <v>-2.73224044E-2</v>
      </c>
      <c r="D154" s="15">
        <v>180</v>
      </c>
      <c r="E154" s="32">
        <f t="shared" si="78"/>
        <v>1.1235955056179775E-2</v>
      </c>
      <c r="F154" s="18">
        <f>IF(ISNUMBER(D154), $B172 * E154, "")</f>
        <v>1123.5955056179776</v>
      </c>
      <c r="G154" s="31">
        <v>181</v>
      </c>
      <c r="H154" s="32">
        <f t="shared" si="79"/>
        <v>1.6853932584269662E-2</v>
      </c>
      <c r="I154" s="101">
        <f>IF(ISNUMBER(G154), $B172 * H154, "")</f>
        <v>1685.3932584269662</v>
      </c>
      <c r="J154" s="15">
        <v>182</v>
      </c>
      <c r="K154" s="32">
        <f t="shared" si="80"/>
        <v>2.247191011235955E-2</v>
      </c>
      <c r="L154" s="18">
        <f>IF(ISNUMBER(J154), $B172 * K154, "")</f>
        <v>2247.1910112359551</v>
      </c>
      <c r="M154" s="31">
        <v>188</v>
      </c>
      <c r="N154" s="32">
        <f t="shared" si="81"/>
        <v>5.6179775280898875E-2</v>
      </c>
      <c r="O154" s="18">
        <f>IF(ISNUMBER(M154), $B172 * N154, "")</f>
        <v>5617.9775280898875</v>
      </c>
      <c r="Q154" s="238"/>
      <c r="R154" s="238"/>
      <c r="S154" s="238"/>
    </row>
    <row r="155" spans="1:19" ht="17.25" thickBot="1">
      <c r="A155" s="125" t="s">
        <v>118</v>
      </c>
      <c r="B155" s="126">
        <v>141</v>
      </c>
      <c r="C155" s="77">
        <v>-2.75862069E-2</v>
      </c>
      <c r="D155" s="15">
        <v>140</v>
      </c>
      <c r="E155" s="32">
        <f t="shared" si="78"/>
        <v>-7.0921985815602835E-3</v>
      </c>
      <c r="F155" s="18">
        <f>IF(ISNUMBER(D155), $B172 * E155, "")</f>
        <v>-709.21985815602841</v>
      </c>
      <c r="G155" s="31">
        <v>141</v>
      </c>
      <c r="H155" s="32">
        <f t="shared" si="79"/>
        <v>0</v>
      </c>
      <c r="I155" s="101">
        <f>IF(ISNUMBER(G155), $B172 * H155, "")</f>
        <v>0</v>
      </c>
      <c r="J155" s="15">
        <v>141</v>
      </c>
      <c r="K155" s="32">
        <f t="shared" si="80"/>
        <v>0</v>
      </c>
      <c r="L155" s="18">
        <f>IF(ISNUMBER(J155), $B172 * K155, "")</f>
        <v>0</v>
      </c>
      <c r="M155" s="31">
        <v>143</v>
      </c>
      <c r="N155" s="32">
        <f t="shared" si="81"/>
        <v>1.4184397163120567E-2</v>
      </c>
      <c r="O155" s="18">
        <f>IF(ISNUMBER(M155), $B172 * N155, "")</f>
        <v>1418.4397163120568</v>
      </c>
      <c r="Q155" s="238"/>
      <c r="R155" s="238"/>
      <c r="S155" s="238"/>
    </row>
    <row r="156" spans="1:19" ht="17.25" thickBot="1">
      <c r="A156" s="127" t="s">
        <v>124</v>
      </c>
      <c r="B156" s="128">
        <v>305</v>
      </c>
      <c r="C156" s="78">
        <v>-2.8662420399999999E-2</v>
      </c>
      <c r="D156" s="20">
        <v>303</v>
      </c>
      <c r="E156" s="21">
        <f t="shared" si="78"/>
        <v>-6.5573770491803279E-3</v>
      </c>
      <c r="F156" s="22">
        <f>IF(ISNUMBER(D156), $B172 * E156, "")</f>
        <v>-655.73770491803282</v>
      </c>
      <c r="G156" s="30">
        <v>307</v>
      </c>
      <c r="H156" s="21">
        <f t="shared" si="79"/>
        <v>6.5573770491803279E-3</v>
      </c>
      <c r="I156" s="105">
        <f>IF(ISNUMBER(G156), $B172 * H156, "")</f>
        <v>655.73770491803282</v>
      </c>
      <c r="J156" s="20">
        <v>308</v>
      </c>
      <c r="K156" s="21">
        <f t="shared" si="80"/>
        <v>9.8360655737704927E-3</v>
      </c>
      <c r="L156" s="22">
        <f>IF(ISNUMBER(J156), $B172 * K156, "")</f>
        <v>983.60655737704928</v>
      </c>
      <c r="M156" s="30">
        <v>311</v>
      </c>
      <c r="N156" s="21">
        <f t="shared" si="81"/>
        <v>1.9672131147540985E-2</v>
      </c>
      <c r="O156" s="22">
        <f>IF(ISNUMBER(M156), $B172 * N156, "")</f>
        <v>1967.2131147540986</v>
      </c>
      <c r="Q156" s="238"/>
      <c r="R156" s="238"/>
      <c r="S156" s="238"/>
    </row>
    <row r="157" spans="1:19" ht="17.25" thickBot="1">
      <c r="A157" s="125" t="s">
        <v>194</v>
      </c>
      <c r="B157" s="129">
        <v>131</v>
      </c>
      <c r="C157" s="80">
        <v>-2.9629629599999999E-2</v>
      </c>
      <c r="D157" s="106">
        <v>136</v>
      </c>
      <c r="E157" s="107">
        <f>IF(ISNUMBER(D157), (D157 - $B157) / $B157, "")</f>
        <v>3.8167938931297711E-2</v>
      </c>
      <c r="F157" s="108">
        <f>IF(ISNUMBER(D157), $B172 * E157, "")</f>
        <v>3816.7938931297713</v>
      </c>
      <c r="G157" s="109">
        <v>133</v>
      </c>
      <c r="H157" s="107">
        <f>IF(ISNUMBER(G157), (G157 - $B157) / $B157, "")</f>
        <v>1.5267175572519083E-2</v>
      </c>
      <c r="I157" s="110">
        <f>IF(ISNUMBER(G157), $B172 * H157, "")</f>
        <v>1526.7175572519084</v>
      </c>
      <c r="J157" s="106">
        <v>133</v>
      </c>
      <c r="K157" s="107">
        <f>IF(ISNUMBER(J157), (J157 - $B157) / $B157, "")</f>
        <v>1.5267175572519083E-2</v>
      </c>
      <c r="L157" s="108">
        <f>IF(ISNUMBER(J157), $B172 * K157, "")</f>
        <v>1526.7175572519084</v>
      </c>
      <c r="M157" s="109">
        <v>134</v>
      </c>
      <c r="N157" s="107">
        <f>IF(ISNUMBER(M157), (M157 - $B157) / $B157, "")</f>
        <v>2.2900763358778626E-2</v>
      </c>
      <c r="O157" s="108">
        <f>IF(ISNUMBER(M157), $B172 * N157, "")</f>
        <v>2290.0763358778627</v>
      </c>
      <c r="Q157" s="238"/>
      <c r="R157" s="238"/>
      <c r="S157" s="238"/>
    </row>
    <row r="158" spans="1:19" ht="17.25" thickBot="1">
      <c r="A158" s="125" t="s">
        <v>242</v>
      </c>
      <c r="B158" s="126">
        <v>422</v>
      </c>
      <c r="C158" s="77">
        <v>-2.9885057499999999E-2</v>
      </c>
      <c r="D158" s="15">
        <v>421</v>
      </c>
      <c r="E158" s="32">
        <f t="shared" ref="E158:E161" si="82">IF(ISNUMBER(D158), (D158 - $B158) / $B158, "")</f>
        <v>-2.3696682464454978E-3</v>
      </c>
      <c r="F158" s="18">
        <f>IF(ISNUMBER(D158), $B172 * E158, "")</f>
        <v>-236.96682464454977</v>
      </c>
      <c r="G158" s="31">
        <v>419</v>
      </c>
      <c r="H158" s="32">
        <f t="shared" ref="H158:H161" si="83">IF(ISNUMBER(G158), (G158 - $B158) / $B158, "")</f>
        <v>-7.1090047393364926E-3</v>
      </c>
      <c r="I158" s="101">
        <f>IF(ISNUMBER(G158), $B172 * H158, "")</f>
        <v>-710.90047393364921</v>
      </c>
      <c r="J158" s="15">
        <v>423</v>
      </c>
      <c r="K158" s="32">
        <f t="shared" ref="K158:K161" si="84">IF(ISNUMBER(J158), (J158 - $B158) / $B158, "")</f>
        <v>2.3696682464454978E-3</v>
      </c>
      <c r="L158" s="18">
        <f>IF(ISNUMBER(J158), $B172 * K158, "")</f>
        <v>236.96682464454977</v>
      </c>
      <c r="M158" s="31">
        <v>437</v>
      </c>
      <c r="N158" s="32">
        <f t="shared" ref="N158:N161" si="85">IF(ISNUMBER(M158), (M158 - $B158) / $B158, "")</f>
        <v>3.5545023696682464E-2</v>
      </c>
      <c r="O158" s="18">
        <f>IF(ISNUMBER(M158), $B172 * N158, "")</f>
        <v>3554.5023696682465</v>
      </c>
      <c r="Q158" s="238"/>
      <c r="R158" s="238"/>
      <c r="S158" s="238"/>
    </row>
    <row r="159" spans="1:19" ht="17.25" thickBot="1">
      <c r="A159" s="125" t="s">
        <v>57</v>
      </c>
      <c r="B159" s="126">
        <v>190</v>
      </c>
      <c r="C159" s="77">
        <v>-3.0612244899999998E-2</v>
      </c>
      <c r="D159" s="15">
        <v>188</v>
      </c>
      <c r="E159" s="32">
        <f t="shared" si="82"/>
        <v>-1.0526315789473684E-2</v>
      </c>
      <c r="F159" s="18">
        <f>IF(ISNUMBER(D159), $B172 * E159, "")</f>
        <v>-1052.6315789473683</v>
      </c>
      <c r="G159" s="31">
        <v>185</v>
      </c>
      <c r="H159" s="32">
        <f t="shared" si="83"/>
        <v>-2.6315789473684209E-2</v>
      </c>
      <c r="I159" s="101">
        <f>IF(ISNUMBER(G159), $B172 * H159, "")</f>
        <v>-2631.5789473684208</v>
      </c>
      <c r="J159" s="15">
        <v>188</v>
      </c>
      <c r="K159" s="32">
        <f t="shared" si="84"/>
        <v>-1.0526315789473684E-2</v>
      </c>
      <c r="L159" s="18">
        <f>IF(ISNUMBER(J159), $B172 * K159, "")</f>
        <v>-1052.6315789473683</v>
      </c>
      <c r="M159" s="31">
        <v>192</v>
      </c>
      <c r="N159" s="32">
        <f t="shared" si="85"/>
        <v>1.0526315789473684E-2</v>
      </c>
      <c r="O159" s="18">
        <f>IF(ISNUMBER(M159), $B172 * N159, "")</f>
        <v>1052.6315789473683</v>
      </c>
      <c r="Q159" s="238"/>
      <c r="R159" s="238"/>
      <c r="S159" s="238"/>
    </row>
    <row r="160" spans="1:19" ht="17.25" thickBot="1">
      <c r="A160" s="125" t="s">
        <v>114</v>
      </c>
      <c r="B160" s="126">
        <v>687</v>
      </c>
      <c r="C160" s="77">
        <v>-3.1029619200000001E-2</v>
      </c>
      <c r="D160" s="15">
        <v>693</v>
      </c>
      <c r="E160" s="32">
        <f t="shared" si="82"/>
        <v>8.7336244541484712E-3</v>
      </c>
      <c r="F160" s="18">
        <f>IF(ISNUMBER(D160), $B172 * E160, "")</f>
        <v>873.36244541484712</v>
      </c>
      <c r="G160" s="31">
        <v>734</v>
      </c>
      <c r="H160" s="32">
        <f t="shared" si="83"/>
        <v>6.8413391557496359E-2</v>
      </c>
      <c r="I160" s="101">
        <f>IF(ISNUMBER(G160), $B172 * H160, "")</f>
        <v>6841.3391557496361</v>
      </c>
      <c r="J160" s="15">
        <v>736</v>
      </c>
      <c r="K160" s="32">
        <f t="shared" si="84"/>
        <v>7.132459970887918E-2</v>
      </c>
      <c r="L160" s="18">
        <f>IF(ISNUMBER(J160), $B172 * K160, "")</f>
        <v>7132.4599708879177</v>
      </c>
      <c r="M160" s="31">
        <v>736</v>
      </c>
      <c r="N160" s="32">
        <f t="shared" si="85"/>
        <v>7.132459970887918E-2</v>
      </c>
      <c r="O160" s="18">
        <f>IF(ISNUMBER(M160), $B172 * N160, "")</f>
        <v>7132.4599708879177</v>
      </c>
      <c r="Q160" s="33"/>
      <c r="R160" s="33"/>
    </row>
    <row r="161" spans="1:19" ht="17.25" thickBot="1">
      <c r="A161" s="130" t="s">
        <v>206</v>
      </c>
      <c r="B161" s="131">
        <v>307</v>
      </c>
      <c r="C161" s="79">
        <v>-3.1545741299999999E-2</v>
      </c>
      <c r="D161" s="24">
        <v>296</v>
      </c>
      <c r="E161" s="25">
        <f t="shared" si="82"/>
        <v>-3.5830618892508145E-2</v>
      </c>
      <c r="F161" s="104">
        <f>IF(ISNUMBER(D161), $B172 * E161, "")</f>
        <v>-3583.0618892508146</v>
      </c>
      <c r="G161" s="102">
        <v>292</v>
      </c>
      <c r="H161" s="25">
        <f t="shared" si="83"/>
        <v>-4.8859934853420196E-2</v>
      </c>
      <c r="I161" s="103">
        <f>IF(ISNUMBER(G161), $B172 * H161, "")</f>
        <v>-4885.99348534202</v>
      </c>
      <c r="J161" s="24">
        <v>296</v>
      </c>
      <c r="K161" s="25">
        <f t="shared" si="84"/>
        <v>-3.5830618892508145E-2</v>
      </c>
      <c r="L161" s="104">
        <f>IF(ISNUMBER(J161), $B172 * K161, "")</f>
        <v>-3583.0618892508146</v>
      </c>
      <c r="M161" s="102">
        <v>302</v>
      </c>
      <c r="N161" s="25">
        <f t="shared" si="85"/>
        <v>-1.6286644951140065E-2</v>
      </c>
      <c r="O161" s="104">
        <f>IF(ISNUMBER(M161), $B172 * N161, "")</f>
        <v>-1628.6644951140065</v>
      </c>
      <c r="Q161" s="239"/>
      <c r="R161" s="240"/>
      <c r="S161" s="241"/>
    </row>
    <row r="162" spans="1:19">
      <c r="A162" s="123" t="s">
        <v>192</v>
      </c>
      <c r="B162" s="124">
        <v>207</v>
      </c>
      <c r="C162" s="76">
        <v>-3.27102804E-2</v>
      </c>
      <c r="D162" s="13">
        <v>206</v>
      </c>
      <c r="E162" s="14">
        <f>IF(ISNUMBER(D162), (D162 - $B162) / $B162, "")</f>
        <v>-4.830917874396135E-3</v>
      </c>
      <c r="F162" s="16">
        <f>IF(ISNUMBER(D162), $B172 * E162, "")</f>
        <v>-483.09178743961348</v>
      </c>
      <c r="G162" s="29">
        <v>203</v>
      </c>
      <c r="H162" s="14">
        <f>IF(ISNUMBER(G162), (G162 - $B162) / $B162, "")</f>
        <v>-1.932367149758454E-2</v>
      </c>
      <c r="I162" s="100">
        <f>IF(ISNUMBER(G162), $B172 * H162, "")</f>
        <v>-1932.3671497584539</v>
      </c>
      <c r="J162" s="13">
        <v>206</v>
      </c>
      <c r="K162" s="14">
        <f>IF(ISNUMBER(J162), (J162 - $B162) / $B162, "")</f>
        <v>-4.830917874396135E-3</v>
      </c>
      <c r="L162" s="16">
        <f>IF(ISNUMBER(J162), $B172 * K162, "")</f>
        <v>-483.09178743961348</v>
      </c>
      <c r="M162" s="29">
        <v>210</v>
      </c>
      <c r="N162" s="14">
        <f>IF(ISNUMBER(M162), (M162 - $B162) / $B162, "")</f>
        <v>1.4492753623188406E-2</v>
      </c>
      <c r="O162" s="16">
        <f>IF(ISNUMBER(M162), $B172 * N162, "")</f>
        <v>1449.2753623188405</v>
      </c>
      <c r="Q162" s="242"/>
      <c r="R162" s="243"/>
      <c r="S162" s="244"/>
    </row>
    <row r="163" spans="1:19" ht="17.25" thickBot="1">
      <c r="A163" s="125" t="s">
        <v>144</v>
      </c>
      <c r="B163" s="126">
        <v>111</v>
      </c>
      <c r="C163" s="77">
        <v>-3.4782608700000002E-2</v>
      </c>
      <c r="D163" s="15">
        <v>110</v>
      </c>
      <c r="E163" s="32">
        <f t="shared" ref="E163:E166" si="86">IF(ISNUMBER(D163), (D163 - $B163) / $B163, "")</f>
        <v>-9.0090090090090089E-3</v>
      </c>
      <c r="F163" s="18">
        <f>IF(ISNUMBER(D163), $B172 * E163, "")</f>
        <v>-900.90090090090087</v>
      </c>
      <c r="G163" s="31">
        <v>108</v>
      </c>
      <c r="H163" s="32">
        <f t="shared" ref="H163:H166" si="87">IF(ISNUMBER(G163), (G163 - $B163) / $B163, "")</f>
        <v>-2.7027027027027029E-2</v>
      </c>
      <c r="I163" s="101">
        <f>IF(ISNUMBER(G163), $B172 * H163, "")</f>
        <v>-2702.7027027027029</v>
      </c>
      <c r="J163" s="15">
        <v>110</v>
      </c>
      <c r="K163" s="32">
        <f t="shared" ref="K163:K166" si="88">IF(ISNUMBER(J163), (J163 - $B163) / $B163, "")</f>
        <v>-9.0090090090090089E-3</v>
      </c>
      <c r="L163" s="18">
        <f>IF(ISNUMBER(J163), $B172 * K163, "")</f>
        <v>-900.90090090090087</v>
      </c>
      <c r="M163" s="31">
        <v>114</v>
      </c>
      <c r="N163" s="32">
        <f t="shared" ref="N163:N166" si="89">IF(ISNUMBER(M163), (M163 - $B163) / $B163, "")</f>
        <v>2.7027027027027029E-2</v>
      </c>
      <c r="O163" s="18">
        <f>IF(ISNUMBER(M163), $B172 * N163, "")</f>
        <v>2702.7027027027029</v>
      </c>
      <c r="Q163" s="245"/>
      <c r="R163" s="246"/>
      <c r="S163" s="247"/>
    </row>
    <row r="164" spans="1:19" ht="17.25" thickBot="1">
      <c r="A164" s="125" t="s">
        <v>166</v>
      </c>
      <c r="B164" s="126">
        <v>153</v>
      </c>
      <c r="C164" s="77">
        <v>-3.7735849100000003E-2</v>
      </c>
      <c r="D164" s="15">
        <v>159</v>
      </c>
      <c r="E164" s="32">
        <f t="shared" si="86"/>
        <v>3.9215686274509803E-2</v>
      </c>
      <c r="F164" s="18">
        <f>IF(ISNUMBER(D164), $B172 * E164, "")</f>
        <v>3921.5686274509803</v>
      </c>
      <c r="G164" s="31">
        <v>155</v>
      </c>
      <c r="H164" s="32">
        <f t="shared" si="87"/>
        <v>1.3071895424836602E-2</v>
      </c>
      <c r="I164" s="101">
        <f>IF(ISNUMBER(G164), $B172 * H164, "")</f>
        <v>1307.1895424836603</v>
      </c>
      <c r="J164" s="15">
        <v>157</v>
      </c>
      <c r="K164" s="32">
        <f t="shared" si="88"/>
        <v>2.6143790849673203E-2</v>
      </c>
      <c r="L164" s="18">
        <f>IF(ISNUMBER(J164), $B172 * K164, "")</f>
        <v>2614.3790849673205</v>
      </c>
      <c r="M164" s="31">
        <v>158</v>
      </c>
      <c r="N164" s="32">
        <f t="shared" si="89"/>
        <v>3.2679738562091505E-2</v>
      </c>
      <c r="O164" s="18">
        <f>IF(ISNUMBER(M164), $B172 * N164, "")</f>
        <v>3267.9738562091507</v>
      </c>
      <c r="Q164" s="238"/>
      <c r="R164" s="238"/>
      <c r="S164" s="238"/>
    </row>
    <row r="165" spans="1:19" ht="17.25" thickBot="1">
      <c r="A165" s="125" t="s">
        <v>222</v>
      </c>
      <c r="B165" s="126">
        <v>117</v>
      </c>
      <c r="C165" s="77">
        <v>-4.09836066E-2</v>
      </c>
      <c r="D165" s="15">
        <v>115</v>
      </c>
      <c r="E165" s="32">
        <f t="shared" si="86"/>
        <v>-1.7094017094017096E-2</v>
      </c>
      <c r="F165" s="18">
        <f>IF(ISNUMBER(D165), $B172 * E165, "")</f>
        <v>-1709.4017094017095</v>
      </c>
      <c r="G165" s="31">
        <v>113</v>
      </c>
      <c r="H165" s="32">
        <f t="shared" si="87"/>
        <v>-3.4188034188034191E-2</v>
      </c>
      <c r="I165" s="101">
        <f>IF(ISNUMBER(G165), $B172 * H165, "")</f>
        <v>-3418.8034188034189</v>
      </c>
      <c r="J165" s="15">
        <v>116</v>
      </c>
      <c r="K165" s="32">
        <f t="shared" si="88"/>
        <v>-8.5470085470085479E-3</v>
      </c>
      <c r="L165" s="18">
        <f>IF(ISNUMBER(J165), $B172 * K165, "")</f>
        <v>-854.70085470085473</v>
      </c>
      <c r="M165" s="31">
        <v>117</v>
      </c>
      <c r="N165" s="32">
        <f t="shared" si="89"/>
        <v>0</v>
      </c>
      <c r="O165" s="18">
        <f>IF(ISNUMBER(M165), $B172 * N165, "")</f>
        <v>0</v>
      </c>
      <c r="Q165" s="248"/>
      <c r="R165" s="248"/>
      <c r="S165" s="248"/>
    </row>
    <row r="166" spans="1:19" ht="17.25" thickBot="1">
      <c r="A166" s="127" t="s">
        <v>236</v>
      </c>
      <c r="B166" s="128">
        <v>552</v>
      </c>
      <c r="C166" s="78">
        <v>-4.16666667E-2</v>
      </c>
      <c r="D166" s="20">
        <v>546</v>
      </c>
      <c r="E166" s="21">
        <f t="shared" si="86"/>
        <v>-1.0869565217391304E-2</v>
      </c>
      <c r="F166" s="22">
        <f>IF(ISNUMBER(D166), $B172 * E166, "")</f>
        <v>-1086.9565217391305</v>
      </c>
      <c r="G166" s="30">
        <v>540</v>
      </c>
      <c r="H166" s="21">
        <f t="shared" si="87"/>
        <v>-2.1739130434782608E-2</v>
      </c>
      <c r="I166" s="105">
        <f>IF(ISNUMBER(G166), $B172 * H166, "")</f>
        <v>-2173.913043478261</v>
      </c>
      <c r="J166" s="20">
        <v>543</v>
      </c>
      <c r="K166" s="21">
        <f t="shared" si="88"/>
        <v>-1.6304347826086956E-2</v>
      </c>
      <c r="L166" s="22">
        <f>IF(ISNUMBER(J166), $B172 * K166, "")</f>
        <v>-1630.4347826086955</v>
      </c>
      <c r="M166" s="30">
        <v>552</v>
      </c>
      <c r="N166" s="21">
        <f t="shared" si="89"/>
        <v>0</v>
      </c>
      <c r="O166" s="22">
        <f>IF(ISNUMBER(M166), $B172 * N166, "")</f>
        <v>0</v>
      </c>
      <c r="Q166" s="248"/>
      <c r="R166" s="248"/>
      <c r="S166" s="248"/>
    </row>
    <row r="167" spans="1:19" ht="17.25" thickBot="1">
      <c r="A167" s="125" t="s">
        <v>254</v>
      </c>
      <c r="B167" s="129">
        <v>281</v>
      </c>
      <c r="C167" s="80">
        <v>-4.7457627099999997E-2</v>
      </c>
      <c r="D167" s="106">
        <v>274</v>
      </c>
      <c r="E167" s="107">
        <f>IF(ISNUMBER(D167), (D167 - $B167) / $B167, "")</f>
        <v>-2.491103202846975E-2</v>
      </c>
      <c r="F167" s="108">
        <f>IF(ISNUMBER(D167), $B172 * E167, "")</f>
        <v>-2491.1032028469749</v>
      </c>
      <c r="G167" s="109">
        <v>270</v>
      </c>
      <c r="H167" s="107">
        <f>IF(ISNUMBER(G167), (G167 - $B167) / $B167, "")</f>
        <v>-3.9145907473309607E-2</v>
      </c>
      <c r="I167" s="110">
        <f>IF(ISNUMBER(G167), $B172 * H167, "")</f>
        <v>-3914.5907473309608</v>
      </c>
      <c r="J167" s="106">
        <v>271</v>
      </c>
      <c r="K167" s="107">
        <f>IF(ISNUMBER(J167), (J167 - $B167) / $B167, "")</f>
        <v>-3.5587188612099648E-2</v>
      </c>
      <c r="L167" s="108">
        <f>IF(ISNUMBER(J167), $B172 * K167, "")</f>
        <v>-3558.7188612099649</v>
      </c>
      <c r="M167" s="109">
        <v>274</v>
      </c>
      <c r="N167" s="107">
        <f>IF(ISNUMBER(M167), (M167 - $B167) / $B167, "")</f>
        <v>-2.491103202846975E-2</v>
      </c>
      <c r="O167" s="108">
        <f>IF(ISNUMBER(M167), $B172 * N167, "")</f>
        <v>-2491.1032028469749</v>
      </c>
      <c r="Q167" s="238"/>
      <c r="R167" s="238"/>
      <c r="S167" s="238"/>
    </row>
    <row r="168" spans="1:19" ht="17.25" thickBot="1">
      <c r="A168" s="125" t="s">
        <v>218</v>
      </c>
      <c r="B168" s="126">
        <v>117</v>
      </c>
      <c r="C168" s="77">
        <v>-4.8780487800000001E-2</v>
      </c>
      <c r="D168" s="15">
        <v>113</v>
      </c>
      <c r="E168" s="32">
        <f t="shared" ref="E168:E171" si="90">IF(ISNUMBER(D168), (D168 - $B168) / $B168, "")</f>
        <v>-3.4188034188034191E-2</v>
      </c>
      <c r="F168" s="18">
        <f>IF(ISNUMBER(D168), $B172 * E168, "")</f>
        <v>-3418.8034188034189</v>
      </c>
      <c r="G168" s="31">
        <v>112</v>
      </c>
      <c r="H168" s="32">
        <f t="shared" ref="H168:H171" si="91">IF(ISNUMBER(G168), (G168 - $B168) / $B168, "")</f>
        <v>-4.2735042735042736E-2</v>
      </c>
      <c r="I168" s="101">
        <f>IF(ISNUMBER(G168), $B172 * H168, "")</f>
        <v>-4273.5042735042734</v>
      </c>
      <c r="J168" s="15">
        <v>112</v>
      </c>
      <c r="K168" s="32">
        <f t="shared" ref="K168:K171" si="92">IF(ISNUMBER(J168), (J168 - $B168) / $B168, "")</f>
        <v>-4.2735042735042736E-2</v>
      </c>
      <c r="L168" s="18">
        <f>IF(ISNUMBER(J168), $B172 * K168, "")</f>
        <v>-4273.5042735042734</v>
      </c>
      <c r="M168" s="31">
        <v>115</v>
      </c>
      <c r="N168" s="32">
        <f t="shared" ref="N168:N171" si="93">IF(ISNUMBER(M168), (M168 - $B168) / $B168, "")</f>
        <v>-1.7094017094017096E-2</v>
      </c>
      <c r="O168" s="18">
        <f>IF(ISNUMBER(M168), $B172 * N168, "")</f>
        <v>-1709.4017094017095</v>
      </c>
      <c r="Q168" s="238"/>
      <c r="R168" s="238"/>
      <c r="S168" s="238"/>
    </row>
    <row r="169" spans="1:19" ht="17.25" thickBot="1">
      <c r="A169" s="125" t="s">
        <v>220</v>
      </c>
      <c r="B169" s="126">
        <v>204</v>
      </c>
      <c r="C169" s="77">
        <v>-5.1162790700000002E-2</v>
      </c>
      <c r="D169" s="15">
        <v>197</v>
      </c>
      <c r="E169" s="32">
        <f t="shared" si="90"/>
        <v>-3.4313725490196081E-2</v>
      </c>
      <c r="F169" s="18">
        <f>IF(ISNUMBER(D169), $B172 * E169, "")</f>
        <v>-3431.372549019608</v>
      </c>
      <c r="G169" s="31">
        <v>195</v>
      </c>
      <c r="H169" s="32">
        <f t="shared" si="91"/>
        <v>-4.4117647058823532E-2</v>
      </c>
      <c r="I169" s="101">
        <f>IF(ISNUMBER(G169), $B172 * H169, "")</f>
        <v>-4411.7647058823532</v>
      </c>
      <c r="J169" s="15">
        <v>199</v>
      </c>
      <c r="K169" s="32">
        <f t="shared" si="92"/>
        <v>-2.4509803921568627E-2</v>
      </c>
      <c r="L169" s="18">
        <f>IF(ISNUMBER(J169), $B172 * K169, "")</f>
        <v>-2450.9803921568628</v>
      </c>
      <c r="M169" s="31">
        <v>201</v>
      </c>
      <c r="N169" s="32">
        <f t="shared" si="93"/>
        <v>-1.4705882352941176E-2</v>
      </c>
      <c r="O169" s="18">
        <f>IF(ISNUMBER(M169), $B172 * N169, "")</f>
        <v>-1470.5882352941176</v>
      </c>
      <c r="Q169" s="238"/>
      <c r="R169" s="238"/>
      <c r="S169" s="238"/>
    </row>
    <row r="170" spans="1:19">
      <c r="A170" s="125" t="s">
        <v>200</v>
      </c>
      <c r="B170" s="126">
        <v>128</v>
      </c>
      <c r="C170" s="77">
        <v>-5.1851851900000002E-2</v>
      </c>
      <c r="D170" s="15">
        <v>130</v>
      </c>
      <c r="E170" s="32">
        <f t="shared" si="90"/>
        <v>1.5625E-2</v>
      </c>
      <c r="F170" s="18">
        <f>IF(ISNUMBER(D170), $B172 * E170, "")</f>
        <v>1562.5</v>
      </c>
      <c r="G170" s="31">
        <v>126</v>
      </c>
      <c r="H170" s="32">
        <f t="shared" si="91"/>
        <v>-1.5625E-2</v>
      </c>
      <c r="I170" s="101">
        <f>IF(ISNUMBER(G170), $B172 * H170, "")</f>
        <v>-1562.5</v>
      </c>
      <c r="J170" s="15">
        <v>127</v>
      </c>
      <c r="K170" s="32">
        <f t="shared" si="92"/>
        <v>-7.8125E-3</v>
      </c>
      <c r="L170" s="18">
        <f>IF(ISNUMBER(J170), $B172 * K170, "")</f>
        <v>-781.25</v>
      </c>
      <c r="M170" s="31">
        <v>128</v>
      </c>
      <c r="N170" s="32">
        <f t="shared" si="93"/>
        <v>0</v>
      </c>
      <c r="O170" s="18">
        <f>IF(ISNUMBER(M170), $B172 * N170, "")</f>
        <v>0</v>
      </c>
      <c r="Q170" s="227"/>
      <c r="R170" s="228"/>
      <c r="S170" s="229"/>
    </row>
    <row r="171" spans="1:19" ht="17.25" thickBot="1">
      <c r="A171" s="130" t="s">
        <v>164</v>
      </c>
      <c r="B171" s="131">
        <v>292</v>
      </c>
      <c r="C171" s="79">
        <v>-5.19480519E-2</v>
      </c>
      <c r="D171" s="24">
        <v>285</v>
      </c>
      <c r="E171" s="25">
        <f t="shared" si="90"/>
        <v>-2.3972602739726026E-2</v>
      </c>
      <c r="F171" s="104">
        <f>IF(ISNUMBER(D171), $B172 * E171, "")</f>
        <v>-2397.2602739726026</v>
      </c>
      <c r="G171" s="102">
        <v>283</v>
      </c>
      <c r="H171" s="25">
        <f t="shared" si="91"/>
        <v>-3.0821917808219176E-2</v>
      </c>
      <c r="I171" s="103">
        <f>IF(ISNUMBER(G171), $B172 * H171, "")</f>
        <v>-3082.1917808219177</v>
      </c>
      <c r="J171" s="24">
        <v>286</v>
      </c>
      <c r="K171" s="25">
        <f t="shared" si="92"/>
        <v>-2.0547945205479451E-2</v>
      </c>
      <c r="L171" s="104">
        <f>IF(ISNUMBER(J171), $B172 * K171, "")</f>
        <v>-2054.794520547945</v>
      </c>
      <c r="M171" s="102">
        <v>292</v>
      </c>
      <c r="N171" s="25">
        <f t="shared" si="93"/>
        <v>0</v>
      </c>
      <c r="O171" s="104">
        <f>IF(ISNUMBER(M171), $B172 * N171, "")</f>
        <v>0</v>
      </c>
      <c r="Q171" s="230"/>
      <c r="R171" s="231"/>
      <c r="S171" s="232"/>
    </row>
    <row r="172" spans="1:19" ht="17.25" thickBot="1">
      <c r="A172" s="132" t="s">
        <v>270</v>
      </c>
      <c r="B172" s="291">
        <f>$B$37</f>
        <v>100000</v>
      </c>
      <c r="C172" s="292"/>
      <c r="D172" s="26" t="s">
        <v>271</v>
      </c>
      <c r="E172" s="27">
        <f>IF(COUNT(E152:E171), SUM(E152:E171) / COUNT(E152:E171), 0)</f>
        <v>-6.297140222317821E-3</v>
      </c>
      <c r="F172" s="28">
        <f>SUM(F152:F171)</f>
        <v>-12594.280444635642</v>
      </c>
      <c r="G172" s="26" t="s">
        <v>271</v>
      </c>
      <c r="H172" s="27">
        <f>IF(COUNT(H152:H171), SUM(H152:H171) / COUNT(H152:H171), 0)</f>
        <v>-1.3145844008491999E-2</v>
      </c>
      <c r="I172" s="28">
        <f>SUM(I152:I171)</f>
        <v>-26291.688016984001</v>
      </c>
      <c r="J172" s="26" t="s">
        <v>271</v>
      </c>
      <c r="K172" s="27">
        <f>IF(COUNT(K152:K171), SUM(K152:K171) / COUNT(K152:K171), 0)</f>
        <v>-4.0854571190230907E-3</v>
      </c>
      <c r="L172" s="28">
        <f>SUM(L152:L171)</f>
        <v>-8170.9142380461781</v>
      </c>
      <c r="M172" s="26" t="s">
        <v>271</v>
      </c>
      <c r="N172" s="27">
        <f>IF(COUNT(N152:N171), SUM(N152:N171) / COUNT(N152:N171), 0)</f>
        <v>1.2404077233327085E-2</v>
      </c>
      <c r="O172" s="28">
        <f>SUM(O152:O171)</f>
        <v>24808.154466654163</v>
      </c>
      <c r="Q172" s="233"/>
      <c r="R172" s="234"/>
      <c r="S172" s="23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48"/>
      <c r="R175" s="248"/>
      <c r="S175" s="248"/>
    </row>
    <row r="176" spans="1:19" ht="17.25" thickBot="1">
      <c r="A176" s="169" t="s">
        <v>267</v>
      </c>
      <c r="B176" s="249" t="s">
        <v>49</v>
      </c>
      <c r="C176" s="251"/>
      <c r="D176" s="249" t="s">
        <v>58</v>
      </c>
      <c r="E176" s="250"/>
      <c r="F176" s="251"/>
      <c r="G176" s="252">
        <f>_xlfn.IFNA(VLOOKUP(B176, 현재가테이블!$B$2:$D$200, 2, FALSE), "-")</f>
        <v>54440000</v>
      </c>
      <c r="H176" s="253"/>
      <c r="I176" s="254"/>
      <c r="J176" s="249" t="s">
        <v>59</v>
      </c>
      <c r="K176" s="250"/>
      <c r="L176" s="251"/>
      <c r="M176" s="255">
        <f>_xlfn.IFNA(VLOOKUP(B176, 현재가테이블!$B$2:$D$200, 3, FALSE), "-")</f>
        <v>1.07123628E-2</v>
      </c>
      <c r="N176" s="256"/>
      <c r="O176" s="257"/>
      <c r="Q176" s="248"/>
      <c r="R176" s="248"/>
      <c r="S176" s="248"/>
    </row>
    <row r="177" spans="1:19" ht="17.25" thickBot="1">
      <c r="A177" s="293" t="s">
        <v>55</v>
      </c>
      <c r="B177" s="289" t="str">
        <f>TEXT($G$1, "[$-ko-KR]yyyy-mm-dd(ddd) ") &amp; "오전 00:00"</f>
        <v>2021-08-04(수) 오전 00:00</v>
      </c>
      <c r="C177" s="290"/>
      <c r="D177" s="262" t="str">
        <f>TEXT($G$1, "[$-ko-KR]yyyy-mm-dd(ddd) ") &amp; "오후 14:00"</f>
        <v>2021-08-04(수) 오후 14:00</v>
      </c>
      <c r="E177" s="263"/>
      <c r="F177" s="264"/>
      <c r="G177" s="262" t="str">
        <f>TEXT($G$1, "[$-ko-KR]yyyy-mm-dd(ddd) ") &amp; "오후 19:00"</f>
        <v>2021-08-04(수) 오후 19:00</v>
      </c>
      <c r="H177" s="263"/>
      <c r="I177" s="264"/>
      <c r="J177" s="262" t="str">
        <f>TEXT($G$1, "[$-ko-KR]yyyy-mm-dd(ddd) ") &amp; "오후 21:00"</f>
        <v>2021-08-04(수) 오후 21:00</v>
      </c>
      <c r="K177" s="263"/>
      <c r="L177" s="264"/>
      <c r="M177" s="262" t="str">
        <f>TEXT($G$1+1, "[$-ko-KR]yyyy-mm-dd(ddd) ") &amp; "오전 00:00"</f>
        <v>2021-08-05(목) 오전 00:00</v>
      </c>
      <c r="N177" s="263"/>
      <c r="O177" s="264"/>
      <c r="Q177" s="248"/>
      <c r="R177" s="248"/>
      <c r="S177" s="248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8"/>
      <c r="R178" s="238"/>
      <c r="S178" s="238"/>
    </row>
    <row r="179" spans="1:19" ht="17.25" thickBot="1">
      <c r="A179" s="123" t="s">
        <v>166</v>
      </c>
      <c r="B179" s="124">
        <v>153</v>
      </c>
      <c r="C179" s="76">
        <v>-3.7735849100000003E-2</v>
      </c>
      <c r="D179" s="13">
        <v>159</v>
      </c>
      <c r="E179" s="14">
        <f>IF(ISNUMBER(D179), (D179 - $B179) / $B179, "")</f>
        <v>3.9215686274509803E-2</v>
      </c>
      <c r="F179" s="16">
        <f>IF(ISNUMBER(D179), $B199 * E179, "")</f>
        <v>3921.5686274509803</v>
      </c>
      <c r="G179" s="29">
        <v>155</v>
      </c>
      <c r="H179" s="14">
        <f>IF(ISNUMBER(G179), (G179 - $B179) / $B179, "")</f>
        <v>1.3071895424836602E-2</v>
      </c>
      <c r="I179" s="100">
        <f>IF(ISNUMBER(G179), $B199 * H179, "")</f>
        <v>1307.1895424836603</v>
      </c>
      <c r="J179" s="13">
        <v>157</v>
      </c>
      <c r="K179" s="14">
        <f>IF(ISNUMBER(J179), (J179 - $B179) / $B179, "")</f>
        <v>2.6143790849673203E-2</v>
      </c>
      <c r="L179" s="16">
        <f>IF(ISNUMBER(J179), $B199 * K179, "")</f>
        <v>2614.3790849673205</v>
      </c>
      <c r="M179" s="29">
        <v>158</v>
      </c>
      <c r="N179" s="14">
        <f>IF(ISNUMBER(M179), (M179 - $B179) / $B179, "")</f>
        <v>3.2679738562091505E-2</v>
      </c>
      <c r="O179" s="16">
        <f>IF(ISNUMBER(M179), $B199 * N179, "")</f>
        <v>3267.9738562091507</v>
      </c>
      <c r="Q179" s="248"/>
      <c r="R179" s="248"/>
      <c r="S179" s="248"/>
    </row>
    <row r="180" spans="1:19" ht="17.25" thickBot="1">
      <c r="A180" s="125" t="s">
        <v>204</v>
      </c>
      <c r="B180" s="126">
        <v>12.4</v>
      </c>
      <c r="C180" s="77">
        <v>-3.8759689899999998E-2</v>
      </c>
      <c r="D180" s="15">
        <v>12.2</v>
      </c>
      <c r="E180" s="32">
        <f t="shared" ref="E180:E183" si="94">IF(ISNUMBER(D180), (D180 - $B180) / $B180, "")</f>
        <v>-1.6129032258064602E-2</v>
      </c>
      <c r="F180" s="18">
        <f>IF(ISNUMBER(D180), $B199 * E180, "")</f>
        <v>-1612.9032258064603</v>
      </c>
      <c r="G180" s="31">
        <v>11.9</v>
      </c>
      <c r="H180" s="32">
        <f t="shared" ref="H180:H183" si="95">IF(ISNUMBER(G180), (G180 - $B180) / $B180, "")</f>
        <v>-4.0322580645161289E-2</v>
      </c>
      <c r="I180" s="101">
        <f>IF(ISNUMBER(G180), $B199 * H180, "")</f>
        <v>-4032.2580645161288</v>
      </c>
      <c r="J180" s="15">
        <v>12.1</v>
      </c>
      <c r="K180" s="32">
        <f t="shared" ref="K180:K183" si="96">IF(ISNUMBER(J180), (J180 - $B180) / $B180, "")</f>
        <v>-2.4193548387096833E-2</v>
      </c>
      <c r="L180" s="18">
        <f>IF(ISNUMBER(J180), $B199 * K180, "")</f>
        <v>-2419.3548387096835</v>
      </c>
      <c r="M180" s="31">
        <v>12.3</v>
      </c>
      <c r="N180" s="32">
        <f t="shared" ref="N180:N183" si="97">IF(ISNUMBER(M180), (M180 - $B180) / $B180, "")</f>
        <v>-8.0645161290322284E-3</v>
      </c>
      <c r="O180" s="18">
        <f>IF(ISNUMBER(M180), $B199 * N180, "")</f>
        <v>-806.45161290322278</v>
      </c>
      <c r="Q180" s="248"/>
      <c r="R180" s="248"/>
      <c r="S180" s="248"/>
    </row>
    <row r="181" spans="1:19" ht="17.25" thickBot="1">
      <c r="A181" s="125" t="s">
        <v>122</v>
      </c>
      <c r="B181" s="126">
        <v>24.8</v>
      </c>
      <c r="C181" s="77">
        <v>-3.8759689899999998E-2</v>
      </c>
      <c r="D181" s="15">
        <v>24.6</v>
      </c>
      <c r="E181" s="32">
        <f t="shared" si="94"/>
        <v>-8.0645161290322284E-3</v>
      </c>
      <c r="F181" s="18">
        <f>IF(ISNUMBER(D181), $B199 * E181, "")</f>
        <v>-806.45161290322278</v>
      </c>
      <c r="G181" s="31">
        <v>24.3</v>
      </c>
      <c r="H181" s="32">
        <f t="shared" si="95"/>
        <v>-2.0161290322580645E-2</v>
      </c>
      <c r="I181" s="101">
        <f>IF(ISNUMBER(G181), $B199 * H181, "")</f>
        <v>-2016.1290322580644</v>
      </c>
      <c r="J181" s="15">
        <v>24.6</v>
      </c>
      <c r="K181" s="32">
        <f t="shared" si="96"/>
        <v>-8.0645161290322284E-3</v>
      </c>
      <c r="L181" s="18">
        <f>IF(ISNUMBER(J181), $B199 * K181, "")</f>
        <v>-806.45161290322278</v>
      </c>
      <c r="M181" s="31">
        <v>25.2</v>
      </c>
      <c r="N181" s="32">
        <f t="shared" si="97"/>
        <v>1.6129032258064457E-2</v>
      </c>
      <c r="O181" s="18">
        <f>IF(ISNUMBER(M181), $B199 * N181, "")</f>
        <v>1612.9032258064456</v>
      </c>
      <c r="Q181" s="238"/>
      <c r="R181" s="238"/>
      <c r="S181" s="238"/>
    </row>
    <row r="182" spans="1:19" ht="17.25" thickBot="1">
      <c r="A182" s="125" t="s">
        <v>244</v>
      </c>
      <c r="B182" s="126">
        <v>1310</v>
      </c>
      <c r="C182" s="77">
        <v>-4.0293040299999999E-2</v>
      </c>
      <c r="D182" s="15">
        <v>1290</v>
      </c>
      <c r="E182" s="32">
        <f t="shared" si="94"/>
        <v>-1.5267175572519083E-2</v>
      </c>
      <c r="F182" s="18">
        <f>IF(ISNUMBER(D182), $B199 * E182, "")</f>
        <v>-1526.7175572519084</v>
      </c>
      <c r="G182" s="31">
        <v>1275</v>
      </c>
      <c r="H182" s="32">
        <f t="shared" si="95"/>
        <v>-2.6717557251908396E-2</v>
      </c>
      <c r="I182" s="101">
        <f>IF(ISNUMBER(G182), $B199 * H182, "")</f>
        <v>-2671.7557251908397</v>
      </c>
      <c r="J182" s="15">
        <v>1290</v>
      </c>
      <c r="K182" s="32">
        <f t="shared" si="96"/>
        <v>-1.5267175572519083E-2</v>
      </c>
      <c r="L182" s="18">
        <f>IF(ISNUMBER(J182), $B199 * K182, "")</f>
        <v>-1526.7175572519084</v>
      </c>
      <c r="M182" s="31">
        <v>1310</v>
      </c>
      <c r="N182" s="32">
        <f t="shared" si="97"/>
        <v>0</v>
      </c>
      <c r="O182" s="18">
        <f>IF(ISNUMBER(M182), $B199 * N182, "")</f>
        <v>0</v>
      </c>
      <c r="Q182" s="238"/>
      <c r="R182" s="238"/>
      <c r="S182" s="238"/>
    </row>
    <row r="183" spans="1:19" ht="17.25" thickBot="1">
      <c r="A183" s="127" t="s">
        <v>222</v>
      </c>
      <c r="B183" s="128">
        <v>117</v>
      </c>
      <c r="C183" s="78">
        <v>-4.09836066E-2</v>
      </c>
      <c r="D183" s="20">
        <v>115</v>
      </c>
      <c r="E183" s="21">
        <f t="shared" si="94"/>
        <v>-1.7094017094017096E-2</v>
      </c>
      <c r="F183" s="22">
        <f>IF(ISNUMBER(D183), $B199 * E183, "")</f>
        <v>-1709.4017094017095</v>
      </c>
      <c r="G183" s="30">
        <v>113</v>
      </c>
      <c r="H183" s="21">
        <f t="shared" si="95"/>
        <v>-3.4188034188034191E-2</v>
      </c>
      <c r="I183" s="105">
        <f>IF(ISNUMBER(G183), $B199 * H183, "")</f>
        <v>-3418.8034188034189</v>
      </c>
      <c r="J183" s="20">
        <v>116</v>
      </c>
      <c r="K183" s="21">
        <f t="shared" si="96"/>
        <v>-8.5470085470085479E-3</v>
      </c>
      <c r="L183" s="22">
        <f>IF(ISNUMBER(J183), $B199 * K183, "")</f>
        <v>-854.70085470085473</v>
      </c>
      <c r="M183" s="30">
        <v>117</v>
      </c>
      <c r="N183" s="21">
        <f t="shared" si="97"/>
        <v>0</v>
      </c>
      <c r="O183" s="22">
        <f>IF(ISNUMBER(M183), $B199 * N183, "")</f>
        <v>0</v>
      </c>
      <c r="Q183" s="238"/>
      <c r="R183" s="238"/>
      <c r="S183" s="238"/>
    </row>
    <row r="184" spans="1:19" ht="17.25" thickBot="1">
      <c r="A184" s="125" t="s">
        <v>236</v>
      </c>
      <c r="B184" s="129">
        <v>552</v>
      </c>
      <c r="C184" s="80">
        <v>-4.16666667E-2</v>
      </c>
      <c r="D184" s="106">
        <v>546</v>
      </c>
      <c r="E184" s="107">
        <f>IF(ISNUMBER(D184), (D184 - $B184) / $B184, "")</f>
        <v>-1.0869565217391304E-2</v>
      </c>
      <c r="F184" s="108">
        <f>IF(ISNUMBER(D184), $B199 * E184, "")</f>
        <v>-1086.9565217391305</v>
      </c>
      <c r="G184" s="109">
        <v>540</v>
      </c>
      <c r="H184" s="107">
        <f>IF(ISNUMBER(G184), (G184 - $B184) / $B184, "")</f>
        <v>-2.1739130434782608E-2</v>
      </c>
      <c r="I184" s="110">
        <f>IF(ISNUMBER(G184), $B199 * H184, "")</f>
        <v>-2173.913043478261</v>
      </c>
      <c r="J184" s="106">
        <v>543</v>
      </c>
      <c r="K184" s="107">
        <f>IF(ISNUMBER(J184), (J184 - $B184) / $B184, "")</f>
        <v>-1.6304347826086956E-2</v>
      </c>
      <c r="L184" s="108">
        <f>IF(ISNUMBER(J184), $B199 * K184, "")</f>
        <v>-1630.4347826086955</v>
      </c>
      <c r="M184" s="109">
        <v>552</v>
      </c>
      <c r="N184" s="107">
        <f>IF(ISNUMBER(M184), (M184 - $B184) / $B184, "")</f>
        <v>0</v>
      </c>
      <c r="O184" s="108">
        <f>IF(ISNUMBER(M184), $B199 * N184, "")</f>
        <v>0</v>
      </c>
      <c r="Q184" s="238"/>
      <c r="R184" s="238"/>
      <c r="S184" s="238"/>
    </row>
    <row r="185" spans="1:19" ht="17.25" thickBot="1">
      <c r="A185" s="125" t="s">
        <v>162</v>
      </c>
      <c r="B185" s="126">
        <v>91.2</v>
      </c>
      <c r="C185" s="77">
        <v>-4.2016806699999999E-2</v>
      </c>
      <c r="D185" s="15">
        <v>91</v>
      </c>
      <c r="E185" s="32">
        <f t="shared" ref="E185:E188" si="98">IF(ISNUMBER(D185), (D185 - $B185) / $B185, "")</f>
        <v>-2.192982456140382E-3</v>
      </c>
      <c r="F185" s="18">
        <f>IF(ISNUMBER(D185), $B199 * E185, "")</f>
        <v>-219.29824561403819</v>
      </c>
      <c r="G185" s="31">
        <v>89.7</v>
      </c>
      <c r="H185" s="32">
        <f t="shared" ref="H185:H188" si="99">IF(ISNUMBER(G185), (G185 - $B185) / $B185, "")</f>
        <v>-1.6447368421052631E-2</v>
      </c>
      <c r="I185" s="101">
        <f>IF(ISNUMBER(G185), $B199 * H185, "")</f>
        <v>-1644.7368421052631</v>
      </c>
      <c r="J185" s="15">
        <v>90.3</v>
      </c>
      <c r="K185" s="32">
        <f t="shared" ref="K185:K188" si="100">IF(ISNUMBER(J185), (J185 - $B185) / $B185, "")</f>
        <v>-9.8684210526316408E-3</v>
      </c>
      <c r="L185" s="18">
        <f>IF(ISNUMBER(J185), $B199 * K185, "")</f>
        <v>-986.84210526316406</v>
      </c>
      <c r="M185" s="31">
        <v>91.9</v>
      </c>
      <c r="N185" s="32">
        <f t="shared" ref="N185:N188" si="101">IF(ISNUMBER(M185), (M185 - $B185) / $B185, "")</f>
        <v>7.6754385964912589E-3</v>
      </c>
      <c r="O185" s="18">
        <f>IF(ISNUMBER(M185), $B199 * N185, "")</f>
        <v>767.54385964912592</v>
      </c>
      <c r="Q185" s="238"/>
      <c r="R185" s="238"/>
      <c r="S185" s="238"/>
    </row>
    <row r="186" spans="1:19" ht="17.25" thickBot="1">
      <c r="A186" s="125" t="s">
        <v>198</v>
      </c>
      <c r="B186" s="126">
        <v>24600</v>
      </c>
      <c r="C186" s="77">
        <v>-4.2801556400000003E-2</v>
      </c>
      <c r="D186" s="15">
        <v>24280</v>
      </c>
      <c r="E186" s="32">
        <f t="shared" si="98"/>
        <v>-1.3008130081300813E-2</v>
      </c>
      <c r="F186" s="18">
        <f>IF(ISNUMBER(D186), $B199 * E186, "")</f>
        <v>-1300.8130081300812</v>
      </c>
      <c r="G186" s="31">
        <v>24770</v>
      </c>
      <c r="H186" s="32">
        <f t="shared" si="99"/>
        <v>6.9105691056910567E-3</v>
      </c>
      <c r="I186" s="101">
        <f>IF(ISNUMBER(G186), $B199 * H186, "")</f>
        <v>691.05691056910564</v>
      </c>
      <c r="J186" s="15">
        <v>24930</v>
      </c>
      <c r="K186" s="32">
        <f t="shared" si="100"/>
        <v>1.3414634146341463E-2</v>
      </c>
      <c r="L186" s="18">
        <f>IF(ISNUMBER(J186), $B199 * K186, "")</f>
        <v>1341.4634146341464</v>
      </c>
      <c r="M186" s="31">
        <v>25100</v>
      </c>
      <c r="N186" s="32">
        <f t="shared" si="101"/>
        <v>2.032520325203252E-2</v>
      </c>
      <c r="O186" s="18">
        <f>IF(ISNUMBER(M186), $B199 * N186, "")</f>
        <v>2032.520325203252</v>
      </c>
      <c r="Q186" s="238"/>
      <c r="R186" s="238"/>
      <c r="S186" s="238"/>
    </row>
    <row r="187" spans="1:19" ht="17.25" thickBot="1">
      <c r="A187" s="125" t="s">
        <v>148</v>
      </c>
      <c r="B187" s="126">
        <v>17.600000000000001</v>
      </c>
      <c r="C187" s="77">
        <v>-4.3478260900000003E-2</v>
      </c>
      <c r="D187" s="15">
        <v>17.899999999999999</v>
      </c>
      <c r="E187" s="32">
        <f t="shared" si="98"/>
        <v>1.7045454545454381E-2</v>
      </c>
      <c r="F187" s="18">
        <f>IF(ISNUMBER(D187), $B199 * E187, "")</f>
        <v>1704.5454545454381</v>
      </c>
      <c r="G187" s="31">
        <v>17.7</v>
      </c>
      <c r="H187" s="32">
        <f t="shared" si="99"/>
        <v>5.6818181818180605E-3</v>
      </c>
      <c r="I187" s="101">
        <f>IF(ISNUMBER(G187), $B199 * H187, "")</f>
        <v>568.18181818180608</v>
      </c>
      <c r="J187" s="15">
        <v>18</v>
      </c>
      <c r="K187" s="32">
        <f t="shared" si="100"/>
        <v>2.2727272727272645E-2</v>
      </c>
      <c r="L187" s="18">
        <f>IF(ISNUMBER(J187), $B199 * K187, "")</f>
        <v>2272.7272727272643</v>
      </c>
      <c r="M187" s="31">
        <v>18.3</v>
      </c>
      <c r="N187" s="32">
        <f t="shared" si="101"/>
        <v>3.977272727272723E-2</v>
      </c>
      <c r="O187" s="18">
        <f>IF(ISNUMBER(M187), $B199 * N187, "")</f>
        <v>3977.2727272727229</v>
      </c>
      <c r="Q187" s="33"/>
      <c r="R187" s="33"/>
    </row>
    <row r="188" spans="1:19" ht="17.25" thickBot="1">
      <c r="A188" s="130" t="s">
        <v>208</v>
      </c>
      <c r="B188" s="131">
        <v>10.8</v>
      </c>
      <c r="C188" s="79">
        <v>-4.4247787599999998E-2</v>
      </c>
      <c r="D188" s="24">
        <v>10.7</v>
      </c>
      <c r="E188" s="25">
        <f t="shared" si="98"/>
        <v>-9.2592592592593906E-3</v>
      </c>
      <c r="F188" s="104">
        <f>IF(ISNUMBER(D188), $B199 * E188, "")</f>
        <v>-925.92592592593905</v>
      </c>
      <c r="G188" s="102">
        <v>10.5</v>
      </c>
      <c r="H188" s="25">
        <f t="shared" si="99"/>
        <v>-2.7777777777777842E-2</v>
      </c>
      <c r="I188" s="103">
        <f>IF(ISNUMBER(G188), $B199 * H188, "")</f>
        <v>-2777.7777777777842</v>
      </c>
      <c r="J188" s="24">
        <v>10.7</v>
      </c>
      <c r="K188" s="25">
        <f t="shared" si="100"/>
        <v>-9.2592592592593906E-3</v>
      </c>
      <c r="L188" s="104">
        <f>IF(ISNUMBER(J188), $B199 * K188, "")</f>
        <v>-925.92592592593905</v>
      </c>
      <c r="M188" s="102">
        <v>10.9</v>
      </c>
      <c r="N188" s="25">
        <f t="shared" si="101"/>
        <v>9.2592592592592258E-3</v>
      </c>
      <c r="O188" s="104">
        <f>IF(ISNUMBER(M188), $B199 * N188, "")</f>
        <v>925.92592592592257</v>
      </c>
      <c r="Q188" s="239"/>
      <c r="R188" s="240"/>
      <c r="S188" s="241"/>
    </row>
    <row r="189" spans="1:19">
      <c r="A189" s="123" t="s">
        <v>170</v>
      </c>
      <c r="B189" s="124">
        <v>28570</v>
      </c>
      <c r="C189" s="76">
        <v>-4.4481605399999999E-2</v>
      </c>
      <c r="D189" s="13">
        <v>29410</v>
      </c>
      <c r="E189" s="14">
        <f>IF(ISNUMBER(D189), (D189 - $B189) / $B189, "")</f>
        <v>2.9401470073503674E-2</v>
      </c>
      <c r="F189" s="16">
        <f>IF(ISNUMBER(D189), $B199 * E189, "")</f>
        <v>2940.1470073503674</v>
      </c>
      <c r="G189" s="29">
        <v>29050</v>
      </c>
      <c r="H189" s="14">
        <f>IF(ISNUMBER(G189), (G189 - $B189) / $B189, "")</f>
        <v>1.6800840042002101E-2</v>
      </c>
      <c r="I189" s="100">
        <f>IF(ISNUMBER(G189), $B199 * H189, "")</f>
        <v>1680.0840042002101</v>
      </c>
      <c r="J189" s="13">
        <v>29380</v>
      </c>
      <c r="K189" s="14">
        <f>IF(ISNUMBER(J189), (J189 - $B189) / $B189, "")</f>
        <v>2.8351417570878543E-2</v>
      </c>
      <c r="L189" s="16">
        <f>IF(ISNUMBER(J189), $B199 * K189, "")</f>
        <v>2835.1417570878543</v>
      </c>
      <c r="M189" s="29">
        <v>29310</v>
      </c>
      <c r="N189" s="14">
        <f>IF(ISNUMBER(M189), (M189 - $B189) / $B189, "")</f>
        <v>2.5901295064753239E-2</v>
      </c>
      <c r="O189" s="16">
        <f>IF(ISNUMBER(M189), $B199 * N189, "")</f>
        <v>2590.129506475324</v>
      </c>
      <c r="Q189" s="242"/>
      <c r="R189" s="243"/>
      <c r="S189" s="244"/>
    </row>
    <row r="190" spans="1:19" ht="17.25" thickBot="1">
      <c r="A190" s="125" t="s">
        <v>238</v>
      </c>
      <c r="B190" s="126">
        <v>93.7</v>
      </c>
      <c r="C190" s="77">
        <v>-4.5824847299999999E-2</v>
      </c>
      <c r="D190" s="15">
        <v>92.9</v>
      </c>
      <c r="E190" s="32">
        <f t="shared" ref="E190:E193" si="102">IF(ISNUMBER(D190), (D190 - $B190) / $B190, "")</f>
        <v>-8.5378868729989021E-3</v>
      </c>
      <c r="F190" s="18">
        <f>IF(ISNUMBER(D190), $B199 * E190, "")</f>
        <v>-853.78868729989017</v>
      </c>
      <c r="G190" s="31">
        <v>92.1</v>
      </c>
      <c r="H190" s="32">
        <f t="shared" ref="H190:H193" si="103">IF(ISNUMBER(G190), (G190 - $B190) / $B190, "")</f>
        <v>-1.7075773745997957E-2</v>
      </c>
      <c r="I190" s="101">
        <f>IF(ISNUMBER(G190), $B199 * H190, "")</f>
        <v>-1707.5773745997956</v>
      </c>
      <c r="J190" s="15">
        <v>92.4</v>
      </c>
      <c r="K190" s="32">
        <f t="shared" ref="K190:K193" si="104">IF(ISNUMBER(J190), (J190 - $B190) / $B190, "")</f>
        <v>-1.3874066168623234E-2</v>
      </c>
      <c r="L190" s="18">
        <f>IF(ISNUMBER(J190), $B199 * K190, "")</f>
        <v>-1387.4066168623235</v>
      </c>
      <c r="M190" s="31">
        <v>93.8</v>
      </c>
      <c r="N190" s="32">
        <f t="shared" ref="N190:N193" si="105">IF(ISNUMBER(M190), (M190 - $B190) / $B190, "")</f>
        <v>1.0672358591248059E-3</v>
      </c>
      <c r="O190" s="18">
        <f>IF(ISNUMBER(M190), $B199 * N190, "")</f>
        <v>106.7235859124806</v>
      </c>
      <c r="Q190" s="245"/>
      <c r="R190" s="246"/>
      <c r="S190" s="247"/>
    </row>
    <row r="191" spans="1:19" ht="17.25" thickBot="1">
      <c r="A191" s="125" t="s">
        <v>150</v>
      </c>
      <c r="B191" s="126">
        <v>10.4</v>
      </c>
      <c r="C191" s="77">
        <v>-4.58715596E-2</v>
      </c>
      <c r="D191" s="15">
        <v>10.4</v>
      </c>
      <c r="E191" s="32">
        <f t="shared" si="102"/>
        <v>0</v>
      </c>
      <c r="F191" s="18">
        <f>IF(ISNUMBER(D191), $B199 * E191, "")</f>
        <v>0</v>
      </c>
      <c r="G191" s="31">
        <v>10.4</v>
      </c>
      <c r="H191" s="32">
        <f t="shared" si="103"/>
        <v>0</v>
      </c>
      <c r="I191" s="101">
        <f>IF(ISNUMBER(G191), $B199 * H191, "")</f>
        <v>0</v>
      </c>
      <c r="J191" s="15">
        <v>10.5</v>
      </c>
      <c r="K191" s="32">
        <f t="shared" si="104"/>
        <v>9.6153846153845812E-3</v>
      </c>
      <c r="L191" s="18">
        <f>IF(ISNUMBER(J191), $B199 * K191, "")</f>
        <v>961.53846153845814</v>
      </c>
      <c r="M191" s="31">
        <v>10.6</v>
      </c>
      <c r="N191" s="32">
        <f t="shared" si="105"/>
        <v>1.9230769230769162E-2</v>
      </c>
      <c r="O191" s="18">
        <f>IF(ISNUMBER(M191), $B199 * N191, "")</f>
        <v>1923.0769230769163</v>
      </c>
      <c r="Q191" s="238"/>
      <c r="R191" s="238"/>
      <c r="S191" s="238"/>
    </row>
    <row r="192" spans="1:19" ht="17.25" thickBot="1">
      <c r="A192" s="125" t="s">
        <v>65</v>
      </c>
      <c r="B192" s="126">
        <v>28.5</v>
      </c>
      <c r="C192" s="77">
        <v>-4.68227425E-2</v>
      </c>
      <c r="D192" s="15">
        <v>28.5</v>
      </c>
      <c r="E192" s="32">
        <f t="shared" si="102"/>
        <v>0</v>
      </c>
      <c r="F192" s="18">
        <f>IF(ISNUMBER(D192), $B199 * E192, "")</f>
        <v>0</v>
      </c>
      <c r="G192" s="31">
        <v>28.1</v>
      </c>
      <c r="H192" s="32">
        <f t="shared" si="103"/>
        <v>-1.4035087719298196E-2</v>
      </c>
      <c r="I192" s="101">
        <f>IF(ISNUMBER(G192), $B199 * H192, "")</f>
        <v>-1403.5087719298197</v>
      </c>
      <c r="J192" s="15">
        <v>28.3</v>
      </c>
      <c r="K192" s="32">
        <f t="shared" si="104"/>
        <v>-7.0175438596490978E-3</v>
      </c>
      <c r="L192" s="18">
        <f>IF(ISNUMBER(J192), $B199 * K192, "")</f>
        <v>-701.75438596490983</v>
      </c>
      <c r="M192" s="31">
        <v>28.8</v>
      </c>
      <c r="N192" s="32">
        <f t="shared" si="105"/>
        <v>1.052631578947371E-2</v>
      </c>
      <c r="O192" s="18">
        <f>IF(ISNUMBER(M192), $B199 * N192, "")</f>
        <v>1052.6315789473711</v>
      </c>
      <c r="Q192" s="248"/>
      <c r="R192" s="248"/>
      <c r="S192" s="248"/>
    </row>
    <row r="193" spans="1:19" ht="17.25" thickBot="1">
      <c r="A193" s="127" t="s">
        <v>254</v>
      </c>
      <c r="B193" s="128">
        <v>281</v>
      </c>
      <c r="C193" s="78">
        <v>-4.7457627099999997E-2</v>
      </c>
      <c r="D193" s="20">
        <v>274</v>
      </c>
      <c r="E193" s="21">
        <f t="shared" si="102"/>
        <v>-2.491103202846975E-2</v>
      </c>
      <c r="F193" s="22">
        <f>IF(ISNUMBER(D193), $B199 * E193, "")</f>
        <v>-2491.1032028469749</v>
      </c>
      <c r="G193" s="30">
        <v>270</v>
      </c>
      <c r="H193" s="21">
        <f t="shared" si="103"/>
        <v>-3.9145907473309607E-2</v>
      </c>
      <c r="I193" s="105">
        <f>IF(ISNUMBER(G193), $B199 * H193, "")</f>
        <v>-3914.5907473309608</v>
      </c>
      <c r="J193" s="20">
        <v>271</v>
      </c>
      <c r="K193" s="21">
        <f t="shared" si="104"/>
        <v>-3.5587188612099648E-2</v>
      </c>
      <c r="L193" s="22">
        <f>IF(ISNUMBER(J193), $B199 * K193, "")</f>
        <v>-3558.7188612099649</v>
      </c>
      <c r="M193" s="30">
        <v>274</v>
      </c>
      <c r="N193" s="21">
        <f t="shared" si="105"/>
        <v>-2.491103202846975E-2</v>
      </c>
      <c r="O193" s="22">
        <f>IF(ISNUMBER(M193), $B199 * N193, "")</f>
        <v>-2491.1032028469749</v>
      </c>
      <c r="Q193" s="248"/>
      <c r="R193" s="248"/>
      <c r="S193" s="248"/>
    </row>
    <row r="194" spans="1:19" ht="17.25" thickBot="1">
      <c r="A194" s="125" t="s">
        <v>218</v>
      </c>
      <c r="B194" s="129">
        <v>117</v>
      </c>
      <c r="C194" s="80">
        <v>-4.8780487800000001E-2</v>
      </c>
      <c r="D194" s="106">
        <v>113</v>
      </c>
      <c r="E194" s="107">
        <f>IF(ISNUMBER(D194), (D194 - $B194) / $B194, "")</f>
        <v>-3.4188034188034191E-2</v>
      </c>
      <c r="F194" s="108">
        <f>IF(ISNUMBER(D194), $B199 * E194, "")</f>
        <v>-3418.8034188034189</v>
      </c>
      <c r="G194" s="109">
        <v>112</v>
      </c>
      <c r="H194" s="107">
        <f>IF(ISNUMBER(G194), (G194 - $B194) / $B194, "")</f>
        <v>-4.2735042735042736E-2</v>
      </c>
      <c r="I194" s="110">
        <f>IF(ISNUMBER(G194), $B199 * H194, "")</f>
        <v>-4273.5042735042734</v>
      </c>
      <c r="J194" s="106">
        <v>112</v>
      </c>
      <c r="K194" s="107">
        <f>IF(ISNUMBER(J194), (J194 - $B194) / $B194, "")</f>
        <v>-4.2735042735042736E-2</v>
      </c>
      <c r="L194" s="108">
        <f>IF(ISNUMBER(J194), $B199 * K194, "")</f>
        <v>-4273.5042735042734</v>
      </c>
      <c r="M194" s="109">
        <v>115</v>
      </c>
      <c r="N194" s="107">
        <f>IF(ISNUMBER(M194), (M194 - $B194) / $B194, "")</f>
        <v>-1.7094017094017096E-2</v>
      </c>
      <c r="O194" s="108">
        <f>IF(ISNUMBER(M194), $B199 * N194, "")</f>
        <v>-1709.4017094017095</v>
      </c>
      <c r="Q194" s="238"/>
      <c r="R194" s="238"/>
      <c r="S194" s="238"/>
    </row>
    <row r="195" spans="1:19" ht="17.25" thickBot="1">
      <c r="A195" s="125" t="s">
        <v>220</v>
      </c>
      <c r="B195" s="126">
        <v>204</v>
      </c>
      <c r="C195" s="77">
        <v>-5.1162790700000002E-2</v>
      </c>
      <c r="D195" s="15">
        <v>197</v>
      </c>
      <c r="E195" s="32">
        <f t="shared" ref="E195:E198" si="106">IF(ISNUMBER(D195), (D195 - $B195) / $B195, "")</f>
        <v>-3.4313725490196081E-2</v>
      </c>
      <c r="F195" s="18">
        <f>IF(ISNUMBER(D195), $B199 * E195, "")</f>
        <v>-3431.372549019608</v>
      </c>
      <c r="G195" s="31">
        <v>195</v>
      </c>
      <c r="H195" s="32">
        <f t="shared" ref="H195:H198" si="107">IF(ISNUMBER(G195), (G195 - $B195) / $B195, "")</f>
        <v>-4.4117647058823532E-2</v>
      </c>
      <c r="I195" s="101">
        <f>IF(ISNUMBER(G195), $B199 * H195, "")</f>
        <v>-4411.7647058823532</v>
      </c>
      <c r="J195" s="15">
        <v>199</v>
      </c>
      <c r="K195" s="32">
        <f t="shared" ref="K195:K198" si="108">IF(ISNUMBER(J195), (J195 - $B195) / $B195, "")</f>
        <v>-2.4509803921568627E-2</v>
      </c>
      <c r="L195" s="18">
        <f>IF(ISNUMBER(J195), $B199 * K195, "")</f>
        <v>-2450.9803921568628</v>
      </c>
      <c r="M195" s="31">
        <v>201</v>
      </c>
      <c r="N195" s="32">
        <f t="shared" ref="N195:N198" si="109">IF(ISNUMBER(M195), (M195 - $B195) / $B195, "")</f>
        <v>-1.4705882352941176E-2</v>
      </c>
      <c r="O195" s="18">
        <f>IF(ISNUMBER(M195), $B199 * N195, "")</f>
        <v>-1470.5882352941176</v>
      </c>
      <c r="Q195" s="238"/>
      <c r="R195" s="238"/>
      <c r="S195" s="238"/>
    </row>
    <row r="196" spans="1:19" ht="17.25" thickBot="1">
      <c r="A196" s="125" t="s">
        <v>200</v>
      </c>
      <c r="B196" s="126">
        <v>128</v>
      </c>
      <c r="C196" s="77">
        <v>-5.1851851900000002E-2</v>
      </c>
      <c r="D196" s="15">
        <v>130</v>
      </c>
      <c r="E196" s="32">
        <f t="shared" si="106"/>
        <v>1.5625E-2</v>
      </c>
      <c r="F196" s="18">
        <f>IF(ISNUMBER(D196), $B199 * E196, "")</f>
        <v>1562.5</v>
      </c>
      <c r="G196" s="31">
        <v>126</v>
      </c>
      <c r="H196" s="32">
        <f t="shared" si="107"/>
        <v>-1.5625E-2</v>
      </c>
      <c r="I196" s="101">
        <f>IF(ISNUMBER(G196), $B199 * H196, "")</f>
        <v>-1562.5</v>
      </c>
      <c r="J196" s="15">
        <v>127</v>
      </c>
      <c r="K196" s="32">
        <f t="shared" si="108"/>
        <v>-7.8125E-3</v>
      </c>
      <c r="L196" s="18">
        <f>IF(ISNUMBER(J196), $B199 * K196, "")</f>
        <v>-781.25</v>
      </c>
      <c r="M196" s="31">
        <v>128</v>
      </c>
      <c r="N196" s="32">
        <f t="shared" si="109"/>
        <v>0</v>
      </c>
      <c r="O196" s="18">
        <f>IF(ISNUMBER(M196), $B199 * N196, "")</f>
        <v>0</v>
      </c>
      <c r="Q196" s="238"/>
      <c r="R196" s="238"/>
      <c r="S196" s="238"/>
    </row>
    <row r="197" spans="1:19">
      <c r="A197" s="125" t="s">
        <v>164</v>
      </c>
      <c r="B197" s="126">
        <v>292</v>
      </c>
      <c r="C197" s="77">
        <v>-5.19480519E-2</v>
      </c>
      <c r="D197" s="15">
        <v>285</v>
      </c>
      <c r="E197" s="32">
        <f t="shared" si="106"/>
        <v>-2.3972602739726026E-2</v>
      </c>
      <c r="F197" s="18">
        <f>IF(ISNUMBER(D197), $B199 * E197, "")</f>
        <v>-2397.2602739726026</v>
      </c>
      <c r="G197" s="31">
        <v>283</v>
      </c>
      <c r="H197" s="32">
        <f t="shared" si="107"/>
        <v>-3.0821917808219176E-2</v>
      </c>
      <c r="I197" s="101">
        <f>IF(ISNUMBER(G197), $B199 * H197, "")</f>
        <v>-3082.1917808219177</v>
      </c>
      <c r="J197" s="15">
        <v>286</v>
      </c>
      <c r="K197" s="32">
        <f t="shared" si="108"/>
        <v>-2.0547945205479451E-2</v>
      </c>
      <c r="L197" s="18">
        <f>IF(ISNUMBER(J197), $B199 * K197, "")</f>
        <v>-2054.794520547945</v>
      </c>
      <c r="M197" s="31">
        <v>292</v>
      </c>
      <c r="N197" s="32">
        <f t="shared" si="109"/>
        <v>0</v>
      </c>
      <c r="O197" s="18">
        <f>IF(ISNUMBER(M197), $B199 * N197, "")</f>
        <v>0</v>
      </c>
      <c r="Q197" s="227"/>
      <c r="R197" s="228"/>
      <c r="S197" s="229"/>
    </row>
    <row r="198" spans="1:19" ht="17.25" thickBot="1">
      <c r="A198" s="130" t="s">
        <v>224</v>
      </c>
      <c r="B198" s="131">
        <v>3735</v>
      </c>
      <c r="C198" s="79">
        <v>-5.2030456900000001E-2</v>
      </c>
      <c r="D198" s="24">
        <v>3695</v>
      </c>
      <c r="E198" s="25">
        <f t="shared" si="106"/>
        <v>-1.0709504685408299E-2</v>
      </c>
      <c r="F198" s="104">
        <f>IF(ISNUMBER(D198), $B199 * E198, "")</f>
        <v>-1070.9504685408299</v>
      </c>
      <c r="G198" s="102">
        <v>3635</v>
      </c>
      <c r="H198" s="25">
        <f t="shared" si="107"/>
        <v>-2.677376171352075E-2</v>
      </c>
      <c r="I198" s="103">
        <f>IF(ISNUMBER(G198), $B199 * H198, "")</f>
        <v>-2677.3761713520748</v>
      </c>
      <c r="J198" s="24">
        <v>3670</v>
      </c>
      <c r="K198" s="25">
        <f t="shared" si="108"/>
        <v>-1.7402945113788489E-2</v>
      </c>
      <c r="L198" s="104">
        <f>IF(ISNUMBER(J198), $B199 * K198, "")</f>
        <v>-1740.2945113788489</v>
      </c>
      <c r="M198" s="102">
        <v>3785</v>
      </c>
      <c r="N198" s="25">
        <f t="shared" si="109"/>
        <v>1.3386880856760375E-2</v>
      </c>
      <c r="O198" s="104">
        <f>IF(ISNUMBER(M198), $B199 * N198, "")</f>
        <v>1338.6880856760374</v>
      </c>
      <c r="Q198" s="230"/>
      <c r="R198" s="231"/>
      <c r="S198" s="232"/>
    </row>
    <row r="199" spans="1:19" ht="17.25" thickBot="1">
      <c r="A199" s="132" t="s">
        <v>270</v>
      </c>
      <c r="B199" s="291">
        <f>$B$37</f>
        <v>100000</v>
      </c>
      <c r="C199" s="292"/>
      <c r="D199" s="26" t="s">
        <v>271</v>
      </c>
      <c r="E199" s="27">
        <f>IF(COUNT(E179:E198), SUM(E179:E198) / COUNT(E179:E198), 0)</f>
        <v>-6.3614926589545141E-3</v>
      </c>
      <c r="F199" s="28">
        <f>SUM(F179:F198)</f>
        <v>-12722.98531790903</v>
      </c>
      <c r="G199" s="26" t="s">
        <v>271</v>
      </c>
      <c r="H199" s="27">
        <f>IF(COUNT(H179:H198), SUM(H179:H198) / COUNT(H179:H198), 0)</f>
        <v>-1.8760937727058089E-2</v>
      </c>
      <c r="I199" s="28">
        <f>SUM(I179:I198)</f>
        <v>-37521.875454116169</v>
      </c>
      <c r="J199" s="26" t="s">
        <v>271</v>
      </c>
      <c r="K199" s="27">
        <f>IF(COUNT(K179:K198), SUM(K179:K198) / COUNT(K179:K198), 0)</f>
        <v>-8.0369406240167768E-3</v>
      </c>
      <c r="L199" s="28">
        <f>SUM(L179:L198)</f>
        <v>-16073.881248033551</v>
      </c>
      <c r="M199" s="26" t="s">
        <v>271</v>
      </c>
      <c r="N199" s="27">
        <f>IF(COUNT(N179:N198), SUM(N179:N198) / COUNT(N179:N198), 0)</f>
        <v>6.5589224198543631E-3</v>
      </c>
      <c r="O199" s="28">
        <f>SUM(O179:O198)</f>
        <v>13117.844839708725</v>
      </c>
      <c r="Q199" s="233"/>
      <c r="R199" s="234"/>
      <c r="S199" s="23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53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2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2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2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52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2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2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52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52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52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520" priority="157">
      <formula>AND($N17 &gt; 0, ISNUMBER($N17))</formula>
    </cfRule>
    <cfRule type="expression" dxfId="2519" priority="158">
      <formula>AND($N17 = 0 * ISNUMBER($N17))</formula>
    </cfRule>
    <cfRule type="expression" dxfId="2518" priority="159">
      <formula>AND($N17 &lt; 0, ISNUMBER($N17))</formula>
    </cfRule>
  </conditionalFormatting>
  <conditionalFormatting sqref="A17:F36">
    <cfRule type="expression" dxfId="2517" priority="166">
      <formula>AND($E17 &gt; 0, ISNUMBER($E17))</formula>
    </cfRule>
    <cfRule type="expression" dxfId="2516" priority="167">
      <formula>AND($E17 = 0 * ISNUMBER($E17))</formula>
    </cfRule>
    <cfRule type="expression" dxfId="2515" priority="168">
      <formula>AND($E17 &lt; 0, ISNUMBER($E17))</formula>
    </cfRule>
  </conditionalFormatting>
  <conditionalFormatting sqref="A17:C36 G17:I36">
    <cfRule type="expression" dxfId="2514" priority="163">
      <formula>AND($H17 &gt; 0, ISNUMBER($H17))</formula>
    </cfRule>
    <cfRule type="expression" dxfId="2513" priority="164">
      <formula>AND($H17 = 0 * ISNUMBER($H17))</formula>
    </cfRule>
    <cfRule type="expression" dxfId="2512" priority="165">
      <formula>AND($H17 &lt; 0, ISNUMBER($H17))</formula>
    </cfRule>
  </conditionalFormatting>
  <conditionalFormatting sqref="A17:C36 J17:L36">
    <cfRule type="expression" dxfId="2511" priority="160">
      <formula>AND($K17 &gt; 0, ISNUMBER($K17))</formula>
    </cfRule>
    <cfRule type="expression" dxfId="2510" priority="161">
      <formula>AND($K17 = 0 * ISNUMBER($K17))</formula>
    </cfRule>
    <cfRule type="expression" dxfId="2509" priority="162">
      <formula>AND($K17 &lt; 0, ISNUMBER($K17))</formula>
    </cfRule>
  </conditionalFormatting>
  <conditionalFormatting sqref="D15:F16 E37:F37">
    <cfRule type="expression" dxfId="2508" priority="154">
      <formula>$E$37 &gt; 0</formula>
    </cfRule>
    <cfRule type="expression" dxfId="2507" priority="155">
      <formula>$E$37 = 0</formula>
    </cfRule>
    <cfRule type="expression" dxfId="2506" priority="156">
      <formula>$E$37 &lt; 0</formula>
    </cfRule>
  </conditionalFormatting>
  <conditionalFormatting sqref="G15:I16 H37:I37">
    <cfRule type="expression" dxfId="2505" priority="151">
      <formula>$H$37 &gt; 0</formula>
    </cfRule>
    <cfRule type="expression" dxfId="2504" priority="152">
      <formula>$H$37 = 0</formula>
    </cfRule>
    <cfRule type="expression" dxfId="2503" priority="153">
      <formula>$H$37 &lt; 0</formula>
    </cfRule>
  </conditionalFormatting>
  <conditionalFormatting sqref="J15:L16 K37:L37">
    <cfRule type="expression" dxfId="2502" priority="148">
      <formula>$K$37 &gt; 0</formula>
    </cfRule>
    <cfRule type="expression" dxfId="2501" priority="149">
      <formula>$K$37 = 0</formula>
    </cfRule>
    <cfRule type="expression" dxfId="2500" priority="150">
      <formula>$K$37 &lt; 0</formula>
    </cfRule>
  </conditionalFormatting>
  <conditionalFormatting sqref="M15:O16 N37:O37">
    <cfRule type="expression" dxfId="2499" priority="145">
      <formula>$N$37 &gt; 0</formula>
    </cfRule>
    <cfRule type="expression" dxfId="2498" priority="146">
      <formula>$N$37 = 0</formula>
    </cfRule>
    <cfRule type="expression" dxfId="2497" priority="147">
      <formula>$N$37 &lt; 0</formula>
    </cfRule>
  </conditionalFormatting>
  <conditionalFormatting sqref="A44:C63 M44:O63">
    <cfRule type="expression" dxfId="2496" priority="133">
      <formula>AND($N44 &gt; 0, ISNUMBER($N44))</formula>
    </cfRule>
    <cfRule type="expression" dxfId="2495" priority="134">
      <formula>AND($N44 = 0 * ISNUMBER($N44))</formula>
    </cfRule>
    <cfRule type="expression" dxfId="2494" priority="135">
      <formula>AND($N44 &lt; 0, ISNUMBER($N44))</formula>
    </cfRule>
  </conditionalFormatting>
  <conditionalFormatting sqref="A44:F63">
    <cfRule type="expression" dxfId="2493" priority="142">
      <formula>AND($E44 &gt; 0, ISNUMBER($E44))</formula>
    </cfRule>
    <cfRule type="expression" dxfId="2492" priority="143">
      <formula>AND($E44 = 0 * ISNUMBER($E44))</formula>
    </cfRule>
    <cfRule type="expression" dxfId="2491" priority="144">
      <formula>AND($E44 &lt; 0, ISNUMBER($E44))</formula>
    </cfRule>
  </conditionalFormatting>
  <conditionalFormatting sqref="A44:C63 G44:I63">
    <cfRule type="expression" dxfId="2490" priority="139">
      <formula>AND($H44 &gt; 0, ISNUMBER($H44))</formula>
    </cfRule>
    <cfRule type="expression" dxfId="2489" priority="140">
      <formula>AND($H44 = 0 * ISNUMBER($H44))</formula>
    </cfRule>
    <cfRule type="expression" dxfId="2488" priority="141">
      <formula>AND($H44 &lt; 0, ISNUMBER($H44))</formula>
    </cfRule>
  </conditionalFormatting>
  <conditionalFormatting sqref="A44:C63 J44:L63">
    <cfRule type="expression" dxfId="2487" priority="136">
      <formula>AND($K44 &gt; 0, ISNUMBER($K44))</formula>
    </cfRule>
    <cfRule type="expression" dxfId="2486" priority="137">
      <formula>AND($K44 = 0 * ISNUMBER($K44))</formula>
    </cfRule>
    <cfRule type="expression" dxfId="2485" priority="138">
      <formula>AND($K44 &lt; 0, ISNUMBER($K44))</formula>
    </cfRule>
  </conditionalFormatting>
  <conditionalFormatting sqref="D42:F43 E64:F64">
    <cfRule type="expression" dxfId="2484" priority="130">
      <formula>$E$64 &gt; 0</formula>
    </cfRule>
    <cfRule type="expression" dxfId="2483" priority="131">
      <formula>$E$64 = 0</formula>
    </cfRule>
    <cfRule type="expression" dxfId="2482" priority="132">
      <formula>$E$64 &lt; 0</formula>
    </cfRule>
  </conditionalFormatting>
  <conditionalFormatting sqref="G42:I43 H64:I64">
    <cfRule type="expression" dxfId="2481" priority="127">
      <formula>$H$64 &gt; 0</formula>
    </cfRule>
    <cfRule type="expression" dxfId="2480" priority="128">
      <formula>$H$64 = 0</formula>
    </cfRule>
    <cfRule type="expression" dxfId="2479" priority="129">
      <formula>$H$64 &lt; 0</formula>
    </cfRule>
  </conditionalFormatting>
  <conditionalFormatting sqref="J42:L43 K64:L64">
    <cfRule type="expression" dxfId="2478" priority="124">
      <formula>$K$64 &gt; 0</formula>
    </cfRule>
    <cfRule type="expression" dxfId="2477" priority="125">
      <formula>$K$64 = 0</formula>
    </cfRule>
    <cfRule type="expression" dxfId="2476" priority="126">
      <formula>$K$64 &lt; 0</formula>
    </cfRule>
  </conditionalFormatting>
  <conditionalFormatting sqref="M42:O43 N64:O64">
    <cfRule type="expression" dxfId="2475" priority="121">
      <formula>$N$64 &gt; 0</formula>
    </cfRule>
    <cfRule type="expression" dxfId="2474" priority="122">
      <formula>$N$64 = 0</formula>
    </cfRule>
    <cfRule type="expression" dxfId="2473" priority="123">
      <formula>$N$64 &lt; 0</formula>
    </cfRule>
  </conditionalFormatting>
  <conditionalFormatting sqref="A71:C90 M71:O90">
    <cfRule type="expression" dxfId="2472" priority="109">
      <formula>AND($N71 &gt; 0, ISNUMBER($N71))</formula>
    </cfRule>
    <cfRule type="expression" dxfId="2471" priority="110">
      <formula>AND($N71 = 0 * ISNUMBER($N71))</formula>
    </cfRule>
    <cfRule type="expression" dxfId="2470" priority="111">
      <formula>AND($N71 &lt; 0, ISNUMBER($N71))</formula>
    </cfRule>
  </conditionalFormatting>
  <conditionalFormatting sqref="A71:F90">
    <cfRule type="expression" dxfId="2469" priority="118">
      <formula>AND($E71 &gt; 0, ISNUMBER($E71))</formula>
    </cfRule>
    <cfRule type="expression" dxfId="2468" priority="119">
      <formula>AND($E71 = 0 * ISNUMBER($E71))</formula>
    </cfRule>
    <cfRule type="expression" dxfId="2467" priority="120">
      <formula>AND($E71 &lt; 0, ISNUMBER($E71))</formula>
    </cfRule>
  </conditionalFormatting>
  <conditionalFormatting sqref="A71:C90 G71:I90">
    <cfRule type="expression" dxfId="2466" priority="115">
      <formula>AND($H71 &gt; 0, ISNUMBER($H71))</formula>
    </cfRule>
    <cfRule type="expression" dxfId="2465" priority="116">
      <formula>AND($H71 = 0 * ISNUMBER($H71))</formula>
    </cfRule>
    <cfRule type="expression" dxfId="2464" priority="117">
      <formula>AND($H71 &lt; 0, ISNUMBER($H71))</formula>
    </cfRule>
  </conditionalFormatting>
  <conditionalFormatting sqref="A71:C90 J71:L90">
    <cfRule type="expression" dxfId="2463" priority="112">
      <formula>AND($K71 &gt; 0, ISNUMBER($K71))</formula>
    </cfRule>
    <cfRule type="expression" dxfId="2462" priority="113">
      <formula>AND($K71 = 0 * ISNUMBER($K71))</formula>
    </cfRule>
    <cfRule type="expression" dxfId="2461" priority="114">
      <formula>AND($K71 &lt; 0, ISNUMBER($K71))</formula>
    </cfRule>
  </conditionalFormatting>
  <conditionalFormatting sqref="D69:F70 E91:F91">
    <cfRule type="expression" dxfId="2460" priority="106">
      <formula>$E$91 &gt; 0</formula>
    </cfRule>
    <cfRule type="expression" dxfId="2459" priority="107">
      <formula>$E$91 = 0</formula>
    </cfRule>
    <cfRule type="expression" dxfId="2458" priority="108">
      <formula>$E$91 &lt; 0</formula>
    </cfRule>
  </conditionalFormatting>
  <conditionalFormatting sqref="G69:I70 H91:I91">
    <cfRule type="expression" dxfId="2457" priority="103">
      <formula>$H$91 &gt; 0</formula>
    </cfRule>
    <cfRule type="expression" dxfId="2456" priority="104">
      <formula>$H$91 = 0</formula>
    </cfRule>
    <cfRule type="expression" dxfId="2455" priority="105">
      <formula>$H$91 &lt; 0</formula>
    </cfRule>
  </conditionalFormatting>
  <conditionalFormatting sqref="J69:L70 K91:L91">
    <cfRule type="expression" dxfId="2454" priority="100">
      <formula>$K$91 &gt; 0</formula>
    </cfRule>
    <cfRule type="expression" dxfId="2453" priority="101">
      <formula>$K$91 = 0</formula>
    </cfRule>
    <cfRule type="expression" dxfId="2452" priority="102">
      <formula>$K$91 &lt; 0</formula>
    </cfRule>
  </conditionalFormatting>
  <conditionalFormatting sqref="M69:O70 N91:O91">
    <cfRule type="expression" dxfId="2451" priority="97">
      <formula>$N$91 &gt; 0</formula>
    </cfRule>
    <cfRule type="expression" dxfId="2450" priority="98">
      <formula>$N$91 = 0</formula>
    </cfRule>
    <cfRule type="expression" dxfId="2449" priority="99">
      <formula>$N$91 &lt; 0</formula>
    </cfRule>
  </conditionalFormatting>
  <conditionalFormatting sqref="A98:C117 M98:O117">
    <cfRule type="expression" dxfId="2448" priority="85">
      <formula>AND($N98 &gt; 0, ISNUMBER($N98))</formula>
    </cfRule>
    <cfRule type="expression" dxfId="2447" priority="86">
      <formula>AND($N98 = 0 * ISNUMBER($N98))</formula>
    </cfRule>
    <cfRule type="expression" dxfId="2446" priority="87">
      <formula>AND($N98 &lt; 0, ISNUMBER($N98))</formula>
    </cfRule>
  </conditionalFormatting>
  <conditionalFormatting sqref="A98:F117">
    <cfRule type="expression" dxfId="2445" priority="94">
      <formula>AND($E98 &gt; 0, ISNUMBER($E98))</formula>
    </cfRule>
    <cfRule type="expression" dxfId="2444" priority="95">
      <formula>AND($E98 = 0 * ISNUMBER($E98))</formula>
    </cfRule>
    <cfRule type="expression" dxfId="2443" priority="96">
      <formula>AND($E98 &lt; 0, ISNUMBER($E98))</formula>
    </cfRule>
  </conditionalFormatting>
  <conditionalFormatting sqref="A98:C117 G98:I117">
    <cfRule type="expression" dxfId="2442" priority="91">
      <formula>AND($H98 &gt; 0, ISNUMBER($H98))</formula>
    </cfRule>
    <cfRule type="expression" dxfId="2441" priority="92">
      <formula>AND($H98 = 0 * ISNUMBER($H98))</formula>
    </cfRule>
    <cfRule type="expression" dxfId="2440" priority="93">
      <formula>AND($H98 &lt; 0, ISNUMBER($H98))</formula>
    </cfRule>
  </conditionalFormatting>
  <conditionalFormatting sqref="A98:C117 J98:L117">
    <cfRule type="expression" dxfId="2439" priority="88">
      <formula>AND($K98 &gt; 0, ISNUMBER($K98))</formula>
    </cfRule>
    <cfRule type="expression" dxfId="2438" priority="89">
      <formula>AND($K98 = 0 * ISNUMBER($K98))</formula>
    </cfRule>
    <cfRule type="expression" dxfId="2437" priority="90">
      <formula>AND($K98 &lt; 0, ISNUMBER($K98))</formula>
    </cfRule>
  </conditionalFormatting>
  <conditionalFormatting sqref="D96:F97 E118:F118">
    <cfRule type="expression" dxfId="2436" priority="82">
      <formula>$E$118 &gt; 0</formula>
    </cfRule>
    <cfRule type="expression" dxfId="2435" priority="83">
      <formula>$E$118 = 0</formula>
    </cfRule>
    <cfRule type="expression" dxfId="2434" priority="84">
      <formula>$E$118 &lt; 0</formula>
    </cfRule>
  </conditionalFormatting>
  <conditionalFormatting sqref="G96:I97 H118:I118">
    <cfRule type="expression" dxfId="2433" priority="79">
      <formula>$H$118 &gt; 0</formula>
    </cfRule>
    <cfRule type="expression" dxfId="2432" priority="80">
      <formula>$H$118 = 0</formula>
    </cfRule>
    <cfRule type="expression" dxfId="2431" priority="81">
      <formula>$H$118 &lt; 0</formula>
    </cfRule>
  </conditionalFormatting>
  <conditionalFormatting sqref="J96:L97 K118:L118">
    <cfRule type="expression" dxfId="2430" priority="76">
      <formula>$K$118 &gt; 0</formula>
    </cfRule>
    <cfRule type="expression" dxfId="2429" priority="77">
      <formula>$K$118 = 0</formula>
    </cfRule>
    <cfRule type="expression" dxfId="2428" priority="78">
      <formula>$K$118 &lt; 0</formula>
    </cfRule>
  </conditionalFormatting>
  <conditionalFormatting sqref="M96:O97 N118:O118">
    <cfRule type="expression" dxfId="2427" priority="73">
      <formula>$N$118 &gt; 0</formula>
    </cfRule>
    <cfRule type="expression" dxfId="2426" priority="74">
      <formula>$N$118 = 0</formula>
    </cfRule>
    <cfRule type="expression" dxfId="2425" priority="75">
      <formula>$N$118 &lt; 0</formula>
    </cfRule>
  </conditionalFormatting>
  <conditionalFormatting sqref="A125:C144 M125:O144">
    <cfRule type="expression" dxfId="2424" priority="61">
      <formula>AND($N125 &gt; 0, ISNUMBER($N125))</formula>
    </cfRule>
    <cfRule type="expression" dxfId="2423" priority="62">
      <formula>AND($N125 = 0 * ISNUMBER($N125))</formula>
    </cfRule>
    <cfRule type="expression" dxfId="2422" priority="63">
      <formula>AND($N125 &lt; 0, ISNUMBER($N125))</formula>
    </cfRule>
  </conditionalFormatting>
  <conditionalFormatting sqref="A125:F144">
    <cfRule type="expression" dxfId="2421" priority="70">
      <formula>AND($E125 &gt; 0, ISNUMBER($E125))</formula>
    </cfRule>
    <cfRule type="expression" dxfId="2420" priority="71">
      <formula>AND($E125 = 0 * ISNUMBER($E125))</formula>
    </cfRule>
    <cfRule type="expression" dxfId="2419" priority="72">
      <formula>AND($E125 &lt; 0, ISNUMBER($E125))</formula>
    </cfRule>
  </conditionalFormatting>
  <conditionalFormatting sqref="A125:C144 G125:I144">
    <cfRule type="expression" dxfId="2418" priority="67">
      <formula>AND($H125 &gt; 0, ISNUMBER($H125))</formula>
    </cfRule>
    <cfRule type="expression" dxfId="2417" priority="68">
      <formula>AND($H125 = 0 * ISNUMBER($H125))</formula>
    </cfRule>
    <cfRule type="expression" dxfId="2416" priority="69">
      <formula>AND($H125 &lt; 0, ISNUMBER($H125))</formula>
    </cfRule>
  </conditionalFormatting>
  <conditionalFormatting sqref="A125:C144 J125:L144">
    <cfRule type="expression" dxfId="2415" priority="64">
      <formula>AND($K125 &gt; 0, ISNUMBER($K125))</formula>
    </cfRule>
    <cfRule type="expression" dxfId="2414" priority="65">
      <formula>AND($K125 = 0 * ISNUMBER($K125))</formula>
    </cfRule>
    <cfRule type="expression" dxfId="2413" priority="66">
      <formula>AND($K125 &lt; 0, ISNUMBER($K125))</formula>
    </cfRule>
  </conditionalFormatting>
  <conditionalFormatting sqref="D123:F124 E145:F145">
    <cfRule type="expression" dxfId="2412" priority="58">
      <formula>$E$145 &gt; 0</formula>
    </cfRule>
    <cfRule type="expression" dxfId="2411" priority="59">
      <formula>$E$145 = 0</formula>
    </cfRule>
    <cfRule type="expression" dxfId="2410" priority="60">
      <formula>$E$145 &lt; 0</formula>
    </cfRule>
  </conditionalFormatting>
  <conditionalFormatting sqref="G123:I124 H145:I145">
    <cfRule type="expression" dxfId="2409" priority="55">
      <formula>$H$145 &gt; 0</formula>
    </cfRule>
    <cfRule type="expression" dxfId="2408" priority="56">
      <formula>$H$145 = 0</formula>
    </cfRule>
    <cfRule type="expression" dxfId="2407" priority="57">
      <formula>$H$145 &lt; 0</formula>
    </cfRule>
  </conditionalFormatting>
  <conditionalFormatting sqref="J123:L124 K145:L145">
    <cfRule type="expression" dxfId="2406" priority="52">
      <formula>$K$145 &gt; 0</formula>
    </cfRule>
    <cfRule type="expression" dxfId="2405" priority="53">
      <formula>$K$145 = 0</formula>
    </cfRule>
    <cfRule type="expression" dxfId="2404" priority="54">
      <formula>$K$145 &lt; 0</formula>
    </cfRule>
  </conditionalFormatting>
  <conditionalFormatting sqref="M123:O124 N145:O145">
    <cfRule type="expression" dxfId="2403" priority="49">
      <formula>$N$145 &gt; 0</formula>
    </cfRule>
    <cfRule type="expression" dxfId="2402" priority="50">
      <formula>$N$145 = 0</formula>
    </cfRule>
    <cfRule type="expression" dxfId="2401" priority="51">
      <formula>$N$145 &lt; 0</formula>
    </cfRule>
  </conditionalFormatting>
  <conditionalFormatting sqref="A152:C171 M152:O171">
    <cfRule type="expression" dxfId="2400" priority="37">
      <formula>AND($N152 &gt; 0, ISNUMBER($N152))</formula>
    </cfRule>
    <cfRule type="expression" dxfId="2399" priority="38">
      <formula>AND($N152 = 0 * ISNUMBER($N152))</formula>
    </cfRule>
    <cfRule type="expression" dxfId="2398" priority="39">
      <formula>AND($N152 &lt; 0, ISNUMBER($N152))</formula>
    </cfRule>
  </conditionalFormatting>
  <conditionalFormatting sqref="A152:F171">
    <cfRule type="expression" dxfId="2397" priority="46">
      <formula>AND($E152 &gt; 0, ISNUMBER($E152))</formula>
    </cfRule>
    <cfRule type="expression" dxfId="2396" priority="47">
      <formula>AND($E152 = 0 * ISNUMBER($E152))</formula>
    </cfRule>
    <cfRule type="expression" dxfId="2395" priority="48">
      <formula>AND($E152 &lt; 0, ISNUMBER($E152))</formula>
    </cfRule>
  </conditionalFormatting>
  <conditionalFormatting sqref="A152:C171 G152:I171">
    <cfRule type="expression" dxfId="2394" priority="43">
      <formula>AND($H152 &gt; 0, ISNUMBER($H152))</formula>
    </cfRule>
    <cfRule type="expression" dxfId="2393" priority="44">
      <formula>AND($H152 = 0 * ISNUMBER($H152))</formula>
    </cfRule>
    <cfRule type="expression" dxfId="2392" priority="45">
      <formula>AND($H152 &lt; 0, ISNUMBER($H152))</formula>
    </cfRule>
  </conditionalFormatting>
  <conditionalFormatting sqref="A152:C171 J152:L171">
    <cfRule type="expression" dxfId="2391" priority="40">
      <formula>AND($K152 &gt; 0, ISNUMBER($K152))</formula>
    </cfRule>
    <cfRule type="expression" dxfId="2390" priority="41">
      <formula>AND($K152 = 0 * ISNUMBER($K152))</formula>
    </cfRule>
    <cfRule type="expression" dxfId="2389" priority="42">
      <formula>AND($K152 &lt; 0, ISNUMBER($K152))</formula>
    </cfRule>
  </conditionalFormatting>
  <conditionalFormatting sqref="D150:F151 E172:F172">
    <cfRule type="expression" dxfId="2388" priority="34">
      <formula>$E$172 &gt; 0</formula>
    </cfRule>
    <cfRule type="expression" dxfId="2387" priority="35">
      <formula>$E$172 = 0</formula>
    </cfRule>
    <cfRule type="expression" dxfId="2386" priority="36">
      <formula>$E$172 &lt; 0</formula>
    </cfRule>
  </conditionalFormatting>
  <conditionalFormatting sqref="G150:I151 H172:I172">
    <cfRule type="expression" dxfId="2385" priority="31">
      <formula>$H$172 &gt; 0</formula>
    </cfRule>
    <cfRule type="expression" dxfId="2384" priority="32">
      <formula>$H$172 = 0</formula>
    </cfRule>
    <cfRule type="expression" dxfId="2383" priority="33">
      <formula>$H$172 &lt; 0</formula>
    </cfRule>
  </conditionalFormatting>
  <conditionalFormatting sqref="J150:L151 K172:L172">
    <cfRule type="expression" dxfId="2382" priority="28">
      <formula>$K$172 &gt; 0</formula>
    </cfRule>
    <cfRule type="expression" dxfId="2381" priority="29">
      <formula>$K$172 = 0</formula>
    </cfRule>
    <cfRule type="expression" dxfId="2380" priority="30">
      <formula>$K$172 &lt; 0</formula>
    </cfRule>
  </conditionalFormatting>
  <conditionalFormatting sqref="M150:O151 N172:O172">
    <cfRule type="expression" dxfId="2379" priority="25">
      <formula>$N$172 &gt; 0</formula>
    </cfRule>
    <cfRule type="expression" dxfId="2378" priority="26">
      <formula>$N$172 = 0</formula>
    </cfRule>
    <cfRule type="expression" dxfId="2377" priority="27">
      <formula>$N$172 &lt; 0</formula>
    </cfRule>
  </conditionalFormatting>
  <conditionalFormatting sqref="A179:C198 M179:O198">
    <cfRule type="expression" dxfId="2376" priority="13">
      <formula>AND($N179 &gt; 0, ISNUMBER($N179))</formula>
    </cfRule>
    <cfRule type="expression" dxfId="2375" priority="14">
      <formula>AND($N179 = 0 * ISNUMBER($N179))</formula>
    </cfRule>
    <cfRule type="expression" dxfId="2374" priority="15">
      <formula>AND($N179 &lt; 0, ISNUMBER($N179))</formula>
    </cfRule>
  </conditionalFormatting>
  <conditionalFormatting sqref="A179:F198">
    <cfRule type="expression" dxfId="2373" priority="22">
      <formula>AND($E179 &gt; 0, ISNUMBER($E179))</formula>
    </cfRule>
    <cfRule type="expression" dxfId="2372" priority="23">
      <formula>AND($E179 = 0 * ISNUMBER($E179))</formula>
    </cfRule>
    <cfRule type="expression" dxfId="2371" priority="24">
      <formula>AND($E179 &lt; 0, ISNUMBER($E179))</formula>
    </cfRule>
  </conditionalFormatting>
  <conditionalFormatting sqref="A179:C198 G179:I198">
    <cfRule type="expression" dxfId="2370" priority="19">
      <formula>AND($H179 &gt; 0, ISNUMBER($H179))</formula>
    </cfRule>
    <cfRule type="expression" dxfId="2369" priority="20">
      <formula>AND($H179 = 0 * ISNUMBER($H179))</formula>
    </cfRule>
    <cfRule type="expression" dxfId="2368" priority="21">
      <formula>AND($H179 &lt; 0, ISNUMBER($H179))</formula>
    </cfRule>
  </conditionalFormatting>
  <conditionalFormatting sqref="A179:C198 J179:L198">
    <cfRule type="expression" dxfId="2367" priority="16">
      <formula>AND($K179 &gt; 0, ISNUMBER($K179))</formula>
    </cfRule>
    <cfRule type="expression" dxfId="2366" priority="17">
      <formula>AND($K179 = 0 * ISNUMBER($K179))</formula>
    </cfRule>
    <cfRule type="expression" dxfId="2365" priority="18">
      <formula>AND($K179 &lt; 0, ISNUMBER($K179))</formula>
    </cfRule>
  </conditionalFormatting>
  <conditionalFormatting sqref="D177:F178 E199:F199">
    <cfRule type="expression" dxfId="2364" priority="10">
      <formula>$E$199 &gt; 0</formula>
    </cfRule>
    <cfRule type="expression" dxfId="2363" priority="11">
      <formula>$E$199 = 0</formula>
    </cfRule>
    <cfRule type="expression" dxfId="2362" priority="12">
      <formula>$E$199 &lt; 0</formula>
    </cfRule>
  </conditionalFormatting>
  <conditionalFormatting sqref="G177:I178 H199:I199">
    <cfRule type="expression" dxfId="2361" priority="7">
      <formula>$H$199 &gt; 0</formula>
    </cfRule>
    <cfRule type="expression" dxfId="2360" priority="8">
      <formula>$H$199 = 0</formula>
    </cfRule>
    <cfRule type="expression" dxfId="2359" priority="9">
      <formula>$H$199 &lt; 0</formula>
    </cfRule>
  </conditionalFormatting>
  <conditionalFormatting sqref="J177:L178 K199:L199">
    <cfRule type="expression" dxfId="2358" priority="4">
      <formula>$K$199 &gt; 0</formula>
    </cfRule>
    <cfRule type="expression" dxfId="2357" priority="5">
      <formula>$K$199 = 0</formula>
    </cfRule>
    <cfRule type="expression" dxfId="2356" priority="6">
      <formula>$K$199 &lt; 0</formula>
    </cfRule>
  </conditionalFormatting>
  <conditionalFormatting sqref="M177:O178 N199:O199">
    <cfRule type="expression" dxfId="2355" priority="1">
      <formula>$N$199 &gt; 0</formula>
    </cfRule>
    <cfRule type="expression" dxfId="2354" priority="2">
      <formula>$N$199 = 0</formula>
    </cfRule>
    <cfRule type="expression" dxfId="235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0A77E-06E2-421D-8474-02E0B64D8901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80">
        <v>44413</v>
      </c>
      <c r="H1" s="281"/>
      <c r="I1" s="282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83" t="s">
        <v>8</v>
      </c>
      <c r="C2" s="284"/>
      <c r="D2" s="284"/>
      <c r="E2" s="284"/>
      <c r="F2" s="285"/>
      <c r="G2" s="277" t="s">
        <v>46</v>
      </c>
      <c r="H2" s="278"/>
      <c r="I2" s="279"/>
      <c r="J2" s="1" t="s">
        <v>3</v>
      </c>
      <c r="K2" s="283" t="s">
        <v>320</v>
      </c>
      <c r="L2" s="284"/>
      <c r="M2" s="284"/>
      <c r="N2" s="284"/>
      <c r="O2" s="285"/>
      <c r="Q2" s="2" t="s">
        <v>6</v>
      </c>
      <c r="R2" s="3">
        <v>0.375</v>
      </c>
    </row>
    <row r="3" spans="1:19" ht="17.25" customHeight="1" thickBot="1">
      <c r="A3" s="118" t="s">
        <v>7</v>
      </c>
      <c r="B3" s="274" t="s">
        <v>328</v>
      </c>
      <c r="C3" s="275"/>
      <c r="D3" s="275"/>
      <c r="E3" s="275"/>
      <c r="F3" s="276"/>
      <c r="G3" s="27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31,344 KRW (1.57%)</v>
      </c>
      <c r="H3" s="271"/>
      <c r="I3" s="272"/>
      <c r="J3" s="4" t="s">
        <v>7</v>
      </c>
      <c r="K3" s="274" t="s">
        <v>321</v>
      </c>
      <c r="L3" s="275"/>
      <c r="M3" s="275"/>
      <c r="N3" s="275"/>
      <c r="O3" s="27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4" t="s">
        <v>16</v>
      </c>
      <c r="C4" s="275"/>
      <c r="D4" s="275"/>
      <c r="E4" s="275"/>
      <c r="F4" s="276"/>
      <c r="G4" s="277" t="s">
        <v>44</v>
      </c>
      <c r="H4" s="278"/>
      <c r="I4" s="279"/>
      <c r="J4" s="4" t="s">
        <v>11</v>
      </c>
      <c r="K4" s="274" t="s">
        <v>322</v>
      </c>
      <c r="L4" s="275"/>
      <c r="M4" s="275"/>
      <c r="N4" s="275"/>
      <c r="O4" s="27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4" t="s">
        <v>319</v>
      </c>
      <c r="C5" s="275"/>
      <c r="D5" s="275"/>
      <c r="E5" s="275"/>
      <c r="F5" s="276"/>
      <c r="G5" s="27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96,692 KRW (4.83%)</v>
      </c>
      <c r="H5" s="271"/>
      <c r="I5" s="272"/>
      <c r="J5" s="4" t="s">
        <v>15</v>
      </c>
      <c r="K5" s="274" t="s">
        <v>323</v>
      </c>
      <c r="L5" s="275"/>
      <c r="M5" s="275"/>
      <c r="N5" s="275"/>
      <c r="O5" s="276"/>
    </row>
    <row r="6" spans="1:19">
      <c r="A6" s="118" t="s">
        <v>18</v>
      </c>
      <c r="B6" s="274"/>
      <c r="C6" s="275"/>
      <c r="D6" s="275"/>
      <c r="E6" s="275"/>
      <c r="F6" s="276"/>
      <c r="G6" s="277" t="s">
        <v>45</v>
      </c>
      <c r="H6" s="278"/>
      <c r="I6" s="279"/>
      <c r="J6" s="4" t="s">
        <v>18</v>
      </c>
      <c r="K6" s="274" t="s">
        <v>324</v>
      </c>
      <c r="L6" s="275"/>
      <c r="M6" s="275"/>
      <c r="N6" s="275"/>
      <c r="O6" s="276"/>
    </row>
    <row r="7" spans="1:19" ht="17.25" thickBot="1">
      <c r="A7" s="118" t="s">
        <v>21</v>
      </c>
      <c r="B7" s="274"/>
      <c r="C7" s="275"/>
      <c r="D7" s="275"/>
      <c r="E7" s="275"/>
      <c r="F7" s="276"/>
      <c r="G7" s="27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45,260 KRW (2.26%)</v>
      </c>
      <c r="H7" s="271"/>
      <c r="I7" s="272"/>
      <c r="J7" s="4" t="s">
        <v>21</v>
      </c>
      <c r="K7" s="274" t="s">
        <v>325</v>
      </c>
      <c r="L7" s="275"/>
      <c r="M7" s="275"/>
      <c r="N7" s="275"/>
      <c r="O7" s="276"/>
    </row>
    <row r="8" spans="1:19" ht="17.25" thickBot="1">
      <c r="A8" s="118" t="s">
        <v>24</v>
      </c>
      <c r="B8" s="274"/>
      <c r="C8" s="275"/>
      <c r="D8" s="275"/>
      <c r="E8" s="275"/>
      <c r="F8" s="276"/>
      <c r="G8" s="277" t="s">
        <v>255</v>
      </c>
      <c r="H8" s="278"/>
      <c r="I8" s="279"/>
      <c r="J8" s="4" t="s">
        <v>24</v>
      </c>
      <c r="K8" s="274"/>
      <c r="L8" s="275"/>
      <c r="M8" s="275"/>
      <c r="N8" s="275"/>
      <c r="O8" s="276"/>
      <c r="Q8" s="249" t="s">
        <v>27</v>
      </c>
      <c r="R8" s="251"/>
    </row>
    <row r="9" spans="1:19" ht="17.25" thickBot="1">
      <c r="A9" s="118" t="s">
        <v>28</v>
      </c>
      <c r="B9" s="274"/>
      <c r="C9" s="275"/>
      <c r="D9" s="275"/>
      <c r="E9" s="275"/>
      <c r="F9" s="276"/>
      <c r="G9" s="27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111,070 KRW (5.55%)</v>
      </c>
      <c r="H9" s="271"/>
      <c r="I9" s="272"/>
      <c r="J9" s="4" t="s">
        <v>28</v>
      </c>
      <c r="K9" s="274"/>
      <c r="L9" s="275"/>
      <c r="M9" s="275"/>
      <c r="N9" s="275"/>
      <c r="O9" s="276"/>
      <c r="Q9" s="2" t="s">
        <v>29</v>
      </c>
      <c r="R9" s="6">
        <v>10</v>
      </c>
    </row>
    <row r="10" spans="1:19">
      <c r="A10" s="118" t="s">
        <v>30</v>
      </c>
      <c r="B10" s="274"/>
      <c r="C10" s="275"/>
      <c r="D10" s="275"/>
      <c r="E10" s="275"/>
      <c r="F10" s="276"/>
      <c r="G10" s="277" t="s">
        <v>47</v>
      </c>
      <c r="H10" s="278"/>
      <c r="I10" s="279"/>
      <c r="J10" s="4" t="s">
        <v>30</v>
      </c>
      <c r="K10" s="274" t="s">
        <v>326</v>
      </c>
      <c r="L10" s="275"/>
      <c r="M10" s="275"/>
      <c r="N10" s="275"/>
      <c r="O10" s="276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7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1"/>
      <c r="I11" s="272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48"/>
      <c r="R13" s="248"/>
      <c r="S13" s="248"/>
    </row>
    <row r="14" spans="1:19" ht="17.25" customHeight="1" thickBot="1">
      <c r="A14" s="173" t="s">
        <v>35</v>
      </c>
      <c r="B14" s="249" t="s">
        <v>36</v>
      </c>
      <c r="C14" s="251"/>
      <c r="D14" s="249" t="s">
        <v>37</v>
      </c>
      <c r="E14" s="250"/>
      <c r="F14" s="251"/>
      <c r="G14" s="252">
        <f>_xlfn.IFNA(VLOOKUP(B14, 현재가테이블!$B$2:$D$200, 2, FALSE), "-")</f>
        <v>54440000</v>
      </c>
      <c r="H14" s="253"/>
      <c r="I14" s="254"/>
      <c r="J14" s="249" t="s">
        <v>38</v>
      </c>
      <c r="K14" s="250"/>
      <c r="L14" s="251"/>
      <c r="M14" s="255">
        <f>_xlfn.IFNA(VLOOKUP(B14, 현재가테이블!$B$2:$D$200, 3, FALSE), "-")</f>
        <v>1.07123628E-2</v>
      </c>
      <c r="N14" s="256"/>
      <c r="O14" s="257"/>
      <c r="Q14" s="248"/>
      <c r="R14" s="248"/>
      <c r="S14" s="248"/>
    </row>
    <row r="15" spans="1:19" ht="17.25" customHeight="1" thickBot="1">
      <c r="A15" s="286" t="s">
        <v>39</v>
      </c>
      <c r="B15" s="287" t="str">
        <f>TEXT($G$1, "[$-ko-KR]yyyy-mm-dd(ddd) ") &amp; "오전 00:00"</f>
        <v>2021-08-05(목) 오전 00:00</v>
      </c>
      <c r="C15" s="288"/>
      <c r="D15" s="262" t="str">
        <f>TEXT($G$1, "[$-ko-KR]yyyy-mm-dd(ddd) ") &amp; "오후 14:00"</f>
        <v>2021-08-05(목) 오후 14:00</v>
      </c>
      <c r="E15" s="263"/>
      <c r="F15" s="264"/>
      <c r="G15" s="262" t="str">
        <f>TEXT($G$1, "[$-ko-KR]yyyy-mm-dd(ddd) ") &amp; "오후 19:00"</f>
        <v>2021-08-05(목) 오후 19:00</v>
      </c>
      <c r="H15" s="263"/>
      <c r="I15" s="264"/>
      <c r="J15" s="262" t="str">
        <f>TEXT($G$1, "[$-ko-KR]yyyy-mm-dd(ddd) ") &amp; "오후 21:00"</f>
        <v>2021-08-05(목) 오후 21:00</v>
      </c>
      <c r="K15" s="263"/>
      <c r="L15" s="264"/>
      <c r="M15" s="262" t="str">
        <f>TEXT($G$1+1, "[$-ko-KR]yyyy-mm-dd(ddd) ") &amp; "오전 00:00"</f>
        <v>2021-08-06(금) 오전 00:00</v>
      </c>
      <c r="N15" s="263"/>
      <c r="O15" s="264"/>
      <c r="Q15" s="248"/>
      <c r="R15" s="248"/>
      <c r="S15" s="248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8"/>
      <c r="R17" s="248"/>
      <c r="S17" s="24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8"/>
      <c r="R18" s="248"/>
      <c r="S18" s="24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8"/>
      <c r="R19" s="238"/>
      <c r="S19" s="23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8"/>
      <c r="R20" s="238"/>
      <c r="S20" s="23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8"/>
      <c r="R21" s="238"/>
      <c r="S21" s="23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8"/>
      <c r="R22" s="238"/>
      <c r="S22" s="23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8"/>
      <c r="R23" s="238"/>
      <c r="S23" s="23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8"/>
      <c r="R24" s="238"/>
      <c r="S24" s="23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9"/>
      <c r="R26" s="240"/>
      <c r="S26" s="24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2"/>
      <c r="R27" s="243"/>
      <c r="S27" s="24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5"/>
      <c r="R28" s="246"/>
      <c r="S28" s="24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8"/>
      <c r="R29" s="238"/>
      <c r="S29" s="23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8"/>
      <c r="R30" s="248"/>
      <c r="S30" s="24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8"/>
      <c r="R31" s="248"/>
      <c r="S31" s="24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8"/>
      <c r="R32" s="238"/>
      <c r="S32" s="23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7"/>
      <c r="R35" s="228"/>
      <c r="S35" s="22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0"/>
      <c r="R36" s="231"/>
      <c r="S36" s="232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3"/>
      <c r="R37" s="234"/>
      <c r="S37" s="23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48"/>
      <c r="R40" s="248"/>
      <c r="S40" s="248"/>
    </row>
    <row r="41" spans="1:19" ht="17.25" customHeight="1" thickBot="1">
      <c r="A41" s="173" t="s">
        <v>267</v>
      </c>
      <c r="B41" s="249" t="s">
        <v>49</v>
      </c>
      <c r="C41" s="251"/>
      <c r="D41" s="249" t="s">
        <v>58</v>
      </c>
      <c r="E41" s="250"/>
      <c r="F41" s="251"/>
      <c r="G41" s="252">
        <f>_xlfn.IFNA(VLOOKUP(B41, 현재가테이블!$B$2:$D$200, 2, FALSE), "-")</f>
        <v>54440000</v>
      </c>
      <c r="H41" s="253"/>
      <c r="I41" s="254"/>
      <c r="J41" s="249" t="s">
        <v>59</v>
      </c>
      <c r="K41" s="250"/>
      <c r="L41" s="251"/>
      <c r="M41" s="255">
        <f>_xlfn.IFNA(VLOOKUP(B41, 현재가테이블!$B$2:$D$200, 3, FALSE), "-")</f>
        <v>1.07123628E-2</v>
      </c>
      <c r="N41" s="256"/>
      <c r="O41" s="257"/>
      <c r="Q41" s="248"/>
      <c r="R41" s="248"/>
      <c r="S41" s="248"/>
    </row>
    <row r="42" spans="1:19" ht="17.25" customHeight="1" thickBot="1">
      <c r="A42" s="293" t="s">
        <v>55</v>
      </c>
      <c r="B42" s="289" t="str">
        <f>TEXT($G$1, "[$-ko-KR]yyyy-mm-dd(ddd) ") &amp; "오전 00:00"</f>
        <v>2021-08-05(목) 오전 00:00</v>
      </c>
      <c r="C42" s="290"/>
      <c r="D42" s="262" t="str">
        <f>TEXT($G$1, "[$-ko-KR]yyyy-mm-dd(ddd) ") &amp; "오후 14:00"</f>
        <v>2021-08-05(목) 오후 14:00</v>
      </c>
      <c r="E42" s="263"/>
      <c r="F42" s="264"/>
      <c r="G42" s="262" t="str">
        <f>TEXT($G$1, "[$-ko-KR]yyyy-mm-dd(ddd) ") &amp; "오후 19:00"</f>
        <v>2021-08-05(목) 오후 19:00</v>
      </c>
      <c r="H42" s="263"/>
      <c r="I42" s="264"/>
      <c r="J42" s="262" t="str">
        <f>TEXT($G$1, "[$-ko-KR]yyyy-mm-dd(ddd) ") &amp; "오후 21:00"</f>
        <v>2021-08-05(목) 오후 21:00</v>
      </c>
      <c r="K42" s="263"/>
      <c r="L42" s="264"/>
      <c r="M42" s="262" t="str">
        <f>TEXT($G$1+1, "[$-ko-KR]yyyy-mm-dd(ddd) ") &amp; "오전 00:00"</f>
        <v>2021-08-06(금) 오전 00:00</v>
      </c>
      <c r="N42" s="263"/>
      <c r="O42" s="264"/>
      <c r="Q42" s="248"/>
      <c r="R42" s="248"/>
      <c r="S42" s="248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8"/>
      <c r="R43" s="238"/>
      <c r="S43" s="238"/>
    </row>
    <row r="44" spans="1:19" ht="17.25" customHeight="1" thickBot="1">
      <c r="A44" s="123" t="s">
        <v>98</v>
      </c>
      <c r="B44" s="124">
        <v>3.67</v>
      </c>
      <c r="C44" s="76">
        <v>6.6860465100000002E-2</v>
      </c>
      <c r="D44" s="13">
        <v>4</v>
      </c>
      <c r="E44" s="14">
        <f>IF(ISNUMBER(D44), (D44 - $B44) / $B44, "")</f>
        <v>8.9918256130790214E-2</v>
      </c>
      <c r="F44" s="16">
        <f>IF(ISNUMBER(D44), $B64 * E44, "")</f>
        <v>8991.8256130790214</v>
      </c>
      <c r="G44" s="29">
        <v>3.88</v>
      </c>
      <c r="H44" s="14">
        <f>IF(ISNUMBER(G44), (G44 - $B44) / $B44, "")</f>
        <v>5.7220708446866476E-2</v>
      </c>
      <c r="I44" s="100">
        <f>IF(ISNUMBER(G44), $B64 * H44, "")</f>
        <v>5722.0708446866474</v>
      </c>
      <c r="J44" s="13">
        <v>3.88</v>
      </c>
      <c r="K44" s="14">
        <f>IF(ISNUMBER(J44), (J44 - $B44) / $B44, "")</f>
        <v>5.7220708446866476E-2</v>
      </c>
      <c r="L44" s="16">
        <f>IF(ISNUMBER(J44), $B64 * K44, "")</f>
        <v>5722.0708446866474</v>
      </c>
      <c r="M44" s="29">
        <v>3.86</v>
      </c>
      <c r="N44" s="14">
        <f>IF(ISNUMBER(M44), (M44 - $B44) / $B44, "")</f>
        <v>5.1771117166212521E-2</v>
      </c>
      <c r="O44" s="16">
        <f>IF(ISNUMBER(M44), $B64 * N44, "")</f>
        <v>5177.1117166212525</v>
      </c>
      <c r="Q44" s="248"/>
      <c r="R44" s="248"/>
      <c r="S44" s="248"/>
    </row>
    <row r="45" spans="1:19" ht="17.25" customHeight="1" thickBot="1">
      <c r="A45" s="125" t="s">
        <v>148</v>
      </c>
      <c r="B45" s="126">
        <v>18.3</v>
      </c>
      <c r="C45" s="77">
        <v>3.9772727299999998E-2</v>
      </c>
      <c r="D45" s="15">
        <v>18</v>
      </c>
      <c r="E45" s="32">
        <f t="shared" ref="E45:E48" si="14">IF(ISNUMBER(D45), (D45 - $B45) / $B45, "")</f>
        <v>-1.6393442622950859E-2</v>
      </c>
      <c r="F45" s="18">
        <f>IF(ISNUMBER(D45), $B64 * E45, "")</f>
        <v>-1639.3442622950859</v>
      </c>
      <c r="G45" s="31">
        <v>17.899999999999999</v>
      </c>
      <c r="H45" s="32">
        <f t="shared" ref="H45:H48" si="15">IF(ISNUMBER(G45), (G45 - $B45) / $B45, "")</f>
        <v>-2.1857923497267874E-2</v>
      </c>
      <c r="I45" s="101">
        <f>IF(ISNUMBER(G45), $B64 * H45, "")</f>
        <v>-2185.7923497267875</v>
      </c>
      <c r="J45" s="15">
        <v>18</v>
      </c>
      <c r="K45" s="32">
        <f t="shared" ref="K45:K48" si="16">IF(ISNUMBER(J45), (J45 - $B45) / $B45, "")</f>
        <v>-1.6393442622950859E-2</v>
      </c>
      <c r="L45" s="18">
        <f>IF(ISNUMBER(J45), $B64 * K45, "")</f>
        <v>-1639.3442622950859</v>
      </c>
      <c r="M45" s="31">
        <v>18.2</v>
      </c>
      <c r="N45" s="32">
        <f t="shared" ref="N45:N48" si="17">IF(ISNUMBER(M45), (M45 - $B45) / $B45, "")</f>
        <v>-5.4644808743170171E-3</v>
      </c>
      <c r="O45" s="18">
        <f>IF(ISNUMBER(M45), $B64 * N45, "")</f>
        <v>-546.44808743170165</v>
      </c>
      <c r="Q45" s="248"/>
      <c r="R45" s="248"/>
      <c r="S45" s="248"/>
    </row>
    <row r="46" spans="1:19" ht="17.25" customHeight="1" thickBot="1">
      <c r="A46" s="125" t="s">
        <v>152</v>
      </c>
      <c r="B46" s="126">
        <v>78.3</v>
      </c>
      <c r="C46" s="77">
        <v>3.8461538500000003E-2</v>
      </c>
      <c r="D46" s="15">
        <v>81</v>
      </c>
      <c r="E46" s="32">
        <f t="shared" si="14"/>
        <v>3.4482758620689689E-2</v>
      </c>
      <c r="F46" s="18">
        <f>IF(ISNUMBER(D46), $B64 * E46, "")</f>
        <v>3448.2758620689688</v>
      </c>
      <c r="G46" s="31">
        <v>79.900000000000006</v>
      </c>
      <c r="H46" s="32">
        <f t="shared" si="15"/>
        <v>2.0434227330779164E-2</v>
      </c>
      <c r="I46" s="101">
        <f>IF(ISNUMBER(G46), $B64 * H46, "")</f>
        <v>2043.4227330779163</v>
      </c>
      <c r="J46" s="15">
        <v>80.099999999999994</v>
      </c>
      <c r="K46" s="32">
        <f t="shared" si="16"/>
        <v>2.2988505747126402E-2</v>
      </c>
      <c r="L46" s="18">
        <f>IF(ISNUMBER(J46), $B64 * K46, "")</f>
        <v>2298.8505747126401</v>
      </c>
      <c r="M46" s="31">
        <v>80.2</v>
      </c>
      <c r="N46" s="32">
        <f t="shared" si="17"/>
        <v>2.4265644955300199E-2</v>
      </c>
      <c r="O46" s="18">
        <f>IF(ISNUMBER(M46), $B64 * N46, "")</f>
        <v>2426.5644955300199</v>
      </c>
      <c r="Q46" s="238"/>
      <c r="R46" s="238"/>
      <c r="S46" s="238"/>
    </row>
    <row r="47" spans="1:19" ht="17.25" customHeight="1" thickBot="1">
      <c r="A47" s="125" t="s">
        <v>178</v>
      </c>
      <c r="B47" s="126">
        <v>15.1</v>
      </c>
      <c r="C47" s="77">
        <v>2.72108844E-2</v>
      </c>
      <c r="D47" s="15">
        <v>15.8</v>
      </c>
      <c r="E47" s="32">
        <f t="shared" si="14"/>
        <v>4.6357615894039805E-2</v>
      </c>
      <c r="F47" s="18">
        <f>IF(ISNUMBER(D47), $B64 * E47, "")</f>
        <v>4635.7615894039809</v>
      </c>
      <c r="G47" s="31">
        <v>15.8</v>
      </c>
      <c r="H47" s="32">
        <f t="shared" si="15"/>
        <v>4.6357615894039805E-2</v>
      </c>
      <c r="I47" s="101">
        <f>IF(ISNUMBER(G47), $B64 * H47, "")</f>
        <v>4635.7615894039809</v>
      </c>
      <c r="J47" s="15">
        <v>15.8</v>
      </c>
      <c r="K47" s="32">
        <f t="shared" si="16"/>
        <v>4.6357615894039805E-2</v>
      </c>
      <c r="L47" s="18">
        <f>IF(ISNUMBER(J47), $B64 * K47, "")</f>
        <v>4635.7615894039809</v>
      </c>
      <c r="M47" s="31">
        <v>16</v>
      </c>
      <c r="N47" s="32">
        <f t="shared" si="17"/>
        <v>5.9602649006622543E-2</v>
      </c>
      <c r="O47" s="18">
        <f>IF(ISNUMBER(M47), $B64 * N47, "")</f>
        <v>5960.2649006622541</v>
      </c>
      <c r="Q47" s="238"/>
      <c r="R47" s="238"/>
      <c r="S47" s="238"/>
    </row>
    <row r="48" spans="1:19" ht="17.25" customHeight="1" thickBot="1">
      <c r="A48" s="127" t="s">
        <v>188</v>
      </c>
      <c r="B48" s="128">
        <v>11.1</v>
      </c>
      <c r="C48" s="78">
        <v>1.83486239E-2</v>
      </c>
      <c r="D48" s="20">
        <v>11.2</v>
      </c>
      <c r="E48" s="21">
        <f t="shared" si="14"/>
        <v>9.0090090090089777E-3</v>
      </c>
      <c r="F48" s="22">
        <f>IF(ISNUMBER(D48), $B64 * E48, "")</f>
        <v>900.9009009008978</v>
      </c>
      <c r="G48" s="30">
        <v>11.2</v>
      </c>
      <c r="H48" s="21">
        <f t="shared" si="15"/>
        <v>9.0090090090089777E-3</v>
      </c>
      <c r="I48" s="105">
        <f>IF(ISNUMBER(G48), $B64 * H48, "")</f>
        <v>900.9009009008978</v>
      </c>
      <c r="J48" s="20">
        <v>11.2</v>
      </c>
      <c r="K48" s="21">
        <f t="shared" si="16"/>
        <v>9.0090090090089777E-3</v>
      </c>
      <c r="L48" s="22">
        <f>IF(ISNUMBER(J48), $B64 * K48, "")</f>
        <v>900.9009009008978</v>
      </c>
      <c r="M48" s="30">
        <v>11.4</v>
      </c>
      <c r="N48" s="21">
        <f t="shared" si="17"/>
        <v>2.7027027027027091E-2</v>
      </c>
      <c r="O48" s="22">
        <f>IF(ISNUMBER(M48), $B64 * N48, "")</f>
        <v>2702.7027027027093</v>
      </c>
      <c r="Q48" s="238"/>
      <c r="R48" s="238"/>
      <c r="S48" s="238"/>
    </row>
    <row r="49" spans="1:19" ht="17.25" customHeight="1" thickBot="1">
      <c r="A49" s="125" t="s">
        <v>250</v>
      </c>
      <c r="B49" s="129">
        <v>60.8</v>
      </c>
      <c r="C49" s="80">
        <v>1.6722408000000001E-2</v>
      </c>
      <c r="D49" s="106">
        <v>64.3</v>
      </c>
      <c r="E49" s="107">
        <f>IF(ISNUMBER(D49), (D49 - $B49) / $B49, "")</f>
        <v>5.7565789473684216E-2</v>
      </c>
      <c r="F49" s="108">
        <f>IF(ISNUMBER(D49), $B64 * E49, "")</f>
        <v>5756.5789473684217</v>
      </c>
      <c r="G49" s="109">
        <v>63.5</v>
      </c>
      <c r="H49" s="107">
        <f>IF(ISNUMBER(G49), (G49 - $B49) / $B49, "")</f>
        <v>4.4407894736842153E-2</v>
      </c>
      <c r="I49" s="110">
        <f>IF(ISNUMBER(G49), $B64 * H49, "")</f>
        <v>4440.7894736842154</v>
      </c>
      <c r="J49" s="106">
        <v>63.6</v>
      </c>
      <c r="K49" s="107">
        <f>IF(ISNUMBER(J49), (J49 - $B49) / $B49, "")</f>
        <v>4.6052631578947442E-2</v>
      </c>
      <c r="L49" s="108">
        <f>IF(ISNUMBER(J49), $B64 * K49, "")</f>
        <v>4605.2631578947439</v>
      </c>
      <c r="M49" s="109">
        <v>64.400000000000006</v>
      </c>
      <c r="N49" s="107">
        <f>IF(ISNUMBER(M49), (M49 - $B49) / $B49, "")</f>
        <v>5.9210526315789616E-2</v>
      </c>
      <c r="O49" s="108">
        <f>IF(ISNUMBER(M49), $B64 * N49, "")</f>
        <v>5921.0526315789621</v>
      </c>
      <c r="Q49" s="238"/>
      <c r="R49" s="238"/>
      <c r="S49" s="238"/>
    </row>
    <row r="50" spans="1:19" ht="17.25" customHeight="1" thickBot="1">
      <c r="A50" s="125" t="s">
        <v>132</v>
      </c>
      <c r="B50" s="126">
        <v>93.4</v>
      </c>
      <c r="C50" s="77">
        <v>9.7297297000000001E-3</v>
      </c>
      <c r="D50" s="15">
        <v>93.2</v>
      </c>
      <c r="E50" s="32">
        <f t="shared" ref="E50:E53" si="18">IF(ISNUMBER(D50), (D50 - $B50) / $B50, "")</f>
        <v>-2.1413276231263688E-3</v>
      </c>
      <c r="F50" s="18">
        <f>IF(ISNUMBER(D50), $B64 * E50, "")</f>
        <v>-214.13276231263688</v>
      </c>
      <c r="G50" s="31">
        <v>93</v>
      </c>
      <c r="H50" s="32">
        <f t="shared" ref="H50:H53" si="19">IF(ISNUMBER(G50), (G50 - $B50) / $B50, "")</f>
        <v>-4.2826552462527376E-3</v>
      </c>
      <c r="I50" s="101">
        <f>IF(ISNUMBER(G50), $B64 * H50, "")</f>
        <v>-428.26552462527377</v>
      </c>
      <c r="J50" s="15">
        <v>93</v>
      </c>
      <c r="K50" s="32">
        <f t="shared" ref="K50:K53" si="20">IF(ISNUMBER(J50), (J50 - $B50) / $B50, "")</f>
        <v>-4.2826552462527376E-3</v>
      </c>
      <c r="L50" s="18">
        <f>IF(ISNUMBER(J50), $B64 * K50, "")</f>
        <v>-428.26552462527377</v>
      </c>
      <c r="M50" s="31">
        <v>97.1</v>
      </c>
      <c r="N50" s="32">
        <f t="shared" ref="N50:N53" si="21">IF(ISNUMBER(M50), (M50 - $B50) / $B50, "")</f>
        <v>3.9614561027837135E-2</v>
      </c>
      <c r="O50" s="18">
        <f>IF(ISNUMBER(M50), $B64 * N50, "")</f>
        <v>3961.4561027837135</v>
      </c>
      <c r="Q50" s="238"/>
      <c r="R50" s="238"/>
      <c r="S50" s="238"/>
    </row>
    <row r="51" spans="1:19" ht="17.25" customHeight="1" thickBot="1">
      <c r="A51" s="125" t="s">
        <v>150</v>
      </c>
      <c r="B51" s="126">
        <v>10.6</v>
      </c>
      <c r="C51" s="77">
        <v>9.5238094999999991E-3</v>
      </c>
      <c r="D51" s="15">
        <v>11.5</v>
      </c>
      <c r="E51" s="32">
        <f t="shared" si="18"/>
        <v>8.4905660377358527E-2</v>
      </c>
      <c r="F51" s="18">
        <f>IF(ISNUMBER(D51), $B64 * E51, "")</f>
        <v>8490.5660377358527</v>
      </c>
      <c r="G51" s="31">
        <v>12.8</v>
      </c>
      <c r="H51" s="32">
        <f t="shared" si="19"/>
        <v>0.20754716981132088</v>
      </c>
      <c r="I51" s="101">
        <f>IF(ISNUMBER(G51), $B64 * H51, "")</f>
        <v>20754.716981132089</v>
      </c>
      <c r="J51" s="15">
        <v>12.7</v>
      </c>
      <c r="K51" s="32">
        <f t="shared" si="20"/>
        <v>0.1981132075471698</v>
      </c>
      <c r="L51" s="18">
        <f>IF(ISNUMBER(J51), $B64 * K51, "")</f>
        <v>19811.32075471698</v>
      </c>
      <c r="M51" s="31">
        <v>12.4</v>
      </c>
      <c r="N51" s="32">
        <f t="shared" si="21"/>
        <v>0.16981132075471705</v>
      </c>
      <c r="O51" s="18">
        <f>IF(ISNUMBER(M51), $B64 * N51, "")</f>
        <v>16981.132075471705</v>
      </c>
      <c r="Q51" s="238"/>
      <c r="R51" s="238"/>
      <c r="S51" s="238"/>
    </row>
    <row r="52" spans="1:19" ht="17.25" customHeight="1" thickBot="1">
      <c r="A52" s="125" t="s">
        <v>208</v>
      </c>
      <c r="B52" s="126">
        <v>10.9</v>
      </c>
      <c r="C52" s="77">
        <v>9.2592592999999994E-3</v>
      </c>
      <c r="D52" s="15">
        <v>11.1</v>
      </c>
      <c r="E52" s="32">
        <f t="shared" si="18"/>
        <v>1.8348623853210944E-2</v>
      </c>
      <c r="F52" s="18">
        <f>IF(ISNUMBER(D52), $B64 * E52, "")</f>
        <v>1834.8623853210945</v>
      </c>
      <c r="G52" s="31">
        <v>11.1</v>
      </c>
      <c r="H52" s="32">
        <f t="shared" si="19"/>
        <v>1.8348623853210944E-2</v>
      </c>
      <c r="I52" s="101">
        <f>IF(ISNUMBER(G52), $B64 * H52, "")</f>
        <v>1834.8623853210945</v>
      </c>
      <c r="J52" s="15">
        <v>10.9</v>
      </c>
      <c r="K52" s="32">
        <f t="shared" si="20"/>
        <v>0</v>
      </c>
      <c r="L52" s="18">
        <f>IF(ISNUMBER(J52), $B64 * K52, "")</f>
        <v>0</v>
      </c>
      <c r="M52" s="31">
        <v>11.2</v>
      </c>
      <c r="N52" s="32">
        <f t="shared" si="21"/>
        <v>2.7522935779816415E-2</v>
      </c>
      <c r="O52" s="18">
        <f>IF(ISNUMBER(M52), $B64 * N52, "")</f>
        <v>2752.2935779816416</v>
      </c>
      <c r="Q52" s="33"/>
      <c r="R52" s="33"/>
    </row>
    <row r="53" spans="1:19" ht="17.25" customHeight="1" thickBot="1">
      <c r="A53" s="130" t="s">
        <v>202</v>
      </c>
      <c r="B53" s="131">
        <v>67.8</v>
      </c>
      <c r="C53" s="79">
        <v>4.4444443999999998E-3</v>
      </c>
      <c r="D53" s="24">
        <v>67.8</v>
      </c>
      <c r="E53" s="25">
        <f t="shared" si="18"/>
        <v>0</v>
      </c>
      <c r="F53" s="104">
        <f>IF(ISNUMBER(D53), $B64 * E53, "")</f>
        <v>0</v>
      </c>
      <c r="G53" s="102">
        <v>67.8</v>
      </c>
      <c r="H53" s="25">
        <f t="shared" si="19"/>
        <v>0</v>
      </c>
      <c r="I53" s="103">
        <f>IF(ISNUMBER(G53), $B64 * H53, "")</f>
        <v>0</v>
      </c>
      <c r="J53" s="24">
        <v>67.599999999999994</v>
      </c>
      <c r="K53" s="25">
        <f t="shared" si="20"/>
        <v>-2.9498525073746733E-3</v>
      </c>
      <c r="L53" s="104">
        <f>IF(ISNUMBER(J53), $B64 * K53, "")</f>
        <v>-294.98525073746731</v>
      </c>
      <c r="M53" s="102">
        <v>68.599999999999994</v>
      </c>
      <c r="N53" s="25">
        <f t="shared" si="21"/>
        <v>1.1799410029498483E-2</v>
      </c>
      <c r="O53" s="104">
        <f>IF(ISNUMBER(M53), $B64 * N53, "")</f>
        <v>1179.9410029498483</v>
      </c>
      <c r="Q53" s="239"/>
      <c r="R53" s="240"/>
      <c r="S53" s="241"/>
    </row>
    <row r="54" spans="1:19" ht="17.25" customHeight="1">
      <c r="A54" s="123" t="s">
        <v>162</v>
      </c>
      <c r="B54" s="124">
        <v>91.9</v>
      </c>
      <c r="C54" s="76">
        <v>4.3715847000000002E-3</v>
      </c>
      <c r="D54" s="13">
        <v>92.3</v>
      </c>
      <c r="E54" s="14">
        <f>IF(ISNUMBER(D54), (D54 - $B54) / $B54, "")</f>
        <v>4.3525571273122033E-3</v>
      </c>
      <c r="F54" s="16">
        <f>IF(ISNUMBER(D54), $B64 * E54, "")</f>
        <v>435.25571273122034</v>
      </c>
      <c r="G54" s="29">
        <v>91</v>
      </c>
      <c r="H54" s="14">
        <f>IF(ISNUMBER(G54), (G54 - $B54) / $B54, "")</f>
        <v>-9.7932535364527278E-3</v>
      </c>
      <c r="I54" s="100">
        <f>IF(ISNUMBER(G54), $B64 * H54, "")</f>
        <v>-979.3253536452728</v>
      </c>
      <c r="J54" s="13">
        <v>91</v>
      </c>
      <c r="K54" s="14">
        <f>IF(ISNUMBER(J54), (J54 - $B54) / $B54, "")</f>
        <v>-9.7932535364527278E-3</v>
      </c>
      <c r="L54" s="16">
        <f>IF(ISNUMBER(J54), $B64 * K54, "")</f>
        <v>-979.3253536452728</v>
      </c>
      <c r="M54" s="29">
        <v>92.8</v>
      </c>
      <c r="N54" s="14">
        <f>IF(ISNUMBER(M54), (M54 - $B54) / $B54, "")</f>
        <v>9.7932535364525734E-3</v>
      </c>
      <c r="O54" s="16">
        <f>IF(ISNUMBER(M54), $B64 * N54, "")</f>
        <v>979.32535364525734</v>
      </c>
      <c r="Q54" s="242"/>
      <c r="R54" s="243"/>
      <c r="S54" s="244"/>
    </row>
    <row r="55" spans="1:19" ht="17.25" customHeight="1" thickBot="1">
      <c r="A55" s="125" t="s">
        <v>122</v>
      </c>
      <c r="B55" s="126">
        <v>25.2</v>
      </c>
      <c r="C55" s="77">
        <v>3.9840637000000002E-3</v>
      </c>
      <c r="D55" s="15">
        <v>28.7</v>
      </c>
      <c r="E55" s="32">
        <f t="shared" ref="E55:E58" si="22">IF(ISNUMBER(D55), (D55 - $B55) / $B55, "")</f>
        <v>0.1388888888888889</v>
      </c>
      <c r="F55" s="18">
        <f>IF(ISNUMBER(D55), $B64 * E55, "")</f>
        <v>13888.888888888889</v>
      </c>
      <c r="G55" s="31">
        <v>27.8</v>
      </c>
      <c r="H55" s="32">
        <f t="shared" ref="H55:H58" si="23">IF(ISNUMBER(G55), (G55 - $B55) / $B55, "")</f>
        <v>0.10317460317460324</v>
      </c>
      <c r="I55" s="101">
        <f>IF(ISNUMBER(G55), $B64 * H55, "")</f>
        <v>10317.460317460323</v>
      </c>
      <c r="J55" s="15">
        <v>27.6</v>
      </c>
      <c r="K55" s="32">
        <f t="shared" ref="K55:K58" si="24">IF(ISNUMBER(J55), (J55 - $B55) / $B55, "")</f>
        <v>9.523809523809533E-2</v>
      </c>
      <c r="L55" s="18">
        <f>IF(ISNUMBER(J55), $B64 * K55, "")</f>
        <v>9523.8095238095339</v>
      </c>
      <c r="M55" s="31">
        <v>28.3</v>
      </c>
      <c r="N55" s="32">
        <f t="shared" ref="N55:N58" si="25">IF(ISNUMBER(M55), (M55 - $B55) / $B55, "")</f>
        <v>0.12301587301587308</v>
      </c>
      <c r="O55" s="18">
        <f>IF(ISNUMBER(M55), $B64 * N55, "")</f>
        <v>12301.587301587308</v>
      </c>
      <c r="Q55" s="245"/>
      <c r="R55" s="246"/>
      <c r="S55" s="247"/>
    </row>
    <row r="56" spans="1:19" ht="17.25" customHeight="1" thickBot="1">
      <c r="A56" s="125" t="s">
        <v>216</v>
      </c>
      <c r="B56" s="126">
        <v>9.18</v>
      </c>
      <c r="C56" s="77">
        <v>3.2786884999999998E-3</v>
      </c>
      <c r="D56" s="15">
        <v>9.65</v>
      </c>
      <c r="E56" s="32">
        <f t="shared" si="22"/>
        <v>5.1198257080610092E-2</v>
      </c>
      <c r="F56" s="18">
        <f>IF(ISNUMBER(D56), $B64 * E56, "")</f>
        <v>5119.8257080610092</v>
      </c>
      <c r="G56" s="31">
        <v>9.65</v>
      </c>
      <c r="H56" s="32">
        <f t="shared" si="23"/>
        <v>5.1198257080610092E-2</v>
      </c>
      <c r="I56" s="101">
        <f>IF(ISNUMBER(G56), $B64 * H56, "")</f>
        <v>5119.8257080610092</v>
      </c>
      <c r="J56" s="15">
        <v>9.56</v>
      </c>
      <c r="K56" s="32">
        <f t="shared" si="24"/>
        <v>4.1394335511982655E-2</v>
      </c>
      <c r="L56" s="18">
        <f>IF(ISNUMBER(J56), $B64 * K56, "")</f>
        <v>4139.4335511982654</v>
      </c>
      <c r="M56" s="31">
        <v>9.58</v>
      </c>
      <c r="N56" s="32">
        <f t="shared" si="25"/>
        <v>4.3572984749455375E-2</v>
      </c>
      <c r="O56" s="18">
        <f>IF(ISNUMBER(M56), $B64 * N56, "")</f>
        <v>4357.2984749455372</v>
      </c>
      <c r="Q56" s="238"/>
      <c r="R56" s="238"/>
      <c r="S56" s="238"/>
    </row>
    <row r="57" spans="1:19" ht="17.25" customHeight="1" thickBot="1">
      <c r="A57" s="125" t="s">
        <v>72</v>
      </c>
      <c r="B57" s="126">
        <v>20.5</v>
      </c>
      <c r="C57" s="77">
        <v>0</v>
      </c>
      <c r="D57" s="15">
        <v>20.8</v>
      </c>
      <c r="E57" s="32">
        <f t="shared" si="22"/>
        <v>1.4634146341463448E-2</v>
      </c>
      <c r="F57" s="18">
        <f>IF(ISNUMBER(D57), $B64 * E57, "")</f>
        <v>1463.414634146345</v>
      </c>
      <c r="G57" s="31">
        <v>20.8</v>
      </c>
      <c r="H57" s="32">
        <f t="shared" si="23"/>
        <v>1.4634146341463448E-2</v>
      </c>
      <c r="I57" s="101">
        <f>IF(ISNUMBER(G57), $B64 * H57, "")</f>
        <v>1463.414634146345</v>
      </c>
      <c r="J57" s="15">
        <v>20.7</v>
      </c>
      <c r="K57" s="32">
        <f t="shared" si="24"/>
        <v>9.7560975609755751E-3</v>
      </c>
      <c r="L57" s="18">
        <f>IF(ISNUMBER(J57), $B64 * K57, "")</f>
        <v>975.60975609755747</v>
      </c>
      <c r="M57" s="31">
        <v>21</v>
      </c>
      <c r="N57" s="32">
        <f t="shared" si="25"/>
        <v>2.4390243902439025E-2</v>
      </c>
      <c r="O57" s="18">
        <f>IF(ISNUMBER(M57), $B64 * N57, "")</f>
        <v>2439.0243902439024</v>
      </c>
      <c r="Q57" s="248"/>
      <c r="R57" s="248"/>
      <c r="S57" s="248"/>
    </row>
    <row r="58" spans="1:19" ht="17.25" customHeight="1" thickBot="1">
      <c r="A58" s="127" t="s">
        <v>130</v>
      </c>
      <c r="B58" s="128">
        <v>90.7</v>
      </c>
      <c r="C58" s="78">
        <v>0</v>
      </c>
      <c r="D58" s="20">
        <v>98.6</v>
      </c>
      <c r="E58" s="21">
        <f t="shared" si="22"/>
        <v>8.7100330760749634E-2</v>
      </c>
      <c r="F58" s="22">
        <f>IF(ISNUMBER(D58), $B64 * E58, "")</f>
        <v>8710.0330760749639</v>
      </c>
      <c r="G58" s="30">
        <v>97.7</v>
      </c>
      <c r="H58" s="21">
        <f t="shared" si="23"/>
        <v>7.7177508269018744E-2</v>
      </c>
      <c r="I58" s="105">
        <f>IF(ISNUMBER(G58), $B64 * H58, "")</f>
        <v>7717.7508269018745</v>
      </c>
      <c r="J58" s="20">
        <v>98</v>
      </c>
      <c r="K58" s="21">
        <f t="shared" si="24"/>
        <v>8.0485115766262369E-2</v>
      </c>
      <c r="L58" s="22">
        <f>IF(ISNUMBER(J58), $B64 * K58, "")</f>
        <v>8048.511576626237</v>
      </c>
      <c r="M58" s="30">
        <v>99.8</v>
      </c>
      <c r="N58" s="21">
        <f t="shared" si="25"/>
        <v>0.1003307607497243</v>
      </c>
      <c r="O58" s="22">
        <f>IF(ISNUMBER(M58), $B64 * N58, "")</f>
        <v>10033.07607497243</v>
      </c>
      <c r="Q58" s="248"/>
      <c r="R58" s="248"/>
      <c r="S58" s="248"/>
    </row>
    <row r="59" spans="1:19" ht="17.25" customHeight="1" thickBot="1">
      <c r="A59" s="125" t="s">
        <v>65</v>
      </c>
      <c r="B59" s="129">
        <v>28.8</v>
      </c>
      <c r="C59" s="80">
        <v>-6.8965516999999997E-3</v>
      </c>
      <c r="D59" s="106">
        <v>29.1</v>
      </c>
      <c r="E59" s="107">
        <f>IF(ISNUMBER(D59), (D59 - $B59) / $B59, "")</f>
        <v>1.041666666666669E-2</v>
      </c>
      <c r="F59" s="108">
        <f>IF(ISNUMBER(D59), $B64 * E59, "")</f>
        <v>1041.666666666669</v>
      </c>
      <c r="G59" s="109">
        <v>28.7</v>
      </c>
      <c r="H59" s="107">
        <f>IF(ISNUMBER(G59), (G59 - $B59) / $B59, "")</f>
        <v>-3.4722222222222715E-3</v>
      </c>
      <c r="I59" s="110">
        <f>IF(ISNUMBER(G59), $B64 * H59, "")</f>
        <v>-347.22222222222717</v>
      </c>
      <c r="J59" s="106">
        <v>28.7</v>
      </c>
      <c r="K59" s="107">
        <f>IF(ISNUMBER(J59), (J59 - $B59) / $B59, "")</f>
        <v>-3.4722222222222715E-3</v>
      </c>
      <c r="L59" s="108">
        <f>IF(ISNUMBER(J59), $B64 * K59, "")</f>
        <v>-347.22222222222717</v>
      </c>
      <c r="M59" s="109">
        <v>29.3</v>
      </c>
      <c r="N59" s="107">
        <f>IF(ISNUMBER(M59), (M59 - $B59) / $B59, "")</f>
        <v>1.7361111111111112E-2</v>
      </c>
      <c r="O59" s="108">
        <f>IF(ISNUMBER(M59), $B64 * N59, "")</f>
        <v>1736.1111111111111</v>
      </c>
      <c r="Q59" s="238"/>
      <c r="R59" s="238"/>
      <c r="S59" s="238"/>
    </row>
    <row r="60" spans="1:19" ht="17.25" customHeight="1" thickBot="1">
      <c r="A60" s="125" t="s">
        <v>210</v>
      </c>
      <c r="B60" s="126">
        <v>10.5</v>
      </c>
      <c r="C60" s="77">
        <v>-9.4339622999999994E-3</v>
      </c>
      <c r="D60" s="15">
        <v>10.9</v>
      </c>
      <c r="E60" s="32">
        <f t="shared" ref="E60:E63" si="26">IF(ISNUMBER(D60), (D60 - $B60) / $B60, "")</f>
        <v>3.8095238095238126E-2</v>
      </c>
      <c r="F60" s="18">
        <f>IF(ISNUMBER(D60), $B64 * E60, "")</f>
        <v>3809.5238095238128</v>
      </c>
      <c r="G60" s="31">
        <v>10.9</v>
      </c>
      <c r="H60" s="32">
        <f t="shared" ref="H60:H63" si="27">IF(ISNUMBER(G60), (G60 - $B60) / $B60, "")</f>
        <v>3.8095238095238126E-2</v>
      </c>
      <c r="I60" s="101">
        <f>IF(ISNUMBER(G60), $B64 * H60, "")</f>
        <v>3809.5238095238128</v>
      </c>
      <c r="J60" s="15">
        <v>11</v>
      </c>
      <c r="K60" s="32">
        <f t="shared" ref="K60:K63" si="28">IF(ISNUMBER(J60), (J60 - $B60) / $B60, "")</f>
        <v>4.7619047619047616E-2</v>
      </c>
      <c r="L60" s="18">
        <f>IF(ISNUMBER(J60), $B64 * K60, "")</f>
        <v>4761.9047619047615</v>
      </c>
      <c r="M60" s="31">
        <v>11</v>
      </c>
      <c r="N60" s="32">
        <f t="shared" ref="N60:N63" si="29">IF(ISNUMBER(M60), (M60 - $B60) / $B60, "")</f>
        <v>4.7619047619047616E-2</v>
      </c>
      <c r="O60" s="18">
        <f>IF(ISNUMBER(M60), $B64 * N60, "")</f>
        <v>4761.9047619047615</v>
      </c>
      <c r="Q60" s="238"/>
      <c r="R60" s="238"/>
      <c r="S60" s="238"/>
    </row>
    <row r="61" spans="1:19" ht="17.25" customHeight="1" thickBot="1">
      <c r="A61" s="125" t="s">
        <v>238</v>
      </c>
      <c r="B61" s="126">
        <v>93.8</v>
      </c>
      <c r="C61" s="77">
        <v>-9.5036958999999994E-3</v>
      </c>
      <c r="D61" s="15">
        <v>96</v>
      </c>
      <c r="E61" s="32">
        <f t="shared" si="26"/>
        <v>2.3454157782516024E-2</v>
      </c>
      <c r="F61" s="18">
        <f>IF(ISNUMBER(D61), $B64 * E61, "")</f>
        <v>2345.4157782516022</v>
      </c>
      <c r="G61" s="31">
        <v>95.7</v>
      </c>
      <c r="H61" s="32">
        <f t="shared" si="27"/>
        <v>2.0255863539445692E-2</v>
      </c>
      <c r="I61" s="101">
        <f>IF(ISNUMBER(G61), $B64 * H61, "")</f>
        <v>2025.5863539445693</v>
      </c>
      <c r="J61" s="15">
        <v>95.4</v>
      </c>
      <c r="K61" s="32">
        <f t="shared" si="28"/>
        <v>1.7057569296375356E-2</v>
      </c>
      <c r="L61" s="18">
        <f>IF(ISNUMBER(J61), $B64 * K61, "")</f>
        <v>1705.7569296375357</v>
      </c>
      <c r="M61" s="31">
        <v>97.7</v>
      </c>
      <c r="N61" s="32">
        <f t="shared" si="29"/>
        <v>4.1577825159914775E-2</v>
      </c>
      <c r="O61" s="18">
        <f>IF(ISNUMBER(M61), $B64 * N61, "")</f>
        <v>4157.7825159914773</v>
      </c>
      <c r="Q61" s="238"/>
      <c r="R61" s="238"/>
      <c r="S61" s="238"/>
    </row>
    <row r="62" spans="1:19" ht="17.25" customHeight="1">
      <c r="A62" s="125" t="s">
        <v>204</v>
      </c>
      <c r="B62" s="126">
        <v>12.3</v>
      </c>
      <c r="C62" s="77">
        <v>-1.6E-2</v>
      </c>
      <c r="D62" s="15">
        <v>13</v>
      </c>
      <c r="E62" s="32">
        <f t="shared" si="26"/>
        <v>5.6910569105690999E-2</v>
      </c>
      <c r="F62" s="18">
        <f>IF(ISNUMBER(D62), $B64 * E62, "")</f>
        <v>5691.0569105691002</v>
      </c>
      <c r="G62" s="31">
        <v>12.9</v>
      </c>
      <c r="H62" s="32">
        <f t="shared" si="27"/>
        <v>4.8780487804878016E-2</v>
      </c>
      <c r="I62" s="101">
        <f>IF(ISNUMBER(G62), $B64 * H62, "")</f>
        <v>4878.0487804878012</v>
      </c>
      <c r="J62" s="15">
        <v>13</v>
      </c>
      <c r="K62" s="32">
        <f t="shared" si="28"/>
        <v>5.6910569105690999E-2</v>
      </c>
      <c r="L62" s="18">
        <f>IF(ISNUMBER(J62), $B64 * K62, "")</f>
        <v>5691.0569105691002</v>
      </c>
      <c r="M62" s="31">
        <v>13.1</v>
      </c>
      <c r="N62" s="32">
        <f t="shared" si="29"/>
        <v>6.5040650406503975E-2</v>
      </c>
      <c r="O62" s="18">
        <f>IF(ISNUMBER(M62), $B64 * N62, "")</f>
        <v>6504.0650406503973</v>
      </c>
      <c r="Q62" s="227"/>
      <c r="R62" s="228"/>
      <c r="S62" s="229"/>
    </row>
    <row r="63" spans="1:19" ht="17.25" customHeight="1" thickBot="1">
      <c r="A63" s="130" t="s">
        <v>240</v>
      </c>
      <c r="B63" s="131">
        <v>58.5</v>
      </c>
      <c r="C63" s="79">
        <v>-1.8456375800000001E-2</v>
      </c>
      <c r="D63" s="24">
        <v>59.4</v>
      </c>
      <c r="E63" s="25">
        <f t="shared" si="26"/>
        <v>1.5384615384615361E-2</v>
      </c>
      <c r="F63" s="104">
        <f>IF(ISNUMBER(D63), $B64 * E63, "")</f>
        <v>1538.4615384615361</v>
      </c>
      <c r="G63" s="102">
        <v>60.2</v>
      </c>
      <c r="H63" s="25">
        <f t="shared" si="27"/>
        <v>2.9059829059829109E-2</v>
      </c>
      <c r="I63" s="103">
        <f>IF(ISNUMBER(G63), $B64 * H63, "")</f>
        <v>2905.9829059829108</v>
      </c>
      <c r="J63" s="24">
        <v>60.3</v>
      </c>
      <c r="K63" s="25">
        <f t="shared" si="28"/>
        <v>3.0769230769230722E-2</v>
      </c>
      <c r="L63" s="104">
        <f>IF(ISNUMBER(J63), $B64 * K63, "")</f>
        <v>3076.9230769230721</v>
      </c>
      <c r="M63" s="102">
        <v>60.2</v>
      </c>
      <c r="N63" s="25">
        <f t="shared" si="29"/>
        <v>2.9059829059829109E-2</v>
      </c>
      <c r="O63" s="104">
        <f>IF(ISNUMBER(M63), $B64 * N63, "")</f>
        <v>2905.9829059829108</v>
      </c>
      <c r="Q63" s="230"/>
      <c r="R63" s="231"/>
      <c r="S63" s="232"/>
    </row>
    <row r="64" spans="1:19" ht="17.25" customHeight="1" thickBot="1">
      <c r="A64" s="132" t="s">
        <v>270</v>
      </c>
      <c r="B64" s="291">
        <f>$B$37</f>
        <v>100000</v>
      </c>
      <c r="C64" s="292"/>
      <c r="D64" s="26" t="s">
        <v>271</v>
      </c>
      <c r="E64" s="27">
        <f>IF(COUNT(E44:E63), SUM(E44:E63) / COUNT(E44:E63), 0)</f>
        <v>3.8124418517322831E-2</v>
      </c>
      <c r="F64" s="28">
        <f>SUM(F44:F63)</f>
        <v>76248.83703464565</v>
      </c>
      <c r="G64" s="26" t="s">
        <v>271</v>
      </c>
      <c r="H64" s="27">
        <f>IF(COUNT(H44:H63), SUM(H44:H63) / COUNT(H44:H63), 0)</f>
        <v>3.7314756397247947E-2</v>
      </c>
      <c r="I64" s="28">
        <f>SUM(I44:I63)</f>
        <v>74629.512794495924</v>
      </c>
      <c r="J64" s="26" t="s">
        <v>271</v>
      </c>
      <c r="K64" s="27">
        <f>IF(COUNT(K44:K63), SUM(K44:K63) / COUNT(K44:K63), 0)</f>
        <v>3.6104015647778306E-2</v>
      </c>
      <c r="L64" s="28">
        <f>SUM(L44:L63)</f>
        <v>72208.031295556633</v>
      </c>
      <c r="M64" s="26" t="s">
        <v>271</v>
      </c>
      <c r="N64" s="27">
        <f>IF(COUNT(N44:N63), SUM(N44:N63) / COUNT(N44:N63), 0)</f>
        <v>4.8346114524942745E-2</v>
      </c>
      <c r="O64" s="28">
        <f>SUM(O44:O63)</f>
        <v>96692.229049885485</v>
      </c>
      <c r="Q64" s="233"/>
      <c r="R64" s="234"/>
      <c r="S64" s="23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48"/>
      <c r="R67" s="248"/>
      <c r="S67" s="248"/>
    </row>
    <row r="68" spans="1:19" ht="17.25" thickBot="1">
      <c r="A68" s="173" t="s">
        <v>267</v>
      </c>
      <c r="B68" s="249" t="s">
        <v>49</v>
      </c>
      <c r="C68" s="251"/>
      <c r="D68" s="249" t="s">
        <v>58</v>
      </c>
      <c r="E68" s="250"/>
      <c r="F68" s="251"/>
      <c r="G68" s="252">
        <f>_xlfn.IFNA(VLOOKUP(B68, 현재가테이블!$B$2:$D$200, 2, FALSE), "-")</f>
        <v>54440000</v>
      </c>
      <c r="H68" s="253"/>
      <c r="I68" s="254"/>
      <c r="J68" s="249" t="s">
        <v>59</v>
      </c>
      <c r="K68" s="250"/>
      <c r="L68" s="251"/>
      <c r="M68" s="255">
        <f>_xlfn.IFNA(VLOOKUP(B68, 현재가테이블!$B$2:$D$200, 3, FALSE), "-")</f>
        <v>1.07123628E-2</v>
      </c>
      <c r="N68" s="256"/>
      <c r="O68" s="257"/>
      <c r="Q68" s="248"/>
      <c r="R68" s="248"/>
      <c r="S68" s="248"/>
    </row>
    <row r="69" spans="1:19" ht="17.25" thickBot="1">
      <c r="A69" s="293" t="s">
        <v>55</v>
      </c>
      <c r="B69" s="289" t="str">
        <f>TEXT($G$1, "[$-ko-KR]yyyy-mm-dd(ddd) ") &amp; "오전 00:00"</f>
        <v>2021-08-05(목) 오전 00:00</v>
      </c>
      <c r="C69" s="290"/>
      <c r="D69" s="262" t="str">
        <f>TEXT($G$1, "[$-ko-KR]yyyy-mm-dd(ddd) ") &amp; "오후 14:00"</f>
        <v>2021-08-05(목) 오후 14:00</v>
      </c>
      <c r="E69" s="263"/>
      <c r="F69" s="264"/>
      <c r="G69" s="262" t="str">
        <f>TEXT($G$1, "[$-ko-KR]yyyy-mm-dd(ddd) ") &amp; "오후 19:00"</f>
        <v>2021-08-05(목) 오후 19:00</v>
      </c>
      <c r="H69" s="263"/>
      <c r="I69" s="264"/>
      <c r="J69" s="262" t="str">
        <f>TEXT($G$1, "[$-ko-KR]yyyy-mm-dd(ddd) ") &amp; "오후 21:00"</f>
        <v>2021-08-05(목) 오후 21:00</v>
      </c>
      <c r="K69" s="263"/>
      <c r="L69" s="264"/>
      <c r="M69" s="262" t="str">
        <f>TEXT($G$1+1, "[$-ko-KR]yyyy-mm-dd(ddd) ") &amp; "오전 00:00"</f>
        <v>2021-08-06(금) 오전 00:00</v>
      </c>
      <c r="N69" s="263"/>
      <c r="O69" s="264"/>
      <c r="Q69" s="248"/>
      <c r="R69" s="248"/>
      <c r="S69" s="248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8"/>
      <c r="R70" s="238"/>
      <c r="S70" s="238"/>
    </row>
    <row r="71" spans="1:19" ht="17.25" thickBot="1">
      <c r="A71" s="123" t="s">
        <v>114</v>
      </c>
      <c r="B71" s="124">
        <v>736</v>
      </c>
      <c r="C71" s="76">
        <v>5.8992805799999999E-2</v>
      </c>
      <c r="D71" s="13">
        <v>727</v>
      </c>
      <c r="E71" s="14">
        <f>IF(ISNUMBER(D71), (D71 - $B71) / $B71, "")</f>
        <v>-1.2228260869565218E-2</v>
      </c>
      <c r="F71" s="16">
        <f>IF(ISNUMBER(D71), $B91 * E71, "")</f>
        <v>-1222.8260869565217</v>
      </c>
      <c r="G71" s="29">
        <v>718</v>
      </c>
      <c r="H71" s="14">
        <f>IF(ISNUMBER(G71), (G71 - $B71) / $B71, "")</f>
        <v>-2.4456521739130436E-2</v>
      </c>
      <c r="I71" s="100">
        <f>IF(ISNUMBER(G71), $B91 * H71, "")</f>
        <v>-2445.6521739130435</v>
      </c>
      <c r="J71" s="13">
        <v>719</v>
      </c>
      <c r="K71" s="14">
        <f>IF(ISNUMBER(J71), (J71 - $B71) / $B71, "")</f>
        <v>-2.309782608695652E-2</v>
      </c>
      <c r="L71" s="16">
        <f>IF(ISNUMBER(J71), $B91 * K71, "")</f>
        <v>-2309.782608695652</v>
      </c>
      <c r="M71" s="29">
        <v>723</v>
      </c>
      <c r="N71" s="14">
        <f>IF(ISNUMBER(M71), (M71 - $B71) / $B71, "")</f>
        <v>-1.7663043478260868E-2</v>
      </c>
      <c r="O71" s="16">
        <f>IF(ISNUMBER(M71), $B91 * N71, "")</f>
        <v>-1766.3043478260868</v>
      </c>
      <c r="Q71" s="248"/>
      <c r="R71" s="248"/>
      <c r="S71" s="248"/>
    </row>
    <row r="72" spans="1:19" ht="17.25" thickBot="1">
      <c r="A72" s="125" t="s">
        <v>144</v>
      </c>
      <c r="B72" s="126">
        <v>114</v>
      </c>
      <c r="C72" s="77">
        <v>3.6363636400000003E-2</v>
      </c>
      <c r="D72" s="15">
        <v>110</v>
      </c>
      <c r="E72" s="32">
        <f t="shared" ref="E72:E75" si="30">IF(ISNUMBER(D72), (D72 - $B72) / $B72, "")</f>
        <v>-3.5087719298245612E-2</v>
      </c>
      <c r="F72" s="18">
        <f>IF(ISNUMBER(D72), $B91 * E72, "")</f>
        <v>-3508.7719298245611</v>
      </c>
      <c r="G72" s="31">
        <v>108</v>
      </c>
      <c r="H72" s="32">
        <f t="shared" ref="H72:H75" si="31">IF(ISNUMBER(G72), (G72 - $B72) / $B72, "")</f>
        <v>-5.2631578947368418E-2</v>
      </c>
      <c r="I72" s="101">
        <f>IF(ISNUMBER(G72), $B91 * H72, "")</f>
        <v>-5263.1578947368416</v>
      </c>
      <c r="J72" s="15">
        <v>108</v>
      </c>
      <c r="K72" s="32">
        <f t="shared" ref="K72:K75" si="32">IF(ISNUMBER(J72), (J72 - $B72) / $B72, "")</f>
        <v>-5.2631578947368418E-2</v>
      </c>
      <c r="L72" s="18">
        <f>IF(ISNUMBER(J72), $B91 * K72, "")</f>
        <v>-5263.1578947368416</v>
      </c>
      <c r="M72" s="31">
        <v>109</v>
      </c>
      <c r="N72" s="32">
        <f t="shared" ref="N72:N75" si="33">IF(ISNUMBER(M72), (M72 - $B72) / $B72, "")</f>
        <v>-4.3859649122807015E-2</v>
      </c>
      <c r="O72" s="18">
        <f>IF(ISNUMBER(M72), $B91 * N72, "")</f>
        <v>-4385.9649122807014</v>
      </c>
      <c r="Q72" s="248"/>
      <c r="R72" s="248"/>
      <c r="S72" s="248"/>
    </row>
    <row r="73" spans="1:19" ht="17.25" thickBot="1">
      <c r="A73" s="125" t="s">
        <v>80</v>
      </c>
      <c r="B73" s="126">
        <v>779</v>
      </c>
      <c r="C73" s="77">
        <v>3.4528552499999997E-2</v>
      </c>
      <c r="D73" s="15">
        <v>758</v>
      </c>
      <c r="E73" s="32">
        <f t="shared" si="30"/>
        <v>-2.6957637997432605E-2</v>
      </c>
      <c r="F73" s="18">
        <f>IF(ISNUMBER(D73), $B91 * E73, "")</f>
        <v>-2695.7637997432603</v>
      </c>
      <c r="G73" s="31">
        <v>767</v>
      </c>
      <c r="H73" s="32">
        <f t="shared" si="31"/>
        <v>-1.540436456996149E-2</v>
      </c>
      <c r="I73" s="101">
        <f>IF(ISNUMBER(G73), $B91 * H73, "")</f>
        <v>-1540.436456996149</v>
      </c>
      <c r="J73" s="15">
        <v>767</v>
      </c>
      <c r="K73" s="32">
        <f t="shared" si="32"/>
        <v>-1.540436456996149E-2</v>
      </c>
      <c r="L73" s="18">
        <f>IF(ISNUMBER(J73), $B91 * K73, "")</f>
        <v>-1540.436456996149</v>
      </c>
      <c r="M73" s="31">
        <v>792</v>
      </c>
      <c r="N73" s="32">
        <f t="shared" si="33"/>
        <v>1.668806161745828E-2</v>
      </c>
      <c r="O73" s="18">
        <f>IF(ISNUMBER(M73), $B91 * N73, "")</f>
        <v>1668.8061617458279</v>
      </c>
      <c r="Q73" s="238"/>
      <c r="R73" s="238"/>
      <c r="S73" s="238"/>
    </row>
    <row r="74" spans="1:19" ht="17.25" thickBot="1">
      <c r="A74" s="125" t="s">
        <v>194</v>
      </c>
      <c r="B74" s="126">
        <v>134</v>
      </c>
      <c r="C74" s="77">
        <v>3.0769230799999998E-2</v>
      </c>
      <c r="D74" s="15">
        <v>135</v>
      </c>
      <c r="E74" s="32">
        <f t="shared" si="30"/>
        <v>7.462686567164179E-3</v>
      </c>
      <c r="F74" s="18">
        <f>IF(ISNUMBER(D74), $B91 * E74, "")</f>
        <v>746.26865671641792</v>
      </c>
      <c r="G74" s="31">
        <v>135</v>
      </c>
      <c r="H74" s="32">
        <f t="shared" si="31"/>
        <v>7.462686567164179E-3</v>
      </c>
      <c r="I74" s="101">
        <f>IF(ISNUMBER(G74), $B91 * H74, "")</f>
        <v>746.26865671641792</v>
      </c>
      <c r="J74" s="15">
        <v>134</v>
      </c>
      <c r="K74" s="32">
        <f t="shared" si="32"/>
        <v>0</v>
      </c>
      <c r="L74" s="18">
        <f>IF(ISNUMBER(J74), $B91 * K74, "")</f>
        <v>0</v>
      </c>
      <c r="M74" s="31">
        <v>135</v>
      </c>
      <c r="N74" s="32">
        <f t="shared" si="33"/>
        <v>7.462686567164179E-3</v>
      </c>
      <c r="O74" s="18">
        <f>IF(ISNUMBER(M74), $B91 * N74, "")</f>
        <v>746.26865671641792</v>
      </c>
      <c r="Q74" s="238"/>
      <c r="R74" s="238"/>
      <c r="S74" s="238"/>
    </row>
    <row r="75" spans="1:19" ht="17.25" thickBot="1">
      <c r="A75" s="127" t="s">
        <v>128</v>
      </c>
      <c r="B75" s="128">
        <v>103</v>
      </c>
      <c r="C75" s="78">
        <v>0.03</v>
      </c>
      <c r="D75" s="20">
        <v>102</v>
      </c>
      <c r="E75" s="21">
        <f t="shared" si="30"/>
        <v>-9.7087378640776691E-3</v>
      </c>
      <c r="F75" s="22">
        <f>IF(ISNUMBER(D75), $B91 * E75, "")</f>
        <v>-970.87378640776694</v>
      </c>
      <c r="G75" s="30">
        <v>100</v>
      </c>
      <c r="H75" s="21">
        <f t="shared" si="31"/>
        <v>-2.9126213592233011E-2</v>
      </c>
      <c r="I75" s="105">
        <f>IF(ISNUMBER(G75), $B91 * H75, "")</f>
        <v>-2912.6213592233012</v>
      </c>
      <c r="J75" s="20">
        <v>101</v>
      </c>
      <c r="K75" s="21">
        <f t="shared" si="32"/>
        <v>-1.9417475728155338E-2</v>
      </c>
      <c r="L75" s="22">
        <f>IF(ISNUMBER(J75), $B91 * K75, "")</f>
        <v>-1941.7475728155339</v>
      </c>
      <c r="M75" s="30">
        <v>104</v>
      </c>
      <c r="N75" s="21">
        <f t="shared" si="33"/>
        <v>9.7087378640776691E-3</v>
      </c>
      <c r="O75" s="22">
        <f>IF(ISNUMBER(M75), $B91 * N75, "")</f>
        <v>970.87378640776694</v>
      </c>
      <c r="Q75" s="238"/>
      <c r="R75" s="238"/>
      <c r="S75" s="238"/>
    </row>
    <row r="76" spans="1:19" ht="17.25" thickBot="1">
      <c r="A76" s="125" t="s">
        <v>166</v>
      </c>
      <c r="B76" s="129">
        <v>158</v>
      </c>
      <c r="C76" s="80">
        <v>2.5974026000000001E-2</v>
      </c>
      <c r="D76" s="106">
        <v>188</v>
      </c>
      <c r="E76" s="107">
        <f>IF(ISNUMBER(D76), (D76 - $B76) / $B76, "")</f>
        <v>0.189873417721519</v>
      </c>
      <c r="F76" s="108">
        <f>IF(ISNUMBER(D76), $B91 * E76, "")</f>
        <v>18987.3417721519</v>
      </c>
      <c r="G76" s="109">
        <v>184</v>
      </c>
      <c r="H76" s="107">
        <f>IF(ISNUMBER(G76), (G76 - $B76) / $B76, "")</f>
        <v>0.16455696202531644</v>
      </c>
      <c r="I76" s="110">
        <f>IF(ISNUMBER(G76), $B91 * H76, "")</f>
        <v>16455.696202531646</v>
      </c>
      <c r="J76" s="106">
        <v>186</v>
      </c>
      <c r="K76" s="107">
        <f>IF(ISNUMBER(J76), (J76 - $B76) / $B76, "")</f>
        <v>0.17721518987341772</v>
      </c>
      <c r="L76" s="108">
        <f>IF(ISNUMBER(J76), $B91 * K76, "")</f>
        <v>17721.518987341773</v>
      </c>
      <c r="M76" s="109">
        <v>187</v>
      </c>
      <c r="N76" s="107">
        <f>IF(ISNUMBER(M76), (M76 - $B76) / $B76, "")</f>
        <v>0.18354430379746836</v>
      </c>
      <c r="O76" s="108">
        <f>IF(ISNUMBER(M76), $B91 * N76, "")</f>
        <v>18354.430379746835</v>
      </c>
      <c r="Q76" s="238"/>
      <c r="R76" s="238"/>
      <c r="S76" s="238"/>
    </row>
    <row r="77" spans="1:19" ht="17.25" thickBot="1">
      <c r="A77" s="125" t="s">
        <v>118</v>
      </c>
      <c r="B77" s="126">
        <v>143</v>
      </c>
      <c r="C77" s="77">
        <v>2.1428571399999999E-2</v>
      </c>
      <c r="D77" s="15">
        <v>143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141</v>
      </c>
      <c r="H77" s="32">
        <f t="shared" ref="H77:H80" si="35">IF(ISNUMBER(G77), (G77 - $B77) / $B77, "")</f>
        <v>-1.3986013986013986E-2</v>
      </c>
      <c r="I77" s="101">
        <f>IF(ISNUMBER(G77), $B91 * H77, "")</f>
        <v>-1398.6013986013986</v>
      </c>
      <c r="J77" s="15">
        <v>141</v>
      </c>
      <c r="K77" s="32">
        <f t="shared" ref="K77:K80" si="36">IF(ISNUMBER(J77), (J77 - $B77) / $B77, "")</f>
        <v>-1.3986013986013986E-2</v>
      </c>
      <c r="L77" s="18">
        <f>IF(ISNUMBER(J77), $B91 * K77, "")</f>
        <v>-1398.6013986013986</v>
      </c>
      <c r="M77" s="31">
        <v>144</v>
      </c>
      <c r="N77" s="32">
        <f t="shared" ref="N77:N80" si="37">IF(ISNUMBER(M77), (M77 - $B77) / $B77, "")</f>
        <v>6.993006993006993E-3</v>
      </c>
      <c r="O77" s="18">
        <f>IF(ISNUMBER(M77), $B91 * N77, "")</f>
        <v>699.30069930069931</v>
      </c>
      <c r="Q77" s="238"/>
      <c r="R77" s="238"/>
      <c r="S77" s="238"/>
    </row>
    <row r="78" spans="1:19" ht="17.25" thickBot="1">
      <c r="A78" s="125" t="s">
        <v>242</v>
      </c>
      <c r="B78" s="126">
        <v>437</v>
      </c>
      <c r="C78" s="77">
        <v>1.62790698E-2</v>
      </c>
      <c r="D78" s="15">
        <v>534</v>
      </c>
      <c r="E78" s="32">
        <f t="shared" si="34"/>
        <v>0.2219679633867277</v>
      </c>
      <c r="F78" s="18">
        <f>IF(ISNUMBER(D78), $B91 * E78, "")</f>
        <v>22196.796338672768</v>
      </c>
      <c r="G78" s="31">
        <v>515</v>
      </c>
      <c r="H78" s="32">
        <f t="shared" si="35"/>
        <v>0.17848970251716248</v>
      </c>
      <c r="I78" s="101">
        <f>IF(ISNUMBER(G78), $B91 * H78, "")</f>
        <v>17848.970251716248</v>
      </c>
      <c r="J78" s="15">
        <v>512</v>
      </c>
      <c r="K78" s="32">
        <f t="shared" si="36"/>
        <v>0.17162471395881007</v>
      </c>
      <c r="L78" s="18">
        <f>IF(ISNUMBER(J78), $B91 * K78, "")</f>
        <v>17162.471395881006</v>
      </c>
      <c r="M78" s="31">
        <v>499</v>
      </c>
      <c r="N78" s="32">
        <f t="shared" si="37"/>
        <v>0.14187643020594964</v>
      </c>
      <c r="O78" s="18">
        <f>IF(ISNUMBER(M78), $B91 * N78, "")</f>
        <v>14187.643020594964</v>
      </c>
      <c r="Q78" s="238"/>
      <c r="R78" s="238"/>
      <c r="S78" s="238"/>
    </row>
    <row r="79" spans="1:19" ht="17.25" thickBot="1">
      <c r="A79" s="125" t="s">
        <v>61</v>
      </c>
      <c r="B79" s="126">
        <v>827</v>
      </c>
      <c r="C79" s="77">
        <v>1.1002445E-2</v>
      </c>
      <c r="D79" s="15">
        <v>839</v>
      </c>
      <c r="E79" s="32">
        <f t="shared" si="34"/>
        <v>1.4510278113663845E-2</v>
      </c>
      <c r="F79" s="18">
        <f>IF(ISNUMBER(D79), $B91 * E79, "")</f>
        <v>1451.0278113663846</v>
      </c>
      <c r="G79" s="31">
        <v>826</v>
      </c>
      <c r="H79" s="32">
        <f t="shared" si="35"/>
        <v>-1.2091898428053204E-3</v>
      </c>
      <c r="I79" s="101">
        <f>IF(ISNUMBER(G79), $B91 * H79, "")</f>
        <v>-120.91898428053204</v>
      </c>
      <c r="J79" s="15">
        <v>824</v>
      </c>
      <c r="K79" s="32">
        <f t="shared" si="36"/>
        <v>-3.6275695284159614E-3</v>
      </c>
      <c r="L79" s="18">
        <f>IF(ISNUMBER(J79), $B91 * K79, "")</f>
        <v>-362.75695284159616</v>
      </c>
      <c r="M79" s="31">
        <v>836</v>
      </c>
      <c r="N79" s="32">
        <f t="shared" si="37"/>
        <v>1.0882708585247884E-2</v>
      </c>
      <c r="O79" s="18">
        <f>IF(ISNUMBER(M79), $B91 * N79, "")</f>
        <v>1088.2708585247885</v>
      </c>
      <c r="Q79" s="33"/>
      <c r="R79" s="33"/>
    </row>
    <row r="80" spans="1:19" ht="17.25" thickBot="1">
      <c r="A80" s="130" t="s">
        <v>230</v>
      </c>
      <c r="B80" s="131">
        <v>188</v>
      </c>
      <c r="C80" s="79">
        <v>1.0752688200000001E-2</v>
      </c>
      <c r="D80" s="24">
        <v>192</v>
      </c>
      <c r="E80" s="25">
        <f t="shared" si="34"/>
        <v>2.1276595744680851E-2</v>
      </c>
      <c r="F80" s="104">
        <f>IF(ISNUMBER(D80), $B91 * E80, "")</f>
        <v>2127.6595744680849</v>
      </c>
      <c r="G80" s="102">
        <v>191</v>
      </c>
      <c r="H80" s="25">
        <f t="shared" si="35"/>
        <v>1.5957446808510637E-2</v>
      </c>
      <c r="I80" s="103">
        <f>IF(ISNUMBER(G80), $B91 * H80, "")</f>
        <v>1595.7446808510638</v>
      </c>
      <c r="J80" s="24">
        <v>190</v>
      </c>
      <c r="K80" s="25">
        <f t="shared" si="36"/>
        <v>1.0638297872340425E-2</v>
      </c>
      <c r="L80" s="104">
        <f>IF(ISNUMBER(J80), $B91 * K80, "")</f>
        <v>1063.8297872340424</v>
      </c>
      <c r="M80" s="102">
        <v>193</v>
      </c>
      <c r="N80" s="25">
        <f t="shared" si="37"/>
        <v>2.6595744680851064E-2</v>
      </c>
      <c r="O80" s="104">
        <f>IF(ISNUMBER(M80), $B91 * N80, "")</f>
        <v>2659.5744680851062</v>
      </c>
      <c r="Q80" s="239"/>
      <c r="R80" s="240"/>
      <c r="S80" s="241"/>
    </row>
    <row r="81" spans="1:19">
      <c r="A81" s="123" t="s">
        <v>57</v>
      </c>
      <c r="B81" s="124">
        <v>192</v>
      </c>
      <c r="C81" s="76">
        <v>1.05263158E-2</v>
      </c>
      <c r="D81" s="13">
        <v>190</v>
      </c>
      <c r="E81" s="14">
        <f>IF(ISNUMBER(D81), (D81 - $B81) / $B81, "")</f>
        <v>-1.0416666666666666E-2</v>
      </c>
      <c r="F81" s="16">
        <f>IF(ISNUMBER(D81), $B91 * E81, "")</f>
        <v>-1041.6666666666665</v>
      </c>
      <c r="G81" s="29">
        <v>188</v>
      </c>
      <c r="H81" s="14">
        <f>IF(ISNUMBER(G81), (G81 - $B81) / $B81, "")</f>
        <v>-2.0833333333333332E-2</v>
      </c>
      <c r="I81" s="100">
        <f>IF(ISNUMBER(G81), $B91 * H81, "")</f>
        <v>-2083.333333333333</v>
      </c>
      <c r="J81" s="13">
        <v>190</v>
      </c>
      <c r="K81" s="14">
        <f>IF(ISNUMBER(J81), (J81 - $B81) / $B81, "")</f>
        <v>-1.0416666666666666E-2</v>
      </c>
      <c r="L81" s="16">
        <f>IF(ISNUMBER(J81), $B91 * K81, "")</f>
        <v>-1041.6666666666665</v>
      </c>
      <c r="M81" s="29">
        <v>192</v>
      </c>
      <c r="N81" s="14">
        <f>IF(ISNUMBER(M81), (M81 - $B81) / $B81, "")</f>
        <v>0</v>
      </c>
      <c r="O81" s="16">
        <f>IF(ISNUMBER(M81), $B91 * N81, "")</f>
        <v>0</v>
      </c>
      <c r="Q81" s="242"/>
      <c r="R81" s="243"/>
      <c r="S81" s="244"/>
    </row>
    <row r="82" spans="1:19" ht="17.25" thickBot="1">
      <c r="A82" s="125" t="s">
        <v>200</v>
      </c>
      <c r="B82" s="126">
        <v>128</v>
      </c>
      <c r="C82" s="77">
        <v>7.8740157000000005E-3</v>
      </c>
      <c r="D82" s="15">
        <v>130</v>
      </c>
      <c r="E82" s="32">
        <f t="shared" ref="E82:E85" si="38">IF(ISNUMBER(D82), (D82 - $B82) / $B82, "")</f>
        <v>1.5625E-2</v>
      </c>
      <c r="F82" s="18">
        <f>IF(ISNUMBER(D82), $B91 * E82, "")</f>
        <v>1562.5</v>
      </c>
      <c r="G82" s="31">
        <v>131</v>
      </c>
      <c r="H82" s="32">
        <f t="shared" ref="H82:H85" si="39">IF(ISNUMBER(G82), (G82 - $B82) / $B82, "")</f>
        <v>2.34375E-2</v>
      </c>
      <c r="I82" s="101">
        <f>IF(ISNUMBER(G82), $B91 * H82, "")</f>
        <v>2343.75</v>
      </c>
      <c r="J82" s="15">
        <v>130</v>
      </c>
      <c r="K82" s="32">
        <f t="shared" ref="K82:K85" si="40">IF(ISNUMBER(J82), (J82 - $B82) / $B82, "")</f>
        <v>1.5625E-2</v>
      </c>
      <c r="L82" s="18">
        <f>IF(ISNUMBER(J82), $B91 * K82, "")</f>
        <v>1562.5</v>
      </c>
      <c r="M82" s="31">
        <v>131</v>
      </c>
      <c r="N82" s="32">
        <f t="shared" ref="N82:N85" si="41">IF(ISNUMBER(M82), (M82 - $B82) / $B82, "")</f>
        <v>2.34375E-2</v>
      </c>
      <c r="O82" s="18">
        <f>IF(ISNUMBER(M82), $B91 * N82, "")</f>
        <v>2343.75</v>
      </c>
      <c r="Q82" s="245"/>
      <c r="R82" s="246"/>
      <c r="S82" s="247"/>
    </row>
    <row r="83" spans="1:19" ht="17.25" thickBot="1">
      <c r="A83" s="125" t="s">
        <v>90</v>
      </c>
      <c r="B83" s="126">
        <v>841</v>
      </c>
      <c r="C83" s="77">
        <v>3.5799523000000001E-3</v>
      </c>
      <c r="D83" s="15">
        <v>839</v>
      </c>
      <c r="E83" s="32">
        <f t="shared" si="38"/>
        <v>-2.3781212841854932E-3</v>
      </c>
      <c r="F83" s="18">
        <f>IF(ISNUMBER(D83), $B91 * E83, "")</f>
        <v>-237.81212841854932</v>
      </c>
      <c r="G83" s="31">
        <v>830</v>
      </c>
      <c r="H83" s="32">
        <f t="shared" si="39"/>
        <v>-1.3079667063020214E-2</v>
      </c>
      <c r="I83" s="101">
        <f>IF(ISNUMBER(G83), $B91 * H83, "")</f>
        <v>-1307.9667063020213</v>
      </c>
      <c r="J83" s="15">
        <v>830</v>
      </c>
      <c r="K83" s="32">
        <f t="shared" si="40"/>
        <v>-1.3079667063020214E-2</v>
      </c>
      <c r="L83" s="18">
        <f>IF(ISNUMBER(J83), $B91 * K83, "")</f>
        <v>-1307.9667063020213</v>
      </c>
      <c r="M83" s="31">
        <v>837</v>
      </c>
      <c r="N83" s="32">
        <f t="shared" si="41"/>
        <v>-4.7562425683709865E-3</v>
      </c>
      <c r="O83" s="18">
        <f>IF(ISNUMBER(M83), $B91 * N83, "")</f>
        <v>-475.62425683709864</v>
      </c>
      <c r="Q83" s="238"/>
      <c r="R83" s="238"/>
      <c r="S83" s="238"/>
    </row>
    <row r="84" spans="1:19" ht="17.25" thickBot="1">
      <c r="A84" s="125" t="s">
        <v>86</v>
      </c>
      <c r="B84" s="126">
        <v>304</v>
      </c>
      <c r="C84" s="77">
        <v>3.3003300000000002E-3</v>
      </c>
      <c r="D84" s="15">
        <v>303</v>
      </c>
      <c r="E84" s="32">
        <f t="shared" si="38"/>
        <v>-3.2894736842105261E-3</v>
      </c>
      <c r="F84" s="18">
        <f>IF(ISNUMBER(D84), $B91 * E84, "")</f>
        <v>-328.9473684210526</v>
      </c>
      <c r="G84" s="31">
        <v>300</v>
      </c>
      <c r="H84" s="32">
        <f t="shared" si="39"/>
        <v>-1.3157894736842105E-2</v>
      </c>
      <c r="I84" s="101">
        <f>IF(ISNUMBER(G84), $B91 * H84, "")</f>
        <v>-1315.7894736842104</v>
      </c>
      <c r="J84" s="15">
        <v>300</v>
      </c>
      <c r="K84" s="32">
        <f t="shared" si="40"/>
        <v>-1.3157894736842105E-2</v>
      </c>
      <c r="L84" s="18">
        <f>IF(ISNUMBER(J84), $B91 * K84, "")</f>
        <v>-1315.7894736842104</v>
      </c>
      <c r="M84" s="31">
        <v>303</v>
      </c>
      <c r="N84" s="32">
        <f t="shared" si="41"/>
        <v>-3.2894736842105261E-3</v>
      </c>
      <c r="O84" s="18">
        <f>IF(ISNUMBER(M84), $B91 * N84, "")</f>
        <v>-328.9473684210526</v>
      </c>
      <c r="Q84" s="248"/>
      <c r="R84" s="248"/>
      <c r="S84" s="248"/>
    </row>
    <row r="85" spans="1:19" ht="17.25" thickBot="1">
      <c r="A85" s="127" t="s">
        <v>192</v>
      </c>
      <c r="B85" s="128">
        <v>210</v>
      </c>
      <c r="C85" s="78">
        <v>0</v>
      </c>
      <c r="D85" s="20">
        <v>217</v>
      </c>
      <c r="E85" s="21">
        <f t="shared" si="38"/>
        <v>3.3333333333333333E-2</v>
      </c>
      <c r="F85" s="22">
        <f>IF(ISNUMBER(D85), $B91 * E85, "")</f>
        <v>3333.3333333333335</v>
      </c>
      <c r="G85" s="30">
        <v>218</v>
      </c>
      <c r="H85" s="21">
        <f t="shared" si="39"/>
        <v>3.8095238095238099E-2</v>
      </c>
      <c r="I85" s="105">
        <f>IF(ISNUMBER(G85), $B91 * H85, "")</f>
        <v>3809.5238095238101</v>
      </c>
      <c r="J85" s="20">
        <v>218</v>
      </c>
      <c r="K85" s="21">
        <f t="shared" si="40"/>
        <v>3.8095238095238099E-2</v>
      </c>
      <c r="L85" s="22">
        <f>IF(ISNUMBER(J85), $B91 * K85, "")</f>
        <v>3809.5238095238101</v>
      </c>
      <c r="M85" s="30">
        <v>220</v>
      </c>
      <c r="N85" s="21">
        <f t="shared" si="41"/>
        <v>4.7619047619047616E-2</v>
      </c>
      <c r="O85" s="22">
        <f>IF(ISNUMBER(M85), $B91 * N85, "")</f>
        <v>4761.9047619047615</v>
      </c>
      <c r="Q85" s="248"/>
      <c r="R85" s="248"/>
      <c r="S85" s="248"/>
    </row>
    <row r="86" spans="1:19" ht="17.25" thickBot="1">
      <c r="A86" s="125" t="s">
        <v>232</v>
      </c>
      <c r="B86" s="129">
        <v>466</v>
      </c>
      <c r="C86" s="80">
        <v>0</v>
      </c>
      <c r="D86" s="106">
        <v>473</v>
      </c>
      <c r="E86" s="107">
        <f>IF(ISNUMBER(D86), (D86 - $B86) / $B86, "")</f>
        <v>1.5021459227467811E-2</v>
      </c>
      <c r="F86" s="108">
        <f>IF(ISNUMBER(D86), $B91 * E86, "")</f>
        <v>1502.145922746781</v>
      </c>
      <c r="G86" s="109">
        <v>469</v>
      </c>
      <c r="H86" s="107">
        <f>IF(ISNUMBER(G86), (G86 - $B86) / $B86, "")</f>
        <v>6.4377682403433476E-3</v>
      </c>
      <c r="I86" s="110">
        <f>IF(ISNUMBER(G86), $B91 * H86, "")</f>
        <v>643.77682403433471</v>
      </c>
      <c r="J86" s="106">
        <v>470</v>
      </c>
      <c r="K86" s="107">
        <f>IF(ISNUMBER(J86), (J86 - $B86) / $B86, "")</f>
        <v>8.5836909871244635E-3</v>
      </c>
      <c r="L86" s="108">
        <f>IF(ISNUMBER(J86), $B91 * K86, "")</f>
        <v>858.36909871244632</v>
      </c>
      <c r="M86" s="109">
        <v>474</v>
      </c>
      <c r="N86" s="107">
        <f>IF(ISNUMBER(M86), (M86 - $B86) / $B86, "")</f>
        <v>1.7167381974248927E-2</v>
      </c>
      <c r="O86" s="108">
        <f>IF(ISNUMBER(M86), $B91 * N86, "")</f>
        <v>1716.7381974248926</v>
      </c>
      <c r="Q86" s="238"/>
      <c r="R86" s="238"/>
      <c r="S86" s="238"/>
    </row>
    <row r="87" spans="1:19" ht="17.25" thickBot="1">
      <c r="A87" s="125" t="s">
        <v>266</v>
      </c>
      <c r="B87" s="126">
        <v>231</v>
      </c>
      <c r="C87" s="77">
        <v>0</v>
      </c>
      <c r="D87" s="15">
        <v>231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229</v>
      </c>
      <c r="H87" s="32">
        <f t="shared" ref="H87:H90" si="43">IF(ISNUMBER(G87), (G87 - $B87) / $B87, "")</f>
        <v>-8.658008658008658E-3</v>
      </c>
      <c r="I87" s="101">
        <f>IF(ISNUMBER(G87), $B91 * H87, "")</f>
        <v>-865.80086580086584</v>
      </c>
      <c r="J87" s="15">
        <v>229</v>
      </c>
      <c r="K87" s="32">
        <f t="shared" ref="K87:K90" si="44">IF(ISNUMBER(J87), (J87 - $B87) / $B87, "")</f>
        <v>-8.658008658008658E-3</v>
      </c>
      <c r="L87" s="18">
        <f>IF(ISNUMBER(J87), $B91 * K87, "")</f>
        <v>-865.80086580086584</v>
      </c>
      <c r="M87" s="31">
        <v>230</v>
      </c>
      <c r="N87" s="32">
        <f t="shared" ref="N87:N90" si="45">IF(ISNUMBER(M87), (M87 - $B87) / $B87, "")</f>
        <v>-4.329004329004329E-3</v>
      </c>
      <c r="O87" s="18">
        <f>IF(ISNUMBER(M87), $B91 * N87, "")</f>
        <v>-432.90043290043292</v>
      </c>
      <c r="Q87" s="238"/>
      <c r="R87" s="238"/>
      <c r="S87" s="238"/>
    </row>
    <row r="88" spans="1:19" ht="17.25" thickBot="1">
      <c r="A88" s="125" t="s">
        <v>51</v>
      </c>
      <c r="B88" s="126">
        <v>321</v>
      </c>
      <c r="C88" s="77">
        <v>-3.1055901000000001E-3</v>
      </c>
      <c r="D88" s="15">
        <v>318</v>
      </c>
      <c r="E88" s="32">
        <f t="shared" si="42"/>
        <v>-9.3457943925233638E-3</v>
      </c>
      <c r="F88" s="18">
        <f>IF(ISNUMBER(D88), $B91 * E88, "")</f>
        <v>-934.57943925233633</v>
      </c>
      <c r="G88" s="31">
        <v>316</v>
      </c>
      <c r="H88" s="32">
        <f t="shared" si="43"/>
        <v>-1.5576323987538941E-2</v>
      </c>
      <c r="I88" s="101">
        <f>IF(ISNUMBER(G88), $B91 * H88, "")</f>
        <v>-1557.632398753894</v>
      </c>
      <c r="J88" s="15">
        <v>316</v>
      </c>
      <c r="K88" s="32">
        <f t="shared" si="44"/>
        <v>-1.5576323987538941E-2</v>
      </c>
      <c r="L88" s="18">
        <f>IF(ISNUMBER(J88), $B91 * K88, "")</f>
        <v>-1557.632398753894</v>
      </c>
      <c r="M88" s="31">
        <v>321</v>
      </c>
      <c r="N88" s="32">
        <f t="shared" si="45"/>
        <v>0</v>
      </c>
      <c r="O88" s="18">
        <f>IF(ISNUMBER(M88), $B91 * N88, "")</f>
        <v>0</v>
      </c>
      <c r="Q88" s="238"/>
      <c r="R88" s="238"/>
      <c r="S88" s="238"/>
    </row>
    <row r="89" spans="1:19">
      <c r="A89" s="125" t="s">
        <v>184</v>
      </c>
      <c r="B89" s="126">
        <v>903</v>
      </c>
      <c r="C89" s="77">
        <v>-3.3112583000000002E-3</v>
      </c>
      <c r="D89" s="15">
        <v>902</v>
      </c>
      <c r="E89" s="32">
        <f t="shared" si="42"/>
        <v>-1.1074197120708748E-3</v>
      </c>
      <c r="F89" s="18">
        <f>IF(ISNUMBER(D89), $B91 * E89, "")</f>
        <v>-110.74197120708749</v>
      </c>
      <c r="G89" s="31">
        <v>900</v>
      </c>
      <c r="H89" s="32">
        <f t="shared" si="43"/>
        <v>-3.3222591362126247E-3</v>
      </c>
      <c r="I89" s="101">
        <f>IF(ISNUMBER(G89), $B91 * H89, "")</f>
        <v>-332.22591362126246</v>
      </c>
      <c r="J89" s="15">
        <v>899</v>
      </c>
      <c r="K89" s="32">
        <f t="shared" si="44"/>
        <v>-4.4296788482834993E-3</v>
      </c>
      <c r="L89" s="18">
        <f>IF(ISNUMBER(J89), $B91 * K89, "")</f>
        <v>-442.96788482834995</v>
      </c>
      <c r="M89" s="31">
        <v>908</v>
      </c>
      <c r="N89" s="32">
        <f t="shared" si="45"/>
        <v>5.5370985603543747E-3</v>
      </c>
      <c r="O89" s="18">
        <f>IF(ISNUMBER(M89), $B91 * N89, "")</f>
        <v>553.7098560354375</v>
      </c>
      <c r="Q89" s="227"/>
      <c r="R89" s="228"/>
      <c r="S89" s="229"/>
    </row>
    <row r="90" spans="1:19" ht="17.25" thickBot="1">
      <c r="A90" s="130" t="s">
        <v>236</v>
      </c>
      <c r="B90" s="131">
        <v>552</v>
      </c>
      <c r="C90" s="79">
        <v>-5.4054054000000004E-3</v>
      </c>
      <c r="D90" s="24">
        <v>571</v>
      </c>
      <c r="E90" s="25">
        <f t="shared" si="42"/>
        <v>3.4420289855072464E-2</v>
      </c>
      <c r="F90" s="104">
        <f>IF(ISNUMBER(D90), $B91 * E90, "")</f>
        <v>3442.0289855072465</v>
      </c>
      <c r="G90" s="102">
        <v>557</v>
      </c>
      <c r="H90" s="25">
        <f t="shared" si="43"/>
        <v>9.057971014492754E-3</v>
      </c>
      <c r="I90" s="103">
        <f>IF(ISNUMBER(G90), $B91 * H90, "")</f>
        <v>905.79710144927537</v>
      </c>
      <c r="J90" s="24">
        <v>558</v>
      </c>
      <c r="K90" s="25">
        <f t="shared" si="44"/>
        <v>1.0869565217391304E-2</v>
      </c>
      <c r="L90" s="104">
        <f>IF(ISNUMBER(J90), $B91 * K90, "")</f>
        <v>1086.9565217391305</v>
      </c>
      <c r="M90" s="102">
        <v>568</v>
      </c>
      <c r="N90" s="25">
        <f t="shared" si="45"/>
        <v>2.8985507246376812E-2</v>
      </c>
      <c r="O90" s="104">
        <f>IF(ISNUMBER(M90), $B91 * N90, "")</f>
        <v>2898.550724637681</v>
      </c>
      <c r="Q90" s="230"/>
      <c r="R90" s="231"/>
      <c r="S90" s="232"/>
    </row>
    <row r="91" spans="1:19" ht="17.25" thickBot="1">
      <c r="A91" s="132" t="s">
        <v>270</v>
      </c>
      <c r="B91" s="291">
        <f>$B$37</f>
        <v>100000</v>
      </c>
      <c r="C91" s="292"/>
      <c r="D91" s="26" t="s">
        <v>271</v>
      </c>
      <c r="E91" s="27">
        <f>IF(COUNT(E71:E90), SUM(E71:E90) / COUNT(E71:E90), 0)</f>
        <v>2.2148559609032552E-2</v>
      </c>
      <c r="F91" s="28">
        <f>SUM(F71:F90)</f>
        <v>44297.11921806512</v>
      </c>
      <c r="G91" s="26" t="s">
        <v>271</v>
      </c>
      <c r="H91" s="27">
        <f>IF(COUNT(H71:H90), SUM(H71:H90) / COUNT(H71:H90), 0)</f>
        <v>1.1602695283787968E-2</v>
      </c>
      <c r="I91" s="28">
        <f>SUM(I71:I90)</f>
        <v>23205.390567575949</v>
      </c>
      <c r="J91" s="26" t="s">
        <v>271</v>
      </c>
      <c r="K91" s="27">
        <f>IF(COUNT(K71:K90), SUM(K71:K90) / COUNT(K71:K90), 0)</f>
        <v>1.1958431359854511E-2</v>
      </c>
      <c r="L91" s="28">
        <f>SUM(L71:L90)</f>
        <v>23916.862719709028</v>
      </c>
      <c r="M91" s="26" t="s">
        <v>271</v>
      </c>
      <c r="N91" s="27">
        <f>IF(COUNT(N71:N90), SUM(N71:N90) / COUNT(N71:N90), 0)</f>
        <v>2.2630040126429905E-2</v>
      </c>
      <c r="O91" s="28">
        <f>SUM(O71:O90)</f>
        <v>45260.0802528598</v>
      </c>
      <c r="Q91" s="233"/>
      <c r="R91" s="234"/>
      <c r="S91" s="23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48"/>
      <c r="R94" s="248"/>
      <c r="S94" s="248"/>
    </row>
    <row r="95" spans="1:19" ht="17.25" thickBot="1">
      <c r="A95" s="173" t="s">
        <v>267</v>
      </c>
      <c r="B95" s="249" t="s">
        <v>49</v>
      </c>
      <c r="C95" s="251"/>
      <c r="D95" s="249" t="s">
        <v>58</v>
      </c>
      <c r="E95" s="250"/>
      <c r="F95" s="251"/>
      <c r="G95" s="252">
        <f>_xlfn.IFNA(VLOOKUP(B95, 현재가테이블!$B$2:$D$200, 2, FALSE), "-")</f>
        <v>54440000</v>
      </c>
      <c r="H95" s="253"/>
      <c r="I95" s="254"/>
      <c r="J95" s="249" t="s">
        <v>59</v>
      </c>
      <c r="K95" s="250"/>
      <c r="L95" s="251"/>
      <c r="M95" s="255">
        <f>_xlfn.IFNA(VLOOKUP(B95, 현재가테이블!$B$2:$D$200, 3, FALSE), "-")</f>
        <v>1.07123628E-2</v>
      </c>
      <c r="N95" s="256"/>
      <c r="O95" s="257"/>
      <c r="Q95" s="248"/>
      <c r="R95" s="248"/>
      <c r="S95" s="248"/>
    </row>
    <row r="96" spans="1:19" ht="17.25" thickBot="1">
      <c r="A96" s="293" t="s">
        <v>55</v>
      </c>
      <c r="B96" s="289" t="str">
        <f>TEXT($G$1, "[$-ko-KR]yyyy-mm-dd(ddd) ") &amp; "오전 00:00"</f>
        <v>2021-08-05(목) 오전 00:00</v>
      </c>
      <c r="C96" s="290"/>
      <c r="D96" s="262" t="str">
        <f>TEXT($G$1, "[$-ko-KR]yyyy-mm-dd(ddd) ") &amp; "오후 14:00"</f>
        <v>2021-08-05(목) 오후 14:00</v>
      </c>
      <c r="E96" s="263"/>
      <c r="F96" s="264"/>
      <c r="G96" s="262" t="str">
        <f>TEXT($G$1, "[$-ko-KR]yyyy-mm-dd(ddd) ") &amp; "오후 19:00"</f>
        <v>2021-08-05(목) 오후 19:00</v>
      </c>
      <c r="H96" s="263"/>
      <c r="I96" s="264"/>
      <c r="J96" s="262" t="str">
        <f>TEXT($G$1, "[$-ko-KR]yyyy-mm-dd(ddd) ") &amp; "오후 21:00"</f>
        <v>2021-08-05(목) 오후 21:00</v>
      </c>
      <c r="K96" s="263"/>
      <c r="L96" s="264"/>
      <c r="M96" s="262" t="str">
        <f>TEXT($G$1+1, "[$-ko-KR]yyyy-mm-dd(ddd) ") &amp; "오전 00:00"</f>
        <v>2021-08-06(금) 오전 00:00</v>
      </c>
      <c r="N96" s="263"/>
      <c r="O96" s="264"/>
      <c r="Q96" s="248"/>
      <c r="R96" s="248"/>
      <c r="S96" s="248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8"/>
      <c r="R97" s="238"/>
      <c r="S97" s="238"/>
    </row>
    <row r="98" spans="1:19" ht="17.25" thickBot="1">
      <c r="A98" s="123" t="s">
        <v>154</v>
      </c>
      <c r="B98" s="124">
        <v>50280</v>
      </c>
      <c r="C98" s="76">
        <v>0.1118973905</v>
      </c>
      <c r="D98" s="13">
        <v>49050</v>
      </c>
      <c r="E98" s="14">
        <f>IF(ISNUMBER(D98), (D98 - $B98) / $B98, "")</f>
        <v>-2.4463007159904536E-2</v>
      </c>
      <c r="F98" s="16">
        <f>IF(ISNUMBER(D98), $B118 * E98, "")</f>
        <v>-2446.3007159904537</v>
      </c>
      <c r="G98" s="29">
        <v>48550</v>
      </c>
      <c r="H98" s="14">
        <f>IF(ISNUMBER(G98), (G98 - $B98) / $B98, "")</f>
        <v>-3.4407319013524264E-2</v>
      </c>
      <c r="I98" s="100">
        <f>IF(ISNUMBER(G98), $B118 * H98, "")</f>
        <v>-3440.7319013524266</v>
      </c>
      <c r="J98" s="13">
        <v>48510</v>
      </c>
      <c r="K98" s="14">
        <f>IF(ISNUMBER(J98), (J98 - $B98) / $B98, "")</f>
        <v>-3.5202863961813845E-2</v>
      </c>
      <c r="L98" s="16">
        <f>IF(ISNUMBER(J98), $B118 * K98, "")</f>
        <v>-3520.2863961813846</v>
      </c>
      <c r="M98" s="29">
        <v>48860</v>
      </c>
      <c r="N98" s="14">
        <f>IF(ISNUMBER(M98), (M98 - $B98) / $B98, "")</f>
        <v>-2.8241845664280032E-2</v>
      </c>
      <c r="O98" s="16">
        <f>IF(ISNUMBER(M98), $B118 * N98, "")</f>
        <v>-2824.1845664280031</v>
      </c>
      <c r="Q98" s="248"/>
      <c r="R98" s="248"/>
      <c r="S98" s="248"/>
    </row>
    <row r="99" spans="1:19" ht="17.25" thickBot="1">
      <c r="A99" s="125" t="s">
        <v>98</v>
      </c>
      <c r="B99" s="126">
        <v>3.67</v>
      </c>
      <c r="C99" s="77">
        <v>6.6860465100000002E-2</v>
      </c>
      <c r="D99" s="15">
        <v>4</v>
      </c>
      <c r="E99" s="32">
        <f t="shared" ref="E99:E102" si="46">IF(ISNUMBER(D99), (D99 - $B99) / $B99, "")</f>
        <v>8.9918256130790214E-2</v>
      </c>
      <c r="F99" s="18">
        <f>IF(ISNUMBER(D99), $B118 * E99, "")</f>
        <v>8991.8256130790214</v>
      </c>
      <c r="G99" s="31">
        <v>3.88</v>
      </c>
      <c r="H99" s="32">
        <f t="shared" ref="H99:H102" si="47">IF(ISNUMBER(G99), (G99 - $B99) / $B99, "")</f>
        <v>5.7220708446866476E-2</v>
      </c>
      <c r="I99" s="101">
        <f>IF(ISNUMBER(G99), $B118 * H99, "")</f>
        <v>5722.0708446866474</v>
      </c>
      <c r="J99" s="15">
        <v>3.88</v>
      </c>
      <c r="K99" s="32">
        <f t="shared" ref="K99:K102" si="48">IF(ISNUMBER(J99), (J99 - $B99) / $B99, "")</f>
        <v>5.7220708446866476E-2</v>
      </c>
      <c r="L99" s="18">
        <f>IF(ISNUMBER(J99), $B118 * K99, "")</f>
        <v>5722.0708446866474</v>
      </c>
      <c r="M99" s="31">
        <v>3.86</v>
      </c>
      <c r="N99" s="32">
        <f t="shared" ref="N99:N102" si="49">IF(ISNUMBER(M99), (M99 - $B99) / $B99, "")</f>
        <v>5.1771117166212521E-2</v>
      </c>
      <c r="O99" s="18">
        <f>IF(ISNUMBER(M99), $B118 * N99, "")</f>
        <v>5177.1117166212525</v>
      </c>
      <c r="Q99" s="248"/>
      <c r="R99" s="248"/>
      <c r="S99" s="248"/>
    </row>
    <row r="100" spans="1:19" ht="17.25" thickBot="1">
      <c r="A100" s="125" t="s">
        <v>134</v>
      </c>
      <c r="B100" s="126">
        <v>21720</v>
      </c>
      <c r="C100" s="77">
        <v>6.2622309200000004E-2</v>
      </c>
      <c r="D100" s="15">
        <v>22150</v>
      </c>
      <c r="E100" s="32">
        <f t="shared" si="46"/>
        <v>1.979742173112339E-2</v>
      </c>
      <c r="F100" s="18">
        <f>IF(ISNUMBER(D100), $B118 * E100, "")</f>
        <v>1979.7421731123391</v>
      </c>
      <c r="G100" s="31">
        <v>21490</v>
      </c>
      <c r="H100" s="32">
        <f t="shared" si="47"/>
        <v>-1.0589318600368325E-2</v>
      </c>
      <c r="I100" s="101">
        <f>IF(ISNUMBER(G100), $B118 * H100, "")</f>
        <v>-1058.9318600368324</v>
      </c>
      <c r="J100" s="15">
        <v>21330</v>
      </c>
      <c r="K100" s="32">
        <f t="shared" si="48"/>
        <v>-1.7955801104972375E-2</v>
      </c>
      <c r="L100" s="18">
        <f>IF(ISNUMBER(J100), $B118 * K100, "")</f>
        <v>-1795.5801104972375</v>
      </c>
      <c r="M100" s="31">
        <v>22050</v>
      </c>
      <c r="N100" s="32">
        <f t="shared" si="49"/>
        <v>1.5193370165745856E-2</v>
      </c>
      <c r="O100" s="18">
        <f>IF(ISNUMBER(M100), $B118 * N100, "")</f>
        <v>1519.3370165745855</v>
      </c>
      <c r="Q100" s="238"/>
      <c r="R100" s="238"/>
      <c r="S100" s="238"/>
    </row>
    <row r="101" spans="1:19" ht="17.25" thickBot="1">
      <c r="A101" s="125" t="s">
        <v>114</v>
      </c>
      <c r="B101" s="126">
        <v>736</v>
      </c>
      <c r="C101" s="77">
        <v>5.8992805799999999E-2</v>
      </c>
      <c r="D101" s="15">
        <v>727</v>
      </c>
      <c r="E101" s="32">
        <f t="shared" si="46"/>
        <v>-1.2228260869565218E-2</v>
      </c>
      <c r="F101" s="18">
        <f>IF(ISNUMBER(D101), $B118 * E101, "")</f>
        <v>-1222.8260869565217</v>
      </c>
      <c r="G101" s="31">
        <v>718</v>
      </c>
      <c r="H101" s="32">
        <f t="shared" si="47"/>
        <v>-2.4456521739130436E-2</v>
      </c>
      <c r="I101" s="101">
        <f>IF(ISNUMBER(G101), $B118 * H101, "")</f>
        <v>-2445.6521739130435</v>
      </c>
      <c r="J101" s="15">
        <v>719</v>
      </c>
      <c r="K101" s="32">
        <f t="shared" si="48"/>
        <v>-2.309782608695652E-2</v>
      </c>
      <c r="L101" s="18">
        <f>IF(ISNUMBER(J101), $B118 * K101, "")</f>
        <v>-2309.782608695652</v>
      </c>
      <c r="M101" s="31">
        <v>723</v>
      </c>
      <c r="N101" s="32">
        <f t="shared" si="49"/>
        <v>-1.7663043478260868E-2</v>
      </c>
      <c r="O101" s="18">
        <f>IF(ISNUMBER(M101), $B118 * N101, "")</f>
        <v>-1766.3043478260868</v>
      </c>
      <c r="Q101" s="238"/>
      <c r="R101" s="238"/>
      <c r="S101" s="238"/>
    </row>
    <row r="102" spans="1:19" ht="17.25" thickBot="1">
      <c r="A102" s="127" t="s">
        <v>160</v>
      </c>
      <c r="B102" s="128">
        <v>1265</v>
      </c>
      <c r="C102" s="78">
        <v>5.4166666699999998E-2</v>
      </c>
      <c r="D102" s="20">
        <v>1230</v>
      </c>
      <c r="E102" s="21">
        <f t="shared" si="46"/>
        <v>-2.766798418972332E-2</v>
      </c>
      <c r="F102" s="22">
        <f>IF(ISNUMBER(D102), $B118 * E102, "")</f>
        <v>-2766.798418972332</v>
      </c>
      <c r="G102" s="30">
        <v>1220</v>
      </c>
      <c r="H102" s="21">
        <f t="shared" si="47"/>
        <v>-3.5573122529644272E-2</v>
      </c>
      <c r="I102" s="105">
        <f>IF(ISNUMBER(G102), $B118 * H102, "")</f>
        <v>-3557.312252964427</v>
      </c>
      <c r="J102" s="20">
        <v>1225</v>
      </c>
      <c r="K102" s="21">
        <f t="shared" si="48"/>
        <v>-3.1620553359683792E-2</v>
      </c>
      <c r="L102" s="22">
        <f>IF(ISNUMBER(J102), $B118 * K102, "")</f>
        <v>-3162.055335968379</v>
      </c>
      <c r="M102" s="30">
        <v>1235</v>
      </c>
      <c r="N102" s="21">
        <f t="shared" si="49"/>
        <v>-2.3715415019762844E-2</v>
      </c>
      <c r="O102" s="22">
        <f>IF(ISNUMBER(M102), $B118 * N102, "")</f>
        <v>-2371.5415019762845</v>
      </c>
      <c r="Q102" s="238"/>
      <c r="R102" s="238"/>
      <c r="S102" s="238"/>
    </row>
    <row r="103" spans="1:19" ht="17.25" thickBot="1">
      <c r="A103" s="125" t="s">
        <v>94</v>
      </c>
      <c r="B103" s="129">
        <v>3085000</v>
      </c>
      <c r="C103" s="80">
        <v>4.6472184499999999E-2</v>
      </c>
      <c r="D103" s="106">
        <v>3110000</v>
      </c>
      <c r="E103" s="107">
        <f>IF(ISNUMBER(D103), (D103 - $B103) / $B103, "")</f>
        <v>8.1037277147487843E-3</v>
      </c>
      <c r="F103" s="108">
        <f>IF(ISNUMBER(D103), $B118 * E103, "")</f>
        <v>810.37277147487839</v>
      </c>
      <c r="G103" s="109">
        <v>3051000</v>
      </c>
      <c r="H103" s="107">
        <f>IF(ISNUMBER(G103), (G103 - $B103) / $B103, "")</f>
        <v>-1.1021069692058346E-2</v>
      </c>
      <c r="I103" s="110">
        <f>IF(ISNUMBER(G103), $B118 * H103, "")</f>
        <v>-1102.1069692058345</v>
      </c>
      <c r="J103" s="106">
        <v>3051000</v>
      </c>
      <c r="K103" s="107">
        <f>IF(ISNUMBER(J103), (J103 - $B103) / $B103, "")</f>
        <v>-1.1021069692058346E-2</v>
      </c>
      <c r="L103" s="108">
        <f>IF(ISNUMBER(J103), $B118 * K103, "")</f>
        <v>-1102.1069692058345</v>
      </c>
      <c r="M103" s="109">
        <v>3244000</v>
      </c>
      <c r="N103" s="107">
        <f>IF(ISNUMBER(M103), (M103 - $B103) / $B103, "")</f>
        <v>5.1539708265802266E-2</v>
      </c>
      <c r="O103" s="108">
        <f>IF(ISNUMBER(M103), $B118 * N103, "")</f>
        <v>5153.9708265802265</v>
      </c>
      <c r="Q103" s="238"/>
      <c r="R103" s="238"/>
      <c r="S103" s="238"/>
    </row>
    <row r="104" spans="1:19" ht="17.25" thickBot="1">
      <c r="A104" s="125" t="s">
        <v>148</v>
      </c>
      <c r="B104" s="126">
        <v>18.3</v>
      </c>
      <c r="C104" s="77">
        <v>3.9772727299999998E-2</v>
      </c>
      <c r="D104" s="15">
        <v>18</v>
      </c>
      <c r="E104" s="32">
        <f t="shared" ref="E104:E107" si="50">IF(ISNUMBER(D104), (D104 - $B104) / $B104, "")</f>
        <v>-1.6393442622950859E-2</v>
      </c>
      <c r="F104" s="18">
        <f>IF(ISNUMBER(D104), $B118 * E104, "")</f>
        <v>-1639.3442622950859</v>
      </c>
      <c r="G104" s="31">
        <v>17.899999999999999</v>
      </c>
      <c r="H104" s="32">
        <f t="shared" ref="H104:H107" si="51">IF(ISNUMBER(G104), (G104 - $B104) / $B104, "")</f>
        <v>-2.1857923497267874E-2</v>
      </c>
      <c r="I104" s="101">
        <f>IF(ISNUMBER(G104), $B118 * H104, "")</f>
        <v>-2185.7923497267875</v>
      </c>
      <c r="J104" s="15">
        <v>18</v>
      </c>
      <c r="K104" s="32">
        <f t="shared" ref="K104:K107" si="52">IF(ISNUMBER(J104), (J104 - $B104) / $B104, "")</f>
        <v>-1.6393442622950859E-2</v>
      </c>
      <c r="L104" s="18">
        <f>IF(ISNUMBER(J104), $B118 * K104, "")</f>
        <v>-1639.3442622950859</v>
      </c>
      <c r="M104" s="31">
        <v>18.2</v>
      </c>
      <c r="N104" s="32">
        <f t="shared" ref="N104:N107" si="53">IF(ISNUMBER(M104), (M104 - $B104) / $B104, "")</f>
        <v>-5.4644808743170171E-3</v>
      </c>
      <c r="O104" s="18">
        <f>IF(ISNUMBER(M104), $B118 * N104, "")</f>
        <v>-546.44808743170165</v>
      </c>
      <c r="Q104" s="238"/>
      <c r="R104" s="238"/>
      <c r="S104" s="238"/>
    </row>
    <row r="105" spans="1:19" ht="17.25" thickBot="1">
      <c r="A105" s="125" t="s">
        <v>74</v>
      </c>
      <c r="B105" s="126">
        <v>14800</v>
      </c>
      <c r="C105" s="77">
        <v>3.8596491199999999E-2</v>
      </c>
      <c r="D105" s="15">
        <v>14780</v>
      </c>
      <c r="E105" s="32">
        <f t="shared" si="50"/>
        <v>-1.3513513513513514E-3</v>
      </c>
      <c r="F105" s="18">
        <f>IF(ISNUMBER(D105), $B118 * E105, "")</f>
        <v>-135.13513513513513</v>
      </c>
      <c r="G105" s="31">
        <v>14730</v>
      </c>
      <c r="H105" s="32">
        <f t="shared" si="51"/>
        <v>-4.72972972972973E-3</v>
      </c>
      <c r="I105" s="101">
        <f>IF(ISNUMBER(G105), $B118 * H105, "")</f>
        <v>-472.97297297297303</v>
      </c>
      <c r="J105" s="15">
        <v>14830</v>
      </c>
      <c r="K105" s="32">
        <f t="shared" si="52"/>
        <v>2.0270270270270271E-3</v>
      </c>
      <c r="L105" s="18">
        <f>IF(ISNUMBER(J105), $B118 * K105, "")</f>
        <v>202.70270270270271</v>
      </c>
      <c r="M105" s="31">
        <v>15010</v>
      </c>
      <c r="N105" s="32">
        <f t="shared" si="53"/>
        <v>1.418918918918919E-2</v>
      </c>
      <c r="O105" s="18">
        <f>IF(ISNUMBER(M105), $B118 * N105, "")</f>
        <v>1418.918918918919</v>
      </c>
      <c r="Q105" s="238"/>
      <c r="R105" s="238"/>
      <c r="S105" s="238"/>
    </row>
    <row r="106" spans="1:19" ht="17.25" thickBot="1">
      <c r="A106" s="125" t="s">
        <v>152</v>
      </c>
      <c r="B106" s="126">
        <v>78.3</v>
      </c>
      <c r="C106" s="77">
        <v>3.8461538500000003E-2</v>
      </c>
      <c r="D106" s="15">
        <v>81</v>
      </c>
      <c r="E106" s="32">
        <f t="shared" si="50"/>
        <v>3.4482758620689689E-2</v>
      </c>
      <c r="F106" s="18">
        <f>IF(ISNUMBER(D106), $B118 * E106, "")</f>
        <v>3448.2758620689688</v>
      </c>
      <c r="G106" s="31">
        <v>79.900000000000006</v>
      </c>
      <c r="H106" s="32">
        <f t="shared" si="51"/>
        <v>2.0434227330779164E-2</v>
      </c>
      <c r="I106" s="101">
        <f>IF(ISNUMBER(G106), $B118 * H106, "")</f>
        <v>2043.4227330779163</v>
      </c>
      <c r="J106" s="15">
        <v>80.099999999999994</v>
      </c>
      <c r="K106" s="32">
        <f t="shared" si="52"/>
        <v>2.2988505747126402E-2</v>
      </c>
      <c r="L106" s="18">
        <f>IF(ISNUMBER(J106), $B118 * K106, "")</f>
        <v>2298.8505747126401</v>
      </c>
      <c r="M106" s="31">
        <v>80.2</v>
      </c>
      <c r="N106" s="32">
        <f t="shared" si="53"/>
        <v>2.4265644955300199E-2</v>
      </c>
      <c r="O106" s="18">
        <f>IF(ISNUMBER(M106), $B118 * N106, "")</f>
        <v>2426.5644955300199</v>
      </c>
      <c r="Q106" s="33"/>
      <c r="R106" s="33"/>
    </row>
    <row r="107" spans="1:19" ht="17.25" thickBot="1">
      <c r="A107" s="130" t="s">
        <v>144</v>
      </c>
      <c r="B107" s="131">
        <v>114</v>
      </c>
      <c r="C107" s="79">
        <v>3.6363636400000003E-2</v>
      </c>
      <c r="D107" s="24">
        <v>110</v>
      </c>
      <c r="E107" s="25">
        <f t="shared" si="50"/>
        <v>-3.5087719298245612E-2</v>
      </c>
      <c r="F107" s="104">
        <f>IF(ISNUMBER(D107), $B118 * E107, "")</f>
        <v>-3508.7719298245611</v>
      </c>
      <c r="G107" s="102">
        <v>108</v>
      </c>
      <c r="H107" s="25">
        <f t="shared" si="51"/>
        <v>-5.2631578947368418E-2</v>
      </c>
      <c r="I107" s="103">
        <f>IF(ISNUMBER(G107), $B118 * H107, "")</f>
        <v>-5263.1578947368416</v>
      </c>
      <c r="J107" s="24">
        <v>108</v>
      </c>
      <c r="K107" s="25">
        <f t="shared" si="52"/>
        <v>-5.2631578947368418E-2</v>
      </c>
      <c r="L107" s="104">
        <f>IF(ISNUMBER(J107), $B118 * K107, "")</f>
        <v>-5263.1578947368416</v>
      </c>
      <c r="M107" s="102">
        <v>109</v>
      </c>
      <c r="N107" s="25">
        <f t="shared" si="53"/>
        <v>-4.3859649122807015E-2</v>
      </c>
      <c r="O107" s="104">
        <f>IF(ISNUMBER(M107), $B118 * N107, "")</f>
        <v>-4385.9649122807014</v>
      </c>
      <c r="Q107" s="239"/>
      <c r="R107" s="240"/>
      <c r="S107" s="241"/>
    </row>
    <row r="108" spans="1:19">
      <c r="A108" s="123" t="s">
        <v>80</v>
      </c>
      <c r="B108" s="124">
        <v>779</v>
      </c>
      <c r="C108" s="76">
        <v>3.4528552499999997E-2</v>
      </c>
      <c r="D108" s="13">
        <v>758</v>
      </c>
      <c r="E108" s="14">
        <f>IF(ISNUMBER(D108), (D108 - $B108) / $B108, "")</f>
        <v>-2.6957637997432605E-2</v>
      </c>
      <c r="F108" s="16">
        <f>IF(ISNUMBER(D108), $B118 * E108, "")</f>
        <v>-2695.7637997432603</v>
      </c>
      <c r="G108" s="29">
        <v>767</v>
      </c>
      <c r="H108" s="14">
        <f>IF(ISNUMBER(G108), (G108 - $B108) / $B108, "")</f>
        <v>-1.540436456996149E-2</v>
      </c>
      <c r="I108" s="100">
        <f>IF(ISNUMBER(G108), $B118 * H108, "")</f>
        <v>-1540.436456996149</v>
      </c>
      <c r="J108" s="13">
        <v>767</v>
      </c>
      <c r="K108" s="14">
        <f>IF(ISNUMBER(J108), (J108 - $B108) / $B108, "")</f>
        <v>-1.540436456996149E-2</v>
      </c>
      <c r="L108" s="16">
        <f>IF(ISNUMBER(J108), $B118 * K108, "")</f>
        <v>-1540.436456996149</v>
      </c>
      <c r="M108" s="29">
        <v>792</v>
      </c>
      <c r="N108" s="14">
        <f>IF(ISNUMBER(M108), (M108 - $B108) / $B108, "")</f>
        <v>1.668806161745828E-2</v>
      </c>
      <c r="O108" s="16">
        <f>IF(ISNUMBER(M108), $B118 * N108, "")</f>
        <v>1668.8061617458279</v>
      </c>
      <c r="Q108" s="242"/>
      <c r="R108" s="243"/>
      <c r="S108" s="244"/>
    </row>
    <row r="109" spans="1:19" ht="17.25" thickBot="1">
      <c r="A109" s="125" t="s">
        <v>63</v>
      </c>
      <c r="B109" s="126">
        <v>50550</v>
      </c>
      <c r="C109" s="77">
        <v>3.4165302799999998E-2</v>
      </c>
      <c r="D109" s="15">
        <v>50140</v>
      </c>
      <c r="E109" s="32">
        <f t="shared" ref="E109:E112" si="54">IF(ISNUMBER(D109), (D109 - $B109) / $B109, "")</f>
        <v>-8.11078140454995E-3</v>
      </c>
      <c r="F109" s="18">
        <f>IF(ISNUMBER(D109), $B118 * E109, "")</f>
        <v>-811.07814045499504</v>
      </c>
      <c r="G109" s="31">
        <v>49260</v>
      </c>
      <c r="H109" s="32">
        <f t="shared" ref="H109:H112" si="55">IF(ISNUMBER(G109), (G109 - $B109) / $B109, "")</f>
        <v>-2.5519287833827894E-2</v>
      </c>
      <c r="I109" s="101">
        <f>IF(ISNUMBER(G109), $B118 * H109, "")</f>
        <v>-2551.9287833827893</v>
      </c>
      <c r="J109" s="15">
        <v>49090</v>
      </c>
      <c r="K109" s="32">
        <f t="shared" ref="K109:K112" si="56">IF(ISNUMBER(J109), (J109 - $B109) / $B109, "")</f>
        <v>-2.8882294757665676E-2</v>
      </c>
      <c r="L109" s="18">
        <f>IF(ISNUMBER(J109), $B118 * K109, "")</f>
        <v>-2888.2294757665677</v>
      </c>
      <c r="M109" s="31">
        <v>50110</v>
      </c>
      <c r="N109" s="32">
        <f t="shared" ref="N109:N112" si="57">IF(ISNUMBER(M109), (M109 - $B109) / $B109, "")</f>
        <v>-8.7042532146389719E-3</v>
      </c>
      <c r="O109" s="18">
        <f>IF(ISNUMBER(M109), $B118 * N109, "")</f>
        <v>-870.42532146389715</v>
      </c>
      <c r="Q109" s="245"/>
      <c r="R109" s="246"/>
      <c r="S109" s="247"/>
    </row>
    <row r="110" spans="1:19" ht="17.25" thickBot="1">
      <c r="A110" s="125" t="s">
        <v>182</v>
      </c>
      <c r="B110" s="126">
        <v>58210</v>
      </c>
      <c r="C110" s="77">
        <v>3.11780337E-2</v>
      </c>
      <c r="D110" s="15">
        <v>57700</v>
      </c>
      <c r="E110" s="32">
        <f t="shared" si="54"/>
        <v>-8.7613812059783545E-3</v>
      </c>
      <c r="F110" s="18">
        <f>IF(ISNUMBER(D110), $B118 * E110, "")</f>
        <v>-876.1381205978355</v>
      </c>
      <c r="G110" s="31">
        <v>57490</v>
      </c>
      <c r="H110" s="32">
        <f t="shared" si="55"/>
        <v>-1.2369008761381205E-2</v>
      </c>
      <c r="I110" s="101">
        <f>IF(ISNUMBER(G110), $B118 * H110, "")</f>
        <v>-1236.9008761381206</v>
      </c>
      <c r="J110" s="15">
        <v>57320</v>
      </c>
      <c r="K110" s="32">
        <f t="shared" si="56"/>
        <v>-1.5289469163373991E-2</v>
      </c>
      <c r="L110" s="18">
        <f>IF(ISNUMBER(J110), $B118 * K110, "")</f>
        <v>-1528.9469163373992</v>
      </c>
      <c r="M110" s="31">
        <v>57560</v>
      </c>
      <c r="N110" s="32">
        <f t="shared" si="57"/>
        <v>-1.1166466242913588E-2</v>
      </c>
      <c r="O110" s="18">
        <f>IF(ISNUMBER(M110), $B118 * N110, "")</f>
        <v>-1116.6466242913589</v>
      </c>
      <c r="Q110" s="238"/>
      <c r="R110" s="238"/>
      <c r="S110" s="238"/>
    </row>
    <row r="111" spans="1:19" ht="17.25" thickBot="1">
      <c r="A111" s="125" t="s">
        <v>194</v>
      </c>
      <c r="B111" s="126">
        <v>134</v>
      </c>
      <c r="C111" s="77">
        <v>3.0769230799999998E-2</v>
      </c>
      <c r="D111" s="15">
        <v>135</v>
      </c>
      <c r="E111" s="32">
        <f t="shared" si="54"/>
        <v>7.462686567164179E-3</v>
      </c>
      <c r="F111" s="18">
        <f>IF(ISNUMBER(D111), $B118 * E111, "")</f>
        <v>746.26865671641792</v>
      </c>
      <c r="G111" s="31">
        <v>135</v>
      </c>
      <c r="H111" s="32">
        <f t="shared" si="55"/>
        <v>7.462686567164179E-3</v>
      </c>
      <c r="I111" s="101">
        <f>IF(ISNUMBER(G111), $B118 * H111, "")</f>
        <v>746.26865671641792</v>
      </c>
      <c r="J111" s="15">
        <v>134</v>
      </c>
      <c r="K111" s="32">
        <f t="shared" si="56"/>
        <v>0</v>
      </c>
      <c r="L111" s="18">
        <f>IF(ISNUMBER(J111), $B118 * K111, "")</f>
        <v>0</v>
      </c>
      <c r="M111" s="31">
        <v>135</v>
      </c>
      <c r="N111" s="32">
        <f t="shared" si="57"/>
        <v>7.462686567164179E-3</v>
      </c>
      <c r="O111" s="18">
        <f>IF(ISNUMBER(M111), $B118 * N111, "")</f>
        <v>746.26865671641792</v>
      </c>
      <c r="Q111" s="248"/>
      <c r="R111" s="248"/>
      <c r="S111" s="248"/>
    </row>
    <row r="112" spans="1:19" ht="17.25" thickBot="1">
      <c r="A112" s="127" t="s">
        <v>128</v>
      </c>
      <c r="B112" s="128">
        <v>103</v>
      </c>
      <c r="C112" s="78">
        <v>0.03</v>
      </c>
      <c r="D112" s="20">
        <v>102</v>
      </c>
      <c r="E112" s="21">
        <f t="shared" si="54"/>
        <v>-9.7087378640776691E-3</v>
      </c>
      <c r="F112" s="22">
        <f>IF(ISNUMBER(D112), $B118 * E112, "")</f>
        <v>-970.87378640776694</v>
      </c>
      <c r="G112" s="30">
        <v>100</v>
      </c>
      <c r="H112" s="21">
        <f t="shared" si="55"/>
        <v>-2.9126213592233011E-2</v>
      </c>
      <c r="I112" s="105">
        <f>IF(ISNUMBER(G112), $B118 * H112, "")</f>
        <v>-2912.6213592233012</v>
      </c>
      <c r="J112" s="20">
        <v>101</v>
      </c>
      <c r="K112" s="21">
        <f t="shared" si="56"/>
        <v>-1.9417475728155338E-2</v>
      </c>
      <c r="L112" s="22">
        <f>IF(ISNUMBER(J112), $B118 * K112, "")</f>
        <v>-1941.7475728155339</v>
      </c>
      <c r="M112" s="30">
        <v>104</v>
      </c>
      <c r="N112" s="21">
        <f t="shared" si="57"/>
        <v>9.7087378640776691E-3</v>
      </c>
      <c r="O112" s="22">
        <f>IF(ISNUMBER(M112), $B118 * N112, "")</f>
        <v>970.87378640776694</v>
      </c>
      <c r="Q112" s="248"/>
      <c r="R112" s="248"/>
      <c r="S112" s="248"/>
    </row>
    <row r="113" spans="1:19" ht="17.25" thickBot="1">
      <c r="A113" s="125" t="s">
        <v>146</v>
      </c>
      <c r="B113" s="129">
        <v>2620</v>
      </c>
      <c r="C113" s="80">
        <v>2.94695481E-2</v>
      </c>
      <c r="D113" s="106">
        <v>2625</v>
      </c>
      <c r="E113" s="107">
        <f>IF(ISNUMBER(D113), (D113 - $B113) / $B113, "")</f>
        <v>1.9083969465648854E-3</v>
      </c>
      <c r="F113" s="108">
        <f>IF(ISNUMBER(D113), $B118 * E113, "")</f>
        <v>190.83969465648855</v>
      </c>
      <c r="G113" s="109">
        <v>2645</v>
      </c>
      <c r="H113" s="107">
        <f>IF(ISNUMBER(G113), (G113 - $B113) / $B113, "")</f>
        <v>9.5419847328244278E-3</v>
      </c>
      <c r="I113" s="110">
        <f>IF(ISNUMBER(G113), $B118 * H113, "")</f>
        <v>954.19847328244282</v>
      </c>
      <c r="J113" s="106">
        <v>2655</v>
      </c>
      <c r="K113" s="107">
        <f>IF(ISNUMBER(J113), (J113 - $B113) / $B113, "")</f>
        <v>1.3358778625954198E-2</v>
      </c>
      <c r="L113" s="108">
        <f>IF(ISNUMBER(J113), $B118 * K113, "")</f>
        <v>1335.8778625954199</v>
      </c>
      <c r="M113" s="109">
        <v>2690</v>
      </c>
      <c r="N113" s="107">
        <f>IF(ISNUMBER(M113), (M113 - $B113) / $B113, "")</f>
        <v>2.6717557251908396E-2</v>
      </c>
      <c r="O113" s="108">
        <f>IF(ISNUMBER(M113), $B118 * N113, "")</f>
        <v>2671.7557251908397</v>
      </c>
      <c r="Q113" s="238"/>
      <c r="R113" s="238"/>
      <c r="S113" s="238"/>
    </row>
    <row r="114" spans="1:19" ht="17.25" thickBot="1">
      <c r="A114" s="125" t="s">
        <v>178</v>
      </c>
      <c r="B114" s="126">
        <v>15.1</v>
      </c>
      <c r="C114" s="77">
        <v>2.72108844E-2</v>
      </c>
      <c r="D114" s="15">
        <v>15.8</v>
      </c>
      <c r="E114" s="32">
        <f t="shared" ref="E114:E117" si="58">IF(ISNUMBER(D114), (D114 - $B114) / $B114, "")</f>
        <v>4.6357615894039805E-2</v>
      </c>
      <c r="F114" s="18">
        <f>IF(ISNUMBER(D114), $B118 * E114, "")</f>
        <v>4635.7615894039809</v>
      </c>
      <c r="G114" s="31">
        <v>15.8</v>
      </c>
      <c r="H114" s="32">
        <f t="shared" ref="H114:H117" si="59">IF(ISNUMBER(G114), (G114 - $B114) / $B114, "")</f>
        <v>4.6357615894039805E-2</v>
      </c>
      <c r="I114" s="101">
        <f>IF(ISNUMBER(G114), $B118 * H114, "")</f>
        <v>4635.7615894039809</v>
      </c>
      <c r="J114" s="15">
        <v>15.8</v>
      </c>
      <c r="K114" s="32">
        <f t="shared" ref="K114:K117" si="60">IF(ISNUMBER(J114), (J114 - $B114) / $B114, "")</f>
        <v>4.6357615894039805E-2</v>
      </c>
      <c r="L114" s="18">
        <f>IF(ISNUMBER(J114), $B118 * K114, "")</f>
        <v>4635.7615894039809</v>
      </c>
      <c r="M114" s="31">
        <v>16</v>
      </c>
      <c r="N114" s="32">
        <f t="shared" ref="N114:N117" si="61">IF(ISNUMBER(M114), (M114 - $B114) / $B114, "")</f>
        <v>5.9602649006622543E-2</v>
      </c>
      <c r="O114" s="18">
        <f>IF(ISNUMBER(M114), $B118 * N114, "")</f>
        <v>5960.2649006622541</v>
      </c>
      <c r="Q114" s="238"/>
      <c r="R114" s="238"/>
      <c r="S114" s="238"/>
    </row>
    <row r="115" spans="1:19" ht="17.25" thickBot="1">
      <c r="A115" s="125" t="s">
        <v>166</v>
      </c>
      <c r="B115" s="126">
        <v>158</v>
      </c>
      <c r="C115" s="77">
        <v>2.5974026000000001E-2</v>
      </c>
      <c r="D115" s="15">
        <v>188</v>
      </c>
      <c r="E115" s="32">
        <f t="shared" si="58"/>
        <v>0.189873417721519</v>
      </c>
      <c r="F115" s="18">
        <f>IF(ISNUMBER(D115), $B118 * E115, "")</f>
        <v>18987.3417721519</v>
      </c>
      <c r="G115" s="31">
        <v>184</v>
      </c>
      <c r="H115" s="32">
        <f t="shared" si="59"/>
        <v>0.16455696202531644</v>
      </c>
      <c r="I115" s="101">
        <f>IF(ISNUMBER(G115), $B118 * H115, "")</f>
        <v>16455.696202531646</v>
      </c>
      <c r="J115" s="15">
        <v>186</v>
      </c>
      <c r="K115" s="32">
        <f t="shared" si="60"/>
        <v>0.17721518987341772</v>
      </c>
      <c r="L115" s="18">
        <f>IF(ISNUMBER(J115), $B118 * K115, "")</f>
        <v>17721.518987341773</v>
      </c>
      <c r="M115" s="31">
        <v>187</v>
      </c>
      <c r="N115" s="32">
        <f t="shared" si="61"/>
        <v>0.18354430379746836</v>
      </c>
      <c r="O115" s="18">
        <f>IF(ISNUMBER(M115), $B118 * N115, "")</f>
        <v>18354.430379746835</v>
      </c>
      <c r="Q115" s="238"/>
      <c r="R115" s="238"/>
      <c r="S115" s="238"/>
    </row>
    <row r="116" spans="1:19">
      <c r="A116" s="125" t="s">
        <v>142</v>
      </c>
      <c r="B116" s="126">
        <v>9470</v>
      </c>
      <c r="C116" s="77">
        <v>2.21262817E-2</v>
      </c>
      <c r="D116" s="15">
        <v>9370</v>
      </c>
      <c r="E116" s="32">
        <f t="shared" si="58"/>
        <v>-1.0559662090813094E-2</v>
      </c>
      <c r="F116" s="18">
        <f>IF(ISNUMBER(D116), $B118 * E116, "")</f>
        <v>-1055.9662090813094</v>
      </c>
      <c r="G116" s="31">
        <v>9305</v>
      </c>
      <c r="H116" s="32">
        <f t="shared" si="59"/>
        <v>-1.7423442449841606E-2</v>
      </c>
      <c r="I116" s="101">
        <f>IF(ISNUMBER(G116), $B118 * H116, "")</f>
        <v>-1742.3442449841605</v>
      </c>
      <c r="J116" s="15">
        <v>9290</v>
      </c>
      <c r="K116" s="32">
        <f t="shared" si="60"/>
        <v>-1.9007391763463569E-2</v>
      </c>
      <c r="L116" s="18">
        <f>IF(ISNUMBER(J116), $B118 * K116, "")</f>
        <v>-1900.7391763463568</v>
      </c>
      <c r="M116" s="31">
        <v>9345</v>
      </c>
      <c r="N116" s="32">
        <f t="shared" si="61"/>
        <v>-1.3199577613516367E-2</v>
      </c>
      <c r="O116" s="18">
        <f>IF(ISNUMBER(M116), $B118 * N116, "")</f>
        <v>-1319.9577613516367</v>
      </c>
      <c r="Q116" s="227"/>
      <c r="R116" s="228"/>
      <c r="S116" s="229"/>
    </row>
    <row r="117" spans="1:19" ht="17.25" thickBot="1">
      <c r="A117" s="130" t="s">
        <v>170</v>
      </c>
      <c r="B117" s="131">
        <v>29310</v>
      </c>
      <c r="C117" s="79">
        <v>2.1966527199999999E-2</v>
      </c>
      <c r="D117" s="24">
        <v>29420</v>
      </c>
      <c r="E117" s="25">
        <f t="shared" si="58"/>
        <v>3.7529853292391675E-3</v>
      </c>
      <c r="F117" s="104">
        <f>IF(ISNUMBER(D117), $B118 * E117, "")</f>
        <v>375.29853292391675</v>
      </c>
      <c r="G117" s="102">
        <v>29100</v>
      </c>
      <c r="H117" s="25">
        <f t="shared" si="59"/>
        <v>-7.164790174002047E-3</v>
      </c>
      <c r="I117" s="103">
        <f>IF(ISNUMBER(G117), $B118 * H117, "")</f>
        <v>-716.47901740020473</v>
      </c>
      <c r="J117" s="24">
        <v>29120</v>
      </c>
      <c r="K117" s="25">
        <f t="shared" si="60"/>
        <v>-6.4824292050494709E-3</v>
      </c>
      <c r="L117" s="104">
        <f>IF(ISNUMBER(J117), $B118 * K117, "")</f>
        <v>-648.24292050494705</v>
      </c>
      <c r="M117" s="102">
        <v>29450</v>
      </c>
      <c r="N117" s="25">
        <f t="shared" si="61"/>
        <v>4.7765267826680316E-3</v>
      </c>
      <c r="O117" s="104">
        <f>IF(ISNUMBER(M117), $B118 * N117, "")</f>
        <v>477.65267826680315</v>
      </c>
      <c r="Q117" s="230"/>
      <c r="R117" s="231"/>
      <c r="S117" s="232"/>
    </row>
    <row r="118" spans="1:19" ht="17.25" thickBot="1">
      <c r="A118" s="132" t="s">
        <v>270</v>
      </c>
      <c r="B118" s="291">
        <f>$B$37</f>
        <v>100000</v>
      </c>
      <c r="C118" s="292"/>
      <c r="D118" s="26" t="s">
        <v>271</v>
      </c>
      <c r="E118" s="27">
        <f>IF(COUNT(E98:E117), SUM(E98:E117) / COUNT(E98:E117), 0)</f>
        <v>1.1018365030064328E-2</v>
      </c>
      <c r="F118" s="28">
        <f>SUM(F98:F117)</f>
        <v>22036.730060128655</v>
      </c>
      <c r="G118" s="26" t="s">
        <v>271</v>
      </c>
      <c r="H118" s="27">
        <f>IF(COUNT(H98:H117), SUM(H98:H117) / COUNT(H98:H117), 0)</f>
        <v>1.6502469333257887E-4</v>
      </c>
      <c r="I118" s="28">
        <f>SUM(I98:I117)</f>
        <v>330.04938666515943</v>
      </c>
      <c r="J118" s="26" t="s">
        <v>271</v>
      </c>
      <c r="K118" s="27">
        <f>IF(COUNT(K98:K117), SUM(K98:K117) / COUNT(K98:K117), 0)</f>
        <v>1.3380632325478983E-3</v>
      </c>
      <c r="L118" s="28">
        <f>SUM(L98:L117)</f>
        <v>2676.1264650957942</v>
      </c>
      <c r="M118" s="26" t="s">
        <v>271</v>
      </c>
      <c r="N118" s="27">
        <f>IF(COUNT(N98:N117), SUM(N98:N117) / COUNT(N98:N117), 0)</f>
        <v>1.5672241069956041E-2</v>
      </c>
      <c r="O118" s="28">
        <f>SUM(O98:O117)</f>
        <v>31344.482139912077</v>
      </c>
      <c r="Q118" s="233"/>
      <c r="R118" s="234"/>
      <c r="S118" s="23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48"/>
      <c r="R121" s="248"/>
      <c r="S121" s="248"/>
    </row>
    <row r="122" spans="1:19" ht="17.25" thickBot="1">
      <c r="A122" s="173" t="s">
        <v>267</v>
      </c>
      <c r="B122" s="249" t="s">
        <v>49</v>
      </c>
      <c r="C122" s="251"/>
      <c r="D122" s="249" t="s">
        <v>58</v>
      </c>
      <c r="E122" s="250"/>
      <c r="F122" s="251"/>
      <c r="G122" s="252">
        <f>_xlfn.IFNA(VLOOKUP(B122, 현재가테이블!$B$2:$D$200, 2, FALSE), "-")</f>
        <v>54440000</v>
      </c>
      <c r="H122" s="253"/>
      <c r="I122" s="254"/>
      <c r="J122" s="249" t="s">
        <v>59</v>
      </c>
      <c r="K122" s="250"/>
      <c r="L122" s="251"/>
      <c r="M122" s="255">
        <f>_xlfn.IFNA(VLOOKUP(B122, 현재가테이블!$B$2:$D$200, 3, FALSE), "-")</f>
        <v>1.07123628E-2</v>
      </c>
      <c r="N122" s="256"/>
      <c r="O122" s="257"/>
      <c r="Q122" s="248"/>
      <c r="R122" s="248"/>
      <c r="S122" s="248"/>
    </row>
    <row r="123" spans="1:19" ht="17.25" thickBot="1">
      <c r="A123" s="293" t="s">
        <v>55</v>
      </c>
      <c r="B123" s="289" t="str">
        <f>TEXT($G$1, "[$-ko-KR]yyyy-mm-dd(ddd) ") &amp; "오전 00:00"</f>
        <v>2021-08-05(목) 오전 00:00</v>
      </c>
      <c r="C123" s="290"/>
      <c r="D123" s="262" t="str">
        <f>TEXT($G$1, "[$-ko-KR]yyyy-mm-dd(ddd) ") &amp; "오후 14:00"</f>
        <v>2021-08-05(목) 오후 14:00</v>
      </c>
      <c r="E123" s="263"/>
      <c r="F123" s="264"/>
      <c r="G123" s="262" t="str">
        <f>TEXT($G$1, "[$-ko-KR]yyyy-mm-dd(ddd) ") &amp; "오후 19:00"</f>
        <v>2021-08-05(목) 오후 19:00</v>
      </c>
      <c r="H123" s="263"/>
      <c r="I123" s="264"/>
      <c r="J123" s="262" t="str">
        <f>TEXT($G$1, "[$-ko-KR]yyyy-mm-dd(ddd) ") &amp; "오후 21:00"</f>
        <v>2021-08-05(목) 오후 21:00</v>
      </c>
      <c r="K123" s="263"/>
      <c r="L123" s="264"/>
      <c r="M123" s="262" t="str">
        <f>TEXT($G$1+1, "[$-ko-KR]yyyy-mm-dd(ddd) ") &amp; "오전 00:00"</f>
        <v>2021-08-06(금) 오전 00:00</v>
      </c>
      <c r="N123" s="263"/>
      <c r="O123" s="264"/>
      <c r="Q123" s="248"/>
      <c r="R123" s="248"/>
      <c r="S123" s="248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8"/>
      <c r="R124" s="238"/>
      <c r="S124" s="238"/>
    </row>
    <row r="125" spans="1:19" ht="17.25" thickBot="1">
      <c r="A125" s="123" t="s">
        <v>152</v>
      </c>
      <c r="B125" s="124">
        <v>78.3</v>
      </c>
      <c r="C125" s="76">
        <v>3.8461538500000003E-2</v>
      </c>
      <c r="D125" s="13">
        <v>81</v>
      </c>
      <c r="E125" s="14">
        <f>IF(ISNUMBER(D125), (D125 - $B125) / $B125, "")</f>
        <v>3.4482758620689689E-2</v>
      </c>
      <c r="F125" s="16">
        <f>IF(ISNUMBER(D125), $B145 * E125, "")</f>
        <v>3448.2758620689688</v>
      </c>
      <c r="G125" s="29">
        <v>79.900000000000006</v>
      </c>
      <c r="H125" s="14">
        <f>IF(ISNUMBER(G125), (G125 - $B125) / $B125, "")</f>
        <v>2.0434227330779164E-2</v>
      </c>
      <c r="I125" s="100">
        <f>IF(ISNUMBER(G125), $B145 * H125, "")</f>
        <v>2043.4227330779163</v>
      </c>
      <c r="J125" s="13">
        <v>80.099999999999994</v>
      </c>
      <c r="K125" s="14">
        <f>IF(ISNUMBER(J125), (J125 - $B125) / $B125, "")</f>
        <v>2.2988505747126402E-2</v>
      </c>
      <c r="L125" s="16">
        <f>IF(ISNUMBER(J125), $B145 * K125, "")</f>
        <v>2298.8505747126401</v>
      </c>
      <c r="M125" s="29">
        <v>80.2</v>
      </c>
      <c r="N125" s="14">
        <f>IF(ISNUMBER(M125), (M125 - $B125) / $B125, "")</f>
        <v>2.4265644955300199E-2</v>
      </c>
      <c r="O125" s="16">
        <f>IF(ISNUMBER(M125), $B145 * N125, "")</f>
        <v>2426.5644955300199</v>
      </c>
      <c r="Q125" s="248"/>
      <c r="R125" s="248"/>
      <c r="S125" s="248"/>
    </row>
    <row r="126" spans="1:19" ht="17.25" thickBot="1">
      <c r="A126" s="125" t="s">
        <v>178</v>
      </c>
      <c r="B126" s="126">
        <v>15.1</v>
      </c>
      <c r="C126" s="77">
        <v>2.72108844E-2</v>
      </c>
      <c r="D126" s="15">
        <v>15.8</v>
      </c>
      <c r="E126" s="32">
        <f t="shared" ref="E126:E129" si="62">IF(ISNUMBER(D126), (D126 - $B126) / $B126, "")</f>
        <v>4.6357615894039805E-2</v>
      </c>
      <c r="F126" s="18">
        <f>IF(ISNUMBER(D126), $B145 * E126, "")</f>
        <v>4635.7615894039809</v>
      </c>
      <c r="G126" s="31">
        <v>15.8</v>
      </c>
      <c r="H126" s="32">
        <f t="shared" ref="H126:H129" si="63">IF(ISNUMBER(G126), (G126 - $B126) / $B126, "")</f>
        <v>4.6357615894039805E-2</v>
      </c>
      <c r="I126" s="101">
        <f>IF(ISNUMBER(G126), $B145 * H126, "")</f>
        <v>4635.7615894039809</v>
      </c>
      <c r="J126" s="15">
        <v>15.8</v>
      </c>
      <c r="K126" s="32">
        <f t="shared" ref="K126:K129" si="64">IF(ISNUMBER(J126), (J126 - $B126) / $B126, "")</f>
        <v>4.6357615894039805E-2</v>
      </c>
      <c r="L126" s="18">
        <f>IF(ISNUMBER(J126), $B145 * K126, "")</f>
        <v>4635.7615894039809</v>
      </c>
      <c r="M126" s="31">
        <v>16</v>
      </c>
      <c r="N126" s="32">
        <f t="shared" ref="N126:N129" si="65">IF(ISNUMBER(M126), (M126 - $B126) / $B126, "")</f>
        <v>5.9602649006622543E-2</v>
      </c>
      <c r="O126" s="18">
        <f>IF(ISNUMBER(M126), $B145 * N126, "")</f>
        <v>5960.2649006622541</v>
      </c>
      <c r="Q126" s="248"/>
      <c r="R126" s="248"/>
      <c r="S126" s="248"/>
    </row>
    <row r="127" spans="1:19" ht="17.25" thickBot="1">
      <c r="A127" s="125" t="s">
        <v>188</v>
      </c>
      <c r="B127" s="126">
        <v>11.1</v>
      </c>
      <c r="C127" s="77">
        <v>1.83486239E-2</v>
      </c>
      <c r="D127" s="15">
        <v>11.2</v>
      </c>
      <c r="E127" s="32">
        <f t="shared" si="62"/>
        <v>9.0090090090089777E-3</v>
      </c>
      <c r="F127" s="18">
        <f>IF(ISNUMBER(D127), $B145 * E127, "")</f>
        <v>900.9009009008978</v>
      </c>
      <c r="G127" s="31">
        <v>11.2</v>
      </c>
      <c r="H127" s="32">
        <f t="shared" si="63"/>
        <v>9.0090090090089777E-3</v>
      </c>
      <c r="I127" s="101">
        <f>IF(ISNUMBER(G127), $B145 * H127, "")</f>
        <v>900.9009009008978</v>
      </c>
      <c r="J127" s="15">
        <v>11.2</v>
      </c>
      <c r="K127" s="32">
        <f t="shared" si="64"/>
        <v>9.0090090090089777E-3</v>
      </c>
      <c r="L127" s="18">
        <f>IF(ISNUMBER(J127), $B145 * K127, "")</f>
        <v>900.9009009008978</v>
      </c>
      <c r="M127" s="31">
        <v>11.4</v>
      </c>
      <c r="N127" s="32">
        <f t="shared" si="65"/>
        <v>2.7027027027027091E-2</v>
      </c>
      <c r="O127" s="18">
        <f>IF(ISNUMBER(M127), $B145 * N127, "")</f>
        <v>2702.7027027027093</v>
      </c>
      <c r="Q127" s="238"/>
      <c r="R127" s="238"/>
      <c r="S127" s="238"/>
    </row>
    <row r="128" spans="1:19" ht="17.25" thickBot="1">
      <c r="A128" s="125" t="s">
        <v>250</v>
      </c>
      <c r="B128" s="126">
        <v>60.8</v>
      </c>
      <c r="C128" s="77">
        <v>1.6722408000000001E-2</v>
      </c>
      <c r="D128" s="15">
        <v>64.3</v>
      </c>
      <c r="E128" s="32">
        <f t="shared" si="62"/>
        <v>5.7565789473684216E-2</v>
      </c>
      <c r="F128" s="18">
        <f>IF(ISNUMBER(D128), $B145 * E128, "")</f>
        <v>5756.5789473684217</v>
      </c>
      <c r="G128" s="31">
        <v>63.5</v>
      </c>
      <c r="H128" s="32">
        <f t="shared" si="63"/>
        <v>4.4407894736842153E-2</v>
      </c>
      <c r="I128" s="101">
        <f>IF(ISNUMBER(G128), $B145 * H128, "")</f>
        <v>4440.7894736842154</v>
      </c>
      <c r="J128" s="15">
        <v>63.6</v>
      </c>
      <c r="K128" s="32">
        <f t="shared" si="64"/>
        <v>4.6052631578947442E-2</v>
      </c>
      <c r="L128" s="18">
        <f>IF(ISNUMBER(J128), $B145 * K128, "")</f>
        <v>4605.2631578947439</v>
      </c>
      <c r="M128" s="31">
        <v>64.400000000000006</v>
      </c>
      <c r="N128" s="32">
        <f t="shared" si="65"/>
        <v>5.9210526315789616E-2</v>
      </c>
      <c r="O128" s="18">
        <f>IF(ISNUMBER(M128), $B145 * N128, "")</f>
        <v>5921.0526315789621</v>
      </c>
      <c r="Q128" s="238"/>
      <c r="R128" s="238"/>
      <c r="S128" s="238"/>
    </row>
    <row r="129" spans="1:19" ht="17.25" thickBot="1">
      <c r="A129" s="127" t="s">
        <v>132</v>
      </c>
      <c r="B129" s="128">
        <v>93.4</v>
      </c>
      <c r="C129" s="78">
        <v>9.7297297000000001E-3</v>
      </c>
      <c r="D129" s="20">
        <v>93.2</v>
      </c>
      <c r="E129" s="21">
        <f t="shared" si="62"/>
        <v>-2.1413276231263688E-3</v>
      </c>
      <c r="F129" s="22">
        <f>IF(ISNUMBER(D129), $B145 * E129, "")</f>
        <v>-214.13276231263688</v>
      </c>
      <c r="G129" s="30">
        <v>93</v>
      </c>
      <c r="H129" s="21">
        <f t="shared" si="63"/>
        <v>-4.2826552462527376E-3</v>
      </c>
      <c r="I129" s="105">
        <f>IF(ISNUMBER(G129), $B145 * H129, "")</f>
        <v>-428.26552462527377</v>
      </c>
      <c r="J129" s="20">
        <v>93</v>
      </c>
      <c r="K129" s="21">
        <f t="shared" si="64"/>
        <v>-4.2826552462527376E-3</v>
      </c>
      <c r="L129" s="22">
        <f>IF(ISNUMBER(J129), $B145 * K129, "")</f>
        <v>-428.26552462527377</v>
      </c>
      <c r="M129" s="30">
        <v>97.1</v>
      </c>
      <c r="N129" s="21">
        <f t="shared" si="65"/>
        <v>3.9614561027837135E-2</v>
      </c>
      <c r="O129" s="22">
        <f>IF(ISNUMBER(M129), $B145 * N129, "")</f>
        <v>3961.4561027837135</v>
      </c>
      <c r="Q129" s="238"/>
      <c r="R129" s="238"/>
      <c r="S129" s="238"/>
    </row>
    <row r="130" spans="1:19" ht="17.25" thickBot="1">
      <c r="A130" s="125" t="s">
        <v>150</v>
      </c>
      <c r="B130" s="129">
        <v>10.6</v>
      </c>
      <c r="C130" s="80">
        <v>9.5238094999999991E-3</v>
      </c>
      <c r="D130" s="106">
        <v>11.5</v>
      </c>
      <c r="E130" s="107">
        <f>IF(ISNUMBER(D130), (D130 - $B130) / $B130, "")</f>
        <v>8.4905660377358527E-2</v>
      </c>
      <c r="F130" s="108">
        <f>IF(ISNUMBER(D130), $B145 * E130, "")</f>
        <v>8490.5660377358527</v>
      </c>
      <c r="G130" s="109">
        <v>12.8</v>
      </c>
      <c r="H130" s="107">
        <f>IF(ISNUMBER(G130), (G130 - $B130) / $B130, "")</f>
        <v>0.20754716981132088</v>
      </c>
      <c r="I130" s="110">
        <f>IF(ISNUMBER(G130), $B145 * H130, "")</f>
        <v>20754.716981132089</v>
      </c>
      <c r="J130" s="106">
        <v>12.7</v>
      </c>
      <c r="K130" s="107">
        <f>IF(ISNUMBER(J130), (J130 - $B130) / $B130, "")</f>
        <v>0.1981132075471698</v>
      </c>
      <c r="L130" s="108">
        <f>IF(ISNUMBER(J130), $B145 * K130, "")</f>
        <v>19811.32075471698</v>
      </c>
      <c r="M130" s="109">
        <v>12.4</v>
      </c>
      <c r="N130" s="107">
        <f>IF(ISNUMBER(M130), (M130 - $B130) / $B130, "")</f>
        <v>0.16981132075471705</v>
      </c>
      <c r="O130" s="108">
        <f>IF(ISNUMBER(M130), $B145 * N130, "")</f>
        <v>16981.132075471705</v>
      </c>
      <c r="Q130" s="238"/>
      <c r="R130" s="238"/>
      <c r="S130" s="238"/>
    </row>
    <row r="131" spans="1:19" ht="17.25" thickBot="1">
      <c r="A131" s="125" t="s">
        <v>208</v>
      </c>
      <c r="B131" s="126">
        <v>10.9</v>
      </c>
      <c r="C131" s="77">
        <v>9.2592592999999994E-3</v>
      </c>
      <c r="D131" s="15">
        <v>11.1</v>
      </c>
      <c r="E131" s="32">
        <f t="shared" ref="E131:E134" si="66">IF(ISNUMBER(D131), (D131 - $B131) / $B131, "")</f>
        <v>1.8348623853210944E-2</v>
      </c>
      <c r="F131" s="18">
        <f>IF(ISNUMBER(D131), $B145 * E131, "")</f>
        <v>1834.8623853210945</v>
      </c>
      <c r="G131" s="31">
        <v>11.1</v>
      </c>
      <c r="H131" s="32">
        <f t="shared" ref="H131:H134" si="67">IF(ISNUMBER(G131), (G131 - $B131) / $B131, "")</f>
        <v>1.8348623853210944E-2</v>
      </c>
      <c r="I131" s="101">
        <f>IF(ISNUMBER(G131), $B145 * H131, "")</f>
        <v>1834.8623853210945</v>
      </c>
      <c r="J131" s="15">
        <v>10.9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11.2</v>
      </c>
      <c r="N131" s="32">
        <f t="shared" ref="N131:N134" si="69">IF(ISNUMBER(M131), (M131 - $B131) / $B131, "")</f>
        <v>2.7522935779816415E-2</v>
      </c>
      <c r="O131" s="18">
        <f>IF(ISNUMBER(M131), $B145 * N131, "")</f>
        <v>2752.2935779816416</v>
      </c>
      <c r="Q131" s="238"/>
      <c r="R131" s="238"/>
      <c r="S131" s="238"/>
    </row>
    <row r="132" spans="1:19" ht="17.25" thickBot="1">
      <c r="A132" s="125" t="s">
        <v>202</v>
      </c>
      <c r="B132" s="126">
        <v>67.8</v>
      </c>
      <c r="C132" s="77">
        <v>4.4444443999999998E-3</v>
      </c>
      <c r="D132" s="15">
        <v>67.8</v>
      </c>
      <c r="E132" s="32">
        <f t="shared" si="66"/>
        <v>0</v>
      </c>
      <c r="F132" s="18">
        <f>IF(ISNUMBER(D132), $B145 * E132, "")</f>
        <v>0</v>
      </c>
      <c r="G132" s="31">
        <v>67.8</v>
      </c>
      <c r="H132" s="32">
        <f t="shared" si="67"/>
        <v>0</v>
      </c>
      <c r="I132" s="101">
        <f>IF(ISNUMBER(G132), $B145 * H132, "")</f>
        <v>0</v>
      </c>
      <c r="J132" s="15">
        <v>67.599999999999994</v>
      </c>
      <c r="K132" s="32">
        <f t="shared" si="68"/>
        <v>-2.9498525073746733E-3</v>
      </c>
      <c r="L132" s="18">
        <f>IF(ISNUMBER(J132), $B145 * K132, "")</f>
        <v>-294.98525073746731</v>
      </c>
      <c r="M132" s="31">
        <v>68.599999999999994</v>
      </c>
      <c r="N132" s="32">
        <f t="shared" si="69"/>
        <v>1.1799410029498483E-2</v>
      </c>
      <c r="O132" s="18">
        <f>IF(ISNUMBER(M132), $B145 * N132, "")</f>
        <v>1179.9410029498483</v>
      </c>
      <c r="Q132" s="238"/>
      <c r="R132" s="238"/>
      <c r="S132" s="238"/>
    </row>
    <row r="133" spans="1:19" ht="17.25" thickBot="1">
      <c r="A133" s="125" t="s">
        <v>162</v>
      </c>
      <c r="B133" s="126">
        <v>91.9</v>
      </c>
      <c r="C133" s="77">
        <v>4.3715847000000002E-3</v>
      </c>
      <c r="D133" s="15">
        <v>92.3</v>
      </c>
      <c r="E133" s="32">
        <f t="shared" si="66"/>
        <v>4.3525571273122033E-3</v>
      </c>
      <c r="F133" s="18">
        <f>IF(ISNUMBER(D133), $B145 * E133, "")</f>
        <v>435.25571273122034</v>
      </c>
      <c r="G133" s="31">
        <v>91</v>
      </c>
      <c r="H133" s="32">
        <f t="shared" si="67"/>
        <v>-9.7932535364527278E-3</v>
      </c>
      <c r="I133" s="101">
        <f>IF(ISNUMBER(G133), $B145 * H133, "")</f>
        <v>-979.3253536452728</v>
      </c>
      <c r="J133" s="15">
        <v>91</v>
      </c>
      <c r="K133" s="32">
        <f t="shared" si="68"/>
        <v>-9.7932535364527278E-3</v>
      </c>
      <c r="L133" s="18">
        <f>IF(ISNUMBER(J133), $B145 * K133, "")</f>
        <v>-979.3253536452728</v>
      </c>
      <c r="M133" s="31">
        <v>92.8</v>
      </c>
      <c r="N133" s="32">
        <f t="shared" si="69"/>
        <v>9.7932535364525734E-3</v>
      </c>
      <c r="O133" s="18">
        <f>IF(ISNUMBER(M133), $B145 * N133, "")</f>
        <v>979.32535364525734</v>
      </c>
      <c r="Q133" s="33"/>
      <c r="R133" s="33"/>
    </row>
    <row r="134" spans="1:19" ht="17.25" thickBot="1">
      <c r="A134" s="130" t="s">
        <v>122</v>
      </c>
      <c r="B134" s="131">
        <v>25.2</v>
      </c>
      <c r="C134" s="79">
        <v>3.9840637000000002E-3</v>
      </c>
      <c r="D134" s="24">
        <v>28.7</v>
      </c>
      <c r="E134" s="25">
        <f t="shared" si="66"/>
        <v>0.1388888888888889</v>
      </c>
      <c r="F134" s="104">
        <f>IF(ISNUMBER(D134), $B145 * E134, "")</f>
        <v>13888.888888888889</v>
      </c>
      <c r="G134" s="102">
        <v>27.8</v>
      </c>
      <c r="H134" s="25">
        <f t="shared" si="67"/>
        <v>0.10317460317460324</v>
      </c>
      <c r="I134" s="103">
        <f>IF(ISNUMBER(G134), $B145 * H134, "")</f>
        <v>10317.460317460323</v>
      </c>
      <c r="J134" s="24">
        <v>27.6</v>
      </c>
      <c r="K134" s="25">
        <f t="shared" si="68"/>
        <v>9.523809523809533E-2</v>
      </c>
      <c r="L134" s="104">
        <f>IF(ISNUMBER(J134), $B145 * K134, "")</f>
        <v>9523.8095238095339</v>
      </c>
      <c r="M134" s="102">
        <v>28.3</v>
      </c>
      <c r="N134" s="25">
        <f t="shared" si="69"/>
        <v>0.12301587301587308</v>
      </c>
      <c r="O134" s="104">
        <f>IF(ISNUMBER(M134), $B145 * N134, "")</f>
        <v>12301.587301587308</v>
      </c>
      <c r="Q134" s="239"/>
      <c r="R134" s="240"/>
      <c r="S134" s="241"/>
    </row>
    <row r="135" spans="1:19">
      <c r="A135" s="123" t="s">
        <v>216</v>
      </c>
      <c r="B135" s="124">
        <v>9.18</v>
      </c>
      <c r="C135" s="76">
        <v>3.2786884999999998E-3</v>
      </c>
      <c r="D135" s="13">
        <v>9.65</v>
      </c>
      <c r="E135" s="14">
        <f>IF(ISNUMBER(D135), (D135 - $B135) / $B135, "")</f>
        <v>5.1198257080610092E-2</v>
      </c>
      <c r="F135" s="16">
        <f>IF(ISNUMBER(D135), $B145 * E135, "")</f>
        <v>5119.8257080610092</v>
      </c>
      <c r="G135" s="29">
        <v>9.65</v>
      </c>
      <c r="H135" s="14">
        <f>IF(ISNUMBER(G135), (G135 - $B135) / $B135, "")</f>
        <v>5.1198257080610092E-2</v>
      </c>
      <c r="I135" s="100">
        <f>IF(ISNUMBER(G135), $B145 * H135, "")</f>
        <v>5119.8257080610092</v>
      </c>
      <c r="J135" s="13">
        <v>9.56</v>
      </c>
      <c r="K135" s="14">
        <f>IF(ISNUMBER(J135), (J135 - $B135) / $B135, "")</f>
        <v>4.1394335511982655E-2</v>
      </c>
      <c r="L135" s="16">
        <f>IF(ISNUMBER(J135), $B145 * K135, "")</f>
        <v>4139.4335511982654</v>
      </c>
      <c r="M135" s="29">
        <v>9.58</v>
      </c>
      <c r="N135" s="14">
        <f>IF(ISNUMBER(M135), (M135 - $B135) / $B135, "")</f>
        <v>4.3572984749455375E-2</v>
      </c>
      <c r="O135" s="16">
        <f>IF(ISNUMBER(M135), $B145 * N135, "")</f>
        <v>4357.2984749455372</v>
      </c>
      <c r="Q135" s="242"/>
      <c r="R135" s="243"/>
      <c r="S135" s="244"/>
    </row>
    <row r="136" spans="1:19" ht="17.25" thickBot="1">
      <c r="A136" s="125" t="s">
        <v>72</v>
      </c>
      <c r="B136" s="126">
        <v>20.5</v>
      </c>
      <c r="C136" s="77">
        <v>0</v>
      </c>
      <c r="D136" s="15">
        <v>20.8</v>
      </c>
      <c r="E136" s="32">
        <f t="shared" ref="E136:E139" si="70">IF(ISNUMBER(D136), (D136 - $B136) / $B136, "")</f>
        <v>1.4634146341463448E-2</v>
      </c>
      <c r="F136" s="18">
        <f>IF(ISNUMBER(D136), $B145 * E136, "")</f>
        <v>1463.414634146345</v>
      </c>
      <c r="G136" s="31">
        <v>20.8</v>
      </c>
      <c r="H136" s="32">
        <f t="shared" ref="H136:H139" si="71">IF(ISNUMBER(G136), (G136 - $B136) / $B136, "")</f>
        <v>1.4634146341463448E-2</v>
      </c>
      <c r="I136" s="101">
        <f>IF(ISNUMBER(G136), $B145 * H136, "")</f>
        <v>1463.414634146345</v>
      </c>
      <c r="J136" s="15">
        <v>20.7</v>
      </c>
      <c r="K136" s="32">
        <f t="shared" ref="K136:K139" si="72">IF(ISNUMBER(J136), (J136 - $B136) / $B136, "")</f>
        <v>9.7560975609755751E-3</v>
      </c>
      <c r="L136" s="18">
        <f>IF(ISNUMBER(J136), $B145 * K136, "")</f>
        <v>975.60975609755747</v>
      </c>
      <c r="M136" s="31">
        <v>21</v>
      </c>
      <c r="N136" s="32">
        <f t="shared" ref="N136:N139" si="73">IF(ISNUMBER(M136), (M136 - $B136) / $B136, "")</f>
        <v>2.4390243902439025E-2</v>
      </c>
      <c r="O136" s="18">
        <f>IF(ISNUMBER(M136), $B145 * N136, "")</f>
        <v>2439.0243902439024</v>
      </c>
      <c r="Q136" s="245"/>
      <c r="R136" s="246"/>
      <c r="S136" s="247"/>
    </row>
    <row r="137" spans="1:19" ht="17.25" thickBot="1">
      <c r="A137" s="125" t="s">
        <v>130</v>
      </c>
      <c r="B137" s="126">
        <v>90.7</v>
      </c>
      <c r="C137" s="77">
        <v>0</v>
      </c>
      <c r="D137" s="15">
        <v>98.6</v>
      </c>
      <c r="E137" s="32">
        <f t="shared" si="70"/>
        <v>8.7100330760749634E-2</v>
      </c>
      <c r="F137" s="18">
        <f>IF(ISNUMBER(D137), $B145 * E137, "")</f>
        <v>8710.0330760749639</v>
      </c>
      <c r="G137" s="31">
        <v>97.7</v>
      </c>
      <c r="H137" s="32">
        <f t="shared" si="71"/>
        <v>7.7177508269018744E-2</v>
      </c>
      <c r="I137" s="101">
        <f>IF(ISNUMBER(G137), $B145 * H137, "")</f>
        <v>7717.7508269018745</v>
      </c>
      <c r="J137" s="15">
        <v>98</v>
      </c>
      <c r="K137" s="32">
        <f t="shared" si="72"/>
        <v>8.0485115766262369E-2</v>
      </c>
      <c r="L137" s="18">
        <f>IF(ISNUMBER(J137), $B145 * K137, "")</f>
        <v>8048.511576626237</v>
      </c>
      <c r="M137" s="31">
        <v>99.8</v>
      </c>
      <c r="N137" s="32">
        <f t="shared" si="73"/>
        <v>0.1003307607497243</v>
      </c>
      <c r="O137" s="18">
        <f>IF(ISNUMBER(M137), $B145 * N137, "")</f>
        <v>10033.07607497243</v>
      </c>
      <c r="Q137" s="238"/>
      <c r="R137" s="238"/>
      <c r="S137" s="238"/>
    </row>
    <row r="138" spans="1:19" ht="17.25" thickBot="1">
      <c r="A138" s="125" t="s">
        <v>65</v>
      </c>
      <c r="B138" s="126">
        <v>28.8</v>
      </c>
      <c r="C138" s="77">
        <v>-6.8965516999999997E-3</v>
      </c>
      <c r="D138" s="15">
        <v>29.1</v>
      </c>
      <c r="E138" s="32">
        <f t="shared" si="70"/>
        <v>1.041666666666669E-2</v>
      </c>
      <c r="F138" s="18">
        <f>IF(ISNUMBER(D138), $B145 * E138, "")</f>
        <v>1041.666666666669</v>
      </c>
      <c r="G138" s="31">
        <v>28.7</v>
      </c>
      <c r="H138" s="32">
        <f t="shared" si="71"/>
        <v>-3.4722222222222715E-3</v>
      </c>
      <c r="I138" s="101">
        <f>IF(ISNUMBER(G138), $B145 * H138, "")</f>
        <v>-347.22222222222717</v>
      </c>
      <c r="J138" s="15">
        <v>28.7</v>
      </c>
      <c r="K138" s="32">
        <f t="shared" si="72"/>
        <v>-3.4722222222222715E-3</v>
      </c>
      <c r="L138" s="18">
        <f>IF(ISNUMBER(J138), $B145 * K138, "")</f>
        <v>-347.22222222222717</v>
      </c>
      <c r="M138" s="31">
        <v>29.3</v>
      </c>
      <c r="N138" s="32">
        <f t="shared" si="73"/>
        <v>1.7361111111111112E-2</v>
      </c>
      <c r="O138" s="18">
        <f>IF(ISNUMBER(M138), $B145 * N138, "")</f>
        <v>1736.1111111111111</v>
      </c>
      <c r="Q138" s="248"/>
      <c r="R138" s="248"/>
      <c r="S138" s="248"/>
    </row>
    <row r="139" spans="1:19" ht="17.25" thickBot="1">
      <c r="A139" s="127" t="s">
        <v>210</v>
      </c>
      <c r="B139" s="128">
        <v>10.5</v>
      </c>
      <c r="C139" s="78">
        <v>-9.4339622999999994E-3</v>
      </c>
      <c r="D139" s="20">
        <v>10.9</v>
      </c>
      <c r="E139" s="21">
        <f t="shared" si="70"/>
        <v>3.8095238095238126E-2</v>
      </c>
      <c r="F139" s="22">
        <f>IF(ISNUMBER(D139), $B145 * E139, "")</f>
        <v>3809.5238095238128</v>
      </c>
      <c r="G139" s="30">
        <v>10.9</v>
      </c>
      <c r="H139" s="21">
        <f t="shared" si="71"/>
        <v>3.8095238095238126E-2</v>
      </c>
      <c r="I139" s="105">
        <f>IF(ISNUMBER(G139), $B145 * H139, "")</f>
        <v>3809.5238095238128</v>
      </c>
      <c r="J139" s="20">
        <v>11</v>
      </c>
      <c r="K139" s="21">
        <f t="shared" si="72"/>
        <v>4.7619047619047616E-2</v>
      </c>
      <c r="L139" s="22">
        <f>IF(ISNUMBER(J139), $B145 * K139, "")</f>
        <v>4761.9047619047615</v>
      </c>
      <c r="M139" s="30">
        <v>11</v>
      </c>
      <c r="N139" s="21">
        <f t="shared" si="73"/>
        <v>4.7619047619047616E-2</v>
      </c>
      <c r="O139" s="22">
        <f>IF(ISNUMBER(M139), $B145 * N139, "")</f>
        <v>4761.9047619047615</v>
      </c>
      <c r="Q139" s="248"/>
      <c r="R139" s="248"/>
      <c r="S139" s="248"/>
    </row>
    <row r="140" spans="1:19" ht="17.25" thickBot="1">
      <c r="A140" s="125" t="s">
        <v>238</v>
      </c>
      <c r="B140" s="129">
        <v>93.8</v>
      </c>
      <c r="C140" s="80">
        <v>-9.5036958999999994E-3</v>
      </c>
      <c r="D140" s="106">
        <v>96</v>
      </c>
      <c r="E140" s="107">
        <f>IF(ISNUMBER(D140), (D140 - $B140) / $B140, "")</f>
        <v>2.3454157782516024E-2</v>
      </c>
      <c r="F140" s="108">
        <f>IF(ISNUMBER(D140), $B145 * E140, "")</f>
        <v>2345.4157782516022</v>
      </c>
      <c r="G140" s="109">
        <v>95.7</v>
      </c>
      <c r="H140" s="107">
        <f>IF(ISNUMBER(G140), (G140 - $B140) / $B140, "")</f>
        <v>2.0255863539445692E-2</v>
      </c>
      <c r="I140" s="110">
        <f>IF(ISNUMBER(G140), $B145 * H140, "")</f>
        <v>2025.5863539445693</v>
      </c>
      <c r="J140" s="106">
        <v>95.4</v>
      </c>
      <c r="K140" s="107">
        <f>IF(ISNUMBER(J140), (J140 - $B140) / $B140, "")</f>
        <v>1.7057569296375356E-2</v>
      </c>
      <c r="L140" s="108">
        <f>IF(ISNUMBER(J140), $B145 * K140, "")</f>
        <v>1705.7569296375357</v>
      </c>
      <c r="M140" s="109">
        <v>97.7</v>
      </c>
      <c r="N140" s="107">
        <f>IF(ISNUMBER(M140), (M140 - $B140) / $B140, "")</f>
        <v>4.1577825159914775E-2</v>
      </c>
      <c r="O140" s="108">
        <f>IF(ISNUMBER(M140), $B145 * N140, "")</f>
        <v>4157.7825159914773</v>
      </c>
      <c r="Q140" s="238"/>
      <c r="R140" s="238"/>
      <c r="S140" s="238"/>
    </row>
    <row r="141" spans="1:19" ht="17.25" thickBot="1">
      <c r="A141" s="125" t="s">
        <v>204</v>
      </c>
      <c r="B141" s="126">
        <v>12.3</v>
      </c>
      <c r="C141" s="77">
        <v>-1.6E-2</v>
      </c>
      <c r="D141" s="15">
        <v>13</v>
      </c>
      <c r="E141" s="32">
        <f t="shared" ref="E141:E144" si="74">IF(ISNUMBER(D141), (D141 - $B141) / $B141, "")</f>
        <v>5.6910569105690999E-2</v>
      </c>
      <c r="F141" s="18">
        <f>IF(ISNUMBER(D141), $B145 * E141, "")</f>
        <v>5691.0569105691002</v>
      </c>
      <c r="G141" s="31">
        <v>12.9</v>
      </c>
      <c r="H141" s="32">
        <f t="shared" ref="H141:H144" si="75">IF(ISNUMBER(G141), (G141 - $B141) / $B141, "")</f>
        <v>4.8780487804878016E-2</v>
      </c>
      <c r="I141" s="101">
        <f>IF(ISNUMBER(G141), $B145 * H141, "")</f>
        <v>4878.0487804878012</v>
      </c>
      <c r="J141" s="15">
        <v>13</v>
      </c>
      <c r="K141" s="32">
        <f t="shared" ref="K141:K144" si="76">IF(ISNUMBER(J141), (J141 - $B141) / $B141, "")</f>
        <v>5.6910569105690999E-2</v>
      </c>
      <c r="L141" s="18">
        <f>IF(ISNUMBER(J141), $B145 * K141, "")</f>
        <v>5691.0569105691002</v>
      </c>
      <c r="M141" s="31">
        <v>13.1</v>
      </c>
      <c r="N141" s="32">
        <f t="shared" ref="N141:N144" si="77">IF(ISNUMBER(M141), (M141 - $B141) / $B141, "")</f>
        <v>6.5040650406503975E-2</v>
      </c>
      <c r="O141" s="18">
        <f>IF(ISNUMBER(M141), $B145 * N141, "")</f>
        <v>6504.0650406503973</v>
      </c>
      <c r="Q141" s="238"/>
      <c r="R141" s="238"/>
      <c r="S141" s="238"/>
    </row>
    <row r="142" spans="1:19" ht="17.25" thickBot="1">
      <c r="A142" s="125" t="s">
        <v>240</v>
      </c>
      <c r="B142" s="126">
        <v>58.5</v>
      </c>
      <c r="C142" s="77">
        <v>-1.8456375800000001E-2</v>
      </c>
      <c r="D142" s="15">
        <v>59.4</v>
      </c>
      <c r="E142" s="32">
        <f t="shared" si="74"/>
        <v>1.5384615384615361E-2</v>
      </c>
      <c r="F142" s="18">
        <f>IF(ISNUMBER(D142), $B145 * E142, "")</f>
        <v>1538.4615384615361</v>
      </c>
      <c r="G142" s="31">
        <v>60.2</v>
      </c>
      <c r="H142" s="32">
        <f t="shared" si="75"/>
        <v>2.9059829059829109E-2</v>
      </c>
      <c r="I142" s="101">
        <f>IF(ISNUMBER(G142), $B145 * H142, "")</f>
        <v>2905.9829059829108</v>
      </c>
      <c r="J142" s="15">
        <v>60.3</v>
      </c>
      <c r="K142" s="32">
        <f t="shared" si="76"/>
        <v>3.0769230769230722E-2</v>
      </c>
      <c r="L142" s="18">
        <f>IF(ISNUMBER(J142), $B145 * K142, "")</f>
        <v>3076.9230769230721</v>
      </c>
      <c r="M142" s="31">
        <v>60.2</v>
      </c>
      <c r="N142" s="32">
        <f t="shared" si="77"/>
        <v>2.9059829059829109E-2</v>
      </c>
      <c r="O142" s="18">
        <f>IF(ISNUMBER(M142), $B145 * N142, "")</f>
        <v>2905.9829059829108</v>
      </c>
      <c r="Q142" s="238"/>
      <c r="R142" s="238"/>
      <c r="S142" s="238"/>
    </row>
    <row r="143" spans="1:19">
      <c r="A143" s="125" t="s">
        <v>190</v>
      </c>
      <c r="B143" s="126">
        <v>15.6</v>
      </c>
      <c r="C143" s="77">
        <v>-1.8867924500000001E-2</v>
      </c>
      <c r="D143" s="15">
        <v>16.399999999999999</v>
      </c>
      <c r="E143" s="32">
        <f t="shared" si="74"/>
        <v>5.1282051282051218E-2</v>
      </c>
      <c r="F143" s="18">
        <f>IF(ISNUMBER(D143), $B145 * E143, "")</f>
        <v>5128.2051282051216</v>
      </c>
      <c r="G143" s="31">
        <v>15.8</v>
      </c>
      <c r="H143" s="32">
        <f t="shared" si="75"/>
        <v>1.2820512820512889E-2</v>
      </c>
      <c r="I143" s="101">
        <f>IF(ISNUMBER(G143), $B145 * H143, "")</f>
        <v>1282.051282051289</v>
      </c>
      <c r="J143" s="15">
        <v>15.9</v>
      </c>
      <c r="K143" s="32">
        <f t="shared" si="76"/>
        <v>1.9230769230769277E-2</v>
      </c>
      <c r="L143" s="18">
        <f>IF(ISNUMBER(J143), $B145 * K143, "")</f>
        <v>1923.0769230769276</v>
      </c>
      <c r="M143" s="31">
        <v>16.100000000000001</v>
      </c>
      <c r="N143" s="32">
        <f t="shared" si="77"/>
        <v>3.2051282051282166E-2</v>
      </c>
      <c r="O143" s="18">
        <f>IF(ISNUMBER(M143), $B145 * N143, "")</f>
        <v>3205.1282051282165</v>
      </c>
      <c r="Q143" s="227"/>
      <c r="R143" s="228"/>
      <c r="S143" s="229"/>
    </row>
    <row r="144" spans="1:19" ht="17.25" thickBot="1">
      <c r="A144" s="130" t="s">
        <v>234</v>
      </c>
      <c r="B144" s="131">
        <v>63.2</v>
      </c>
      <c r="C144" s="79">
        <v>-2.3183925800000001E-2</v>
      </c>
      <c r="D144" s="24">
        <v>63.5</v>
      </c>
      <c r="E144" s="25">
        <f t="shared" si="74"/>
        <v>4.7468354430379297E-3</v>
      </c>
      <c r="F144" s="104">
        <f>IF(ISNUMBER(D144), $B145 * E144, "")</f>
        <v>474.68354430379298</v>
      </c>
      <c r="G144" s="102">
        <v>62.8</v>
      </c>
      <c r="H144" s="25">
        <f t="shared" si="75"/>
        <v>-6.3291139240507222E-3</v>
      </c>
      <c r="I144" s="103">
        <f>IF(ISNUMBER(G144), $B145 * H144, "")</f>
        <v>-632.91139240507221</v>
      </c>
      <c r="J144" s="24">
        <v>62.7</v>
      </c>
      <c r="K144" s="25">
        <f t="shared" si="76"/>
        <v>-7.9113924050632899E-3</v>
      </c>
      <c r="L144" s="104">
        <f>IF(ISNUMBER(J144), $B145 * K144, "")</f>
        <v>-791.13924050632897</v>
      </c>
      <c r="M144" s="102">
        <v>63.6</v>
      </c>
      <c r="N144" s="25">
        <f t="shared" si="77"/>
        <v>6.3291139240506103E-3</v>
      </c>
      <c r="O144" s="104">
        <f>IF(ISNUMBER(M144), $B145 * N144, "")</f>
        <v>632.91139240506106</v>
      </c>
      <c r="Q144" s="230"/>
      <c r="R144" s="231"/>
      <c r="S144" s="232"/>
    </row>
    <row r="145" spans="1:19" ht="17.25" thickBot="1">
      <c r="A145" s="132" t="s">
        <v>270</v>
      </c>
      <c r="B145" s="291">
        <f>$B$37</f>
        <v>100000</v>
      </c>
      <c r="C145" s="292"/>
      <c r="D145" s="26" t="s">
        <v>271</v>
      </c>
      <c r="E145" s="27">
        <f>IF(COUNT(E125:E144), SUM(E125:E144) / COUNT(E125:E144), 0)</f>
        <v>3.7249622178185324E-2</v>
      </c>
      <c r="F145" s="28">
        <f>SUM(F125:F144)</f>
        <v>74499.244356370647</v>
      </c>
      <c r="G145" s="26" t="s">
        <v>271</v>
      </c>
      <c r="H145" s="27">
        <f>IF(COUNT(H125:H144), SUM(H125:H144) / COUNT(H125:H144), 0)</f>
        <v>3.5871187094591125E-2</v>
      </c>
      <c r="I145" s="28">
        <f>SUM(I125:I144)</f>
        <v>71742.374189182286</v>
      </c>
      <c r="J145" s="26" t="s">
        <v>271</v>
      </c>
      <c r="K145" s="27">
        <f>IF(COUNT(K125:K144), SUM(K125:K144) / COUNT(K125:K144), 0)</f>
        <v>3.4628621197867832E-2</v>
      </c>
      <c r="L145" s="28">
        <f>SUM(L125:L144)</f>
        <v>69257.242395735666</v>
      </c>
      <c r="M145" s="26" t="s">
        <v>271</v>
      </c>
      <c r="N145" s="27">
        <f>IF(COUNT(N125:N144), SUM(N125:N144) / COUNT(N125:N144), 0)</f>
        <v>4.7949802509114611E-2</v>
      </c>
      <c r="O145" s="28">
        <f>SUM(O125:O144)</f>
        <v>95899.605018229224</v>
      </c>
      <c r="Q145" s="233"/>
      <c r="R145" s="234"/>
      <c r="S145" s="23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48"/>
      <c r="R148" s="248"/>
      <c r="S148" s="248"/>
    </row>
    <row r="149" spans="1:19" ht="17.25" thickBot="1">
      <c r="A149" s="173" t="s">
        <v>267</v>
      </c>
      <c r="B149" s="249" t="s">
        <v>49</v>
      </c>
      <c r="C149" s="251"/>
      <c r="D149" s="249" t="s">
        <v>58</v>
      </c>
      <c r="E149" s="250"/>
      <c r="F149" s="251"/>
      <c r="G149" s="252">
        <f>_xlfn.IFNA(VLOOKUP(B149, 현재가테이블!$B$2:$D$200, 2, FALSE), "-")</f>
        <v>54440000</v>
      </c>
      <c r="H149" s="253"/>
      <c r="I149" s="254"/>
      <c r="J149" s="249" t="s">
        <v>59</v>
      </c>
      <c r="K149" s="250"/>
      <c r="L149" s="251"/>
      <c r="M149" s="255">
        <f>_xlfn.IFNA(VLOOKUP(B149, 현재가테이블!$B$2:$D$200, 3, FALSE), "-")</f>
        <v>1.07123628E-2</v>
      </c>
      <c r="N149" s="256"/>
      <c r="O149" s="257"/>
      <c r="Q149" s="248"/>
      <c r="R149" s="248"/>
      <c r="S149" s="248"/>
    </row>
    <row r="150" spans="1:19" ht="17.25" thickBot="1">
      <c r="A150" s="293" t="s">
        <v>55</v>
      </c>
      <c r="B150" s="289" t="str">
        <f>TEXT($G$1, "[$-ko-KR]yyyy-mm-dd(ddd) ") &amp; "오전 00:00"</f>
        <v>2021-08-05(목) 오전 00:00</v>
      </c>
      <c r="C150" s="290"/>
      <c r="D150" s="262" t="str">
        <f>TEXT($G$1, "[$-ko-KR]yyyy-mm-dd(ddd) ") &amp; "오후 14:00"</f>
        <v>2021-08-05(목) 오후 14:00</v>
      </c>
      <c r="E150" s="263"/>
      <c r="F150" s="264"/>
      <c r="G150" s="262" t="str">
        <f>TEXT($G$1, "[$-ko-KR]yyyy-mm-dd(ddd) ") &amp; "오후 19:00"</f>
        <v>2021-08-05(목) 오후 19:00</v>
      </c>
      <c r="H150" s="263"/>
      <c r="I150" s="264"/>
      <c r="J150" s="262" t="str">
        <f>TEXT($G$1, "[$-ko-KR]yyyy-mm-dd(ddd) ") &amp; "오후 21:00"</f>
        <v>2021-08-05(목) 오후 21:00</v>
      </c>
      <c r="K150" s="263"/>
      <c r="L150" s="264"/>
      <c r="M150" s="262" t="str">
        <f>TEXT($G$1+1, "[$-ko-KR]yyyy-mm-dd(ddd) ") &amp; "오전 00:00"</f>
        <v>2021-08-06(금) 오전 00:00</v>
      </c>
      <c r="N150" s="263"/>
      <c r="O150" s="264"/>
      <c r="Q150" s="248"/>
      <c r="R150" s="248"/>
      <c r="S150" s="248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8"/>
      <c r="R151" s="238"/>
      <c r="S151" s="238"/>
    </row>
    <row r="152" spans="1:19" ht="17.25" thickBot="1">
      <c r="A152" s="123" t="s">
        <v>266</v>
      </c>
      <c r="B152" s="124">
        <v>231</v>
      </c>
      <c r="C152" s="76">
        <v>0</v>
      </c>
      <c r="D152" s="13">
        <v>231</v>
      </c>
      <c r="E152" s="14">
        <f>IF(ISNUMBER(D152), (D152 - $B152) / $B152, "")</f>
        <v>0</v>
      </c>
      <c r="F152" s="16">
        <f>IF(ISNUMBER(D152), $B172 * E152, "")</f>
        <v>0</v>
      </c>
      <c r="G152" s="29">
        <v>229</v>
      </c>
      <c r="H152" s="14">
        <f>IF(ISNUMBER(G152), (G152 - $B152) / $B152, "")</f>
        <v>-8.658008658008658E-3</v>
      </c>
      <c r="I152" s="100">
        <f>IF(ISNUMBER(G152), $B172 * H152, "")</f>
        <v>-865.80086580086584</v>
      </c>
      <c r="J152" s="13">
        <v>229</v>
      </c>
      <c r="K152" s="14">
        <f>IF(ISNUMBER(J152), (J152 - $B152) / $B152, "")</f>
        <v>-8.658008658008658E-3</v>
      </c>
      <c r="L152" s="16">
        <f>IF(ISNUMBER(J152), $B172 * K152, "")</f>
        <v>-865.80086580086584</v>
      </c>
      <c r="M152" s="29">
        <v>230</v>
      </c>
      <c r="N152" s="14">
        <f>IF(ISNUMBER(M152), (M152 - $B152) / $B152, "")</f>
        <v>-4.329004329004329E-3</v>
      </c>
      <c r="O152" s="16">
        <f>IF(ISNUMBER(M152), $B172 * N152, "")</f>
        <v>-432.90043290043292</v>
      </c>
      <c r="Q152" s="248"/>
      <c r="R152" s="248"/>
      <c r="S152" s="248"/>
    </row>
    <row r="153" spans="1:19" ht="17.25" thickBot="1">
      <c r="A153" s="125" t="s">
        <v>51</v>
      </c>
      <c r="B153" s="126">
        <v>321</v>
      </c>
      <c r="C153" s="77">
        <v>-3.1055901000000001E-3</v>
      </c>
      <c r="D153" s="15">
        <v>318</v>
      </c>
      <c r="E153" s="32">
        <f t="shared" ref="E153:E156" si="78">IF(ISNUMBER(D153), (D153 - $B153) / $B153, "")</f>
        <v>-9.3457943925233638E-3</v>
      </c>
      <c r="F153" s="18">
        <f>IF(ISNUMBER(D153), $B172 * E153, "")</f>
        <v>-934.57943925233633</v>
      </c>
      <c r="G153" s="31">
        <v>316</v>
      </c>
      <c r="H153" s="32">
        <f t="shared" ref="H153:H156" si="79">IF(ISNUMBER(G153), (G153 - $B153) / $B153, "")</f>
        <v>-1.5576323987538941E-2</v>
      </c>
      <c r="I153" s="101">
        <f>IF(ISNUMBER(G153), $B172 * H153, "")</f>
        <v>-1557.632398753894</v>
      </c>
      <c r="J153" s="15">
        <v>316</v>
      </c>
      <c r="K153" s="32">
        <f t="shared" ref="K153:K156" si="80">IF(ISNUMBER(J153), (J153 - $B153) / $B153, "")</f>
        <v>-1.5576323987538941E-2</v>
      </c>
      <c r="L153" s="18">
        <f>IF(ISNUMBER(J153), $B172 * K153, "")</f>
        <v>-1557.632398753894</v>
      </c>
      <c r="M153" s="31">
        <v>321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48"/>
      <c r="R153" s="248"/>
      <c r="S153" s="248"/>
    </row>
    <row r="154" spans="1:19" ht="17.25" thickBot="1">
      <c r="A154" s="125" t="s">
        <v>184</v>
      </c>
      <c r="B154" s="126">
        <v>903</v>
      </c>
      <c r="C154" s="77">
        <v>-3.3112583000000002E-3</v>
      </c>
      <c r="D154" s="15">
        <v>902</v>
      </c>
      <c r="E154" s="32">
        <f t="shared" si="78"/>
        <v>-1.1074197120708748E-3</v>
      </c>
      <c r="F154" s="18">
        <f>IF(ISNUMBER(D154), $B172 * E154, "")</f>
        <v>-110.74197120708749</v>
      </c>
      <c r="G154" s="31">
        <v>900</v>
      </c>
      <c r="H154" s="32">
        <f t="shared" si="79"/>
        <v>-3.3222591362126247E-3</v>
      </c>
      <c r="I154" s="101">
        <f>IF(ISNUMBER(G154), $B172 * H154, "")</f>
        <v>-332.22591362126246</v>
      </c>
      <c r="J154" s="15">
        <v>899</v>
      </c>
      <c r="K154" s="32">
        <f t="shared" si="80"/>
        <v>-4.4296788482834993E-3</v>
      </c>
      <c r="L154" s="18">
        <f>IF(ISNUMBER(J154), $B172 * K154, "")</f>
        <v>-442.96788482834995</v>
      </c>
      <c r="M154" s="31">
        <v>908</v>
      </c>
      <c r="N154" s="32">
        <f t="shared" si="81"/>
        <v>5.5370985603543747E-3</v>
      </c>
      <c r="O154" s="18">
        <f>IF(ISNUMBER(M154), $B172 * N154, "")</f>
        <v>553.7098560354375</v>
      </c>
      <c r="Q154" s="238"/>
      <c r="R154" s="238"/>
      <c r="S154" s="238"/>
    </row>
    <row r="155" spans="1:19" ht="17.25" thickBot="1">
      <c r="A155" s="125" t="s">
        <v>236</v>
      </c>
      <c r="B155" s="126">
        <v>552</v>
      </c>
      <c r="C155" s="77">
        <v>-5.4054054000000004E-3</v>
      </c>
      <c r="D155" s="15">
        <v>571</v>
      </c>
      <c r="E155" s="32">
        <f t="shared" si="78"/>
        <v>3.4420289855072464E-2</v>
      </c>
      <c r="F155" s="18">
        <f>IF(ISNUMBER(D155), $B172 * E155, "")</f>
        <v>3442.0289855072465</v>
      </c>
      <c r="G155" s="31">
        <v>557</v>
      </c>
      <c r="H155" s="32">
        <f t="shared" si="79"/>
        <v>9.057971014492754E-3</v>
      </c>
      <c r="I155" s="101">
        <f>IF(ISNUMBER(G155), $B172 * H155, "")</f>
        <v>905.79710144927537</v>
      </c>
      <c r="J155" s="15">
        <v>558</v>
      </c>
      <c r="K155" s="32">
        <f t="shared" si="80"/>
        <v>1.0869565217391304E-2</v>
      </c>
      <c r="L155" s="18">
        <f>IF(ISNUMBER(J155), $B172 * K155, "")</f>
        <v>1086.9565217391305</v>
      </c>
      <c r="M155" s="31">
        <v>568</v>
      </c>
      <c r="N155" s="32">
        <f t="shared" si="81"/>
        <v>2.8985507246376812E-2</v>
      </c>
      <c r="O155" s="18">
        <f>IF(ISNUMBER(M155), $B172 * N155, "")</f>
        <v>2898.550724637681</v>
      </c>
      <c r="Q155" s="238"/>
      <c r="R155" s="238"/>
      <c r="S155" s="238"/>
    </row>
    <row r="156" spans="1:19" ht="17.25" thickBot="1">
      <c r="A156" s="127" t="s">
        <v>124</v>
      </c>
      <c r="B156" s="128">
        <v>311</v>
      </c>
      <c r="C156" s="78">
        <v>-6.3897763999999999E-3</v>
      </c>
      <c r="D156" s="20">
        <v>319</v>
      </c>
      <c r="E156" s="21">
        <f t="shared" si="78"/>
        <v>2.5723472668810289E-2</v>
      </c>
      <c r="F156" s="22">
        <f>IF(ISNUMBER(D156), $B172 * E156, "")</f>
        <v>2572.3472668810291</v>
      </c>
      <c r="G156" s="30">
        <v>315</v>
      </c>
      <c r="H156" s="21">
        <f t="shared" si="79"/>
        <v>1.2861736334405145E-2</v>
      </c>
      <c r="I156" s="105">
        <f>IF(ISNUMBER(G156), $B172 * H156, "")</f>
        <v>1286.1736334405145</v>
      </c>
      <c r="J156" s="20">
        <v>315</v>
      </c>
      <c r="K156" s="21">
        <f t="shared" si="80"/>
        <v>1.2861736334405145E-2</v>
      </c>
      <c r="L156" s="22">
        <f>IF(ISNUMBER(J156), $B172 * K156, "")</f>
        <v>1286.1736334405145</v>
      </c>
      <c r="M156" s="30">
        <v>323</v>
      </c>
      <c r="N156" s="21">
        <f t="shared" si="81"/>
        <v>3.8585209003215437E-2</v>
      </c>
      <c r="O156" s="22">
        <f>IF(ISNUMBER(M156), $B172 * N156, "")</f>
        <v>3858.5209003215436</v>
      </c>
      <c r="Q156" s="238"/>
      <c r="R156" s="238"/>
      <c r="S156" s="238"/>
    </row>
    <row r="157" spans="1:19" ht="17.25" thickBot="1">
      <c r="A157" s="125" t="s">
        <v>164</v>
      </c>
      <c r="B157" s="129">
        <v>292</v>
      </c>
      <c r="C157" s="80">
        <v>-6.8027210999999999E-3</v>
      </c>
      <c r="D157" s="106">
        <v>311</v>
      </c>
      <c r="E157" s="107">
        <f>IF(ISNUMBER(D157), (D157 - $B157) / $B157, "")</f>
        <v>6.5068493150684928E-2</v>
      </c>
      <c r="F157" s="108">
        <f>IF(ISNUMBER(D157), $B172 * E157, "")</f>
        <v>6506.8493150684926</v>
      </c>
      <c r="G157" s="109">
        <v>306</v>
      </c>
      <c r="H157" s="107">
        <f>IF(ISNUMBER(G157), (G157 - $B157) / $B157, "")</f>
        <v>4.7945205479452052E-2</v>
      </c>
      <c r="I157" s="110">
        <f>IF(ISNUMBER(G157), $B172 * H157, "")</f>
        <v>4794.5205479452052</v>
      </c>
      <c r="J157" s="106">
        <v>306</v>
      </c>
      <c r="K157" s="107">
        <f>IF(ISNUMBER(J157), (J157 - $B157) / $B157, "")</f>
        <v>4.7945205479452052E-2</v>
      </c>
      <c r="L157" s="108">
        <f>IF(ISNUMBER(J157), $B172 * K157, "")</f>
        <v>4794.5205479452052</v>
      </c>
      <c r="M157" s="109">
        <v>309</v>
      </c>
      <c r="N157" s="107">
        <f>IF(ISNUMBER(M157), (M157 - $B157) / $B157, "")</f>
        <v>5.8219178082191778E-2</v>
      </c>
      <c r="O157" s="108">
        <f>IF(ISNUMBER(M157), $B172 * N157, "")</f>
        <v>5821.9178082191775</v>
      </c>
      <c r="Q157" s="238"/>
      <c r="R157" s="238"/>
      <c r="S157" s="238"/>
    </row>
    <row r="158" spans="1:19" ht="17.25" thickBot="1">
      <c r="A158" s="125" t="s">
        <v>222</v>
      </c>
      <c r="B158" s="126">
        <v>117</v>
      </c>
      <c r="C158" s="77">
        <v>-8.4745762999999998E-3</v>
      </c>
      <c r="D158" s="15">
        <v>122</v>
      </c>
      <c r="E158" s="32">
        <f t="shared" ref="E158:E161" si="82">IF(ISNUMBER(D158), (D158 - $B158) / $B158, "")</f>
        <v>4.2735042735042736E-2</v>
      </c>
      <c r="F158" s="18">
        <f>IF(ISNUMBER(D158), $B172 * E158, "")</f>
        <v>4273.5042735042734</v>
      </c>
      <c r="G158" s="31">
        <v>118</v>
      </c>
      <c r="H158" s="32">
        <f t="shared" ref="H158:H161" si="83">IF(ISNUMBER(G158), (G158 - $B158) / $B158, "")</f>
        <v>8.5470085470085479E-3</v>
      </c>
      <c r="I158" s="101">
        <f>IF(ISNUMBER(G158), $B172 * H158, "")</f>
        <v>854.70085470085473</v>
      </c>
      <c r="J158" s="15">
        <v>119</v>
      </c>
      <c r="K158" s="32">
        <f t="shared" ref="K158:K161" si="84">IF(ISNUMBER(J158), (J158 - $B158) / $B158, "")</f>
        <v>1.7094017094017096E-2</v>
      </c>
      <c r="L158" s="18">
        <f>IF(ISNUMBER(J158), $B172 * K158, "")</f>
        <v>1709.4017094017095</v>
      </c>
      <c r="M158" s="31">
        <v>121</v>
      </c>
      <c r="N158" s="32">
        <f t="shared" ref="N158:N161" si="85">IF(ISNUMBER(M158), (M158 - $B158) / $B158, "")</f>
        <v>3.4188034188034191E-2</v>
      </c>
      <c r="O158" s="18">
        <f>IF(ISNUMBER(M158), $B172 * N158, "")</f>
        <v>3418.8034188034189</v>
      </c>
      <c r="Q158" s="238"/>
      <c r="R158" s="238"/>
      <c r="S158" s="238"/>
    </row>
    <row r="159" spans="1:19" ht="17.25" thickBot="1">
      <c r="A159" s="125" t="s">
        <v>218</v>
      </c>
      <c r="B159" s="126">
        <v>115</v>
      </c>
      <c r="C159" s="77">
        <v>-8.6206896999999998E-3</v>
      </c>
      <c r="D159" s="15">
        <v>114</v>
      </c>
      <c r="E159" s="32">
        <f t="shared" si="82"/>
        <v>-8.6956521739130436E-3</v>
      </c>
      <c r="F159" s="18">
        <f>IF(ISNUMBER(D159), $B172 * E159, "")</f>
        <v>-869.56521739130437</v>
      </c>
      <c r="G159" s="31">
        <v>114</v>
      </c>
      <c r="H159" s="32">
        <f t="shared" si="83"/>
        <v>-8.6956521739130436E-3</v>
      </c>
      <c r="I159" s="101">
        <f>IF(ISNUMBER(G159), $B172 * H159, "")</f>
        <v>-869.56521739130437</v>
      </c>
      <c r="J159" s="15">
        <v>114</v>
      </c>
      <c r="K159" s="32">
        <f t="shared" si="84"/>
        <v>-8.6956521739130436E-3</v>
      </c>
      <c r="L159" s="18">
        <f>IF(ISNUMBER(J159), $B172 * K159, "")</f>
        <v>-869.56521739130437</v>
      </c>
      <c r="M159" s="31">
        <v>115</v>
      </c>
      <c r="N159" s="32">
        <f t="shared" si="85"/>
        <v>0</v>
      </c>
      <c r="O159" s="18">
        <f>IF(ISNUMBER(M159), $B172 * N159, "")</f>
        <v>0</v>
      </c>
      <c r="Q159" s="238"/>
      <c r="R159" s="238"/>
      <c r="S159" s="238"/>
    </row>
    <row r="160" spans="1:19" ht="17.25" thickBot="1">
      <c r="A160" s="125" t="s">
        <v>206</v>
      </c>
      <c r="B160" s="126">
        <v>302</v>
      </c>
      <c r="C160" s="77">
        <v>-9.8360656000000008E-3</v>
      </c>
      <c r="D160" s="15">
        <v>303</v>
      </c>
      <c r="E160" s="32">
        <f t="shared" si="82"/>
        <v>3.3112582781456954E-3</v>
      </c>
      <c r="F160" s="18">
        <f>IF(ISNUMBER(D160), $B172 * E160, "")</f>
        <v>331.12582781456956</v>
      </c>
      <c r="G160" s="31">
        <v>304</v>
      </c>
      <c r="H160" s="32">
        <f t="shared" si="83"/>
        <v>6.6225165562913907E-3</v>
      </c>
      <c r="I160" s="101">
        <f>IF(ISNUMBER(G160), $B172 * H160, "")</f>
        <v>662.25165562913912</v>
      </c>
      <c r="J160" s="15">
        <v>303</v>
      </c>
      <c r="K160" s="32">
        <f t="shared" si="84"/>
        <v>3.3112582781456954E-3</v>
      </c>
      <c r="L160" s="18">
        <f>IF(ISNUMBER(J160), $B172 * K160, "")</f>
        <v>331.12582781456956</v>
      </c>
      <c r="M160" s="31">
        <v>308</v>
      </c>
      <c r="N160" s="32">
        <f t="shared" si="85"/>
        <v>1.9867549668874173E-2</v>
      </c>
      <c r="O160" s="18">
        <f>IF(ISNUMBER(M160), $B172 * N160, "")</f>
        <v>1986.7549668874174</v>
      </c>
      <c r="Q160" s="33"/>
      <c r="R160" s="33"/>
    </row>
    <row r="161" spans="1:19" ht="17.25" thickBot="1">
      <c r="A161" s="130" t="s">
        <v>138</v>
      </c>
      <c r="B161" s="131">
        <v>368</v>
      </c>
      <c r="C161" s="79">
        <v>-1.0752688200000001E-2</v>
      </c>
      <c r="D161" s="24">
        <v>367</v>
      </c>
      <c r="E161" s="25">
        <f t="shared" si="82"/>
        <v>-2.717391304347826E-3</v>
      </c>
      <c r="F161" s="104">
        <f>IF(ISNUMBER(D161), $B172 * E161, "")</f>
        <v>-271.73913043478262</v>
      </c>
      <c r="G161" s="102">
        <v>372</v>
      </c>
      <c r="H161" s="25">
        <f t="shared" si="83"/>
        <v>1.0869565217391304E-2</v>
      </c>
      <c r="I161" s="103">
        <f>IF(ISNUMBER(G161), $B172 * H161, "")</f>
        <v>1086.9565217391305</v>
      </c>
      <c r="J161" s="24">
        <v>373</v>
      </c>
      <c r="K161" s="25">
        <f t="shared" si="84"/>
        <v>1.358695652173913E-2</v>
      </c>
      <c r="L161" s="104">
        <f>IF(ISNUMBER(J161), $B172 * K161, "")</f>
        <v>1358.695652173913</v>
      </c>
      <c r="M161" s="102">
        <v>377</v>
      </c>
      <c r="N161" s="25">
        <f t="shared" si="85"/>
        <v>2.4456521739130436E-2</v>
      </c>
      <c r="O161" s="104">
        <f>IF(ISNUMBER(M161), $B172 * N161, "")</f>
        <v>2445.6521739130435</v>
      </c>
      <c r="Q161" s="239"/>
      <c r="R161" s="240"/>
      <c r="S161" s="241"/>
    </row>
    <row r="162" spans="1:19">
      <c r="A162" s="123" t="s">
        <v>110</v>
      </c>
      <c r="B162" s="124">
        <v>132</v>
      </c>
      <c r="C162" s="76">
        <v>-1.49253731E-2</v>
      </c>
      <c r="D162" s="13">
        <v>149</v>
      </c>
      <c r="E162" s="14">
        <f>IF(ISNUMBER(D162), (D162 - $B162) / $B162, "")</f>
        <v>0.12878787878787878</v>
      </c>
      <c r="F162" s="16">
        <f>IF(ISNUMBER(D162), $B172 * E162, "")</f>
        <v>12878.787878787878</v>
      </c>
      <c r="G162" s="29">
        <v>142</v>
      </c>
      <c r="H162" s="14">
        <f>IF(ISNUMBER(G162), (G162 - $B162) / $B162, "")</f>
        <v>7.575757575757576E-2</v>
      </c>
      <c r="I162" s="100">
        <f>IF(ISNUMBER(G162), $B172 * H162, "")</f>
        <v>7575.757575757576</v>
      </c>
      <c r="J162" s="13">
        <v>142</v>
      </c>
      <c r="K162" s="14">
        <f>IF(ISNUMBER(J162), (J162 - $B162) / $B162, "")</f>
        <v>7.575757575757576E-2</v>
      </c>
      <c r="L162" s="16">
        <f>IF(ISNUMBER(J162), $B172 * K162, "")</f>
        <v>7575.757575757576</v>
      </c>
      <c r="M162" s="29">
        <v>142</v>
      </c>
      <c r="N162" s="14">
        <f>IF(ISNUMBER(M162), (M162 - $B162) / $B162, "")</f>
        <v>7.575757575757576E-2</v>
      </c>
      <c r="O162" s="16">
        <f>IF(ISNUMBER(M162), $B172 * N162, "")</f>
        <v>7575.757575757576</v>
      </c>
      <c r="Q162" s="242"/>
      <c r="R162" s="243"/>
      <c r="S162" s="244"/>
    </row>
    <row r="163" spans="1:19" ht="17.25" thickBot="1">
      <c r="A163" s="125" t="s">
        <v>102</v>
      </c>
      <c r="B163" s="126">
        <v>954</v>
      </c>
      <c r="C163" s="77">
        <v>-1.5479876199999999E-2</v>
      </c>
      <c r="D163" s="15">
        <v>966</v>
      </c>
      <c r="E163" s="32">
        <f t="shared" ref="E163:E166" si="86">IF(ISNUMBER(D163), (D163 - $B163) / $B163, "")</f>
        <v>1.2578616352201259E-2</v>
      </c>
      <c r="F163" s="18">
        <f>IF(ISNUMBER(D163), $B172 * E163, "")</f>
        <v>1257.8616352201259</v>
      </c>
      <c r="G163" s="31">
        <v>953</v>
      </c>
      <c r="H163" s="32">
        <f t="shared" ref="H163:H166" si="87">IF(ISNUMBER(G163), (G163 - $B163) / $B163, "")</f>
        <v>-1.0482180293501049E-3</v>
      </c>
      <c r="I163" s="101">
        <f>IF(ISNUMBER(G163), $B172 * H163, "")</f>
        <v>-104.82180293501048</v>
      </c>
      <c r="J163" s="15">
        <v>956</v>
      </c>
      <c r="K163" s="32">
        <f t="shared" ref="K163:K166" si="88">IF(ISNUMBER(J163), (J163 - $B163) / $B163, "")</f>
        <v>2.0964360587002098E-3</v>
      </c>
      <c r="L163" s="18">
        <f>IF(ISNUMBER(J163), $B172 * K163, "")</f>
        <v>209.64360587002096</v>
      </c>
      <c r="M163" s="31">
        <v>972</v>
      </c>
      <c r="N163" s="32">
        <f t="shared" ref="N163:N166" si="89">IF(ISNUMBER(M163), (M163 - $B163) / $B163, "")</f>
        <v>1.8867924528301886E-2</v>
      </c>
      <c r="O163" s="18">
        <f>IF(ISNUMBER(M163), $B172 * N163, "")</f>
        <v>1886.7924528301885</v>
      </c>
      <c r="Q163" s="245"/>
      <c r="R163" s="246"/>
      <c r="S163" s="247"/>
    </row>
    <row r="164" spans="1:19" ht="17.25" thickBot="1">
      <c r="A164" s="125" t="s">
        <v>104</v>
      </c>
      <c r="B164" s="126">
        <v>992</v>
      </c>
      <c r="C164" s="77">
        <v>-1.78217822E-2</v>
      </c>
      <c r="D164" s="15">
        <v>982</v>
      </c>
      <c r="E164" s="32">
        <f t="shared" si="86"/>
        <v>-1.0080645161290322E-2</v>
      </c>
      <c r="F164" s="18">
        <f>IF(ISNUMBER(D164), $B172 * E164, "")</f>
        <v>-1008.0645161290322</v>
      </c>
      <c r="G164" s="31">
        <v>1060</v>
      </c>
      <c r="H164" s="32">
        <f t="shared" si="87"/>
        <v>6.8548387096774188E-2</v>
      </c>
      <c r="I164" s="101">
        <f>IF(ISNUMBER(G164), $B172 * H164, "")</f>
        <v>6854.8387096774186</v>
      </c>
      <c r="J164" s="15">
        <v>1055</v>
      </c>
      <c r="K164" s="32">
        <f t="shared" si="88"/>
        <v>6.3508064516129031E-2</v>
      </c>
      <c r="L164" s="18">
        <f>IF(ISNUMBER(J164), $B172 * K164, "")</f>
        <v>6350.8064516129034</v>
      </c>
      <c r="M164" s="31">
        <v>1020</v>
      </c>
      <c r="N164" s="32">
        <f t="shared" si="89"/>
        <v>2.8225806451612902E-2</v>
      </c>
      <c r="O164" s="18">
        <f>IF(ISNUMBER(M164), $B172 * N164, "")</f>
        <v>2822.5806451612902</v>
      </c>
      <c r="Q164" s="238"/>
      <c r="R164" s="238"/>
      <c r="S164" s="238"/>
    </row>
    <row r="165" spans="1:19" ht="17.25" thickBot="1">
      <c r="A165" s="125" t="s">
        <v>174</v>
      </c>
      <c r="B165" s="126">
        <v>321</v>
      </c>
      <c r="C165" s="77">
        <v>-1.83486239E-2</v>
      </c>
      <c r="D165" s="15">
        <v>328</v>
      </c>
      <c r="E165" s="32">
        <f t="shared" si="86"/>
        <v>2.1806853582554516E-2</v>
      </c>
      <c r="F165" s="18">
        <f>IF(ISNUMBER(D165), $B172 * E165, "")</f>
        <v>2180.6853582554518</v>
      </c>
      <c r="G165" s="31">
        <v>324</v>
      </c>
      <c r="H165" s="32">
        <f t="shared" si="87"/>
        <v>9.3457943925233638E-3</v>
      </c>
      <c r="I165" s="101">
        <f>IF(ISNUMBER(G165), $B172 * H165, "")</f>
        <v>934.57943925233633</v>
      </c>
      <c r="J165" s="15">
        <v>325</v>
      </c>
      <c r="K165" s="32">
        <f t="shared" si="88"/>
        <v>1.2461059190031152E-2</v>
      </c>
      <c r="L165" s="18">
        <f>IF(ISNUMBER(J165), $B172 * K165, "")</f>
        <v>1246.1059190031153</v>
      </c>
      <c r="M165" s="31">
        <v>375</v>
      </c>
      <c r="N165" s="32">
        <f t="shared" si="89"/>
        <v>0.16822429906542055</v>
      </c>
      <c r="O165" s="18">
        <f>IF(ISNUMBER(M165), $B172 * N165, "")</f>
        <v>16822.429906542056</v>
      </c>
      <c r="Q165" s="248"/>
      <c r="R165" s="248"/>
      <c r="S165" s="248"/>
    </row>
    <row r="166" spans="1:19" ht="17.25" thickBot="1">
      <c r="A166" s="127" t="s">
        <v>54</v>
      </c>
      <c r="B166" s="128">
        <v>247</v>
      </c>
      <c r="C166" s="78">
        <v>-2.3715415E-2</v>
      </c>
      <c r="D166" s="20">
        <v>246</v>
      </c>
      <c r="E166" s="21">
        <f t="shared" si="86"/>
        <v>-4.048582995951417E-3</v>
      </c>
      <c r="F166" s="22">
        <f>IF(ISNUMBER(D166), $B172 * E166, "")</f>
        <v>-404.85829959514172</v>
      </c>
      <c r="G166" s="30">
        <v>246</v>
      </c>
      <c r="H166" s="21">
        <f t="shared" si="87"/>
        <v>-4.048582995951417E-3</v>
      </c>
      <c r="I166" s="105">
        <f>IF(ISNUMBER(G166), $B172 * H166, "")</f>
        <v>-404.85829959514172</v>
      </c>
      <c r="J166" s="20">
        <v>246</v>
      </c>
      <c r="K166" s="21">
        <f t="shared" si="88"/>
        <v>-4.048582995951417E-3</v>
      </c>
      <c r="L166" s="22">
        <f>IF(ISNUMBER(J166), $B172 * K166, "")</f>
        <v>-404.85829959514172</v>
      </c>
      <c r="M166" s="30">
        <v>257</v>
      </c>
      <c r="N166" s="21">
        <f t="shared" si="89"/>
        <v>4.048582995951417E-2</v>
      </c>
      <c r="O166" s="22">
        <f>IF(ISNUMBER(M166), $B172 * N166, "")</f>
        <v>4048.5829959514172</v>
      </c>
      <c r="Q166" s="248"/>
      <c r="R166" s="248"/>
      <c r="S166" s="248"/>
    </row>
    <row r="167" spans="1:19" ht="17.25" thickBot="1">
      <c r="A167" s="125" t="s">
        <v>220</v>
      </c>
      <c r="B167" s="129">
        <v>201</v>
      </c>
      <c r="C167" s="80">
        <v>-2.42718447E-2</v>
      </c>
      <c r="D167" s="106">
        <v>203</v>
      </c>
      <c r="E167" s="107">
        <f>IF(ISNUMBER(D167), (D167 - $B167) / $B167, "")</f>
        <v>9.9502487562189053E-3</v>
      </c>
      <c r="F167" s="108">
        <f>IF(ISNUMBER(D167), $B172 * E167, "")</f>
        <v>995.02487562189049</v>
      </c>
      <c r="G167" s="109">
        <v>201</v>
      </c>
      <c r="H167" s="107">
        <f>IF(ISNUMBER(G167), (G167 - $B167) / $B167, "")</f>
        <v>0</v>
      </c>
      <c r="I167" s="110">
        <f>IF(ISNUMBER(G167), $B172 * H167, "")</f>
        <v>0</v>
      </c>
      <c r="J167" s="106">
        <v>201</v>
      </c>
      <c r="K167" s="107">
        <f>IF(ISNUMBER(J167), (J167 - $B167) / $B167, "")</f>
        <v>0</v>
      </c>
      <c r="L167" s="108">
        <f>IF(ISNUMBER(J167), $B172 * K167, "")</f>
        <v>0</v>
      </c>
      <c r="M167" s="109">
        <v>204</v>
      </c>
      <c r="N167" s="107">
        <f>IF(ISNUMBER(M167), (M167 - $B167) / $B167, "")</f>
        <v>1.4925373134328358E-2</v>
      </c>
      <c r="O167" s="108">
        <f>IF(ISNUMBER(M167), $B172 * N167, "")</f>
        <v>1492.5373134328358</v>
      </c>
      <c r="Q167" s="238"/>
      <c r="R167" s="238"/>
      <c r="S167" s="238"/>
    </row>
    <row r="168" spans="1:19" ht="17.25" thickBot="1">
      <c r="A168" s="125" t="s">
        <v>228</v>
      </c>
      <c r="B168" s="126">
        <v>362</v>
      </c>
      <c r="C168" s="77">
        <v>-2.68817204E-2</v>
      </c>
      <c r="D168" s="15">
        <v>364</v>
      </c>
      <c r="E168" s="32">
        <f t="shared" ref="E168:E171" si="90">IF(ISNUMBER(D168), (D168 - $B168) / $B168, "")</f>
        <v>5.5248618784530384E-3</v>
      </c>
      <c r="F168" s="18">
        <f>IF(ISNUMBER(D168), $B172 * E168, "")</f>
        <v>552.48618784530379</v>
      </c>
      <c r="G168" s="31">
        <v>370</v>
      </c>
      <c r="H168" s="32">
        <f t="shared" ref="H168:H171" si="91">IF(ISNUMBER(G168), (G168 - $B168) / $B168, "")</f>
        <v>2.2099447513812154E-2</v>
      </c>
      <c r="I168" s="101">
        <f>IF(ISNUMBER(G168), $B172 * H168, "")</f>
        <v>2209.9447513812152</v>
      </c>
      <c r="J168" s="15">
        <v>367</v>
      </c>
      <c r="K168" s="32">
        <f t="shared" ref="K168:K171" si="92">IF(ISNUMBER(J168), (J168 - $B168) / $B168, "")</f>
        <v>1.3812154696132596E-2</v>
      </c>
      <c r="L168" s="18">
        <f>IF(ISNUMBER(J168), $B172 * K168, "")</f>
        <v>1381.2154696132595</v>
      </c>
      <c r="M168" s="31">
        <v>370</v>
      </c>
      <c r="N168" s="32">
        <f t="shared" ref="N168:N171" si="93">IF(ISNUMBER(M168), (M168 - $B168) / $B168, "")</f>
        <v>2.2099447513812154E-2</v>
      </c>
      <c r="O168" s="18">
        <f>IF(ISNUMBER(M168), $B172 * N168, "")</f>
        <v>2209.9447513812152</v>
      </c>
      <c r="Q168" s="238"/>
      <c r="R168" s="238"/>
      <c r="S168" s="238"/>
    </row>
    <row r="169" spans="1:19" ht="17.25" thickBot="1">
      <c r="A169" s="125" t="s">
        <v>254</v>
      </c>
      <c r="B169" s="126">
        <v>274</v>
      </c>
      <c r="C169" s="77">
        <v>-3.5211267599999999E-2</v>
      </c>
      <c r="D169" s="15">
        <v>277</v>
      </c>
      <c r="E169" s="32">
        <f t="shared" si="90"/>
        <v>1.0948905109489052E-2</v>
      </c>
      <c r="F169" s="18">
        <f>IF(ISNUMBER(D169), $B172 * E169, "")</f>
        <v>1094.8905109489051</v>
      </c>
      <c r="G169" s="31">
        <v>275</v>
      </c>
      <c r="H169" s="32">
        <f t="shared" si="91"/>
        <v>3.6496350364963502E-3</v>
      </c>
      <c r="I169" s="101">
        <f>IF(ISNUMBER(G169), $B172 * H169, "")</f>
        <v>364.96350364963502</v>
      </c>
      <c r="J169" s="15">
        <v>274</v>
      </c>
      <c r="K169" s="32">
        <f t="shared" si="92"/>
        <v>0</v>
      </c>
      <c r="L169" s="18">
        <f>IF(ISNUMBER(J169), $B172 * K169, "")</f>
        <v>0</v>
      </c>
      <c r="M169" s="31">
        <v>287</v>
      </c>
      <c r="N169" s="32">
        <f t="shared" si="93"/>
        <v>4.7445255474452552E-2</v>
      </c>
      <c r="O169" s="18">
        <f>IF(ISNUMBER(M169), $B172 * N169, "")</f>
        <v>4744.5255474452551</v>
      </c>
      <c r="Q169" s="238"/>
      <c r="R169" s="238"/>
      <c r="S169" s="238"/>
    </row>
    <row r="170" spans="1:19">
      <c r="A170" s="125" t="s">
        <v>252</v>
      </c>
      <c r="B170" s="126">
        <v>896</v>
      </c>
      <c r="C170" s="77">
        <v>-3.6559139800000001E-2</v>
      </c>
      <c r="D170" s="15">
        <v>898</v>
      </c>
      <c r="E170" s="32">
        <f t="shared" si="90"/>
        <v>2.232142857142857E-3</v>
      </c>
      <c r="F170" s="18">
        <f>IF(ISNUMBER(D170), $B172 * E170, "")</f>
        <v>223.21428571428569</v>
      </c>
      <c r="G170" s="31">
        <v>893</v>
      </c>
      <c r="H170" s="32">
        <f t="shared" si="91"/>
        <v>-3.3482142857142855E-3</v>
      </c>
      <c r="I170" s="101">
        <f>IF(ISNUMBER(G170), $B172 * H170, "")</f>
        <v>-334.82142857142856</v>
      </c>
      <c r="J170" s="15">
        <v>895</v>
      </c>
      <c r="K170" s="32">
        <f t="shared" si="92"/>
        <v>-1.1160714285714285E-3</v>
      </c>
      <c r="L170" s="18">
        <f>IF(ISNUMBER(J170), $B172 * K170, "")</f>
        <v>-111.60714285714285</v>
      </c>
      <c r="M170" s="31">
        <v>904</v>
      </c>
      <c r="N170" s="32">
        <f t="shared" si="93"/>
        <v>8.9285714285714281E-3</v>
      </c>
      <c r="O170" s="18">
        <f>IF(ISNUMBER(M170), $B172 * N170, "")</f>
        <v>892.85714285714278</v>
      </c>
      <c r="Q170" s="227"/>
      <c r="R170" s="228"/>
      <c r="S170" s="229"/>
    </row>
    <row r="171" spans="1:19" ht="17.25" thickBot="1">
      <c r="A171" s="130" t="s">
        <v>214</v>
      </c>
      <c r="B171" s="131">
        <v>759</v>
      </c>
      <c r="C171" s="79">
        <v>-5.8312655099999999E-2</v>
      </c>
      <c r="D171" s="24">
        <v>1310</v>
      </c>
      <c r="E171" s="25">
        <f t="shared" si="90"/>
        <v>0.72595520421607374</v>
      </c>
      <c r="F171" s="104">
        <f>IF(ISNUMBER(D171), $B172 * E171, "")</f>
        <v>72595.520421607376</v>
      </c>
      <c r="G171" s="102">
        <v>1320</v>
      </c>
      <c r="H171" s="25">
        <f t="shared" si="91"/>
        <v>0.73913043478260865</v>
      </c>
      <c r="I171" s="103">
        <f>IF(ISNUMBER(G171), $B172 * H171, "")</f>
        <v>73913.043478260865</v>
      </c>
      <c r="J171" s="24">
        <v>1325</v>
      </c>
      <c r="K171" s="25">
        <f t="shared" si="92"/>
        <v>0.7457180500658761</v>
      </c>
      <c r="L171" s="104">
        <f>IF(ISNUMBER(J171), $B172 * K171, "")</f>
        <v>74571.805006587616</v>
      </c>
      <c r="M171" s="102">
        <v>1260</v>
      </c>
      <c r="N171" s="25">
        <f t="shared" si="93"/>
        <v>0.66007905138339917</v>
      </c>
      <c r="O171" s="104">
        <f>IF(ISNUMBER(M171), $B172 * N171, "")</f>
        <v>66007.90513833992</v>
      </c>
      <c r="Q171" s="230"/>
      <c r="R171" s="231"/>
      <c r="S171" s="232"/>
    </row>
    <row r="172" spans="1:19" ht="17.25" thickBot="1">
      <c r="A172" s="132" t="s">
        <v>270</v>
      </c>
      <c r="B172" s="291">
        <f>$B$37</f>
        <v>100000</v>
      </c>
      <c r="C172" s="292"/>
      <c r="D172" s="26" t="s">
        <v>271</v>
      </c>
      <c r="E172" s="27">
        <f>IF(COUNT(E152:E171), SUM(E152:E171) / COUNT(E152:E171), 0)</f>
        <v>5.2652389124383567E-2</v>
      </c>
      <c r="F172" s="28">
        <f>SUM(F152:F171)</f>
        <v>105304.77824876715</v>
      </c>
      <c r="G172" s="26" t="s">
        <v>271</v>
      </c>
      <c r="H172" s="27">
        <f>IF(COUNT(H152:H171), SUM(H152:H171) / COUNT(H152:H171), 0)</f>
        <v>4.8486900923107132E-2</v>
      </c>
      <c r="I172" s="28">
        <f>SUM(I152:I171)</f>
        <v>96973.801846214265</v>
      </c>
      <c r="J172" s="26" t="s">
        <v>271</v>
      </c>
      <c r="K172" s="27">
        <f>IF(COUNT(K152:K171), SUM(K152:K171) / COUNT(K152:K171), 0)</f>
        <v>4.8824888055866419E-2</v>
      </c>
      <c r="L172" s="28">
        <f>SUM(L152:L171)</f>
        <v>97649.776111732834</v>
      </c>
      <c r="M172" s="26" t="s">
        <v>271</v>
      </c>
      <c r="N172" s="27">
        <f>IF(COUNT(N152:N171), SUM(N152:N171) / COUNT(N152:N171), 0)</f>
        <v>6.4527461442808104E-2</v>
      </c>
      <c r="O172" s="28">
        <f>SUM(O152:O171)</f>
        <v>129054.92288561618</v>
      </c>
      <c r="Q172" s="233"/>
      <c r="R172" s="234"/>
      <c r="S172" s="23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48"/>
      <c r="R175" s="248"/>
      <c r="S175" s="248"/>
    </row>
    <row r="176" spans="1:19" ht="17.25" thickBot="1">
      <c r="A176" s="173" t="s">
        <v>267</v>
      </c>
      <c r="B176" s="249" t="s">
        <v>49</v>
      </c>
      <c r="C176" s="251"/>
      <c r="D176" s="249" t="s">
        <v>58</v>
      </c>
      <c r="E176" s="250"/>
      <c r="F176" s="251"/>
      <c r="G176" s="252">
        <f>_xlfn.IFNA(VLOOKUP(B176, 현재가테이블!$B$2:$D$200, 2, FALSE), "-")</f>
        <v>54440000</v>
      </c>
      <c r="H176" s="253"/>
      <c r="I176" s="254"/>
      <c r="J176" s="249" t="s">
        <v>59</v>
      </c>
      <c r="K176" s="250"/>
      <c r="L176" s="251"/>
      <c r="M176" s="255">
        <f>_xlfn.IFNA(VLOOKUP(B176, 현재가테이블!$B$2:$D$200, 3, FALSE), "-")</f>
        <v>1.07123628E-2</v>
      </c>
      <c r="N176" s="256"/>
      <c r="O176" s="257"/>
      <c r="Q176" s="248"/>
      <c r="R176" s="248"/>
      <c r="S176" s="248"/>
    </row>
    <row r="177" spans="1:19" ht="17.25" thickBot="1">
      <c r="A177" s="293" t="s">
        <v>55</v>
      </c>
      <c r="B177" s="289" t="str">
        <f>TEXT($G$1, "[$-ko-KR]yyyy-mm-dd(ddd) ") &amp; "오전 00:00"</f>
        <v>2021-08-05(목) 오전 00:00</v>
      </c>
      <c r="C177" s="290"/>
      <c r="D177" s="262" t="str">
        <f>TEXT($G$1, "[$-ko-KR]yyyy-mm-dd(ddd) ") &amp; "오후 14:00"</f>
        <v>2021-08-05(목) 오후 14:00</v>
      </c>
      <c r="E177" s="263"/>
      <c r="F177" s="264"/>
      <c r="G177" s="262" t="str">
        <f>TEXT($G$1, "[$-ko-KR]yyyy-mm-dd(ddd) ") &amp; "오후 19:00"</f>
        <v>2021-08-05(목) 오후 19:00</v>
      </c>
      <c r="H177" s="263"/>
      <c r="I177" s="264"/>
      <c r="J177" s="262" t="str">
        <f>TEXT($G$1, "[$-ko-KR]yyyy-mm-dd(ddd) ") &amp; "오후 21:00"</f>
        <v>2021-08-05(목) 오후 21:00</v>
      </c>
      <c r="K177" s="263"/>
      <c r="L177" s="264"/>
      <c r="M177" s="262" t="str">
        <f>TEXT($G$1+1, "[$-ko-KR]yyyy-mm-dd(ddd) ") &amp; "오전 00:00"</f>
        <v>2021-08-06(금) 오전 00:00</v>
      </c>
      <c r="N177" s="263"/>
      <c r="O177" s="264"/>
      <c r="Q177" s="248"/>
      <c r="R177" s="248"/>
      <c r="S177" s="248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8"/>
      <c r="R178" s="238"/>
      <c r="S178" s="238"/>
    </row>
    <row r="179" spans="1:19" ht="17.25" thickBot="1">
      <c r="A179" s="123" t="s">
        <v>212</v>
      </c>
      <c r="B179" s="124">
        <v>1180</v>
      </c>
      <c r="C179" s="76">
        <v>-1.6666666699999999E-2</v>
      </c>
      <c r="D179" s="13">
        <v>1175</v>
      </c>
      <c r="E179" s="14">
        <f>IF(ISNUMBER(D179), (D179 - $B179) / $B179, "")</f>
        <v>-4.2372881355932203E-3</v>
      </c>
      <c r="F179" s="16">
        <f>IF(ISNUMBER(D179), $B199 * E179, "")</f>
        <v>-423.72881355932202</v>
      </c>
      <c r="G179" s="29">
        <v>1170</v>
      </c>
      <c r="H179" s="14">
        <f>IF(ISNUMBER(G179), (G179 - $B179) / $B179, "")</f>
        <v>-8.4745762711864406E-3</v>
      </c>
      <c r="I179" s="100">
        <f>IF(ISNUMBER(G179), $B199 * H179, "")</f>
        <v>-847.45762711864404</v>
      </c>
      <c r="J179" s="13">
        <v>1165</v>
      </c>
      <c r="K179" s="14">
        <f>IF(ISNUMBER(J179), (J179 - $B179) / $B179, "")</f>
        <v>-1.2711864406779662E-2</v>
      </c>
      <c r="L179" s="16">
        <f>IF(ISNUMBER(J179), $B199 * K179, "")</f>
        <v>-1271.1864406779662</v>
      </c>
      <c r="M179" s="29">
        <v>1185</v>
      </c>
      <c r="N179" s="14">
        <f>IF(ISNUMBER(M179), (M179 - $B179) / $B179, "")</f>
        <v>4.2372881355932203E-3</v>
      </c>
      <c r="O179" s="16">
        <f>IF(ISNUMBER(M179), $B199 * N179, "")</f>
        <v>423.72881355932202</v>
      </c>
      <c r="Q179" s="248"/>
      <c r="R179" s="248"/>
      <c r="S179" s="248"/>
    </row>
    <row r="180" spans="1:19" ht="17.25" thickBot="1">
      <c r="A180" s="125" t="s">
        <v>108</v>
      </c>
      <c r="B180" s="126">
        <v>1175</v>
      </c>
      <c r="C180" s="77">
        <v>-1.67364017E-2</v>
      </c>
      <c r="D180" s="15">
        <v>1235</v>
      </c>
      <c r="E180" s="32">
        <f t="shared" ref="E180:E183" si="94">IF(ISNUMBER(D180), (D180 - $B180) / $B180, "")</f>
        <v>5.106382978723404E-2</v>
      </c>
      <c r="F180" s="18">
        <f>IF(ISNUMBER(D180), $B199 * E180, "")</f>
        <v>5106.3829787234035</v>
      </c>
      <c r="G180" s="31">
        <v>1200</v>
      </c>
      <c r="H180" s="32">
        <f t="shared" ref="H180:H183" si="95">IF(ISNUMBER(G180), (G180 - $B180) / $B180, "")</f>
        <v>2.1276595744680851E-2</v>
      </c>
      <c r="I180" s="101">
        <f>IF(ISNUMBER(G180), $B199 * H180, "")</f>
        <v>2127.6595744680849</v>
      </c>
      <c r="J180" s="15">
        <v>1195</v>
      </c>
      <c r="K180" s="32">
        <f t="shared" ref="K180:K183" si="96">IF(ISNUMBER(J180), (J180 - $B180) / $B180, "")</f>
        <v>1.7021276595744681E-2</v>
      </c>
      <c r="L180" s="18">
        <f>IF(ISNUMBER(J180), $B199 * K180, "")</f>
        <v>1702.1276595744682</v>
      </c>
      <c r="M180" s="31">
        <v>1220</v>
      </c>
      <c r="N180" s="32">
        <f t="shared" ref="N180:N183" si="97">IF(ISNUMBER(M180), (M180 - $B180) / $B180, "")</f>
        <v>3.8297872340425532E-2</v>
      </c>
      <c r="O180" s="18">
        <f>IF(ISNUMBER(M180), $B199 * N180, "")</f>
        <v>3829.7872340425533</v>
      </c>
      <c r="Q180" s="248"/>
      <c r="R180" s="248"/>
      <c r="S180" s="248"/>
    </row>
    <row r="181" spans="1:19" ht="17.25" thickBot="1">
      <c r="A181" s="125" t="s">
        <v>116</v>
      </c>
      <c r="B181" s="126">
        <v>7090</v>
      </c>
      <c r="C181" s="77">
        <v>-1.7325017299999999E-2</v>
      </c>
      <c r="D181" s="15">
        <v>6895</v>
      </c>
      <c r="E181" s="32">
        <f t="shared" si="94"/>
        <v>-2.7503526093088856E-2</v>
      </c>
      <c r="F181" s="18">
        <f>IF(ISNUMBER(D181), $B199 * E181, "")</f>
        <v>-2750.3526093088858</v>
      </c>
      <c r="G181" s="31">
        <v>6840</v>
      </c>
      <c r="H181" s="32">
        <f t="shared" si="95"/>
        <v>-3.5260930888575459E-2</v>
      </c>
      <c r="I181" s="101">
        <f>IF(ISNUMBER(G181), $B199 * H181, "")</f>
        <v>-3526.0930888575458</v>
      </c>
      <c r="J181" s="15">
        <v>6835</v>
      </c>
      <c r="K181" s="32">
        <f t="shared" si="96"/>
        <v>-3.5966149506346967E-2</v>
      </c>
      <c r="L181" s="18">
        <f>IF(ISNUMBER(J181), $B199 * K181, "")</f>
        <v>-3596.6149506346969</v>
      </c>
      <c r="M181" s="31">
        <v>7015</v>
      </c>
      <c r="N181" s="32">
        <f t="shared" si="97"/>
        <v>-1.0578279266572637E-2</v>
      </c>
      <c r="O181" s="18">
        <f>IF(ISNUMBER(M181), $B199 * N181, "")</f>
        <v>-1057.8279266572636</v>
      </c>
      <c r="Q181" s="238"/>
      <c r="R181" s="238"/>
      <c r="S181" s="238"/>
    </row>
    <row r="182" spans="1:19" ht="17.25" thickBot="1">
      <c r="A182" s="125" t="s">
        <v>158</v>
      </c>
      <c r="B182" s="126">
        <v>18630</v>
      </c>
      <c r="C182" s="77">
        <v>-1.7405063299999999E-2</v>
      </c>
      <c r="D182" s="15">
        <v>18510</v>
      </c>
      <c r="E182" s="32">
        <f t="shared" si="94"/>
        <v>-6.4412238325281803E-3</v>
      </c>
      <c r="F182" s="18">
        <f>IF(ISNUMBER(D182), $B199 * E182, "")</f>
        <v>-644.12238325281805</v>
      </c>
      <c r="G182" s="31">
        <v>18390</v>
      </c>
      <c r="H182" s="32">
        <f t="shared" si="95"/>
        <v>-1.2882447665056361E-2</v>
      </c>
      <c r="I182" s="101">
        <f>IF(ISNUMBER(G182), $B199 * H182, "")</f>
        <v>-1288.2447665056361</v>
      </c>
      <c r="J182" s="15">
        <v>18370</v>
      </c>
      <c r="K182" s="32">
        <f t="shared" si="96"/>
        <v>-1.3955984970477724E-2</v>
      </c>
      <c r="L182" s="18">
        <f>IF(ISNUMBER(J182), $B199 * K182, "")</f>
        <v>-1395.5984970477723</v>
      </c>
      <c r="M182" s="31">
        <v>18600</v>
      </c>
      <c r="N182" s="32">
        <f t="shared" si="97"/>
        <v>-1.6103059581320451E-3</v>
      </c>
      <c r="O182" s="18">
        <f>IF(ISNUMBER(M182), $B199 * N182, "")</f>
        <v>-161.03059581320451</v>
      </c>
      <c r="Q182" s="238"/>
      <c r="R182" s="238"/>
      <c r="S182" s="238"/>
    </row>
    <row r="183" spans="1:19" ht="17.25" thickBot="1">
      <c r="A183" s="127" t="s">
        <v>104</v>
      </c>
      <c r="B183" s="128">
        <v>992</v>
      </c>
      <c r="C183" s="78">
        <v>-1.78217822E-2</v>
      </c>
      <c r="D183" s="20">
        <v>982</v>
      </c>
      <c r="E183" s="21">
        <f t="shared" si="94"/>
        <v>-1.0080645161290322E-2</v>
      </c>
      <c r="F183" s="22">
        <f>IF(ISNUMBER(D183), $B199 * E183, "")</f>
        <v>-1008.0645161290322</v>
      </c>
      <c r="G183" s="30">
        <v>1060</v>
      </c>
      <c r="H183" s="21">
        <f t="shared" si="95"/>
        <v>6.8548387096774188E-2</v>
      </c>
      <c r="I183" s="105">
        <f>IF(ISNUMBER(G183), $B199 * H183, "")</f>
        <v>6854.8387096774186</v>
      </c>
      <c r="J183" s="20">
        <v>1055</v>
      </c>
      <c r="K183" s="21">
        <f t="shared" si="96"/>
        <v>6.3508064516129031E-2</v>
      </c>
      <c r="L183" s="22">
        <f>IF(ISNUMBER(J183), $B199 * K183, "")</f>
        <v>6350.8064516129034</v>
      </c>
      <c r="M183" s="30">
        <v>1020</v>
      </c>
      <c r="N183" s="21">
        <f t="shared" si="97"/>
        <v>2.8225806451612902E-2</v>
      </c>
      <c r="O183" s="22">
        <f>IF(ISNUMBER(M183), $B199 * N183, "")</f>
        <v>2822.5806451612902</v>
      </c>
      <c r="Q183" s="238"/>
      <c r="R183" s="238"/>
      <c r="S183" s="238"/>
    </row>
    <row r="184" spans="1:19" ht="17.25" thickBot="1">
      <c r="A184" s="125" t="s">
        <v>174</v>
      </c>
      <c r="B184" s="129">
        <v>321</v>
      </c>
      <c r="C184" s="80">
        <v>-1.83486239E-2</v>
      </c>
      <c r="D184" s="106">
        <v>328</v>
      </c>
      <c r="E184" s="107">
        <f>IF(ISNUMBER(D184), (D184 - $B184) / $B184, "")</f>
        <v>2.1806853582554516E-2</v>
      </c>
      <c r="F184" s="108">
        <f>IF(ISNUMBER(D184), $B199 * E184, "")</f>
        <v>2180.6853582554518</v>
      </c>
      <c r="G184" s="109">
        <v>324</v>
      </c>
      <c r="H184" s="107">
        <f>IF(ISNUMBER(G184), (G184 - $B184) / $B184, "")</f>
        <v>9.3457943925233638E-3</v>
      </c>
      <c r="I184" s="110">
        <f>IF(ISNUMBER(G184), $B199 * H184, "")</f>
        <v>934.57943925233633</v>
      </c>
      <c r="J184" s="106">
        <v>325</v>
      </c>
      <c r="K184" s="107">
        <f>IF(ISNUMBER(J184), (J184 - $B184) / $B184, "")</f>
        <v>1.2461059190031152E-2</v>
      </c>
      <c r="L184" s="108">
        <f>IF(ISNUMBER(J184), $B199 * K184, "")</f>
        <v>1246.1059190031153</v>
      </c>
      <c r="M184" s="109">
        <v>375</v>
      </c>
      <c r="N184" s="107">
        <f>IF(ISNUMBER(M184), (M184 - $B184) / $B184, "")</f>
        <v>0.16822429906542055</v>
      </c>
      <c r="O184" s="108">
        <f>IF(ISNUMBER(M184), $B199 * N184, "")</f>
        <v>16822.429906542056</v>
      </c>
      <c r="Q184" s="238"/>
      <c r="R184" s="238"/>
      <c r="S184" s="238"/>
    </row>
    <row r="185" spans="1:19" ht="17.25" thickBot="1">
      <c r="A185" s="125" t="s">
        <v>240</v>
      </c>
      <c r="B185" s="126">
        <v>58.5</v>
      </c>
      <c r="C185" s="77">
        <v>-1.8456375800000001E-2</v>
      </c>
      <c r="D185" s="15">
        <v>59.4</v>
      </c>
      <c r="E185" s="32">
        <f t="shared" ref="E185:E188" si="98">IF(ISNUMBER(D185), (D185 - $B185) / $B185, "")</f>
        <v>1.5384615384615361E-2</v>
      </c>
      <c r="F185" s="18">
        <f>IF(ISNUMBER(D185), $B199 * E185, "")</f>
        <v>1538.4615384615361</v>
      </c>
      <c r="G185" s="31">
        <v>60.2</v>
      </c>
      <c r="H185" s="32">
        <f t="shared" ref="H185:H188" si="99">IF(ISNUMBER(G185), (G185 - $B185) / $B185, "")</f>
        <v>2.9059829059829109E-2</v>
      </c>
      <c r="I185" s="101">
        <f>IF(ISNUMBER(G185), $B199 * H185, "")</f>
        <v>2905.9829059829108</v>
      </c>
      <c r="J185" s="15">
        <v>60.3</v>
      </c>
      <c r="K185" s="32">
        <f t="shared" ref="K185:K188" si="100">IF(ISNUMBER(J185), (J185 - $B185) / $B185, "")</f>
        <v>3.0769230769230722E-2</v>
      </c>
      <c r="L185" s="18">
        <f>IF(ISNUMBER(J185), $B199 * K185, "")</f>
        <v>3076.9230769230721</v>
      </c>
      <c r="M185" s="31">
        <v>60.2</v>
      </c>
      <c r="N185" s="32">
        <f t="shared" ref="N185:N188" si="101">IF(ISNUMBER(M185), (M185 - $B185) / $B185, "")</f>
        <v>2.9059829059829109E-2</v>
      </c>
      <c r="O185" s="18">
        <f>IF(ISNUMBER(M185), $B199 * N185, "")</f>
        <v>2905.9829059829108</v>
      </c>
      <c r="Q185" s="238"/>
      <c r="R185" s="238"/>
      <c r="S185" s="238"/>
    </row>
    <row r="186" spans="1:19" ht="17.25" thickBot="1">
      <c r="A186" s="125" t="s">
        <v>190</v>
      </c>
      <c r="B186" s="126">
        <v>15.6</v>
      </c>
      <c r="C186" s="77">
        <v>-1.8867924500000001E-2</v>
      </c>
      <c r="D186" s="15">
        <v>16.399999999999999</v>
      </c>
      <c r="E186" s="32">
        <f t="shared" si="98"/>
        <v>5.1282051282051218E-2</v>
      </c>
      <c r="F186" s="18">
        <f>IF(ISNUMBER(D186), $B199 * E186, "")</f>
        <v>5128.2051282051216</v>
      </c>
      <c r="G186" s="31">
        <v>15.8</v>
      </c>
      <c r="H186" s="32">
        <f t="shared" si="99"/>
        <v>1.2820512820512889E-2</v>
      </c>
      <c r="I186" s="101">
        <f>IF(ISNUMBER(G186), $B199 * H186, "")</f>
        <v>1282.051282051289</v>
      </c>
      <c r="J186" s="15">
        <v>15.9</v>
      </c>
      <c r="K186" s="32">
        <f t="shared" si="100"/>
        <v>1.9230769230769277E-2</v>
      </c>
      <c r="L186" s="18">
        <f>IF(ISNUMBER(J186), $B199 * K186, "")</f>
        <v>1923.0769230769276</v>
      </c>
      <c r="M186" s="31">
        <v>16.100000000000001</v>
      </c>
      <c r="N186" s="32">
        <f t="shared" si="101"/>
        <v>3.2051282051282166E-2</v>
      </c>
      <c r="O186" s="18">
        <f>IF(ISNUMBER(M186), $B199 * N186, "")</f>
        <v>3205.1282051282165</v>
      </c>
      <c r="Q186" s="238"/>
      <c r="R186" s="238"/>
      <c r="S186" s="238"/>
    </row>
    <row r="187" spans="1:19" ht="17.25" thickBot="1">
      <c r="A187" s="125" t="s">
        <v>196</v>
      </c>
      <c r="B187" s="126">
        <v>4045</v>
      </c>
      <c r="C187" s="77">
        <v>-2.1765417200000001E-2</v>
      </c>
      <c r="D187" s="15">
        <v>4040</v>
      </c>
      <c r="E187" s="32">
        <f t="shared" si="98"/>
        <v>-1.2360939431396785E-3</v>
      </c>
      <c r="F187" s="18">
        <f>IF(ISNUMBER(D187), $B199 * E187, "")</f>
        <v>-123.60939431396785</v>
      </c>
      <c r="G187" s="31">
        <v>4000</v>
      </c>
      <c r="H187" s="32">
        <f t="shared" si="99"/>
        <v>-1.1124845488257108E-2</v>
      </c>
      <c r="I187" s="101">
        <f>IF(ISNUMBER(G187), $B199 * H187, "")</f>
        <v>-1112.4845488257108</v>
      </c>
      <c r="J187" s="15">
        <v>4005</v>
      </c>
      <c r="K187" s="32">
        <f t="shared" si="100"/>
        <v>-9.8887515451174281E-3</v>
      </c>
      <c r="L187" s="18">
        <f>IF(ISNUMBER(J187), $B199 * K187, "")</f>
        <v>-988.87515451174283</v>
      </c>
      <c r="M187" s="31">
        <v>4050</v>
      </c>
      <c r="N187" s="32">
        <f t="shared" si="101"/>
        <v>1.2360939431396785E-3</v>
      </c>
      <c r="O187" s="18">
        <f>IF(ISNUMBER(M187), $B199 * N187, "")</f>
        <v>123.60939431396785</v>
      </c>
      <c r="Q187" s="33"/>
      <c r="R187" s="33"/>
    </row>
    <row r="188" spans="1:19" ht="17.25" thickBot="1">
      <c r="A188" s="130" t="s">
        <v>234</v>
      </c>
      <c r="B188" s="131">
        <v>63.2</v>
      </c>
      <c r="C188" s="79">
        <v>-2.3183925800000001E-2</v>
      </c>
      <c r="D188" s="24">
        <v>63.5</v>
      </c>
      <c r="E188" s="25">
        <f t="shared" si="98"/>
        <v>4.7468354430379297E-3</v>
      </c>
      <c r="F188" s="104">
        <f>IF(ISNUMBER(D188), $B199 * E188, "")</f>
        <v>474.68354430379298</v>
      </c>
      <c r="G188" s="102">
        <v>62.8</v>
      </c>
      <c r="H188" s="25">
        <f t="shared" si="99"/>
        <v>-6.3291139240507222E-3</v>
      </c>
      <c r="I188" s="103">
        <f>IF(ISNUMBER(G188), $B199 * H188, "")</f>
        <v>-632.91139240507221</v>
      </c>
      <c r="J188" s="24">
        <v>62.7</v>
      </c>
      <c r="K188" s="25">
        <f t="shared" si="100"/>
        <v>-7.9113924050632899E-3</v>
      </c>
      <c r="L188" s="104">
        <f>IF(ISNUMBER(J188), $B199 * K188, "")</f>
        <v>-791.13924050632897</v>
      </c>
      <c r="M188" s="102">
        <v>63.6</v>
      </c>
      <c r="N188" s="25">
        <f t="shared" si="101"/>
        <v>6.3291139240506103E-3</v>
      </c>
      <c r="O188" s="104">
        <f>IF(ISNUMBER(M188), $B199 * N188, "")</f>
        <v>632.91139240506106</v>
      </c>
      <c r="Q188" s="239"/>
      <c r="R188" s="240"/>
      <c r="S188" s="241"/>
    </row>
    <row r="189" spans="1:19">
      <c r="A189" s="123" t="s">
        <v>54</v>
      </c>
      <c r="B189" s="124">
        <v>247</v>
      </c>
      <c r="C189" s="76">
        <v>-2.3715415E-2</v>
      </c>
      <c r="D189" s="13">
        <v>246</v>
      </c>
      <c r="E189" s="14">
        <f>IF(ISNUMBER(D189), (D189 - $B189) / $B189, "")</f>
        <v>-4.048582995951417E-3</v>
      </c>
      <c r="F189" s="16">
        <f>IF(ISNUMBER(D189), $B199 * E189, "")</f>
        <v>-404.85829959514172</v>
      </c>
      <c r="G189" s="29">
        <v>246</v>
      </c>
      <c r="H189" s="14">
        <f>IF(ISNUMBER(G189), (G189 - $B189) / $B189, "")</f>
        <v>-4.048582995951417E-3</v>
      </c>
      <c r="I189" s="100">
        <f>IF(ISNUMBER(G189), $B199 * H189, "")</f>
        <v>-404.85829959514172</v>
      </c>
      <c r="J189" s="13">
        <v>246</v>
      </c>
      <c r="K189" s="14">
        <f>IF(ISNUMBER(J189), (J189 - $B189) / $B189, "")</f>
        <v>-4.048582995951417E-3</v>
      </c>
      <c r="L189" s="16">
        <f>IF(ISNUMBER(J189), $B199 * K189, "")</f>
        <v>-404.85829959514172</v>
      </c>
      <c r="M189" s="29">
        <v>257</v>
      </c>
      <c r="N189" s="14">
        <f>IF(ISNUMBER(M189), (M189 - $B189) / $B189, "")</f>
        <v>4.048582995951417E-2</v>
      </c>
      <c r="O189" s="16">
        <f>IF(ISNUMBER(M189), $B199 * N189, "")</f>
        <v>4048.5829959514172</v>
      </c>
      <c r="Q189" s="242"/>
      <c r="R189" s="243"/>
      <c r="S189" s="244"/>
    </row>
    <row r="190" spans="1:19" ht="17.25" thickBot="1">
      <c r="A190" s="125" t="s">
        <v>220</v>
      </c>
      <c r="B190" s="126">
        <v>201</v>
      </c>
      <c r="C190" s="77">
        <v>-2.42718447E-2</v>
      </c>
      <c r="D190" s="15">
        <v>203</v>
      </c>
      <c r="E190" s="32">
        <f t="shared" ref="E190:E193" si="102">IF(ISNUMBER(D190), (D190 - $B190) / $B190, "")</f>
        <v>9.9502487562189053E-3</v>
      </c>
      <c r="F190" s="18">
        <f>IF(ISNUMBER(D190), $B199 * E190, "")</f>
        <v>995.02487562189049</v>
      </c>
      <c r="G190" s="31">
        <v>201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201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204</v>
      </c>
      <c r="N190" s="32">
        <f t="shared" ref="N190:N193" si="105">IF(ISNUMBER(M190), (M190 - $B190) / $B190, "")</f>
        <v>1.4925373134328358E-2</v>
      </c>
      <c r="O190" s="18">
        <f>IF(ISNUMBER(M190), $B199 * N190, "")</f>
        <v>1492.5373134328358</v>
      </c>
      <c r="Q190" s="245"/>
      <c r="R190" s="246"/>
      <c r="S190" s="247"/>
    </row>
    <row r="191" spans="1:19" ht="17.25" thickBot="1">
      <c r="A191" s="125" t="s">
        <v>244</v>
      </c>
      <c r="B191" s="126">
        <v>1310</v>
      </c>
      <c r="C191" s="77">
        <v>-2.60223048E-2</v>
      </c>
      <c r="D191" s="15">
        <v>1310</v>
      </c>
      <c r="E191" s="32">
        <f t="shared" si="102"/>
        <v>0</v>
      </c>
      <c r="F191" s="18">
        <f>IF(ISNUMBER(D191), $B199 * E191, "")</f>
        <v>0</v>
      </c>
      <c r="G191" s="31">
        <v>1295</v>
      </c>
      <c r="H191" s="32">
        <f t="shared" si="103"/>
        <v>-1.1450381679389313E-2</v>
      </c>
      <c r="I191" s="101">
        <f>IF(ISNUMBER(G191), $B199 * H191, "")</f>
        <v>-1145.0381679389313</v>
      </c>
      <c r="J191" s="15">
        <v>1305</v>
      </c>
      <c r="K191" s="32">
        <f t="shared" si="104"/>
        <v>-3.8167938931297708E-3</v>
      </c>
      <c r="L191" s="18">
        <f>IF(ISNUMBER(J191), $B199 * K191, "")</f>
        <v>-381.67938931297709</v>
      </c>
      <c r="M191" s="31">
        <v>1315</v>
      </c>
      <c r="N191" s="32">
        <f t="shared" si="105"/>
        <v>3.8167938931297708E-3</v>
      </c>
      <c r="O191" s="18">
        <f>IF(ISNUMBER(M191), $B199 * N191, "")</f>
        <v>381.67938931297709</v>
      </c>
      <c r="Q191" s="238"/>
      <c r="R191" s="238"/>
      <c r="S191" s="238"/>
    </row>
    <row r="192" spans="1:19" ht="17.25" thickBot="1">
      <c r="A192" s="125" t="s">
        <v>228</v>
      </c>
      <c r="B192" s="126">
        <v>362</v>
      </c>
      <c r="C192" s="77">
        <v>-2.68817204E-2</v>
      </c>
      <c r="D192" s="15">
        <v>364</v>
      </c>
      <c r="E192" s="32">
        <f t="shared" si="102"/>
        <v>5.5248618784530384E-3</v>
      </c>
      <c r="F192" s="18">
        <f>IF(ISNUMBER(D192), $B199 * E192, "")</f>
        <v>552.48618784530379</v>
      </c>
      <c r="G192" s="31">
        <v>370</v>
      </c>
      <c r="H192" s="32">
        <f t="shared" si="103"/>
        <v>2.2099447513812154E-2</v>
      </c>
      <c r="I192" s="101">
        <f>IF(ISNUMBER(G192), $B199 * H192, "")</f>
        <v>2209.9447513812152</v>
      </c>
      <c r="J192" s="15">
        <v>367</v>
      </c>
      <c r="K192" s="32">
        <f t="shared" si="104"/>
        <v>1.3812154696132596E-2</v>
      </c>
      <c r="L192" s="18">
        <f>IF(ISNUMBER(J192), $B199 * K192, "")</f>
        <v>1381.2154696132595</v>
      </c>
      <c r="M192" s="31">
        <v>370</v>
      </c>
      <c r="N192" s="32">
        <f t="shared" si="105"/>
        <v>2.2099447513812154E-2</v>
      </c>
      <c r="O192" s="18">
        <f>IF(ISNUMBER(M192), $B199 * N192, "")</f>
        <v>2209.9447513812152</v>
      </c>
      <c r="Q192" s="248"/>
      <c r="R192" s="248"/>
      <c r="S192" s="248"/>
    </row>
    <row r="193" spans="1:19" ht="17.25" thickBot="1">
      <c r="A193" s="127" t="s">
        <v>106</v>
      </c>
      <c r="B193" s="128">
        <v>61510</v>
      </c>
      <c r="C193" s="78">
        <v>-2.9504575599999999E-2</v>
      </c>
      <c r="D193" s="20">
        <v>64770</v>
      </c>
      <c r="E193" s="21">
        <f t="shared" si="102"/>
        <v>5.2999512274426924E-2</v>
      </c>
      <c r="F193" s="22">
        <f>IF(ISNUMBER(D193), $B199 * E193, "")</f>
        <v>5299.9512274426925</v>
      </c>
      <c r="G193" s="30">
        <v>62730</v>
      </c>
      <c r="H193" s="21">
        <f t="shared" si="103"/>
        <v>1.9834173305153635E-2</v>
      </c>
      <c r="I193" s="105">
        <f>IF(ISNUMBER(G193), $B199 * H193, "")</f>
        <v>1983.4173305153636</v>
      </c>
      <c r="J193" s="20">
        <v>62870</v>
      </c>
      <c r="K193" s="21">
        <f t="shared" si="104"/>
        <v>2.2110225979515525E-2</v>
      </c>
      <c r="L193" s="22">
        <f>IF(ISNUMBER(J193), $B199 * K193, "")</f>
        <v>2211.0225979515526</v>
      </c>
      <c r="M193" s="30">
        <v>63730</v>
      </c>
      <c r="N193" s="21">
        <f t="shared" si="105"/>
        <v>3.6091692407738581E-2</v>
      </c>
      <c r="O193" s="22">
        <f>IF(ISNUMBER(M193), $B199 * N193, "")</f>
        <v>3609.1692407738578</v>
      </c>
      <c r="Q193" s="248"/>
      <c r="R193" s="248"/>
      <c r="S193" s="248"/>
    </row>
    <row r="194" spans="1:19" ht="17.25" thickBot="1">
      <c r="A194" s="125" t="s">
        <v>254</v>
      </c>
      <c r="B194" s="129">
        <v>274</v>
      </c>
      <c r="C194" s="80">
        <v>-3.5211267599999999E-2</v>
      </c>
      <c r="D194" s="106">
        <v>277</v>
      </c>
      <c r="E194" s="107">
        <f>IF(ISNUMBER(D194), (D194 - $B194) / $B194, "")</f>
        <v>1.0948905109489052E-2</v>
      </c>
      <c r="F194" s="108">
        <f>IF(ISNUMBER(D194), $B199 * E194, "")</f>
        <v>1094.8905109489051</v>
      </c>
      <c r="G194" s="109">
        <v>275</v>
      </c>
      <c r="H194" s="107">
        <f>IF(ISNUMBER(G194), (G194 - $B194) / $B194, "")</f>
        <v>3.6496350364963502E-3</v>
      </c>
      <c r="I194" s="110">
        <f>IF(ISNUMBER(G194), $B199 * H194, "")</f>
        <v>364.96350364963502</v>
      </c>
      <c r="J194" s="106">
        <v>274</v>
      </c>
      <c r="K194" s="107">
        <f>IF(ISNUMBER(J194), (J194 - $B194) / $B194, "")</f>
        <v>0</v>
      </c>
      <c r="L194" s="108">
        <f>IF(ISNUMBER(J194), $B199 * K194, "")</f>
        <v>0</v>
      </c>
      <c r="M194" s="109">
        <v>287</v>
      </c>
      <c r="N194" s="107">
        <f>IF(ISNUMBER(M194), (M194 - $B194) / $B194, "")</f>
        <v>4.7445255474452552E-2</v>
      </c>
      <c r="O194" s="108">
        <f>IF(ISNUMBER(M194), $B199 * N194, "")</f>
        <v>4744.5255474452551</v>
      </c>
      <c r="Q194" s="238"/>
      <c r="R194" s="238"/>
      <c r="S194" s="238"/>
    </row>
    <row r="195" spans="1:19" ht="17.25" thickBot="1">
      <c r="A195" s="125" t="s">
        <v>252</v>
      </c>
      <c r="B195" s="126">
        <v>896</v>
      </c>
      <c r="C195" s="77">
        <v>-3.6559139800000001E-2</v>
      </c>
      <c r="D195" s="15">
        <v>898</v>
      </c>
      <c r="E195" s="32">
        <f t="shared" ref="E195:E198" si="106">IF(ISNUMBER(D195), (D195 - $B195) / $B195, "")</f>
        <v>2.232142857142857E-3</v>
      </c>
      <c r="F195" s="18">
        <f>IF(ISNUMBER(D195), $B199 * E195, "")</f>
        <v>223.21428571428569</v>
      </c>
      <c r="G195" s="31">
        <v>893</v>
      </c>
      <c r="H195" s="32">
        <f t="shared" ref="H195:H198" si="107">IF(ISNUMBER(G195), (G195 - $B195) / $B195, "")</f>
        <v>-3.3482142857142855E-3</v>
      </c>
      <c r="I195" s="101">
        <f>IF(ISNUMBER(G195), $B199 * H195, "")</f>
        <v>-334.82142857142856</v>
      </c>
      <c r="J195" s="15">
        <v>895</v>
      </c>
      <c r="K195" s="32">
        <f t="shared" ref="K195:K198" si="108">IF(ISNUMBER(J195), (J195 - $B195) / $B195, "")</f>
        <v>-1.1160714285714285E-3</v>
      </c>
      <c r="L195" s="18">
        <f>IF(ISNUMBER(J195), $B199 * K195, "")</f>
        <v>-111.60714285714285</v>
      </c>
      <c r="M195" s="31">
        <v>904</v>
      </c>
      <c r="N195" s="32">
        <f t="shared" ref="N195:N198" si="109">IF(ISNUMBER(M195), (M195 - $B195) / $B195, "")</f>
        <v>8.9285714285714281E-3</v>
      </c>
      <c r="O195" s="18">
        <f>IF(ISNUMBER(M195), $B199 * N195, "")</f>
        <v>892.85714285714278</v>
      </c>
      <c r="Q195" s="238"/>
      <c r="R195" s="238"/>
      <c r="S195" s="238"/>
    </row>
    <row r="196" spans="1:19" ht="17.25" thickBot="1">
      <c r="A196" s="125" t="s">
        <v>226</v>
      </c>
      <c r="B196" s="126">
        <v>1795</v>
      </c>
      <c r="C196" s="77">
        <v>-3.7533512099999999E-2</v>
      </c>
      <c r="D196" s="15">
        <v>1790</v>
      </c>
      <c r="E196" s="32">
        <f t="shared" si="106"/>
        <v>-2.7855153203342618E-3</v>
      </c>
      <c r="F196" s="18">
        <f>IF(ISNUMBER(D196), $B199 * E196, "")</f>
        <v>-278.55153203342621</v>
      </c>
      <c r="G196" s="31">
        <v>1760</v>
      </c>
      <c r="H196" s="32">
        <f t="shared" si="107"/>
        <v>-1.9498607242339833E-2</v>
      </c>
      <c r="I196" s="101">
        <f>IF(ISNUMBER(G196), $B199 * H196, "")</f>
        <v>-1949.8607242339833</v>
      </c>
      <c r="J196" s="15">
        <v>1760</v>
      </c>
      <c r="K196" s="32">
        <f t="shared" si="108"/>
        <v>-1.9498607242339833E-2</v>
      </c>
      <c r="L196" s="18">
        <f>IF(ISNUMBER(J196), $B199 * K196, "")</f>
        <v>-1949.8607242339833</v>
      </c>
      <c r="M196" s="31">
        <v>1765</v>
      </c>
      <c r="N196" s="32">
        <f t="shared" si="109"/>
        <v>-1.6713091922005572E-2</v>
      </c>
      <c r="O196" s="18">
        <f>IF(ISNUMBER(M196), $B199 * N196, "")</f>
        <v>-1671.3091922005572</v>
      </c>
      <c r="Q196" s="238"/>
      <c r="R196" s="238"/>
      <c r="S196" s="238"/>
    </row>
    <row r="197" spans="1:19">
      <c r="A197" s="125" t="s">
        <v>214</v>
      </c>
      <c r="B197" s="126">
        <v>759</v>
      </c>
      <c r="C197" s="77">
        <v>-5.8312655099999999E-2</v>
      </c>
      <c r="D197" s="15">
        <v>1310</v>
      </c>
      <c r="E197" s="32">
        <f t="shared" si="106"/>
        <v>0.72595520421607374</v>
      </c>
      <c r="F197" s="18">
        <f>IF(ISNUMBER(D197), $B199 * E197, "")</f>
        <v>72595.520421607376</v>
      </c>
      <c r="G197" s="31">
        <v>1320</v>
      </c>
      <c r="H197" s="32">
        <f t="shared" si="107"/>
        <v>0.73913043478260865</v>
      </c>
      <c r="I197" s="101">
        <f>IF(ISNUMBER(G197), $B199 * H197, "")</f>
        <v>73913.043478260865</v>
      </c>
      <c r="J197" s="15">
        <v>1325</v>
      </c>
      <c r="K197" s="32">
        <f t="shared" si="108"/>
        <v>0.7457180500658761</v>
      </c>
      <c r="L197" s="18">
        <f>IF(ISNUMBER(J197), $B199 * K197, "")</f>
        <v>74571.805006587616</v>
      </c>
      <c r="M197" s="31">
        <v>1260</v>
      </c>
      <c r="N197" s="32">
        <f t="shared" si="109"/>
        <v>0.66007905138339917</v>
      </c>
      <c r="O197" s="18">
        <f>IF(ISNUMBER(M197), $B199 * N197, "")</f>
        <v>66007.90513833992</v>
      </c>
      <c r="Q197" s="227"/>
      <c r="R197" s="228"/>
      <c r="S197" s="229"/>
    </row>
    <row r="198" spans="1:19" ht="17.25" thickBot="1">
      <c r="A198" s="130" t="s">
        <v>69</v>
      </c>
      <c r="B198" s="131">
        <v>5170</v>
      </c>
      <c r="C198" s="79">
        <v>-0.06</v>
      </c>
      <c r="D198" s="24">
        <v>5055</v>
      </c>
      <c r="E198" s="25">
        <f t="shared" si="106"/>
        <v>-2.2243713733075435E-2</v>
      </c>
      <c r="F198" s="104">
        <f>IF(ISNUMBER(D198), $B199 * E198, "")</f>
        <v>-2224.3713733075438</v>
      </c>
      <c r="G198" s="102">
        <v>5015</v>
      </c>
      <c r="H198" s="25">
        <f t="shared" si="107"/>
        <v>-2.9980657640232108E-2</v>
      </c>
      <c r="I198" s="103">
        <f>IF(ISNUMBER(G198), $B199 * H198, "")</f>
        <v>-2998.0657640232107</v>
      </c>
      <c r="J198" s="24">
        <v>5035</v>
      </c>
      <c r="K198" s="25">
        <f t="shared" si="108"/>
        <v>-2.6112185686653772E-2</v>
      </c>
      <c r="L198" s="104">
        <f>IF(ISNUMBER(J198), $B199 * K198, "")</f>
        <v>-2611.218568665377</v>
      </c>
      <c r="M198" s="102">
        <v>5160</v>
      </c>
      <c r="N198" s="25">
        <f t="shared" si="109"/>
        <v>-1.9342359767891683E-3</v>
      </c>
      <c r="O198" s="104">
        <f>IF(ISNUMBER(M198), $B199 * N198, "")</f>
        <v>-193.42359767891682</v>
      </c>
      <c r="Q198" s="230"/>
      <c r="R198" s="231"/>
      <c r="S198" s="232"/>
    </row>
    <row r="199" spans="1:19" ht="17.25" thickBot="1">
      <c r="A199" s="132" t="s">
        <v>270</v>
      </c>
      <c r="B199" s="291">
        <f>$B$37</f>
        <v>100000</v>
      </c>
      <c r="C199" s="292"/>
      <c r="D199" s="26" t="s">
        <v>271</v>
      </c>
      <c r="E199" s="27">
        <f>IF(COUNT(E179:E198), SUM(E179:E198) / COUNT(E179:E198), 0)</f>
        <v>4.3665923567814804E-2</v>
      </c>
      <c r="F199" s="28">
        <f>SUM(F179:F198)</f>
        <v>87331.847135629621</v>
      </c>
      <c r="G199" s="26" t="s">
        <v>271</v>
      </c>
      <c r="H199" s="27">
        <f>IF(COUNT(H179:H198), SUM(H179:H198) / COUNT(H179:H198), 0)</f>
        <v>3.916832258358191E-2</v>
      </c>
      <c r="I199" s="28">
        <f>SUM(I179:I198)</f>
        <v>78336.645167163821</v>
      </c>
      <c r="J199" s="26" t="s">
        <v>271</v>
      </c>
      <c r="K199" s="27">
        <f>IF(COUNT(K179:K198), SUM(K179:K198) / COUNT(K179:K198), 0)</f>
        <v>3.9480222348149893E-2</v>
      </c>
      <c r="L199" s="28">
        <f>SUM(L179:L198)</f>
        <v>78960.444696299775</v>
      </c>
      <c r="M199" s="26" t="s">
        <v>271</v>
      </c>
      <c r="N199" s="27">
        <f>IF(COUNT(N179:N198), SUM(N179:N198) / COUNT(N179:N198), 0)</f>
        <v>5.5534884352140025E-2</v>
      </c>
      <c r="O199" s="28">
        <f>SUM(O179:O198)</f>
        <v>111069.76870428005</v>
      </c>
      <c r="Q199" s="233"/>
      <c r="R199" s="234"/>
      <c r="S199" s="23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5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5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5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4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4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4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4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4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4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4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42" priority="157">
      <formula>AND($N17 &gt; 0, ISNUMBER($N17))</formula>
    </cfRule>
    <cfRule type="expression" dxfId="2341" priority="158">
      <formula>AND($N17 = 0 * ISNUMBER($N17))</formula>
    </cfRule>
    <cfRule type="expression" dxfId="2340" priority="159">
      <formula>AND($N17 &lt; 0, ISNUMBER($N17))</formula>
    </cfRule>
  </conditionalFormatting>
  <conditionalFormatting sqref="A17:F36">
    <cfRule type="expression" dxfId="2339" priority="166">
      <formula>AND($E17 &gt; 0, ISNUMBER($E17))</formula>
    </cfRule>
    <cfRule type="expression" dxfId="2338" priority="167">
      <formula>AND($E17 = 0 * ISNUMBER($E17))</formula>
    </cfRule>
    <cfRule type="expression" dxfId="2337" priority="168">
      <formula>AND($E17 &lt; 0, ISNUMBER($E17))</formula>
    </cfRule>
  </conditionalFormatting>
  <conditionalFormatting sqref="A17:C36 G17:I36">
    <cfRule type="expression" dxfId="2336" priority="163">
      <formula>AND($H17 &gt; 0, ISNUMBER($H17))</formula>
    </cfRule>
    <cfRule type="expression" dxfId="2335" priority="164">
      <formula>AND($H17 = 0 * ISNUMBER($H17))</formula>
    </cfRule>
    <cfRule type="expression" dxfId="2334" priority="165">
      <formula>AND($H17 &lt; 0, ISNUMBER($H17))</formula>
    </cfRule>
  </conditionalFormatting>
  <conditionalFormatting sqref="A17:C36 J17:L36">
    <cfRule type="expression" dxfId="2333" priority="160">
      <formula>AND($K17 &gt; 0, ISNUMBER($K17))</formula>
    </cfRule>
    <cfRule type="expression" dxfId="2332" priority="161">
      <formula>AND($K17 = 0 * ISNUMBER($K17))</formula>
    </cfRule>
    <cfRule type="expression" dxfId="2331" priority="162">
      <formula>AND($K17 &lt; 0, ISNUMBER($K17))</formula>
    </cfRule>
  </conditionalFormatting>
  <conditionalFormatting sqref="D15:F16 E37:F37">
    <cfRule type="expression" dxfId="2330" priority="154">
      <formula>$E$37 &gt; 0</formula>
    </cfRule>
    <cfRule type="expression" dxfId="2329" priority="155">
      <formula>$E$37 = 0</formula>
    </cfRule>
    <cfRule type="expression" dxfId="2328" priority="156">
      <formula>$E$37 &lt; 0</formula>
    </cfRule>
  </conditionalFormatting>
  <conditionalFormatting sqref="G15:I16 H37:I37">
    <cfRule type="expression" dxfId="2327" priority="151">
      <formula>$H$37 &gt; 0</formula>
    </cfRule>
    <cfRule type="expression" dxfId="2326" priority="152">
      <formula>$H$37 = 0</formula>
    </cfRule>
    <cfRule type="expression" dxfId="2325" priority="153">
      <formula>$H$37 &lt; 0</formula>
    </cfRule>
  </conditionalFormatting>
  <conditionalFormatting sqref="J15:L16 K37:L37">
    <cfRule type="expression" dxfId="2324" priority="148">
      <formula>$K$37 &gt; 0</formula>
    </cfRule>
    <cfRule type="expression" dxfId="2323" priority="149">
      <formula>$K$37 = 0</formula>
    </cfRule>
    <cfRule type="expression" dxfId="2322" priority="150">
      <formula>$K$37 &lt; 0</formula>
    </cfRule>
  </conditionalFormatting>
  <conditionalFormatting sqref="M15:O16 N37:O37">
    <cfRule type="expression" dxfId="2321" priority="145">
      <formula>$N$37 &gt; 0</formula>
    </cfRule>
    <cfRule type="expression" dxfId="2320" priority="146">
      <formula>$N$37 = 0</formula>
    </cfRule>
    <cfRule type="expression" dxfId="2319" priority="147">
      <formula>$N$37 &lt; 0</formula>
    </cfRule>
  </conditionalFormatting>
  <conditionalFormatting sqref="A44:C63 M44:O63">
    <cfRule type="expression" dxfId="2318" priority="133">
      <formula>AND($N44 &gt; 0, ISNUMBER($N44))</formula>
    </cfRule>
    <cfRule type="expression" dxfId="2317" priority="134">
      <formula>AND($N44 = 0 * ISNUMBER($N44))</formula>
    </cfRule>
    <cfRule type="expression" dxfId="2316" priority="135">
      <formula>AND($N44 &lt; 0, ISNUMBER($N44))</formula>
    </cfRule>
  </conditionalFormatting>
  <conditionalFormatting sqref="A44:F63">
    <cfRule type="expression" dxfId="2315" priority="142">
      <formula>AND($E44 &gt; 0, ISNUMBER($E44))</formula>
    </cfRule>
    <cfRule type="expression" dxfId="2314" priority="143">
      <formula>AND($E44 = 0 * ISNUMBER($E44))</formula>
    </cfRule>
    <cfRule type="expression" dxfId="2313" priority="144">
      <formula>AND($E44 &lt; 0, ISNUMBER($E44))</formula>
    </cfRule>
  </conditionalFormatting>
  <conditionalFormatting sqref="A44:C63 G44:I63">
    <cfRule type="expression" dxfId="2312" priority="139">
      <formula>AND($H44 &gt; 0, ISNUMBER($H44))</formula>
    </cfRule>
    <cfRule type="expression" dxfId="2311" priority="140">
      <formula>AND($H44 = 0 * ISNUMBER($H44))</formula>
    </cfRule>
    <cfRule type="expression" dxfId="2310" priority="141">
      <formula>AND($H44 &lt; 0, ISNUMBER($H44))</formula>
    </cfRule>
  </conditionalFormatting>
  <conditionalFormatting sqref="A44:C63 J44:L63">
    <cfRule type="expression" dxfId="2309" priority="136">
      <formula>AND($K44 &gt; 0, ISNUMBER($K44))</formula>
    </cfRule>
    <cfRule type="expression" dxfId="2308" priority="137">
      <formula>AND($K44 = 0 * ISNUMBER($K44))</formula>
    </cfRule>
    <cfRule type="expression" dxfId="2307" priority="138">
      <formula>AND($K44 &lt; 0, ISNUMBER($K44))</formula>
    </cfRule>
  </conditionalFormatting>
  <conditionalFormatting sqref="D42:F43 E64:F64">
    <cfRule type="expression" dxfId="2306" priority="130">
      <formula>$E$64 &gt; 0</formula>
    </cfRule>
    <cfRule type="expression" dxfId="2305" priority="131">
      <formula>$E$64 = 0</formula>
    </cfRule>
    <cfRule type="expression" dxfId="2304" priority="132">
      <formula>$E$64 &lt; 0</formula>
    </cfRule>
  </conditionalFormatting>
  <conditionalFormatting sqref="G42:I43 H64:I64">
    <cfRule type="expression" dxfId="2303" priority="127">
      <formula>$H$64 &gt; 0</formula>
    </cfRule>
    <cfRule type="expression" dxfId="2302" priority="128">
      <formula>$H$64 = 0</formula>
    </cfRule>
    <cfRule type="expression" dxfId="2301" priority="129">
      <formula>$H$64 &lt; 0</formula>
    </cfRule>
  </conditionalFormatting>
  <conditionalFormatting sqref="J42:L43 K64:L64">
    <cfRule type="expression" dxfId="2300" priority="124">
      <formula>$K$64 &gt; 0</formula>
    </cfRule>
    <cfRule type="expression" dxfId="2299" priority="125">
      <formula>$K$64 = 0</formula>
    </cfRule>
    <cfRule type="expression" dxfId="2298" priority="126">
      <formula>$K$64 &lt; 0</formula>
    </cfRule>
  </conditionalFormatting>
  <conditionalFormatting sqref="M42:O43 N64:O64">
    <cfRule type="expression" dxfId="2297" priority="121">
      <formula>$N$64 &gt; 0</formula>
    </cfRule>
    <cfRule type="expression" dxfId="2296" priority="122">
      <formula>$N$64 = 0</formula>
    </cfRule>
    <cfRule type="expression" dxfId="2295" priority="123">
      <formula>$N$64 &lt; 0</formula>
    </cfRule>
  </conditionalFormatting>
  <conditionalFormatting sqref="A71:C90 M71:O90">
    <cfRule type="expression" dxfId="2294" priority="109">
      <formula>AND($N71 &gt; 0, ISNUMBER($N71))</formula>
    </cfRule>
    <cfRule type="expression" dxfId="2293" priority="110">
      <formula>AND($N71 = 0 * ISNUMBER($N71))</formula>
    </cfRule>
    <cfRule type="expression" dxfId="2292" priority="111">
      <formula>AND($N71 &lt; 0, ISNUMBER($N71))</formula>
    </cfRule>
  </conditionalFormatting>
  <conditionalFormatting sqref="A71:F90">
    <cfRule type="expression" dxfId="2291" priority="118">
      <formula>AND($E71 &gt; 0, ISNUMBER($E71))</formula>
    </cfRule>
    <cfRule type="expression" dxfId="2290" priority="119">
      <formula>AND($E71 = 0 * ISNUMBER($E71))</formula>
    </cfRule>
    <cfRule type="expression" dxfId="2289" priority="120">
      <formula>AND($E71 &lt; 0, ISNUMBER($E71))</formula>
    </cfRule>
  </conditionalFormatting>
  <conditionalFormatting sqref="A71:C90 G71:I90">
    <cfRule type="expression" dxfId="2288" priority="115">
      <formula>AND($H71 &gt; 0, ISNUMBER($H71))</formula>
    </cfRule>
    <cfRule type="expression" dxfId="2287" priority="116">
      <formula>AND($H71 = 0 * ISNUMBER($H71))</formula>
    </cfRule>
    <cfRule type="expression" dxfId="2286" priority="117">
      <formula>AND($H71 &lt; 0, ISNUMBER($H71))</formula>
    </cfRule>
  </conditionalFormatting>
  <conditionalFormatting sqref="A71:C90 J71:L90">
    <cfRule type="expression" dxfId="2285" priority="112">
      <formula>AND($K71 &gt; 0, ISNUMBER($K71))</formula>
    </cfRule>
    <cfRule type="expression" dxfId="2284" priority="113">
      <formula>AND($K71 = 0 * ISNUMBER($K71))</formula>
    </cfRule>
    <cfRule type="expression" dxfId="2283" priority="114">
      <formula>AND($K71 &lt; 0, ISNUMBER($K71))</formula>
    </cfRule>
  </conditionalFormatting>
  <conditionalFormatting sqref="D69:F70 E91:F91">
    <cfRule type="expression" dxfId="2282" priority="106">
      <formula>$E$91 &gt; 0</formula>
    </cfRule>
    <cfRule type="expression" dxfId="2281" priority="107">
      <formula>$E$91 = 0</formula>
    </cfRule>
    <cfRule type="expression" dxfId="2280" priority="108">
      <formula>$E$91 &lt; 0</formula>
    </cfRule>
  </conditionalFormatting>
  <conditionalFormatting sqref="G69:I70 H91:I91">
    <cfRule type="expression" dxfId="2279" priority="103">
      <formula>$H$91 &gt; 0</formula>
    </cfRule>
    <cfRule type="expression" dxfId="2278" priority="104">
      <formula>$H$91 = 0</formula>
    </cfRule>
    <cfRule type="expression" dxfId="2277" priority="105">
      <formula>$H$91 &lt; 0</formula>
    </cfRule>
  </conditionalFormatting>
  <conditionalFormatting sqref="J69:L70 K91:L91">
    <cfRule type="expression" dxfId="2276" priority="100">
      <formula>$K$91 &gt; 0</formula>
    </cfRule>
    <cfRule type="expression" dxfId="2275" priority="101">
      <formula>$K$91 = 0</formula>
    </cfRule>
    <cfRule type="expression" dxfId="2274" priority="102">
      <formula>$K$91 &lt; 0</formula>
    </cfRule>
  </conditionalFormatting>
  <conditionalFormatting sqref="M69:O70 N91:O91">
    <cfRule type="expression" dxfId="2273" priority="97">
      <formula>$N$91 &gt; 0</formula>
    </cfRule>
    <cfRule type="expression" dxfId="2272" priority="98">
      <formula>$N$91 = 0</formula>
    </cfRule>
    <cfRule type="expression" dxfId="2271" priority="99">
      <formula>$N$91 &lt; 0</formula>
    </cfRule>
  </conditionalFormatting>
  <conditionalFormatting sqref="A98:C117 M98:O117">
    <cfRule type="expression" dxfId="2270" priority="85">
      <formula>AND($N98 &gt; 0, ISNUMBER($N98))</formula>
    </cfRule>
    <cfRule type="expression" dxfId="2269" priority="86">
      <formula>AND($N98 = 0 * ISNUMBER($N98))</formula>
    </cfRule>
    <cfRule type="expression" dxfId="2268" priority="87">
      <formula>AND($N98 &lt; 0, ISNUMBER($N98))</formula>
    </cfRule>
  </conditionalFormatting>
  <conditionalFormatting sqref="A98:F117">
    <cfRule type="expression" dxfId="2267" priority="94">
      <formula>AND($E98 &gt; 0, ISNUMBER($E98))</formula>
    </cfRule>
    <cfRule type="expression" dxfId="2266" priority="95">
      <formula>AND($E98 = 0 * ISNUMBER($E98))</formula>
    </cfRule>
    <cfRule type="expression" dxfId="2265" priority="96">
      <formula>AND($E98 &lt; 0, ISNUMBER($E98))</formula>
    </cfRule>
  </conditionalFormatting>
  <conditionalFormatting sqref="A98:C117 G98:I117">
    <cfRule type="expression" dxfId="2264" priority="91">
      <formula>AND($H98 &gt; 0, ISNUMBER($H98))</formula>
    </cfRule>
    <cfRule type="expression" dxfId="2263" priority="92">
      <formula>AND($H98 = 0 * ISNUMBER($H98))</formula>
    </cfRule>
    <cfRule type="expression" dxfId="2262" priority="93">
      <formula>AND($H98 &lt; 0, ISNUMBER($H98))</formula>
    </cfRule>
  </conditionalFormatting>
  <conditionalFormatting sqref="A98:C117 J98:L117">
    <cfRule type="expression" dxfId="2261" priority="88">
      <formula>AND($K98 &gt; 0, ISNUMBER($K98))</formula>
    </cfRule>
    <cfRule type="expression" dxfId="2260" priority="89">
      <formula>AND($K98 = 0 * ISNUMBER($K98))</formula>
    </cfRule>
    <cfRule type="expression" dxfId="2259" priority="90">
      <formula>AND($K98 &lt; 0, ISNUMBER($K98))</formula>
    </cfRule>
  </conditionalFormatting>
  <conditionalFormatting sqref="D96:F97 E118:F118">
    <cfRule type="expression" dxfId="2258" priority="82">
      <formula>$E$118 &gt; 0</formula>
    </cfRule>
    <cfRule type="expression" dxfId="2257" priority="83">
      <formula>$E$118 = 0</formula>
    </cfRule>
    <cfRule type="expression" dxfId="2256" priority="84">
      <formula>$E$118 &lt; 0</formula>
    </cfRule>
  </conditionalFormatting>
  <conditionalFormatting sqref="G96:I97 H118:I118">
    <cfRule type="expression" dxfId="2255" priority="79">
      <formula>$H$118 &gt; 0</formula>
    </cfRule>
    <cfRule type="expression" dxfId="2254" priority="80">
      <formula>$H$118 = 0</formula>
    </cfRule>
    <cfRule type="expression" dxfId="2253" priority="81">
      <formula>$H$118 &lt; 0</formula>
    </cfRule>
  </conditionalFormatting>
  <conditionalFormatting sqref="J96:L97 K118:L118">
    <cfRule type="expression" dxfId="2252" priority="76">
      <formula>$K$118 &gt; 0</formula>
    </cfRule>
    <cfRule type="expression" dxfId="2251" priority="77">
      <formula>$K$118 = 0</formula>
    </cfRule>
    <cfRule type="expression" dxfId="2250" priority="78">
      <formula>$K$118 &lt; 0</formula>
    </cfRule>
  </conditionalFormatting>
  <conditionalFormatting sqref="M96:O97 N118:O118">
    <cfRule type="expression" dxfId="2249" priority="73">
      <formula>$N$118 &gt; 0</formula>
    </cfRule>
    <cfRule type="expression" dxfId="2248" priority="74">
      <formula>$N$118 = 0</formula>
    </cfRule>
    <cfRule type="expression" dxfId="2247" priority="75">
      <formula>$N$118 &lt; 0</formula>
    </cfRule>
  </conditionalFormatting>
  <conditionalFormatting sqref="A125:C144 M125:O144">
    <cfRule type="expression" dxfId="2246" priority="61">
      <formula>AND($N125 &gt; 0, ISNUMBER($N125))</formula>
    </cfRule>
    <cfRule type="expression" dxfId="2245" priority="62">
      <formula>AND($N125 = 0 * ISNUMBER($N125))</formula>
    </cfRule>
    <cfRule type="expression" dxfId="2244" priority="63">
      <formula>AND($N125 &lt; 0, ISNUMBER($N125))</formula>
    </cfRule>
  </conditionalFormatting>
  <conditionalFormatting sqref="A125:F144">
    <cfRule type="expression" dxfId="2243" priority="70">
      <formula>AND($E125 &gt; 0, ISNUMBER($E125))</formula>
    </cfRule>
    <cfRule type="expression" dxfId="2242" priority="71">
      <formula>AND($E125 = 0 * ISNUMBER($E125))</formula>
    </cfRule>
    <cfRule type="expression" dxfId="2241" priority="72">
      <formula>AND($E125 &lt; 0, ISNUMBER($E125))</formula>
    </cfRule>
  </conditionalFormatting>
  <conditionalFormatting sqref="A125:C144 G125:I144">
    <cfRule type="expression" dxfId="2240" priority="67">
      <formula>AND($H125 &gt; 0, ISNUMBER($H125))</formula>
    </cfRule>
    <cfRule type="expression" dxfId="2239" priority="68">
      <formula>AND($H125 = 0 * ISNUMBER($H125))</formula>
    </cfRule>
    <cfRule type="expression" dxfId="2238" priority="69">
      <formula>AND($H125 &lt; 0, ISNUMBER($H125))</formula>
    </cfRule>
  </conditionalFormatting>
  <conditionalFormatting sqref="A125:C144 J125:L144">
    <cfRule type="expression" dxfId="2237" priority="64">
      <formula>AND($K125 &gt; 0, ISNUMBER($K125))</formula>
    </cfRule>
    <cfRule type="expression" dxfId="2236" priority="65">
      <formula>AND($K125 = 0 * ISNUMBER($K125))</formula>
    </cfRule>
    <cfRule type="expression" dxfId="2235" priority="66">
      <formula>AND($K125 &lt; 0, ISNUMBER($K125))</formula>
    </cfRule>
  </conditionalFormatting>
  <conditionalFormatting sqref="D123:F124 E145:F145">
    <cfRule type="expression" dxfId="2234" priority="58">
      <formula>$E$145 &gt; 0</formula>
    </cfRule>
    <cfRule type="expression" dxfId="2233" priority="59">
      <formula>$E$145 = 0</formula>
    </cfRule>
    <cfRule type="expression" dxfId="2232" priority="60">
      <formula>$E$145 &lt; 0</formula>
    </cfRule>
  </conditionalFormatting>
  <conditionalFormatting sqref="G123:I124 H145:I145">
    <cfRule type="expression" dxfId="2231" priority="55">
      <formula>$H$145 &gt; 0</formula>
    </cfRule>
    <cfRule type="expression" dxfId="2230" priority="56">
      <formula>$H$145 = 0</formula>
    </cfRule>
    <cfRule type="expression" dxfId="2229" priority="57">
      <formula>$H$145 &lt; 0</formula>
    </cfRule>
  </conditionalFormatting>
  <conditionalFormatting sqref="J123:L124 K145:L145">
    <cfRule type="expression" dxfId="2228" priority="52">
      <formula>$K$145 &gt; 0</formula>
    </cfRule>
    <cfRule type="expression" dxfId="2227" priority="53">
      <formula>$K$145 = 0</formula>
    </cfRule>
    <cfRule type="expression" dxfId="2226" priority="54">
      <formula>$K$145 &lt; 0</formula>
    </cfRule>
  </conditionalFormatting>
  <conditionalFormatting sqref="M123:O124 N145:O145">
    <cfRule type="expression" dxfId="2225" priority="49">
      <formula>$N$145 &gt; 0</formula>
    </cfRule>
    <cfRule type="expression" dxfId="2224" priority="50">
      <formula>$N$145 = 0</formula>
    </cfRule>
    <cfRule type="expression" dxfId="2223" priority="51">
      <formula>$N$145 &lt; 0</formula>
    </cfRule>
  </conditionalFormatting>
  <conditionalFormatting sqref="A152:C171 M152:O171">
    <cfRule type="expression" dxfId="2222" priority="37">
      <formula>AND($N152 &gt; 0, ISNUMBER($N152))</formula>
    </cfRule>
    <cfRule type="expression" dxfId="2221" priority="38">
      <formula>AND($N152 = 0 * ISNUMBER($N152))</formula>
    </cfRule>
    <cfRule type="expression" dxfId="2220" priority="39">
      <formula>AND($N152 &lt; 0, ISNUMBER($N152))</formula>
    </cfRule>
  </conditionalFormatting>
  <conditionalFormatting sqref="A152:F171">
    <cfRule type="expression" dxfId="2219" priority="46">
      <formula>AND($E152 &gt; 0, ISNUMBER($E152))</formula>
    </cfRule>
    <cfRule type="expression" dxfId="2218" priority="47">
      <formula>AND($E152 = 0 * ISNUMBER($E152))</formula>
    </cfRule>
    <cfRule type="expression" dxfId="2217" priority="48">
      <formula>AND($E152 &lt; 0, ISNUMBER($E152))</formula>
    </cfRule>
  </conditionalFormatting>
  <conditionalFormatting sqref="A152:C171 G152:I171">
    <cfRule type="expression" dxfId="2216" priority="43">
      <formula>AND($H152 &gt; 0, ISNUMBER($H152))</formula>
    </cfRule>
    <cfRule type="expression" dxfId="2215" priority="44">
      <formula>AND($H152 = 0 * ISNUMBER($H152))</formula>
    </cfRule>
    <cfRule type="expression" dxfId="2214" priority="45">
      <formula>AND($H152 &lt; 0, ISNUMBER($H152))</formula>
    </cfRule>
  </conditionalFormatting>
  <conditionalFormatting sqref="A152:C171 J152:L171">
    <cfRule type="expression" dxfId="2213" priority="40">
      <formula>AND($K152 &gt; 0, ISNUMBER($K152))</formula>
    </cfRule>
    <cfRule type="expression" dxfId="2212" priority="41">
      <formula>AND($K152 = 0 * ISNUMBER($K152))</formula>
    </cfRule>
    <cfRule type="expression" dxfId="2211" priority="42">
      <formula>AND($K152 &lt; 0, ISNUMBER($K152))</formula>
    </cfRule>
  </conditionalFormatting>
  <conditionalFormatting sqref="D150:F151 E172:F172">
    <cfRule type="expression" dxfId="2210" priority="34">
      <formula>$E$172 &gt; 0</formula>
    </cfRule>
    <cfRule type="expression" dxfId="2209" priority="35">
      <formula>$E$172 = 0</formula>
    </cfRule>
    <cfRule type="expression" dxfId="2208" priority="36">
      <formula>$E$172 &lt; 0</formula>
    </cfRule>
  </conditionalFormatting>
  <conditionalFormatting sqref="G150:I151 H172:I172">
    <cfRule type="expression" dxfId="2207" priority="31">
      <formula>$H$172 &gt; 0</formula>
    </cfRule>
    <cfRule type="expression" dxfId="2206" priority="32">
      <formula>$H$172 = 0</formula>
    </cfRule>
    <cfRule type="expression" dxfId="2205" priority="33">
      <formula>$H$172 &lt; 0</formula>
    </cfRule>
  </conditionalFormatting>
  <conditionalFormatting sqref="J150:L151 K172:L172">
    <cfRule type="expression" dxfId="2204" priority="28">
      <formula>$K$172 &gt; 0</formula>
    </cfRule>
    <cfRule type="expression" dxfId="2203" priority="29">
      <formula>$K$172 = 0</formula>
    </cfRule>
    <cfRule type="expression" dxfId="2202" priority="30">
      <formula>$K$172 &lt; 0</formula>
    </cfRule>
  </conditionalFormatting>
  <conditionalFormatting sqref="M150:O151 N172:O172">
    <cfRule type="expression" dxfId="2201" priority="25">
      <formula>$N$172 &gt; 0</formula>
    </cfRule>
    <cfRule type="expression" dxfId="2200" priority="26">
      <formula>$N$172 = 0</formula>
    </cfRule>
    <cfRule type="expression" dxfId="2199" priority="27">
      <formula>$N$172 &lt; 0</formula>
    </cfRule>
  </conditionalFormatting>
  <conditionalFormatting sqref="A179:C198 M179:O198">
    <cfRule type="expression" dxfId="2198" priority="13">
      <formula>AND($N179 &gt; 0, ISNUMBER($N179))</formula>
    </cfRule>
    <cfRule type="expression" dxfId="2197" priority="14">
      <formula>AND($N179 = 0 * ISNUMBER($N179))</formula>
    </cfRule>
    <cfRule type="expression" dxfId="2196" priority="15">
      <formula>AND($N179 &lt; 0, ISNUMBER($N179))</formula>
    </cfRule>
  </conditionalFormatting>
  <conditionalFormatting sqref="A179:F198">
    <cfRule type="expression" dxfId="2195" priority="22">
      <formula>AND($E179 &gt; 0, ISNUMBER($E179))</formula>
    </cfRule>
    <cfRule type="expression" dxfId="2194" priority="23">
      <formula>AND($E179 = 0 * ISNUMBER($E179))</formula>
    </cfRule>
    <cfRule type="expression" dxfId="2193" priority="24">
      <formula>AND($E179 &lt; 0, ISNUMBER($E179))</formula>
    </cfRule>
  </conditionalFormatting>
  <conditionalFormatting sqref="A179:C198 G179:I198">
    <cfRule type="expression" dxfId="2192" priority="19">
      <formula>AND($H179 &gt; 0, ISNUMBER($H179))</formula>
    </cfRule>
    <cfRule type="expression" dxfId="2191" priority="20">
      <formula>AND($H179 = 0 * ISNUMBER($H179))</formula>
    </cfRule>
    <cfRule type="expression" dxfId="2190" priority="21">
      <formula>AND($H179 &lt; 0, ISNUMBER($H179))</formula>
    </cfRule>
  </conditionalFormatting>
  <conditionalFormatting sqref="A179:C198 J179:L198">
    <cfRule type="expression" dxfId="2189" priority="16">
      <formula>AND($K179 &gt; 0, ISNUMBER($K179))</formula>
    </cfRule>
    <cfRule type="expression" dxfId="2188" priority="17">
      <formula>AND($K179 = 0 * ISNUMBER($K179))</formula>
    </cfRule>
    <cfRule type="expression" dxfId="2187" priority="18">
      <formula>AND($K179 &lt; 0, ISNUMBER($K179))</formula>
    </cfRule>
  </conditionalFormatting>
  <conditionalFormatting sqref="D177:F178 E199:F199">
    <cfRule type="expression" dxfId="2186" priority="10">
      <formula>$E$199 &gt; 0</formula>
    </cfRule>
    <cfRule type="expression" dxfId="2185" priority="11">
      <formula>$E$199 = 0</formula>
    </cfRule>
    <cfRule type="expression" dxfId="2184" priority="12">
      <formula>$E$199 &lt; 0</formula>
    </cfRule>
  </conditionalFormatting>
  <conditionalFormatting sqref="G177:I178 H199:I199">
    <cfRule type="expression" dxfId="2183" priority="7">
      <formula>$H$199 &gt; 0</formula>
    </cfRule>
    <cfRule type="expression" dxfId="2182" priority="8">
      <formula>$H$199 = 0</formula>
    </cfRule>
    <cfRule type="expression" dxfId="2181" priority="9">
      <formula>$H$199 &lt; 0</formula>
    </cfRule>
  </conditionalFormatting>
  <conditionalFormatting sqref="J177:L178 K199:L199">
    <cfRule type="expression" dxfId="2180" priority="4">
      <formula>$K$199 &gt; 0</formula>
    </cfRule>
    <cfRule type="expression" dxfId="2179" priority="5">
      <formula>$K$199 = 0</formula>
    </cfRule>
    <cfRule type="expression" dxfId="2178" priority="6">
      <formula>$K$199 &lt; 0</formula>
    </cfRule>
  </conditionalFormatting>
  <conditionalFormatting sqref="M177:O178 N199:O199">
    <cfRule type="expression" dxfId="2177" priority="1">
      <formula>$N$199 &gt; 0</formula>
    </cfRule>
    <cfRule type="expression" dxfId="2176" priority="2">
      <formula>$N$199 = 0</formula>
    </cfRule>
    <cfRule type="expression" dxfId="217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2B0D7-B234-43F0-99A6-042A7F841E6D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80">
        <v>44414</v>
      </c>
      <c r="H1" s="281"/>
      <c r="I1" s="282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83" t="s">
        <v>8</v>
      </c>
      <c r="C2" s="284"/>
      <c r="D2" s="284"/>
      <c r="E2" s="284"/>
      <c r="F2" s="285"/>
      <c r="G2" s="277" t="s">
        <v>46</v>
      </c>
      <c r="H2" s="278"/>
      <c r="I2" s="279"/>
      <c r="J2" s="1" t="s">
        <v>3</v>
      </c>
      <c r="K2" s="283" t="s">
        <v>320</v>
      </c>
      <c r="L2" s="284"/>
      <c r="M2" s="284"/>
      <c r="N2" s="284"/>
      <c r="O2" s="285"/>
      <c r="Q2" s="2" t="s">
        <v>6</v>
      </c>
      <c r="R2" s="3">
        <v>0.375</v>
      </c>
    </row>
    <row r="3" spans="1:19" ht="17.25" customHeight="1" thickBot="1">
      <c r="A3" s="118" t="s">
        <v>7</v>
      </c>
      <c r="B3" s="274" t="s">
        <v>328</v>
      </c>
      <c r="C3" s="275"/>
      <c r="D3" s="275"/>
      <c r="E3" s="275"/>
      <c r="F3" s="276"/>
      <c r="G3" s="27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88,146 KRW (4.41%)</v>
      </c>
      <c r="H3" s="271"/>
      <c r="I3" s="272"/>
      <c r="J3" s="4" t="s">
        <v>7</v>
      </c>
      <c r="K3" s="274" t="s">
        <v>321</v>
      </c>
      <c r="L3" s="275"/>
      <c r="M3" s="275"/>
      <c r="N3" s="275"/>
      <c r="O3" s="27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4" t="s">
        <v>16</v>
      </c>
      <c r="C4" s="275"/>
      <c r="D4" s="275"/>
      <c r="E4" s="275"/>
      <c r="F4" s="276"/>
      <c r="G4" s="277" t="s">
        <v>44</v>
      </c>
      <c r="H4" s="278"/>
      <c r="I4" s="279"/>
      <c r="J4" s="4" t="s">
        <v>11</v>
      </c>
      <c r="K4" s="274" t="s">
        <v>322</v>
      </c>
      <c r="L4" s="275"/>
      <c r="M4" s="275"/>
      <c r="N4" s="275"/>
      <c r="O4" s="27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4" t="s">
        <v>319</v>
      </c>
      <c r="C5" s="275"/>
      <c r="D5" s="275"/>
      <c r="E5" s="275"/>
      <c r="F5" s="276"/>
      <c r="G5" s="27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86,599 KRW (4.33%)</v>
      </c>
      <c r="H5" s="271"/>
      <c r="I5" s="272"/>
      <c r="J5" s="4" t="s">
        <v>15</v>
      </c>
      <c r="K5" s="274" t="s">
        <v>323</v>
      </c>
      <c r="L5" s="275"/>
      <c r="M5" s="275"/>
      <c r="N5" s="275"/>
      <c r="O5" s="276"/>
    </row>
    <row r="6" spans="1:19">
      <c r="A6" s="118" t="s">
        <v>18</v>
      </c>
      <c r="B6" s="274"/>
      <c r="C6" s="275"/>
      <c r="D6" s="275"/>
      <c r="E6" s="275"/>
      <c r="F6" s="276"/>
      <c r="G6" s="277" t="s">
        <v>45</v>
      </c>
      <c r="H6" s="278"/>
      <c r="I6" s="279"/>
      <c r="J6" s="4" t="s">
        <v>18</v>
      </c>
      <c r="K6" s="274" t="s">
        <v>324</v>
      </c>
      <c r="L6" s="275"/>
      <c r="M6" s="275"/>
      <c r="N6" s="275"/>
      <c r="O6" s="276"/>
    </row>
    <row r="7" spans="1:19" ht="17.25" thickBot="1">
      <c r="A7" s="118" t="s">
        <v>21</v>
      </c>
      <c r="B7" s="274"/>
      <c r="C7" s="275"/>
      <c r="D7" s="275"/>
      <c r="E7" s="275"/>
      <c r="F7" s="276"/>
      <c r="G7" s="27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73,058 KRW (3.65%)</v>
      </c>
      <c r="H7" s="271"/>
      <c r="I7" s="272"/>
      <c r="J7" s="4" t="s">
        <v>21</v>
      </c>
      <c r="K7" s="274" t="s">
        <v>325</v>
      </c>
      <c r="L7" s="275"/>
      <c r="M7" s="275"/>
      <c r="N7" s="275"/>
      <c r="O7" s="276"/>
    </row>
    <row r="8" spans="1:19" ht="17.25" thickBot="1">
      <c r="A8" s="118" t="s">
        <v>24</v>
      </c>
      <c r="B8" s="274"/>
      <c r="C8" s="275"/>
      <c r="D8" s="275"/>
      <c r="E8" s="275"/>
      <c r="F8" s="276"/>
      <c r="G8" s="277" t="s">
        <v>255</v>
      </c>
      <c r="H8" s="278"/>
      <c r="I8" s="279"/>
      <c r="J8" s="4" t="s">
        <v>24</v>
      </c>
      <c r="K8" s="274"/>
      <c r="L8" s="275"/>
      <c r="M8" s="275"/>
      <c r="N8" s="275"/>
      <c r="O8" s="276"/>
      <c r="Q8" s="249" t="s">
        <v>27</v>
      </c>
      <c r="R8" s="251"/>
    </row>
    <row r="9" spans="1:19" ht="17.25" thickBot="1">
      <c r="A9" s="118" t="s">
        <v>28</v>
      </c>
      <c r="B9" s="274"/>
      <c r="C9" s="275"/>
      <c r="D9" s="275"/>
      <c r="E9" s="275"/>
      <c r="F9" s="276"/>
      <c r="G9" s="27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69,678 KRW (3.48%)</v>
      </c>
      <c r="H9" s="271"/>
      <c r="I9" s="272"/>
      <c r="J9" s="4" t="s">
        <v>28</v>
      </c>
      <c r="K9" s="274"/>
      <c r="L9" s="275"/>
      <c r="M9" s="275"/>
      <c r="N9" s="275"/>
      <c r="O9" s="276"/>
      <c r="Q9" s="2" t="s">
        <v>29</v>
      </c>
      <c r="R9" s="6">
        <v>10</v>
      </c>
    </row>
    <row r="10" spans="1:19">
      <c r="A10" s="118" t="s">
        <v>30</v>
      </c>
      <c r="B10" s="274"/>
      <c r="C10" s="275"/>
      <c r="D10" s="275"/>
      <c r="E10" s="275"/>
      <c r="F10" s="276"/>
      <c r="G10" s="277" t="s">
        <v>47</v>
      </c>
      <c r="H10" s="278"/>
      <c r="I10" s="279"/>
      <c r="J10" s="4" t="s">
        <v>30</v>
      </c>
      <c r="K10" s="274" t="s">
        <v>326</v>
      </c>
      <c r="L10" s="275"/>
      <c r="M10" s="275"/>
      <c r="N10" s="275"/>
      <c r="O10" s="276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7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1"/>
      <c r="I11" s="272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48"/>
      <c r="R13" s="248"/>
      <c r="S13" s="248"/>
    </row>
    <row r="14" spans="1:19" ht="17.25" customHeight="1" thickBot="1">
      <c r="A14" s="177" t="s">
        <v>35</v>
      </c>
      <c r="B14" s="249" t="s">
        <v>36</v>
      </c>
      <c r="C14" s="251"/>
      <c r="D14" s="249" t="s">
        <v>37</v>
      </c>
      <c r="E14" s="250"/>
      <c r="F14" s="251"/>
      <c r="G14" s="252">
        <f>_xlfn.IFNA(VLOOKUP(B14, 현재가테이블!$B$2:$D$200, 2, FALSE), "-")</f>
        <v>54440000</v>
      </c>
      <c r="H14" s="253"/>
      <c r="I14" s="254"/>
      <c r="J14" s="249" t="s">
        <v>38</v>
      </c>
      <c r="K14" s="250"/>
      <c r="L14" s="251"/>
      <c r="M14" s="255">
        <f>_xlfn.IFNA(VLOOKUP(B14, 현재가테이블!$B$2:$D$200, 3, FALSE), "-")</f>
        <v>1.07123628E-2</v>
      </c>
      <c r="N14" s="256"/>
      <c r="O14" s="257"/>
      <c r="Q14" s="248"/>
      <c r="R14" s="248"/>
      <c r="S14" s="248"/>
    </row>
    <row r="15" spans="1:19" ht="17.25" customHeight="1" thickBot="1">
      <c r="A15" s="286" t="s">
        <v>39</v>
      </c>
      <c r="B15" s="287" t="str">
        <f>TEXT($G$1, "[$-ko-KR]yyyy-mm-dd(ddd) ") &amp; "오전 00:00"</f>
        <v>2021-08-06(금) 오전 00:00</v>
      </c>
      <c r="C15" s="288"/>
      <c r="D15" s="262" t="str">
        <f>TEXT($G$1, "[$-ko-KR]yyyy-mm-dd(ddd) ") &amp; "오후 14:00"</f>
        <v>2021-08-06(금) 오후 14:00</v>
      </c>
      <c r="E15" s="263"/>
      <c r="F15" s="264"/>
      <c r="G15" s="262" t="str">
        <f>TEXT($G$1, "[$-ko-KR]yyyy-mm-dd(ddd) ") &amp; "오후 19:00"</f>
        <v>2021-08-06(금) 오후 19:00</v>
      </c>
      <c r="H15" s="263"/>
      <c r="I15" s="264"/>
      <c r="J15" s="262" t="str">
        <f>TEXT($G$1, "[$-ko-KR]yyyy-mm-dd(ddd) ") &amp; "오후 21:00"</f>
        <v>2021-08-06(금) 오후 21:00</v>
      </c>
      <c r="K15" s="263"/>
      <c r="L15" s="264"/>
      <c r="M15" s="262" t="str">
        <f>TEXT($G$1+1, "[$-ko-KR]yyyy-mm-dd(ddd) ") &amp; "오전 00:00"</f>
        <v>2021-08-07(토) 오전 00:00</v>
      </c>
      <c r="N15" s="263"/>
      <c r="O15" s="264"/>
      <c r="Q15" s="248"/>
      <c r="R15" s="248"/>
      <c r="S15" s="248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8"/>
      <c r="R17" s="248"/>
      <c r="S17" s="24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8"/>
      <c r="R18" s="248"/>
      <c r="S18" s="24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8"/>
      <c r="R19" s="238"/>
      <c r="S19" s="23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8"/>
      <c r="R20" s="238"/>
      <c r="S20" s="23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8"/>
      <c r="R21" s="238"/>
      <c r="S21" s="23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8"/>
      <c r="R22" s="238"/>
      <c r="S22" s="23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8"/>
      <c r="R23" s="238"/>
      <c r="S23" s="23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8"/>
      <c r="R24" s="238"/>
      <c r="S24" s="23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9"/>
      <c r="R26" s="240"/>
      <c r="S26" s="24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2"/>
      <c r="R27" s="243"/>
      <c r="S27" s="24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5"/>
      <c r="R28" s="246"/>
      <c r="S28" s="24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8"/>
      <c r="R29" s="238"/>
      <c r="S29" s="23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8"/>
      <c r="R30" s="248"/>
      <c r="S30" s="24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8"/>
      <c r="R31" s="248"/>
      <c r="S31" s="24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8"/>
      <c r="R32" s="238"/>
      <c r="S32" s="23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7"/>
      <c r="R35" s="228"/>
      <c r="S35" s="22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0"/>
      <c r="R36" s="231"/>
      <c r="S36" s="232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3"/>
      <c r="R37" s="234"/>
      <c r="S37" s="23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48"/>
      <c r="R40" s="248"/>
      <c r="S40" s="248"/>
    </row>
    <row r="41" spans="1:19" ht="17.25" customHeight="1" thickBot="1">
      <c r="A41" s="177" t="s">
        <v>267</v>
      </c>
      <c r="B41" s="249" t="s">
        <v>49</v>
      </c>
      <c r="C41" s="251"/>
      <c r="D41" s="249" t="s">
        <v>58</v>
      </c>
      <c r="E41" s="250"/>
      <c r="F41" s="251"/>
      <c r="G41" s="252">
        <f>_xlfn.IFNA(VLOOKUP(B41, 현재가테이블!$B$2:$D$200, 2, FALSE), "-")</f>
        <v>54440000</v>
      </c>
      <c r="H41" s="253"/>
      <c r="I41" s="254"/>
      <c r="J41" s="249" t="s">
        <v>59</v>
      </c>
      <c r="K41" s="250"/>
      <c r="L41" s="251"/>
      <c r="M41" s="255">
        <f>_xlfn.IFNA(VLOOKUP(B41, 현재가테이블!$B$2:$D$200, 3, FALSE), "-")</f>
        <v>1.07123628E-2</v>
      </c>
      <c r="N41" s="256"/>
      <c r="O41" s="257"/>
      <c r="Q41" s="248"/>
      <c r="R41" s="248"/>
      <c r="S41" s="248"/>
    </row>
    <row r="42" spans="1:19" ht="17.25" customHeight="1" thickBot="1">
      <c r="A42" s="293" t="s">
        <v>55</v>
      </c>
      <c r="B42" s="289" t="str">
        <f>TEXT($G$1, "[$-ko-KR]yyyy-mm-dd(ddd) ") &amp; "오전 00:00"</f>
        <v>2021-08-06(금) 오전 00:00</v>
      </c>
      <c r="C42" s="290"/>
      <c r="D42" s="262" t="str">
        <f>TEXT($G$1, "[$-ko-KR]yyyy-mm-dd(ddd) ") &amp; "오후 14:00"</f>
        <v>2021-08-06(금) 오후 14:00</v>
      </c>
      <c r="E42" s="263"/>
      <c r="F42" s="264"/>
      <c r="G42" s="262" t="str">
        <f>TEXT($G$1, "[$-ko-KR]yyyy-mm-dd(ddd) ") &amp; "오후 19:00"</f>
        <v>2021-08-06(금) 오후 19:00</v>
      </c>
      <c r="H42" s="263"/>
      <c r="I42" s="264"/>
      <c r="J42" s="262" t="str">
        <f>TEXT($G$1, "[$-ko-KR]yyyy-mm-dd(ddd) ") &amp; "오후 21:00"</f>
        <v>2021-08-06(금) 오후 21:00</v>
      </c>
      <c r="K42" s="263"/>
      <c r="L42" s="264"/>
      <c r="M42" s="262" t="str">
        <f>TEXT($G$1+1, "[$-ko-KR]yyyy-mm-dd(ddd) ") &amp; "오전 00:00"</f>
        <v>2021-08-07(토) 오전 00:00</v>
      </c>
      <c r="N42" s="263"/>
      <c r="O42" s="264"/>
      <c r="Q42" s="248"/>
      <c r="R42" s="248"/>
      <c r="S42" s="248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8" t="s">
        <v>58</v>
      </c>
      <c r="H43" s="179" t="s">
        <v>268</v>
      </c>
      <c r="I43" s="18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8"/>
      <c r="R43" s="238"/>
      <c r="S43" s="238"/>
    </row>
    <row r="44" spans="1:19" ht="17.25" customHeight="1" thickBot="1">
      <c r="A44" s="123" t="s">
        <v>150</v>
      </c>
      <c r="B44" s="124">
        <v>12.4</v>
      </c>
      <c r="C44" s="76">
        <v>0.13761467890000001</v>
      </c>
      <c r="D44" s="13">
        <v>13.8</v>
      </c>
      <c r="E44" s="14">
        <f>IF(ISNUMBER(D44), (D44 - $B44) / $B44, "")</f>
        <v>0.11290322580645164</v>
      </c>
      <c r="F44" s="16">
        <f>IF(ISNUMBER(D44), $B64 * E44, "")</f>
        <v>11290.322580645165</v>
      </c>
      <c r="G44" s="29">
        <v>13.1</v>
      </c>
      <c r="H44" s="14">
        <f>IF(ISNUMBER(G44), (G44 - $B44) / $B44, "")</f>
        <v>5.6451612903225749E-2</v>
      </c>
      <c r="I44" s="100">
        <f>IF(ISNUMBER(G44), $B64 * H44, "")</f>
        <v>5645.161290322575</v>
      </c>
      <c r="J44" s="13">
        <v>13</v>
      </c>
      <c r="K44" s="14">
        <f>IF(ISNUMBER(J44), (J44 - $B44) / $B44, "")</f>
        <v>4.8387096774193519E-2</v>
      </c>
      <c r="L44" s="16">
        <f>IF(ISNUMBER(J44), $B64 * K44, "")</f>
        <v>4838.7096774193524</v>
      </c>
      <c r="M44" s="29">
        <v>13.1</v>
      </c>
      <c r="N44" s="14">
        <f>IF(ISNUMBER(M44), (M44 - $B44) / $B44, "")</f>
        <v>5.6451612903225749E-2</v>
      </c>
      <c r="O44" s="16">
        <f>IF(ISNUMBER(M44), $B64 * N44, "")</f>
        <v>5645.161290322575</v>
      </c>
      <c r="Q44" s="248"/>
      <c r="R44" s="248"/>
      <c r="S44" s="248"/>
    </row>
    <row r="45" spans="1:19" ht="17.25" customHeight="1" thickBot="1">
      <c r="A45" s="125" t="s">
        <v>130</v>
      </c>
      <c r="B45" s="126">
        <v>99.8</v>
      </c>
      <c r="C45" s="77">
        <v>7.4273412299999994E-2</v>
      </c>
      <c r="D45" s="15">
        <v>99</v>
      </c>
      <c r="E45" s="32">
        <f t="shared" ref="E45:E48" si="14">IF(ISNUMBER(D45), (D45 - $B45) / $B45, "")</f>
        <v>-8.0160320641282281E-3</v>
      </c>
      <c r="F45" s="18">
        <f>IF(ISNUMBER(D45), $B64 * E45, "")</f>
        <v>-801.60320641282283</v>
      </c>
      <c r="G45" s="31">
        <v>98.3</v>
      </c>
      <c r="H45" s="32">
        <f t="shared" ref="H45:H48" si="15">IF(ISNUMBER(G45), (G45 - $B45) / $B45, "")</f>
        <v>-1.5030060120240482E-2</v>
      </c>
      <c r="I45" s="101">
        <f>IF(ISNUMBER(G45), $B64 * H45, "")</f>
        <v>-1503.0060120240482</v>
      </c>
      <c r="J45" s="15">
        <v>98.6</v>
      </c>
      <c r="K45" s="32">
        <f t="shared" ref="K45:K48" si="16">IF(ISNUMBER(J45), (J45 - $B45) / $B45, "")</f>
        <v>-1.2024048096192414E-2</v>
      </c>
      <c r="L45" s="18">
        <f>IF(ISNUMBER(J45), $B64 * K45, "")</f>
        <v>-1202.4048096192414</v>
      </c>
      <c r="M45" s="31">
        <v>99.2</v>
      </c>
      <c r="N45" s="32">
        <f t="shared" ref="N45:N48" si="17">IF(ISNUMBER(M45), (M45 - $B45) / $B45, "")</f>
        <v>-6.0120240480961359E-3</v>
      </c>
      <c r="O45" s="18">
        <f>IF(ISNUMBER(M45), $B64 * N45, "")</f>
        <v>-601.20240480961354</v>
      </c>
      <c r="Q45" s="248"/>
      <c r="R45" s="248"/>
      <c r="S45" s="248"/>
    </row>
    <row r="46" spans="1:19" ht="17.25" customHeight="1" thickBot="1">
      <c r="A46" s="125" t="s">
        <v>98</v>
      </c>
      <c r="B46" s="126">
        <v>3.86</v>
      </c>
      <c r="C46" s="77">
        <v>5.4644808699999999E-2</v>
      </c>
      <c r="D46" s="15">
        <v>4.09</v>
      </c>
      <c r="E46" s="32">
        <f t="shared" si="14"/>
        <v>5.9585492227979271E-2</v>
      </c>
      <c r="F46" s="18">
        <f>IF(ISNUMBER(D46), $B64 * E46, "")</f>
        <v>5958.5492227979275</v>
      </c>
      <c r="G46" s="31">
        <v>4.0599999999999996</v>
      </c>
      <c r="H46" s="32">
        <f t="shared" si="15"/>
        <v>5.1813471502590608E-2</v>
      </c>
      <c r="I46" s="101">
        <f>IF(ISNUMBER(G46), $B64 * H46, "")</f>
        <v>5181.347150259061</v>
      </c>
      <c r="J46" s="15">
        <v>4.0599999999999996</v>
      </c>
      <c r="K46" s="32">
        <f t="shared" si="16"/>
        <v>5.1813471502590608E-2</v>
      </c>
      <c r="L46" s="18">
        <f>IF(ISNUMBER(J46), $B64 * K46, "")</f>
        <v>5181.347150259061</v>
      </c>
      <c r="M46" s="31">
        <v>4.1100000000000003</v>
      </c>
      <c r="N46" s="32">
        <f t="shared" si="17"/>
        <v>6.4766839378238461E-2</v>
      </c>
      <c r="O46" s="18">
        <f>IF(ISNUMBER(M46), $B64 * N46, "")</f>
        <v>6476.6839378238465</v>
      </c>
      <c r="Q46" s="238"/>
      <c r="R46" s="238"/>
      <c r="S46" s="238"/>
    </row>
    <row r="47" spans="1:19" ht="17.25" customHeight="1" thickBot="1">
      <c r="A47" s="125" t="s">
        <v>122</v>
      </c>
      <c r="B47" s="126">
        <v>28.3</v>
      </c>
      <c r="C47" s="77">
        <v>5.2044609700000001E-2</v>
      </c>
      <c r="D47" s="15">
        <v>28</v>
      </c>
      <c r="E47" s="32">
        <f t="shared" si="14"/>
        <v>-1.0600706713780944E-2</v>
      </c>
      <c r="F47" s="18">
        <f>IF(ISNUMBER(D47), $B64 * E47, "")</f>
        <v>-1060.0706713780944</v>
      </c>
      <c r="G47" s="31">
        <v>27.8</v>
      </c>
      <c r="H47" s="32">
        <f t="shared" si="15"/>
        <v>-1.7667844522968199E-2</v>
      </c>
      <c r="I47" s="101">
        <f>IF(ISNUMBER(G47), $B64 * H47, "")</f>
        <v>-1766.7844522968198</v>
      </c>
      <c r="J47" s="15">
        <v>28</v>
      </c>
      <c r="K47" s="32">
        <f t="shared" si="16"/>
        <v>-1.0600706713780944E-2</v>
      </c>
      <c r="L47" s="18">
        <f>IF(ISNUMBER(J47), $B64 * K47, "")</f>
        <v>-1060.0706713780944</v>
      </c>
      <c r="M47" s="31">
        <v>28.4</v>
      </c>
      <c r="N47" s="32">
        <f t="shared" si="17"/>
        <v>3.5335689045935641E-3</v>
      </c>
      <c r="O47" s="18">
        <f>IF(ISNUMBER(M47), $B64 * N47, "")</f>
        <v>353.35689045935641</v>
      </c>
      <c r="Q47" s="238"/>
      <c r="R47" s="238"/>
      <c r="S47" s="238"/>
    </row>
    <row r="48" spans="1:19" ht="17.25" customHeight="1" thickBot="1">
      <c r="A48" s="127" t="s">
        <v>250</v>
      </c>
      <c r="B48" s="128">
        <v>64.400000000000006</v>
      </c>
      <c r="C48" s="78">
        <v>4.0387722100000002E-2</v>
      </c>
      <c r="D48" s="20">
        <v>65.400000000000006</v>
      </c>
      <c r="E48" s="21">
        <f t="shared" si="14"/>
        <v>1.5527950310559004E-2</v>
      </c>
      <c r="F48" s="22">
        <f>IF(ISNUMBER(D48), $B64 * E48, "")</f>
        <v>1552.7950310559004</v>
      </c>
      <c r="G48" s="30">
        <v>65.2</v>
      </c>
      <c r="H48" s="21">
        <f t="shared" si="15"/>
        <v>1.2422360248447159E-2</v>
      </c>
      <c r="I48" s="105">
        <f>IF(ISNUMBER(G48), $B64 * H48, "")</f>
        <v>1242.236024844716</v>
      </c>
      <c r="J48" s="20">
        <v>65.5</v>
      </c>
      <c r="K48" s="21">
        <f t="shared" si="16"/>
        <v>1.7080745341614818E-2</v>
      </c>
      <c r="L48" s="22">
        <f>IF(ISNUMBER(J48), $B64 * K48, "")</f>
        <v>1708.0745341614818</v>
      </c>
      <c r="M48" s="30">
        <v>66.3</v>
      </c>
      <c r="N48" s="21">
        <f t="shared" si="17"/>
        <v>2.9503105590061977E-2</v>
      </c>
      <c r="O48" s="22">
        <f>IF(ISNUMBER(M48), $B64 * N48, "")</f>
        <v>2950.3105590061978</v>
      </c>
      <c r="Q48" s="238"/>
      <c r="R48" s="238"/>
      <c r="S48" s="238"/>
    </row>
    <row r="49" spans="1:19" ht="17.25" customHeight="1" thickBot="1">
      <c r="A49" s="125" t="s">
        <v>204</v>
      </c>
      <c r="B49" s="129">
        <v>13.1</v>
      </c>
      <c r="C49" s="80">
        <v>3.9682539699999998E-2</v>
      </c>
      <c r="D49" s="106">
        <v>13.4</v>
      </c>
      <c r="E49" s="107">
        <f>IF(ISNUMBER(D49), (D49 - $B49) / $B49, "")</f>
        <v>2.2900763358778681E-2</v>
      </c>
      <c r="F49" s="108">
        <f>IF(ISNUMBER(D49), $B64 * E49, "")</f>
        <v>2290.0763358778681</v>
      </c>
      <c r="G49" s="109">
        <v>13.3</v>
      </c>
      <c r="H49" s="107">
        <f>IF(ISNUMBER(G49), (G49 - $B49) / $B49, "")</f>
        <v>1.5267175572519165E-2</v>
      </c>
      <c r="I49" s="110">
        <f>IF(ISNUMBER(G49), $B64 * H49, "")</f>
        <v>1526.7175572519166</v>
      </c>
      <c r="J49" s="106">
        <v>13.4</v>
      </c>
      <c r="K49" s="107">
        <f>IF(ISNUMBER(J49), (J49 - $B49) / $B49, "")</f>
        <v>2.2900763358778681E-2</v>
      </c>
      <c r="L49" s="108">
        <f>IF(ISNUMBER(J49), $B64 * K49, "")</f>
        <v>2290.0763358778681</v>
      </c>
      <c r="M49" s="109">
        <v>13.5</v>
      </c>
      <c r="N49" s="107">
        <f>IF(ISNUMBER(M49), (M49 - $B49) / $B49, "")</f>
        <v>3.0534351145038195E-2</v>
      </c>
      <c r="O49" s="108">
        <f>IF(ISNUMBER(M49), $B64 * N49, "")</f>
        <v>3053.4351145038195</v>
      </c>
      <c r="Q49" s="238"/>
      <c r="R49" s="238"/>
      <c r="S49" s="238"/>
    </row>
    <row r="50" spans="1:19" ht="17.25" customHeight="1" thickBot="1">
      <c r="A50" s="125" t="s">
        <v>132</v>
      </c>
      <c r="B50" s="126">
        <v>97.1</v>
      </c>
      <c r="C50" s="77">
        <v>3.8502673799999998E-2</v>
      </c>
      <c r="D50" s="15">
        <v>97.4</v>
      </c>
      <c r="E50" s="32">
        <f t="shared" ref="E50:E53" si="18">IF(ISNUMBER(D50), (D50 - $B50) / $B50, "")</f>
        <v>3.0895983522143296E-3</v>
      </c>
      <c r="F50" s="18">
        <f>IF(ISNUMBER(D50), $B64 * E50, "")</f>
        <v>308.95983522143297</v>
      </c>
      <c r="G50" s="31">
        <v>99.8</v>
      </c>
      <c r="H50" s="32">
        <f t="shared" ref="H50:H53" si="19">IF(ISNUMBER(G50), (G50 - $B50) / $B50, "")</f>
        <v>2.7806385169927939E-2</v>
      </c>
      <c r="I50" s="101">
        <f>IF(ISNUMBER(G50), $B64 * H50, "")</f>
        <v>2780.6385169927939</v>
      </c>
      <c r="J50" s="15">
        <v>101</v>
      </c>
      <c r="K50" s="32">
        <f t="shared" ref="K50:K53" si="20">IF(ISNUMBER(J50), (J50 - $B50) / $B50, "")</f>
        <v>4.0164778578784817E-2</v>
      </c>
      <c r="L50" s="18">
        <f>IF(ISNUMBER(J50), $B64 * K50, "")</f>
        <v>4016.4778578784817</v>
      </c>
      <c r="M50" s="31">
        <v>104</v>
      </c>
      <c r="N50" s="32">
        <f t="shared" ref="N50:N53" si="21">IF(ISNUMBER(M50), (M50 - $B50) / $B50, "")</f>
        <v>7.1060762100926947E-2</v>
      </c>
      <c r="O50" s="18">
        <f>IF(ISNUMBER(M50), $B64 * N50, "")</f>
        <v>7106.076210092695</v>
      </c>
      <c r="Q50" s="238"/>
      <c r="R50" s="238"/>
      <c r="S50" s="238"/>
    </row>
    <row r="51" spans="1:19" ht="17.25" customHeight="1" thickBot="1">
      <c r="A51" s="125" t="s">
        <v>216</v>
      </c>
      <c r="B51" s="126">
        <v>9.58</v>
      </c>
      <c r="C51" s="77">
        <v>3.6796536800000001E-2</v>
      </c>
      <c r="D51" s="15">
        <v>10.1</v>
      </c>
      <c r="E51" s="32">
        <f t="shared" si="18"/>
        <v>5.4279749478079287E-2</v>
      </c>
      <c r="F51" s="18">
        <f>IF(ISNUMBER(D51), $B64 * E51, "")</f>
        <v>5427.9749478079284</v>
      </c>
      <c r="G51" s="31">
        <v>10</v>
      </c>
      <c r="H51" s="32">
        <f t="shared" si="19"/>
        <v>4.3841336116910219E-2</v>
      </c>
      <c r="I51" s="101">
        <f>IF(ISNUMBER(G51), $B64 * H51, "")</f>
        <v>4384.1336116910215</v>
      </c>
      <c r="J51" s="15">
        <v>10.1</v>
      </c>
      <c r="K51" s="32">
        <f t="shared" si="20"/>
        <v>5.4279749478079287E-2</v>
      </c>
      <c r="L51" s="18">
        <f>IF(ISNUMBER(J51), $B64 * K51, "")</f>
        <v>5427.9749478079284</v>
      </c>
      <c r="M51" s="31">
        <v>10.199999999999999</v>
      </c>
      <c r="N51" s="32">
        <f t="shared" si="21"/>
        <v>6.4718162839248347E-2</v>
      </c>
      <c r="O51" s="18">
        <f>IF(ISNUMBER(M51), $B64 * N51, "")</f>
        <v>6471.8162839248344</v>
      </c>
      <c r="Q51" s="238"/>
      <c r="R51" s="238"/>
      <c r="S51" s="238"/>
    </row>
    <row r="52" spans="1:19" ht="17.25" customHeight="1" thickBot="1">
      <c r="A52" s="125" t="s">
        <v>152</v>
      </c>
      <c r="B52" s="126">
        <v>80.2</v>
      </c>
      <c r="C52" s="77">
        <v>3.3505154600000003E-2</v>
      </c>
      <c r="D52" s="15">
        <v>81.400000000000006</v>
      </c>
      <c r="E52" s="32">
        <f t="shared" si="18"/>
        <v>1.4962593516209511E-2</v>
      </c>
      <c r="F52" s="18">
        <f>IF(ISNUMBER(D52), $B64 * E52, "")</f>
        <v>1496.2593516209511</v>
      </c>
      <c r="G52" s="31">
        <v>81.3</v>
      </c>
      <c r="H52" s="32">
        <f t="shared" si="19"/>
        <v>1.3715710723191948E-2</v>
      </c>
      <c r="I52" s="101">
        <f>IF(ISNUMBER(G52), $B64 * H52, "")</f>
        <v>1371.5710723191949</v>
      </c>
      <c r="J52" s="15">
        <v>81.7</v>
      </c>
      <c r="K52" s="32">
        <f t="shared" si="20"/>
        <v>1.8703241895261846E-2</v>
      </c>
      <c r="L52" s="18">
        <f>IF(ISNUMBER(J52), $B64 * K52, "")</f>
        <v>1870.3241895261847</v>
      </c>
      <c r="M52" s="31">
        <v>82.1</v>
      </c>
      <c r="N52" s="32">
        <f t="shared" si="21"/>
        <v>2.3690773067331562E-2</v>
      </c>
      <c r="O52" s="18">
        <f>IF(ISNUMBER(M52), $B64 * N52, "")</f>
        <v>2369.0773067331561</v>
      </c>
      <c r="Q52" s="33"/>
      <c r="R52" s="33"/>
    </row>
    <row r="53" spans="1:19" ht="17.25" customHeight="1" thickBot="1">
      <c r="A53" s="130" t="s">
        <v>178</v>
      </c>
      <c r="B53" s="131">
        <v>16</v>
      </c>
      <c r="C53" s="79">
        <v>3.2258064500000003E-2</v>
      </c>
      <c r="D53" s="24">
        <v>16.2</v>
      </c>
      <c r="E53" s="25">
        <f t="shared" si="18"/>
        <v>1.2499999999999956E-2</v>
      </c>
      <c r="F53" s="104">
        <f>IF(ISNUMBER(D53), $B64 * E53, "")</f>
        <v>1249.9999999999955</v>
      </c>
      <c r="G53" s="102">
        <v>16.100000000000001</v>
      </c>
      <c r="H53" s="25">
        <f t="shared" si="19"/>
        <v>6.2500000000000888E-3</v>
      </c>
      <c r="I53" s="103">
        <f>IF(ISNUMBER(G53), $B64 * H53, "")</f>
        <v>625.00000000000887</v>
      </c>
      <c r="J53" s="24">
        <v>16.3</v>
      </c>
      <c r="K53" s="25">
        <f t="shared" si="20"/>
        <v>1.8750000000000044E-2</v>
      </c>
      <c r="L53" s="104">
        <f>IF(ISNUMBER(J53), $B64 * K53, "")</f>
        <v>1875.0000000000045</v>
      </c>
      <c r="M53" s="102">
        <v>16.600000000000001</v>
      </c>
      <c r="N53" s="25">
        <f t="shared" si="21"/>
        <v>3.7500000000000089E-2</v>
      </c>
      <c r="O53" s="104">
        <f>IF(ISNUMBER(M53), $B64 * N53, "")</f>
        <v>3750.0000000000091</v>
      </c>
      <c r="Q53" s="239"/>
      <c r="R53" s="240"/>
      <c r="S53" s="241"/>
    </row>
    <row r="54" spans="1:19" ht="17.25" customHeight="1">
      <c r="A54" s="123" t="s">
        <v>210</v>
      </c>
      <c r="B54" s="124">
        <v>11</v>
      </c>
      <c r="C54" s="76">
        <v>2.8037383200000002E-2</v>
      </c>
      <c r="D54" s="13">
        <v>11.2</v>
      </c>
      <c r="E54" s="14">
        <f>IF(ISNUMBER(D54), (D54 - $B54) / $B54, "")</f>
        <v>1.8181818181818118E-2</v>
      </c>
      <c r="F54" s="16">
        <f>IF(ISNUMBER(D54), $B64 * E54, "")</f>
        <v>1818.1818181818119</v>
      </c>
      <c r="G54" s="29">
        <v>11.3</v>
      </c>
      <c r="H54" s="14">
        <f>IF(ISNUMBER(G54), (G54 - $B54) / $B54, "")</f>
        <v>2.7272727272727337E-2</v>
      </c>
      <c r="I54" s="100">
        <f>IF(ISNUMBER(G54), $B64 * H54, "")</f>
        <v>2727.2727272727338</v>
      </c>
      <c r="J54" s="13">
        <v>11.3</v>
      </c>
      <c r="K54" s="14">
        <f>IF(ISNUMBER(J54), (J54 - $B54) / $B54, "")</f>
        <v>2.7272727272727337E-2</v>
      </c>
      <c r="L54" s="16">
        <f>IF(ISNUMBER(J54), $B64 * K54, "")</f>
        <v>2727.2727272727338</v>
      </c>
      <c r="M54" s="29">
        <v>11.3</v>
      </c>
      <c r="N54" s="14">
        <f>IF(ISNUMBER(M54), (M54 - $B54) / $B54, "")</f>
        <v>2.7272727272727337E-2</v>
      </c>
      <c r="O54" s="16">
        <f>IF(ISNUMBER(M54), $B64 * N54, "")</f>
        <v>2727.2727272727338</v>
      </c>
      <c r="Q54" s="242"/>
      <c r="R54" s="243"/>
      <c r="S54" s="244"/>
    </row>
    <row r="55" spans="1:19" ht="17.25" customHeight="1" thickBot="1">
      <c r="A55" s="125" t="s">
        <v>208</v>
      </c>
      <c r="B55" s="126">
        <v>11.2</v>
      </c>
      <c r="C55" s="77">
        <v>2.7522935799999999E-2</v>
      </c>
      <c r="D55" s="15">
        <v>11.6</v>
      </c>
      <c r="E55" s="32">
        <f t="shared" ref="E55:E58" si="22">IF(ISNUMBER(D55), (D55 - $B55) / $B55, "")</f>
        <v>3.5714285714285747E-2</v>
      </c>
      <c r="F55" s="18">
        <f>IF(ISNUMBER(D55), $B64 * E55, "")</f>
        <v>3571.4285714285747</v>
      </c>
      <c r="G55" s="31">
        <v>11.5</v>
      </c>
      <c r="H55" s="32">
        <f t="shared" ref="H55:H58" si="23">IF(ISNUMBER(G55), (G55 - $B55) / $B55, "")</f>
        <v>2.678571428571435E-2</v>
      </c>
      <c r="I55" s="101">
        <f>IF(ISNUMBER(G55), $B64 * H55, "")</f>
        <v>2678.5714285714348</v>
      </c>
      <c r="J55" s="15">
        <v>11.5</v>
      </c>
      <c r="K55" s="32">
        <f t="shared" ref="K55:K58" si="24">IF(ISNUMBER(J55), (J55 - $B55) / $B55, "")</f>
        <v>2.678571428571435E-2</v>
      </c>
      <c r="L55" s="18">
        <f>IF(ISNUMBER(J55), $B64 * K55, "")</f>
        <v>2678.5714285714348</v>
      </c>
      <c r="M55" s="31">
        <v>11.7</v>
      </c>
      <c r="N55" s="32">
        <f t="shared" ref="N55:N58" si="25">IF(ISNUMBER(M55), (M55 - $B55) / $B55, "")</f>
        <v>4.4642857142857144E-2</v>
      </c>
      <c r="O55" s="18">
        <f>IF(ISNUMBER(M55), $B64 * N55, "")</f>
        <v>4464.2857142857147</v>
      </c>
      <c r="Q55" s="245"/>
      <c r="R55" s="246"/>
      <c r="S55" s="247"/>
    </row>
    <row r="56" spans="1:19" ht="17.25" customHeight="1" thickBot="1">
      <c r="A56" s="125" t="s">
        <v>72</v>
      </c>
      <c r="B56" s="126">
        <v>21</v>
      </c>
      <c r="C56" s="77">
        <v>1.9417475699999999E-2</v>
      </c>
      <c r="D56" s="15">
        <v>21.4</v>
      </c>
      <c r="E56" s="32">
        <f t="shared" si="22"/>
        <v>1.904761904761898E-2</v>
      </c>
      <c r="F56" s="18">
        <f>IF(ISNUMBER(D56), $B64 * E56, "")</f>
        <v>1904.761904761898</v>
      </c>
      <c r="G56" s="31">
        <v>21.5</v>
      </c>
      <c r="H56" s="32">
        <f t="shared" si="23"/>
        <v>2.3809523809523808E-2</v>
      </c>
      <c r="I56" s="101">
        <f>IF(ISNUMBER(G56), $B64 * H56, "")</f>
        <v>2380.9523809523807</v>
      </c>
      <c r="J56" s="15">
        <v>21.5</v>
      </c>
      <c r="K56" s="32">
        <f t="shared" si="24"/>
        <v>2.3809523809523808E-2</v>
      </c>
      <c r="L56" s="18">
        <f>IF(ISNUMBER(J56), $B64 * K56, "")</f>
        <v>2380.9523809523807</v>
      </c>
      <c r="M56" s="31">
        <v>21.7</v>
      </c>
      <c r="N56" s="32">
        <f t="shared" si="25"/>
        <v>3.3333333333333298E-2</v>
      </c>
      <c r="O56" s="18">
        <f>IF(ISNUMBER(M56), $B64 * N56, "")</f>
        <v>3333.3333333333298</v>
      </c>
      <c r="Q56" s="238"/>
      <c r="R56" s="238"/>
      <c r="S56" s="238"/>
    </row>
    <row r="57" spans="1:19" ht="17.25" customHeight="1" thickBot="1">
      <c r="A57" s="125" t="s">
        <v>240</v>
      </c>
      <c r="B57" s="126">
        <v>60.2</v>
      </c>
      <c r="C57" s="77">
        <v>1.8612521199999999E-2</v>
      </c>
      <c r="D57" s="15">
        <v>61.1</v>
      </c>
      <c r="E57" s="32">
        <f t="shared" si="22"/>
        <v>1.4950166112956787E-2</v>
      </c>
      <c r="F57" s="18">
        <f>IF(ISNUMBER(D57), $B64 * E57, "")</f>
        <v>1495.0166112956788</v>
      </c>
      <c r="G57" s="31">
        <v>64</v>
      </c>
      <c r="H57" s="32">
        <f t="shared" si="23"/>
        <v>6.3122923588039823E-2</v>
      </c>
      <c r="I57" s="101">
        <f>IF(ISNUMBER(G57), $B64 * H57, "")</f>
        <v>6312.2923588039821</v>
      </c>
      <c r="J57" s="15">
        <v>63.3</v>
      </c>
      <c r="K57" s="32">
        <f t="shared" si="24"/>
        <v>5.1495016611295581E-2</v>
      </c>
      <c r="L57" s="18">
        <f>IF(ISNUMBER(J57), $B64 * K57, "")</f>
        <v>5149.5016611295578</v>
      </c>
      <c r="M57" s="31">
        <v>64.099999999999994</v>
      </c>
      <c r="N57" s="32">
        <f t="shared" si="25"/>
        <v>6.4784053156146035E-2</v>
      </c>
      <c r="O57" s="18">
        <f>IF(ISNUMBER(M57), $B64 * N57, "")</f>
        <v>6478.4053156146038</v>
      </c>
      <c r="Q57" s="248"/>
      <c r="R57" s="248"/>
      <c r="S57" s="248"/>
    </row>
    <row r="58" spans="1:19" ht="17.25" customHeight="1" thickBot="1">
      <c r="A58" s="127" t="s">
        <v>190</v>
      </c>
      <c r="B58" s="128">
        <v>16.100000000000001</v>
      </c>
      <c r="C58" s="78">
        <v>1.2578616399999999E-2</v>
      </c>
      <c r="D58" s="20">
        <v>16.399999999999999</v>
      </c>
      <c r="E58" s="21">
        <f t="shared" si="22"/>
        <v>1.8633540372670631E-2</v>
      </c>
      <c r="F58" s="22">
        <f>IF(ISNUMBER(D58), $B64 * E58, "")</f>
        <v>1863.3540372670632</v>
      </c>
      <c r="G58" s="30">
        <v>16.399999999999999</v>
      </c>
      <c r="H58" s="21">
        <f t="shared" si="23"/>
        <v>1.8633540372670631E-2</v>
      </c>
      <c r="I58" s="105">
        <f>IF(ISNUMBER(G58), $B64 * H58, "")</f>
        <v>1863.3540372670632</v>
      </c>
      <c r="J58" s="20">
        <v>16.5</v>
      </c>
      <c r="K58" s="21">
        <f t="shared" si="24"/>
        <v>2.4844720496894318E-2</v>
      </c>
      <c r="L58" s="22">
        <f>IF(ISNUMBER(J58), $B64 * K58, "")</f>
        <v>2484.472049689432</v>
      </c>
      <c r="M58" s="30">
        <v>16.5</v>
      </c>
      <c r="N58" s="21">
        <f t="shared" si="25"/>
        <v>2.4844720496894318E-2</v>
      </c>
      <c r="O58" s="22">
        <f>IF(ISNUMBER(M58), $B64 * N58, "")</f>
        <v>2484.472049689432</v>
      </c>
      <c r="Q58" s="248"/>
      <c r="R58" s="248"/>
      <c r="S58" s="248"/>
    </row>
    <row r="59" spans="1:19" ht="17.25" customHeight="1" thickBot="1">
      <c r="A59" s="125" t="s">
        <v>188</v>
      </c>
      <c r="B59" s="129">
        <v>11.4</v>
      </c>
      <c r="C59" s="80">
        <v>8.8495575000000007E-3</v>
      </c>
      <c r="D59" s="106">
        <v>11.8</v>
      </c>
      <c r="E59" s="107">
        <f>IF(ISNUMBER(D59), (D59 - $B59) / $B59, "")</f>
        <v>3.5087719298245647E-2</v>
      </c>
      <c r="F59" s="108">
        <f>IF(ISNUMBER(D59), $B64 * E59, "")</f>
        <v>3508.7719298245647</v>
      </c>
      <c r="G59" s="109">
        <v>11.9</v>
      </c>
      <c r="H59" s="107">
        <f>IF(ISNUMBER(G59), (G59 - $B59) / $B59, "")</f>
        <v>4.3859649122807015E-2</v>
      </c>
      <c r="I59" s="110">
        <f>IF(ISNUMBER(G59), $B64 * H59, "")</f>
        <v>4385.9649122807014</v>
      </c>
      <c r="J59" s="106">
        <v>11.9</v>
      </c>
      <c r="K59" s="107">
        <f>IF(ISNUMBER(J59), (J59 - $B59) / $B59, "")</f>
        <v>4.3859649122807015E-2</v>
      </c>
      <c r="L59" s="108">
        <f>IF(ISNUMBER(J59), $B64 * K59, "")</f>
        <v>4385.9649122807014</v>
      </c>
      <c r="M59" s="109">
        <v>12.2</v>
      </c>
      <c r="N59" s="107">
        <f>IF(ISNUMBER(M59), (M59 - $B59) / $B59, "")</f>
        <v>7.0175438596491127E-2</v>
      </c>
      <c r="O59" s="108">
        <f>IF(ISNUMBER(M59), $B64 * N59, "")</f>
        <v>7017.5438596491131</v>
      </c>
      <c r="Q59" s="238"/>
      <c r="R59" s="238"/>
      <c r="S59" s="238"/>
    </row>
    <row r="60" spans="1:19" ht="17.25" customHeight="1" thickBot="1">
      <c r="A60" s="125" t="s">
        <v>65</v>
      </c>
      <c r="B60" s="126">
        <v>29.3</v>
      </c>
      <c r="C60" s="77">
        <v>6.8728521999999997E-3</v>
      </c>
      <c r="D60" s="15">
        <v>31.2</v>
      </c>
      <c r="E60" s="32">
        <f t="shared" ref="E60:E63" si="26">IF(ISNUMBER(D60), (D60 - $B60) / $B60, "")</f>
        <v>6.4846416382252511E-2</v>
      </c>
      <c r="F60" s="18">
        <f>IF(ISNUMBER(D60), $B64 * E60, "")</f>
        <v>6484.641638225251</v>
      </c>
      <c r="G60" s="31">
        <v>31.5</v>
      </c>
      <c r="H60" s="32">
        <f t="shared" ref="H60:H63" si="27">IF(ISNUMBER(G60), (G60 - $B60) / $B60, "")</f>
        <v>7.508532423208189E-2</v>
      </c>
      <c r="I60" s="101">
        <f>IF(ISNUMBER(G60), $B64 * H60, "")</f>
        <v>7508.5324232081894</v>
      </c>
      <c r="J60" s="15">
        <v>31.6</v>
      </c>
      <c r="K60" s="32">
        <f t="shared" ref="K60:K63" si="28">IF(ISNUMBER(J60), (J60 - $B60) / $B60, "")</f>
        <v>7.8498293515358378E-2</v>
      </c>
      <c r="L60" s="18">
        <f>IF(ISNUMBER(J60), $B64 * K60, "")</f>
        <v>7849.8293515358382</v>
      </c>
      <c r="M60" s="31">
        <v>31.9</v>
      </c>
      <c r="N60" s="32">
        <f t="shared" ref="N60:N63" si="29">IF(ISNUMBER(M60), (M60 - $B60) / $B60, "")</f>
        <v>8.8737201365187632E-2</v>
      </c>
      <c r="O60" s="18">
        <f>IF(ISNUMBER(M60), $B64 * N60, "")</f>
        <v>8873.720136518763</v>
      </c>
      <c r="Q60" s="238"/>
      <c r="R60" s="238"/>
      <c r="S60" s="238"/>
    </row>
    <row r="61" spans="1:19" ht="17.25" customHeight="1" thickBot="1">
      <c r="A61" s="125" t="s">
        <v>162</v>
      </c>
      <c r="B61" s="126">
        <v>92.8</v>
      </c>
      <c r="C61" s="77">
        <v>6.5075921999999996E-3</v>
      </c>
      <c r="D61" s="15">
        <v>92.7</v>
      </c>
      <c r="E61" s="32">
        <f t="shared" si="26"/>
        <v>-1.0775862068964906E-3</v>
      </c>
      <c r="F61" s="18">
        <f>IF(ISNUMBER(D61), $B64 * E61, "")</f>
        <v>-107.75862068964905</v>
      </c>
      <c r="G61" s="31">
        <v>93.9</v>
      </c>
      <c r="H61" s="32">
        <f t="shared" si="27"/>
        <v>1.1853448275862162E-2</v>
      </c>
      <c r="I61" s="101">
        <f>IF(ISNUMBER(G61), $B64 * H61, "")</f>
        <v>1185.3448275862163</v>
      </c>
      <c r="J61" s="15">
        <v>94</v>
      </c>
      <c r="K61" s="32">
        <f t="shared" si="28"/>
        <v>1.2931034482758652E-2</v>
      </c>
      <c r="L61" s="18">
        <f>IF(ISNUMBER(J61), $B64 * K61, "")</f>
        <v>1293.1034482758653</v>
      </c>
      <c r="M61" s="31">
        <v>95.7</v>
      </c>
      <c r="N61" s="32">
        <f t="shared" si="29"/>
        <v>3.1250000000000062E-2</v>
      </c>
      <c r="O61" s="18">
        <f>IF(ISNUMBER(M61), $B64 * N61, "")</f>
        <v>3125.0000000000064</v>
      </c>
      <c r="Q61" s="238"/>
      <c r="R61" s="238"/>
      <c r="S61" s="238"/>
    </row>
    <row r="62" spans="1:19" ht="17.25" customHeight="1">
      <c r="A62" s="125" t="s">
        <v>238</v>
      </c>
      <c r="B62" s="126">
        <v>97.7</v>
      </c>
      <c r="C62" s="77">
        <v>5.1440328999999996E-3</v>
      </c>
      <c r="D62" s="15">
        <v>101</v>
      </c>
      <c r="E62" s="32">
        <f t="shared" si="26"/>
        <v>3.3776867963152477E-2</v>
      </c>
      <c r="F62" s="18">
        <f>IF(ISNUMBER(D62), $B64 * E62, "")</f>
        <v>3377.6867963152476</v>
      </c>
      <c r="G62" s="31">
        <v>100</v>
      </c>
      <c r="H62" s="32">
        <f t="shared" si="27"/>
        <v>2.3541453428863841E-2</v>
      </c>
      <c r="I62" s="101">
        <f>IF(ISNUMBER(G62), $B64 * H62, "")</f>
        <v>2354.1453428863842</v>
      </c>
      <c r="J62" s="15">
        <v>102</v>
      </c>
      <c r="K62" s="32">
        <f t="shared" si="28"/>
        <v>4.4012282497441116E-2</v>
      </c>
      <c r="L62" s="18">
        <f>IF(ISNUMBER(J62), $B64 * K62, "")</f>
        <v>4401.228249744112</v>
      </c>
      <c r="M62" s="31">
        <v>101</v>
      </c>
      <c r="N62" s="32">
        <f t="shared" si="29"/>
        <v>3.3776867963152477E-2</v>
      </c>
      <c r="O62" s="18">
        <f>IF(ISNUMBER(M62), $B64 * N62, "")</f>
        <v>3377.6867963152476</v>
      </c>
      <c r="Q62" s="227"/>
      <c r="R62" s="228"/>
      <c r="S62" s="229"/>
    </row>
    <row r="63" spans="1:19" ht="17.25" customHeight="1" thickBot="1">
      <c r="A63" s="130" t="s">
        <v>202</v>
      </c>
      <c r="B63" s="131">
        <v>68.599999999999994</v>
      </c>
      <c r="C63" s="79">
        <v>-1.4556040999999999E-3</v>
      </c>
      <c r="D63" s="24">
        <v>73.8</v>
      </c>
      <c r="E63" s="25">
        <f t="shared" si="26"/>
        <v>7.5801749271137073E-2</v>
      </c>
      <c r="F63" s="104">
        <f>IF(ISNUMBER(D63), $B64 * E63, "")</f>
        <v>7580.1749271137069</v>
      </c>
      <c r="G63" s="102">
        <v>73.2</v>
      </c>
      <c r="H63" s="25">
        <f t="shared" si="27"/>
        <v>6.7055393586005957E-2</v>
      </c>
      <c r="I63" s="103">
        <f>IF(ISNUMBER(G63), $B64 * H63, "")</f>
        <v>6705.5393586005957</v>
      </c>
      <c r="J63" s="24">
        <v>73</v>
      </c>
      <c r="K63" s="25">
        <f t="shared" si="28"/>
        <v>6.4139941690962182E-2</v>
      </c>
      <c r="L63" s="104">
        <f>IF(ISNUMBER(J63), $B64 * K63, "")</f>
        <v>6413.9941690962178</v>
      </c>
      <c r="M63" s="102">
        <v>73.5</v>
      </c>
      <c r="N63" s="25">
        <f t="shared" si="29"/>
        <v>7.1428571428571522E-2</v>
      </c>
      <c r="O63" s="104">
        <f>IF(ISNUMBER(M63), $B64 * N63, "")</f>
        <v>7142.8571428571522</v>
      </c>
      <c r="Q63" s="230"/>
      <c r="R63" s="231"/>
      <c r="S63" s="232"/>
    </row>
    <row r="64" spans="1:19" ht="17.25" customHeight="1" thickBot="1">
      <c r="A64" s="132" t="s">
        <v>270</v>
      </c>
      <c r="B64" s="291">
        <f>$B$37</f>
        <v>100000</v>
      </c>
      <c r="C64" s="292"/>
      <c r="D64" s="26" t="s">
        <v>271</v>
      </c>
      <c r="E64" s="27">
        <f>IF(COUNT(E44:E63), SUM(E44:E63) / COUNT(E44:E63), 0)</f>
        <v>2.9604761520480201E-2</v>
      </c>
      <c r="F64" s="28">
        <f>SUM(F44:F63)</f>
        <v>59209.523040960405</v>
      </c>
      <c r="G64" s="26" t="s">
        <v>271</v>
      </c>
      <c r="H64" s="27">
        <f>IF(COUNT(H44:H63), SUM(H44:H63) / COUNT(H44:H63), 0)</f>
        <v>2.8794492278395055E-2</v>
      </c>
      <c r="I64" s="28">
        <f>SUM(I44:I63)</f>
        <v>57588.984556790107</v>
      </c>
      <c r="J64" s="26" t="s">
        <v>271</v>
      </c>
      <c r="K64" s="27">
        <f>IF(COUNT(K44:K63), SUM(K44:K63) / COUNT(K44:K63), 0)</f>
        <v>3.2355199795240652E-2</v>
      </c>
      <c r="L64" s="28">
        <f>SUM(L44:L63)</f>
        <v>64710.399590481291</v>
      </c>
      <c r="M64" s="26" t="s">
        <v>271</v>
      </c>
      <c r="N64" s="27">
        <f>IF(COUNT(N44:N63), SUM(N44:N63) / COUNT(N44:N63), 0)</f>
        <v>4.3299646131796488E-2</v>
      </c>
      <c r="O64" s="28">
        <f>SUM(O44:O63)</f>
        <v>86599.292263592972</v>
      </c>
      <c r="Q64" s="233"/>
      <c r="R64" s="234"/>
      <c r="S64" s="23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48"/>
      <c r="R67" s="248"/>
      <c r="S67" s="248"/>
    </row>
    <row r="68" spans="1:19" ht="17.25" thickBot="1">
      <c r="A68" s="177" t="s">
        <v>267</v>
      </c>
      <c r="B68" s="249" t="s">
        <v>49</v>
      </c>
      <c r="C68" s="251"/>
      <c r="D68" s="249" t="s">
        <v>58</v>
      </c>
      <c r="E68" s="250"/>
      <c r="F68" s="251"/>
      <c r="G68" s="252">
        <f>_xlfn.IFNA(VLOOKUP(B68, 현재가테이블!$B$2:$D$200, 2, FALSE), "-")</f>
        <v>54440000</v>
      </c>
      <c r="H68" s="253"/>
      <c r="I68" s="254"/>
      <c r="J68" s="249" t="s">
        <v>59</v>
      </c>
      <c r="K68" s="250"/>
      <c r="L68" s="251"/>
      <c r="M68" s="255">
        <f>_xlfn.IFNA(VLOOKUP(B68, 현재가테이블!$B$2:$D$200, 3, FALSE), "-")</f>
        <v>1.07123628E-2</v>
      </c>
      <c r="N68" s="256"/>
      <c r="O68" s="257"/>
      <c r="Q68" s="248"/>
      <c r="R68" s="248"/>
      <c r="S68" s="248"/>
    </row>
    <row r="69" spans="1:19" ht="17.25" thickBot="1">
      <c r="A69" s="293" t="s">
        <v>55</v>
      </c>
      <c r="B69" s="289" t="str">
        <f>TEXT($G$1, "[$-ko-KR]yyyy-mm-dd(ddd) ") &amp; "오전 00:00"</f>
        <v>2021-08-06(금) 오전 00:00</v>
      </c>
      <c r="C69" s="290"/>
      <c r="D69" s="262" t="str">
        <f>TEXT($G$1, "[$-ko-KR]yyyy-mm-dd(ddd) ") &amp; "오후 14:00"</f>
        <v>2021-08-06(금) 오후 14:00</v>
      </c>
      <c r="E69" s="263"/>
      <c r="F69" s="264"/>
      <c r="G69" s="262" t="str">
        <f>TEXT($G$1, "[$-ko-KR]yyyy-mm-dd(ddd) ") &amp; "오후 19:00"</f>
        <v>2021-08-06(금) 오후 19:00</v>
      </c>
      <c r="H69" s="263"/>
      <c r="I69" s="264"/>
      <c r="J69" s="262" t="str">
        <f>TEXT($G$1, "[$-ko-KR]yyyy-mm-dd(ddd) ") &amp; "오후 21:00"</f>
        <v>2021-08-06(금) 오후 21:00</v>
      </c>
      <c r="K69" s="263"/>
      <c r="L69" s="264"/>
      <c r="M69" s="262" t="str">
        <f>TEXT($G$1+1, "[$-ko-KR]yyyy-mm-dd(ddd) ") &amp; "오전 00:00"</f>
        <v>2021-08-07(토) 오전 00:00</v>
      </c>
      <c r="N69" s="263"/>
      <c r="O69" s="264"/>
      <c r="Q69" s="248"/>
      <c r="R69" s="248"/>
      <c r="S69" s="248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8" t="s">
        <v>58</v>
      </c>
      <c r="H70" s="179" t="s">
        <v>268</v>
      </c>
      <c r="I70" s="18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8"/>
      <c r="R70" s="238"/>
      <c r="S70" s="238"/>
    </row>
    <row r="71" spans="1:19" ht="17.25" thickBot="1">
      <c r="A71" s="123" t="s">
        <v>174</v>
      </c>
      <c r="B71" s="124">
        <v>375</v>
      </c>
      <c r="C71" s="76">
        <v>0.1503067485</v>
      </c>
      <c r="D71" s="13">
        <v>347</v>
      </c>
      <c r="E71" s="14">
        <f>IF(ISNUMBER(D71), (D71 - $B71) / $B71, "")</f>
        <v>-7.4666666666666673E-2</v>
      </c>
      <c r="F71" s="16">
        <f>IF(ISNUMBER(D71), $B91 * E71, "")</f>
        <v>-7466.666666666667</v>
      </c>
      <c r="G71" s="29">
        <v>353</v>
      </c>
      <c r="H71" s="14">
        <f>IF(ISNUMBER(G71), (G71 - $B71) / $B71, "")</f>
        <v>-5.8666666666666666E-2</v>
      </c>
      <c r="I71" s="100">
        <f>IF(ISNUMBER(G71), $B91 * H71, "")</f>
        <v>-5866.666666666667</v>
      </c>
      <c r="J71" s="13">
        <v>353</v>
      </c>
      <c r="K71" s="14">
        <f>IF(ISNUMBER(J71), (J71 - $B71) / $B71, "")</f>
        <v>-5.8666666666666666E-2</v>
      </c>
      <c r="L71" s="16">
        <f>IF(ISNUMBER(J71), $B91 * K71, "")</f>
        <v>-5866.666666666667</v>
      </c>
      <c r="M71" s="29">
        <v>364</v>
      </c>
      <c r="N71" s="14">
        <f>IF(ISNUMBER(M71), (M71 - $B71) / $B71, "")</f>
        <v>-2.9333333333333333E-2</v>
      </c>
      <c r="O71" s="16">
        <f>IF(ISNUMBER(M71), $B91 * N71, "")</f>
        <v>-2933.3333333333335</v>
      </c>
      <c r="Q71" s="248"/>
      <c r="R71" s="248"/>
      <c r="S71" s="248"/>
    </row>
    <row r="72" spans="1:19" ht="17.25" thickBot="1">
      <c r="A72" s="125" t="s">
        <v>166</v>
      </c>
      <c r="B72" s="126">
        <v>187</v>
      </c>
      <c r="C72" s="77">
        <v>0.1333333333</v>
      </c>
      <c r="D72" s="15">
        <v>250</v>
      </c>
      <c r="E72" s="32">
        <f t="shared" ref="E72:E75" si="30">IF(ISNUMBER(D72), (D72 - $B72) / $B72, "")</f>
        <v>0.33689839572192515</v>
      </c>
      <c r="F72" s="18">
        <f>IF(ISNUMBER(D72), $B91 * E72, "")</f>
        <v>33689.839572192512</v>
      </c>
      <c r="G72" s="31">
        <v>230</v>
      </c>
      <c r="H72" s="32">
        <f t="shared" ref="H72:H75" si="31">IF(ISNUMBER(G72), (G72 - $B72) / $B72, "")</f>
        <v>0.22994652406417113</v>
      </c>
      <c r="I72" s="101">
        <f>IF(ISNUMBER(G72), $B91 * H72, "")</f>
        <v>22994.652406417114</v>
      </c>
      <c r="J72" s="15">
        <v>233</v>
      </c>
      <c r="K72" s="32">
        <f t="shared" ref="K72:K75" si="32">IF(ISNUMBER(J72), (J72 - $B72) / $B72, "")</f>
        <v>0.24598930481283424</v>
      </c>
      <c r="L72" s="18">
        <f>IF(ISNUMBER(J72), $B91 * K72, "")</f>
        <v>24598.930481283423</v>
      </c>
      <c r="M72" s="31">
        <v>231</v>
      </c>
      <c r="N72" s="32">
        <f t="shared" ref="N72:N75" si="33">IF(ISNUMBER(M72), (M72 - $B72) / $B72, "")</f>
        <v>0.23529411764705882</v>
      </c>
      <c r="O72" s="18">
        <f>IF(ISNUMBER(M72), $B91 * N72, "")</f>
        <v>23529.411764705881</v>
      </c>
      <c r="Q72" s="248"/>
      <c r="R72" s="248"/>
      <c r="S72" s="248"/>
    </row>
    <row r="73" spans="1:19" ht="17.25" thickBot="1">
      <c r="A73" s="125" t="s">
        <v>242</v>
      </c>
      <c r="B73" s="126">
        <v>499</v>
      </c>
      <c r="C73" s="77">
        <v>0.1163310962</v>
      </c>
      <c r="D73" s="15">
        <v>483</v>
      </c>
      <c r="E73" s="32">
        <f t="shared" si="30"/>
        <v>-3.2064128256513023E-2</v>
      </c>
      <c r="F73" s="18">
        <f>IF(ISNUMBER(D73), $B91 * E73, "")</f>
        <v>-3206.4128256513022</v>
      </c>
      <c r="G73" s="31">
        <v>483</v>
      </c>
      <c r="H73" s="32">
        <f t="shared" si="31"/>
        <v>-3.2064128256513023E-2</v>
      </c>
      <c r="I73" s="101">
        <f>IF(ISNUMBER(G73), $B91 * H73, "")</f>
        <v>-3206.4128256513022</v>
      </c>
      <c r="J73" s="15">
        <v>487</v>
      </c>
      <c r="K73" s="32">
        <f t="shared" si="32"/>
        <v>-2.4048096192384769E-2</v>
      </c>
      <c r="L73" s="18">
        <f>IF(ISNUMBER(J73), $B91 * K73, "")</f>
        <v>-2404.8096192384769</v>
      </c>
      <c r="M73" s="31">
        <v>495</v>
      </c>
      <c r="N73" s="32">
        <f t="shared" si="33"/>
        <v>-8.0160320641282558E-3</v>
      </c>
      <c r="O73" s="18">
        <f>IF(ISNUMBER(M73), $B91 * N73, "")</f>
        <v>-801.60320641282556</v>
      </c>
      <c r="Q73" s="238"/>
      <c r="R73" s="238"/>
      <c r="S73" s="238"/>
    </row>
    <row r="74" spans="1:19" ht="17.25" thickBot="1">
      <c r="A74" s="125" t="s">
        <v>110</v>
      </c>
      <c r="B74" s="126">
        <v>142</v>
      </c>
      <c r="C74" s="77">
        <v>5.9701492500000002E-2</v>
      </c>
      <c r="D74" s="15">
        <v>156</v>
      </c>
      <c r="E74" s="32">
        <f t="shared" si="30"/>
        <v>9.8591549295774641E-2</v>
      </c>
      <c r="F74" s="18">
        <f>IF(ISNUMBER(D74), $B91 * E74, "")</f>
        <v>9859.1549295774639</v>
      </c>
      <c r="G74" s="31">
        <v>155</v>
      </c>
      <c r="H74" s="32">
        <f t="shared" si="31"/>
        <v>9.154929577464789E-2</v>
      </c>
      <c r="I74" s="101">
        <f>IF(ISNUMBER(G74), $B91 * H74, "")</f>
        <v>9154.929577464789</v>
      </c>
      <c r="J74" s="15">
        <v>157</v>
      </c>
      <c r="K74" s="32">
        <f t="shared" si="32"/>
        <v>0.10563380281690141</v>
      </c>
      <c r="L74" s="18">
        <f>IF(ISNUMBER(J74), $B91 * K74, "")</f>
        <v>10563.380281690141</v>
      </c>
      <c r="M74" s="31">
        <v>154</v>
      </c>
      <c r="N74" s="32">
        <f t="shared" si="33"/>
        <v>8.4507042253521125E-2</v>
      </c>
      <c r="O74" s="18">
        <f>IF(ISNUMBER(M74), $B91 * N74, "")</f>
        <v>8450.7042253521122</v>
      </c>
      <c r="Q74" s="238"/>
      <c r="R74" s="238"/>
      <c r="S74" s="238"/>
    </row>
    <row r="75" spans="1:19" ht="17.25" thickBot="1">
      <c r="A75" s="127" t="s">
        <v>164</v>
      </c>
      <c r="B75" s="128">
        <v>309</v>
      </c>
      <c r="C75" s="78">
        <v>4.7457627099999997E-2</v>
      </c>
      <c r="D75" s="20">
        <v>308</v>
      </c>
      <c r="E75" s="21">
        <f t="shared" si="30"/>
        <v>-3.2362459546925568E-3</v>
      </c>
      <c r="F75" s="22">
        <f>IF(ISNUMBER(D75), $B91 * E75, "")</f>
        <v>-323.62459546925567</v>
      </c>
      <c r="G75" s="30">
        <v>310</v>
      </c>
      <c r="H75" s="21">
        <f t="shared" si="31"/>
        <v>3.2362459546925568E-3</v>
      </c>
      <c r="I75" s="105">
        <f>IF(ISNUMBER(G75), $B91 * H75, "")</f>
        <v>323.62459546925567</v>
      </c>
      <c r="J75" s="20">
        <v>310</v>
      </c>
      <c r="K75" s="21">
        <f t="shared" si="32"/>
        <v>3.2362459546925568E-3</v>
      </c>
      <c r="L75" s="22">
        <f>IF(ISNUMBER(J75), $B91 * K75, "")</f>
        <v>323.62459546925567</v>
      </c>
      <c r="M75" s="30">
        <v>314</v>
      </c>
      <c r="N75" s="21">
        <f t="shared" si="33"/>
        <v>1.6181229773462782E-2</v>
      </c>
      <c r="O75" s="22">
        <f>IF(ISNUMBER(M75), $B91 * N75, "")</f>
        <v>1618.1229773462783</v>
      </c>
      <c r="Q75" s="238"/>
      <c r="R75" s="238"/>
      <c r="S75" s="238"/>
    </row>
    <row r="76" spans="1:19" ht="17.25" thickBot="1">
      <c r="A76" s="125" t="s">
        <v>80</v>
      </c>
      <c r="B76" s="129">
        <v>792</v>
      </c>
      <c r="C76" s="80">
        <v>2.85714286E-2</v>
      </c>
      <c r="D76" s="106">
        <v>774</v>
      </c>
      <c r="E76" s="107">
        <f>IF(ISNUMBER(D76), (D76 - $B76) / $B76, "")</f>
        <v>-2.2727272727272728E-2</v>
      </c>
      <c r="F76" s="108">
        <f>IF(ISNUMBER(D76), $B91 * E76, "")</f>
        <v>-2272.727272727273</v>
      </c>
      <c r="G76" s="109">
        <v>778</v>
      </c>
      <c r="H76" s="107">
        <f>IF(ISNUMBER(G76), (G76 - $B76) / $B76, "")</f>
        <v>-1.7676767676767676E-2</v>
      </c>
      <c r="I76" s="110">
        <f>IF(ISNUMBER(G76), $B91 * H76, "")</f>
        <v>-1767.6767676767677</v>
      </c>
      <c r="J76" s="106">
        <v>785</v>
      </c>
      <c r="K76" s="107">
        <f>IF(ISNUMBER(J76), (J76 - $B76) / $B76, "")</f>
        <v>-8.8383838383838381E-3</v>
      </c>
      <c r="L76" s="108">
        <f>IF(ISNUMBER(J76), $B91 * K76, "")</f>
        <v>-883.83838383838383</v>
      </c>
      <c r="M76" s="109">
        <v>794</v>
      </c>
      <c r="N76" s="107">
        <f>IF(ISNUMBER(M76), (M76 - $B76) / $B76, "")</f>
        <v>2.5252525252525255E-3</v>
      </c>
      <c r="O76" s="108">
        <f>IF(ISNUMBER(M76), $B91 * N76, "")</f>
        <v>252.52525252525254</v>
      </c>
      <c r="Q76" s="238"/>
      <c r="R76" s="238"/>
      <c r="S76" s="238"/>
    </row>
    <row r="77" spans="1:19" ht="17.25" thickBot="1">
      <c r="A77" s="125" t="s">
        <v>54</v>
      </c>
      <c r="B77" s="126">
        <v>257</v>
      </c>
      <c r="C77" s="77">
        <v>2.3904382500000002E-2</v>
      </c>
      <c r="D77" s="15">
        <v>249</v>
      </c>
      <c r="E77" s="32">
        <f t="shared" ref="E77:E80" si="34">IF(ISNUMBER(D77), (D77 - $B77) / $B77, "")</f>
        <v>-3.1128404669260701E-2</v>
      </c>
      <c r="F77" s="18">
        <f>IF(ISNUMBER(D77), $B91 * E77, "")</f>
        <v>-3112.8404669260699</v>
      </c>
      <c r="G77" s="31">
        <v>247</v>
      </c>
      <c r="H77" s="32">
        <f t="shared" ref="H77:H80" si="35">IF(ISNUMBER(G77), (G77 - $B77) / $B77, "")</f>
        <v>-3.8910505836575876E-2</v>
      </c>
      <c r="I77" s="101">
        <f>IF(ISNUMBER(G77), $B91 * H77, "")</f>
        <v>-3891.0505836575876</v>
      </c>
      <c r="J77" s="15">
        <v>249</v>
      </c>
      <c r="K77" s="32">
        <f t="shared" ref="K77:K80" si="36">IF(ISNUMBER(J77), (J77 - $B77) / $B77, "")</f>
        <v>-3.1128404669260701E-2</v>
      </c>
      <c r="L77" s="18">
        <f>IF(ISNUMBER(J77), $B91 * K77, "")</f>
        <v>-3112.8404669260699</v>
      </c>
      <c r="M77" s="31">
        <v>251</v>
      </c>
      <c r="N77" s="32">
        <f t="shared" ref="N77:N80" si="37">IF(ISNUMBER(M77), (M77 - $B77) / $B77, "")</f>
        <v>-2.3346303501945526E-2</v>
      </c>
      <c r="O77" s="18">
        <f>IF(ISNUMBER(M77), $B91 * N77, "")</f>
        <v>-2334.6303501945526</v>
      </c>
      <c r="Q77" s="238"/>
      <c r="R77" s="238"/>
      <c r="S77" s="238"/>
    </row>
    <row r="78" spans="1:19" ht="17.25" thickBot="1">
      <c r="A78" s="125" t="s">
        <v>192</v>
      </c>
      <c r="B78" s="126">
        <v>220</v>
      </c>
      <c r="C78" s="77">
        <v>2.3255814E-2</v>
      </c>
      <c r="D78" s="15">
        <v>226</v>
      </c>
      <c r="E78" s="32">
        <f t="shared" si="34"/>
        <v>2.7272727272727271E-2</v>
      </c>
      <c r="F78" s="18">
        <f>IF(ISNUMBER(D78), $B91 * E78, "")</f>
        <v>2727.272727272727</v>
      </c>
      <c r="G78" s="31">
        <v>224</v>
      </c>
      <c r="H78" s="32">
        <f t="shared" si="35"/>
        <v>1.8181818181818181E-2</v>
      </c>
      <c r="I78" s="101">
        <f>IF(ISNUMBER(G78), $B91 * H78, "")</f>
        <v>1818.181818181818</v>
      </c>
      <c r="J78" s="15">
        <v>222</v>
      </c>
      <c r="K78" s="32">
        <f t="shared" si="36"/>
        <v>9.0909090909090905E-3</v>
      </c>
      <c r="L78" s="18">
        <f>IF(ISNUMBER(J78), $B91 * K78, "")</f>
        <v>909.09090909090901</v>
      </c>
      <c r="M78" s="31">
        <v>226</v>
      </c>
      <c r="N78" s="32">
        <f t="shared" si="37"/>
        <v>2.7272727272727271E-2</v>
      </c>
      <c r="O78" s="18">
        <f>IF(ISNUMBER(M78), $B91 * N78, "")</f>
        <v>2727.272727272727</v>
      </c>
      <c r="Q78" s="238"/>
      <c r="R78" s="238"/>
      <c r="S78" s="238"/>
    </row>
    <row r="79" spans="1:19" ht="17.25" thickBot="1">
      <c r="A79" s="125" t="s">
        <v>128</v>
      </c>
      <c r="B79" s="126">
        <v>104</v>
      </c>
      <c r="C79" s="77">
        <v>1.9607843100000001E-2</v>
      </c>
      <c r="D79" s="15">
        <v>104</v>
      </c>
      <c r="E79" s="32">
        <f t="shared" si="34"/>
        <v>0</v>
      </c>
      <c r="F79" s="18">
        <f>IF(ISNUMBER(D79), $B91 * E79, "")</f>
        <v>0</v>
      </c>
      <c r="G79" s="31">
        <v>106</v>
      </c>
      <c r="H79" s="32">
        <f t="shared" si="35"/>
        <v>1.9230769230769232E-2</v>
      </c>
      <c r="I79" s="101">
        <f>IF(ISNUMBER(G79), $B91 * H79, "")</f>
        <v>1923.0769230769231</v>
      </c>
      <c r="J79" s="15">
        <v>106</v>
      </c>
      <c r="K79" s="32">
        <f t="shared" si="36"/>
        <v>1.9230769230769232E-2</v>
      </c>
      <c r="L79" s="18">
        <f>IF(ISNUMBER(J79), $B91 * K79, "")</f>
        <v>1923.0769230769231</v>
      </c>
      <c r="M79" s="31">
        <v>110</v>
      </c>
      <c r="N79" s="32">
        <f t="shared" si="37"/>
        <v>5.7692307692307696E-2</v>
      </c>
      <c r="O79" s="18">
        <f>IF(ISNUMBER(M79), $B91 * N79, "")</f>
        <v>5769.2307692307695</v>
      </c>
      <c r="Q79" s="33"/>
      <c r="R79" s="33"/>
    </row>
    <row r="80" spans="1:19" ht="17.25" thickBot="1">
      <c r="A80" s="130" t="s">
        <v>124</v>
      </c>
      <c r="B80" s="131">
        <v>323</v>
      </c>
      <c r="C80" s="79">
        <v>1.2539185E-2</v>
      </c>
      <c r="D80" s="24">
        <v>329</v>
      </c>
      <c r="E80" s="25">
        <f t="shared" si="34"/>
        <v>1.8575851393188854E-2</v>
      </c>
      <c r="F80" s="104">
        <f>IF(ISNUMBER(D80), $B91 * E80, "")</f>
        <v>1857.5851393188855</v>
      </c>
      <c r="G80" s="102">
        <v>330</v>
      </c>
      <c r="H80" s="25">
        <f t="shared" si="35"/>
        <v>2.1671826625386997E-2</v>
      </c>
      <c r="I80" s="103">
        <f>IF(ISNUMBER(G80), $B91 * H80, "")</f>
        <v>2167.1826625386998</v>
      </c>
      <c r="J80" s="24">
        <v>329</v>
      </c>
      <c r="K80" s="25">
        <f t="shared" si="36"/>
        <v>1.8575851393188854E-2</v>
      </c>
      <c r="L80" s="104">
        <f>IF(ISNUMBER(J80), $B91 * K80, "")</f>
        <v>1857.5851393188855</v>
      </c>
      <c r="M80" s="102">
        <v>335</v>
      </c>
      <c r="N80" s="25">
        <f t="shared" si="37"/>
        <v>3.7151702786377708E-2</v>
      </c>
      <c r="O80" s="104">
        <f>IF(ISNUMBER(M80), $B91 * N80, "")</f>
        <v>3715.1702786377709</v>
      </c>
      <c r="Q80" s="239"/>
      <c r="R80" s="240"/>
      <c r="S80" s="241"/>
    </row>
    <row r="81" spans="1:19">
      <c r="A81" s="123" t="s">
        <v>138</v>
      </c>
      <c r="B81" s="124">
        <v>377</v>
      </c>
      <c r="C81" s="76">
        <v>1.0723860599999999E-2</v>
      </c>
      <c r="D81" s="13">
        <v>381</v>
      </c>
      <c r="E81" s="14">
        <f>IF(ISNUMBER(D81), (D81 - $B81) / $B81, "")</f>
        <v>1.0610079575596816E-2</v>
      </c>
      <c r="F81" s="16">
        <f>IF(ISNUMBER(D81), $B91 * E81, "")</f>
        <v>1061.0079575596817</v>
      </c>
      <c r="G81" s="29">
        <v>380</v>
      </c>
      <c r="H81" s="14">
        <f>IF(ISNUMBER(G81), (G81 - $B81) / $B81, "")</f>
        <v>7.9575596816976128E-3</v>
      </c>
      <c r="I81" s="100">
        <f>IF(ISNUMBER(G81), $B91 * H81, "")</f>
        <v>795.75596816976133</v>
      </c>
      <c r="J81" s="13">
        <v>380</v>
      </c>
      <c r="K81" s="14">
        <f>IF(ISNUMBER(J81), (J81 - $B81) / $B81, "")</f>
        <v>7.9575596816976128E-3</v>
      </c>
      <c r="L81" s="16">
        <f>IF(ISNUMBER(J81), $B91 * K81, "")</f>
        <v>795.75596816976133</v>
      </c>
      <c r="M81" s="29">
        <v>386</v>
      </c>
      <c r="N81" s="14">
        <f>IF(ISNUMBER(M81), (M81 - $B81) / $B81, "")</f>
        <v>2.3872679045092837E-2</v>
      </c>
      <c r="O81" s="16">
        <f>IF(ISNUMBER(M81), $B91 * N81, "")</f>
        <v>2387.2679045092837</v>
      </c>
      <c r="Q81" s="242"/>
      <c r="R81" s="243"/>
      <c r="S81" s="244"/>
    </row>
    <row r="82" spans="1:19" ht="17.25" thickBot="1">
      <c r="A82" s="125" t="s">
        <v>254</v>
      </c>
      <c r="B82" s="126">
        <v>287</v>
      </c>
      <c r="C82" s="77">
        <v>1.0563380299999999E-2</v>
      </c>
      <c r="D82" s="15">
        <v>282</v>
      </c>
      <c r="E82" s="32">
        <f t="shared" ref="E82:E85" si="38">IF(ISNUMBER(D82), (D82 - $B82) / $B82, "")</f>
        <v>-1.7421602787456445E-2</v>
      </c>
      <c r="F82" s="18">
        <f>IF(ISNUMBER(D82), $B91 * E82, "")</f>
        <v>-1742.1602787456445</v>
      </c>
      <c r="G82" s="31">
        <v>285</v>
      </c>
      <c r="H82" s="32">
        <f t="shared" ref="H82:H85" si="39">IF(ISNUMBER(G82), (G82 - $B82) / $B82, "")</f>
        <v>-6.9686411149825784E-3</v>
      </c>
      <c r="I82" s="101">
        <f>IF(ISNUMBER(G82), $B91 * H82, "")</f>
        <v>-696.86411149825778</v>
      </c>
      <c r="J82" s="15">
        <v>286</v>
      </c>
      <c r="K82" s="32">
        <f t="shared" ref="K82:K85" si="40">IF(ISNUMBER(J82), (J82 - $B82) / $B82, "")</f>
        <v>-3.4843205574912892E-3</v>
      </c>
      <c r="L82" s="18">
        <f>IF(ISNUMBER(J82), $B91 * K82, "")</f>
        <v>-348.43205574912889</v>
      </c>
      <c r="M82" s="31">
        <v>288</v>
      </c>
      <c r="N82" s="32">
        <f t="shared" ref="N82:N85" si="41">IF(ISNUMBER(M82), (M82 - $B82) / $B82, "")</f>
        <v>3.4843205574912892E-3</v>
      </c>
      <c r="O82" s="18">
        <f>IF(ISNUMBER(M82), $B91 * N82, "")</f>
        <v>348.43205574912889</v>
      </c>
      <c r="Q82" s="245"/>
      <c r="R82" s="246"/>
      <c r="S82" s="247"/>
    </row>
    <row r="83" spans="1:19" ht="17.25" thickBot="1">
      <c r="A83" s="125" t="s">
        <v>222</v>
      </c>
      <c r="B83" s="126">
        <v>121</v>
      </c>
      <c r="C83" s="77">
        <v>8.3333333000000006E-3</v>
      </c>
      <c r="D83" s="15">
        <v>126</v>
      </c>
      <c r="E83" s="32">
        <f t="shared" si="38"/>
        <v>4.1322314049586778E-2</v>
      </c>
      <c r="F83" s="18">
        <f>IF(ISNUMBER(D83), $B91 * E83, "")</f>
        <v>4132.2314049586776</v>
      </c>
      <c r="G83" s="31">
        <v>129</v>
      </c>
      <c r="H83" s="32">
        <f t="shared" si="39"/>
        <v>6.6115702479338845E-2</v>
      </c>
      <c r="I83" s="101">
        <f>IF(ISNUMBER(G83), $B91 * H83, "")</f>
        <v>6611.5702479338843</v>
      </c>
      <c r="J83" s="15">
        <v>130</v>
      </c>
      <c r="K83" s="32">
        <f t="shared" si="40"/>
        <v>7.43801652892562E-2</v>
      </c>
      <c r="L83" s="18">
        <f>IF(ISNUMBER(J83), $B91 * K83, "")</f>
        <v>7438.0165289256202</v>
      </c>
      <c r="M83" s="31">
        <v>131</v>
      </c>
      <c r="N83" s="32">
        <f t="shared" si="41"/>
        <v>8.2644628099173556E-2</v>
      </c>
      <c r="O83" s="18">
        <f>IF(ISNUMBER(M83), $B91 * N83, "")</f>
        <v>8264.4628099173551</v>
      </c>
      <c r="Q83" s="238"/>
      <c r="R83" s="238"/>
      <c r="S83" s="238"/>
    </row>
    <row r="84" spans="1:19" ht="17.25" thickBot="1">
      <c r="A84" s="125" t="s">
        <v>194</v>
      </c>
      <c r="B84" s="126">
        <v>135</v>
      </c>
      <c r="C84" s="77">
        <v>7.4626865999999998E-3</v>
      </c>
      <c r="D84" s="15">
        <v>146</v>
      </c>
      <c r="E84" s="32">
        <f t="shared" si="38"/>
        <v>8.1481481481481488E-2</v>
      </c>
      <c r="F84" s="18">
        <f>IF(ISNUMBER(D84), $B91 * E84, "")</f>
        <v>8148.1481481481487</v>
      </c>
      <c r="G84" s="31">
        <v>143</v>
      </c>
      <c r="H84" s="32">
        <f t="shared" si="39"/>
        <v>5.9259259259259262E-2</v>
      </c>
      <c r="I84" s="101">
        <f>IF(ISNUMBER(G84), $B91 * H84, "")</f>
        <v>5925.9259259259261</v>
      </c>
      <c r="J84" s="15">
        <v>143</v>
      </c>
      <c r="K84" s="32">
        <f t="shared" si="40"/>
        <v>5.9259259259259262E-2</v>
      </c>
      <c r="L84" s="18">
        <f>IF(ISNUMBER(J84), $B91 * K84, "")</f>
        <v>5925.9259259259261</v>
      </c>
      <c r="M84" s="31">
        <v>145</v>
      </c>
      <c r="N84" s="32">
        <f t="shared" si="41"/>
        <v>7.407407407407407E-2</v>
      </c>
      <c r="O84" s="18">
        <f>IF(ISNUMBER(M84), $B91 * N84, "")</f>
        <v>7407.4074074074069</v>
      </c>
      <c r="Q84" s="248"/>
      <c r="R84" s="248"/>
      <c r="S84" s="248"/>
    </row>
    <row r="85" spans="1:19" ht="17.25" thickBot="1">
      <c r="A85" s="127" t="s">
        <v>236</v>
      </c>
      <c r="B85" s="128">
        <v>568</v>
      </c>
      <c r="C85" s="78">
        <v>7.0921986000000003E-3</v>
      </c>
      <c r="D85" s="20">
        <v>572</v>
      </c>
      <c r="E85" s="21">
        <f t="shared" si="38"/>
        <v>7.0422535211267607E-3</v>
      </c>
      <c r="F85" s="22">
        <f>IF(ISNUMBER(D85), $B91 * E85, "")</f>
        <v>704.22535211267609</v>
      </c>
      <c r="G85" s="30">
        <v>572</v>
      </c>
      <c r="H85" s="21">
        <f t="shared" si="39"/>
        <v>7.0422535211267607E-3</v>
      </c>
      <c r="I85" s="105">
        <f>IF(ISNUMBER(G85), $B91 * H85, "")</f>
        <v>704.22535211267609</v>
      </c>
      <c r="J85" s="20">
        <v>574</v>
      </c>
      <c r="K85" s="21">
        <f t="shared" si="40"/>
        <v>1.0563380281690141E-2</v>
      </c>
      <c r="L85" s="22">
        <f>IF(ISNUMBER(J85), $B91 * K85, "")</f>
        <v>1056.338028169014</v>
      </c>
      <c r="M85" s="30">
        <v>587</v>
      </c>
      <c r="N85" s="21">
        <f t="shared" si="41"/>
        <v>3.345070422535211E-2</v>
      </c>
      <c r="O85" s="22">
        <f>IF(ISNUMBER(M85), $B91 * N85, "")</f>
        <v>3345.070422535211</v>
      </c>
      <c r="Q85" s="248"/>
      <c r="R85" s="248"/>
      <c r="S85" s="248"/>
    </row>
    <row r="86" spans="1:19" ht="17.25" thickBot="1">
      <c r="A86" s="125" t="s">
        <v>57</v>
      </c>
      <c r="B86" s="129">
        <v>192</v>
      </c>
      <c r="C86" s="80">
        <v>0</v>
      </c>
      <c r="D86" s="106">
        <v>192</v>
      </c>
      <c r="E86" s="107">
        <f>IF(ISNUMBER(D86), (D86 - $B86) / $B86, "")</f>
        <v>0</v>
      </c>
      <c r="F86" s="108">
        <f>IF(ISNUMBER(D86), $B91 * E86, "")</f>
        <v>0</v>
      </c>
      <c r="G86" s="109">
        <v>192</v>
      </c>
      <c r="H86" s="107">
        <f>IF(ISNUMBER(G86), (G86 - $B86) / $B86, "")</f>
        <v>0</v>
      </c>
      <c r="I86" s="110">
        <f>IF(ISNUMBER(G86), $B91 * H86, "")</f>
        <v>0</v>
      </c>
      <c r="J86" s="106">
        <v>193</v>
      </c>
      <c r="K86" s="107">
        <f>IF(ISNUMBER(J86), (J86 - $B86) / $B86, "")</f>
        <v>5.208333333333333E-3</v>
      </c>
      <c r="L86" s="108">
        <f>IF(ISNUMBER(J86), $B91 * K86, "")</f>
        <v>520.83333333333326</v>
      </c>
      <c r="M86" s="109">
        <v>197</v>
      </c>
      <c r="N86" s="107">
        <f>IF(ISNUMBER(M86), (M86 - $B86) / $B86, "")</f>
        <v>2.6041666666666668E-2</v>
      </c>
      <c r="O86" s="108">
        <f>IF(ISNUMBER(M86), $B91 * N86, "")</f>
        <v>2604.166666666667</v>
      </c>
      <c r="Q86" s="238"/>
      <c r="R86" s="238"/>
      <c r="S86" s="238"/>
    </row>
    <row r="87" spans="1:19" ht="17.25" thickBot="1">
      <c r="A87" s="125" t="s">
        <v>228</v>
      </c>
      <c r="B87" s="126">
        <v>370</v>
      </c>
      <c r="C87" s="77">
        <v>0</v>
      </c>
      <c r="D87" s="15">
        <v>380</v>
      </c>
      <c r="E87" s="32">
        <f t="shared" ref="E87:E90" si="42">IF(ISNUMBER(D87), (D87 - $B87) / $B87, "")</f>
        <v>2.7027027027027029E-2</v>
      </c>
      <c r="F87" s="18">
        <f>IF(ISNUMBER(D87), $B91 * E87, "")</f>
        <v>2702.7027027027029</v>
      </c>
      <c r="G87" s="31">
        <v>378</v>
      </c>
      <c r="H87" s="32">
        <f t="shared" ref="H87:H90" si="43">IF(ISNUMBER(G87), (G87 - $B87) / $B87, "")</f>
        <v>2.1621621621621623E-2</v>
      </c>
      <c r="I87" s="101">
        <f>IF(ISNUMBER(G87), $B91 * H87, "")</f>
        <v>2162.1621621621621</v>
      </c>
      <c r="J87" s="15">
        <v>381</v>
      </c>
      <c r="K87" s="32">
        <f t="shared" ref="K87:K90" si="44">IF(ISNUMBER(J87), (J87 - $B87) / $B87, "")</f>
        <v>2.9729729729729731E-2</v>
      </c>
      <c r="L87" s="18">
        <f>IF(ISNUMBER(J87), $B91 * K87, "")</f>
        <v>2972.9729729729729</v>
      </c>
      <c r="M87" s="31">
        <v>383</v>
      </c>
      <c r="N87" s="32">
        <f t="shared" ref="N87:N90" si="45">IF(ISNUMBER(M87), (M87 - $B87) / $B87, "")</f>
        <v>3.5135135135135137E-2</v>
      </c>
      <c r="O87" s="18">
        <f>IF(ISNUMBER(M87), $B91 * N87, "")</f>
        <v>3513.5135135135138</v>
      </c>
      <c r="Q87" s="238"/>
      <c r="R87" s="238"/>
      <c r="S87" s="238"/>
    </row>
    <row r="88" spans="1:19" ht="17.25" thickBot="1">
      <c r="A88" s="125" t="s">
        <v>200</v>
      </c>
      <c r="B88" s="126">
        <v>131</v>
      </c>
      <c r="C88" s="77">
        <v>0</v>
      </c>
      <c r="D88" s="15">
        <v>136</v>
      </c>
      <c r="E88" s="32">
        <f t="shared" si="42"/>
        <v>3.8167938931297711E-2</v>
      </c>
      <c r="F88" s="18">
        <f>IF(ISNUMBER(D88), $B91 * E88, "")</f>
        <v>3816.7938931297713</v>
      </c>
      <c r="G88" s="31">
        <v>134</v>
      </c>
      <c r="H88" s="32">
        <f t="shared" si="43"/>
        <v>2.2900763358778626E-2</v>
      </c>
      <c r="I88" s="101">
        <f>IF(ISNUMBER(G88), $B91 * H88, "")</f>
        <v>2290.0763358778627</v>
      </c>
      <c r="J88" s="15">
        <v>134</v>
      </c>
      <c r="K88" s="32">
        <f t="shared" si="44"/>
        <v>2.2900763358778626E-2</v>
      </c>
      <c r="L88" s="18">
        <f>IF(ISNUMBER(J88), $B91 * K88, "")</f>
        <v>2290.0763358778627</v>
      </c>
      <c r="M88" s="31">
        <v>134</v>
      </c>
      <c r="N88" s="32">
        <f t="shared" si="45"/>
        <v>2.2900763358778626E-2</v>
      </c>
      <c r="O88" s="18">
        <f>IF(ISNUMBER(M88), $B91 * N88, "")</f>
        <v>2290.0763358778627</v>
      </c>
      <c r="Q88" s="238"/>
      <c r="R88" s="238"/>
      <c r="S88" s="238"/>
    </row>
    <row r="89" spans="1:19">
      <c r="A89" s="125" t="s">
        <v>61</v>
      </c>
      <c r="B89" s="126">
        <v>836</v>
      </c>
      <c r="C89" s="77">
        <v>-1.1947431000000001E-3</v>
      </c>
      <c r="D89" s="15">
        <v>834</v>
      </c>
      <c r="E89" s="32">
        <f t="shared" si="42"/>
        <v>-2.3923444976076554E-3</v>
      </c>
      <c r="F89" s="18">
        <f>IF(ISNUMBER(D89), $B91 * E89, "")</f>
        <v>-239.23444976076553</v>
      </c>
      <c r="G89" s="31">
        <v>839</v>
      </c>
      <c r="H89" s="32">
        <f t="shared" si="43"/>
        <v>3.5885167464114833E-3</v>
      </c>
      <c r="I89" s="101">
        <f>IF(ISNUMBER(G89), $B91 * H89, "")</f>
        <v>358.85167464114835</v>
      </c>
      <c r="J89" s="15">
        <v>839</v>
      </c>
      <c r="K89" s="32">
        <f t="shared" si="44"/>
        <v>3.5885167464114833E-3</v>
      </c>
      <c r="L89" s="18">
        <f>IF(ISNUMBER(J89), $B91 * K89, "")</f>
        <v>358.85167464114835</v>
      </c>
      <c r="M89" s="31">
        <v>844</v>
      </c>
      <c r="N89" s="32">
        <f t="shared" si="45"/>
        <v>9.5693779904306216E-3</v>
      </c>
      <c r="O89" s="18">
        <f>IF(ISNUMBER(M89), $B91 * N89, "")</f>
        <v>956.93779904306211</v>
      </c>
      <c r="Q89" s="227"/>
      <c r="R89" s="228"/>
      <c r="S89" s="229"/>
    </row>
    <row r="90" spans="1:19" ht="17.25" thickBot="1">
      <c r="A90" s="130" t="s">
        <v>206</v>
      </c>
      <c r="B90" s="131">
        <v>308</v>
      </c>
      <c r="C90" s="79">
        <v>-3.2362459999999999E-3</v>
      </c>
      <c r="D90" s="24">
        <v>310</v>
      </c>
      <c r="E90" s="25">
        <f t="shared" si="42"/>
        <v>6.4935064935064939E-3</v>
      </c>
      <c r="F90" s="104">
        <f>IF(ISNUMBER(D90), $B91 * E90, "")</f>
        <v>649.35064935064941</v>
      </c>
      <c r="G90" s="102">
        <v>310</v>
      </c>
      <c r="H90" s="25">
        <f t="shared" si="43"/>
        <v>6.4935064935064939E-3</v>
      </c>
      <c r="I90" s="103">
        <f>IF(ISNUMBER(G90), $B91 * H90, "")</f>
        <v>649.35064935064941</v>
      </c>
      <c r="J90" s="24">
        <v>310</v>
      </c>
      <c r="K90" s="25">
        <f t="shared" si="44"/>
        <v>6.4935064935064939E-3</v>
      </c>
      <c r="L90" s="104">
        <f>IF(ISNUMBER(J90), $B91 * K90, "")</f>
        <v>649.35064935064941</v>
      </c>
      <c r="M90" s="102">
        <v>314</v>
      </c>
      <c r="N90" s="25">
        <f t="shared" si="45"/>
        <v>1.948051948051948E-2</v>
      </c>
      <c r="O90" s="104">
        <f>IF(ISNUMBER(M90), $B91 * N90, "")</f>
        <v>1948.0519480519481</v>
      </c>
      <c r="Q90" s="230"/>
      <c r="R90" s="231"/>
      <c r="S90" s="232"/>
    </row>
    <row r="91" spans="1:19" ht="17.25" thickBot="1">
      <c r="A91" s="132" t="s">
        <v>270</v>
      </c>
      <c r="B91" s="291">
        <f>$B$37</f>
        <v>100000</v>
      </c>
      <c r="C91" s="292"/>
      <c r="D91" s="26" t="s">
        <v>271</v>
      </c>
      <c r="E91" s="27">
        <f>IF(COUNT(E71:E90), SUM(E71:E90) / COUNT(E71:E90), 0)</f>
        <v>2.5492322960188461E-2</v>
      </c>
      <c r="F91" s="28">
        <f>SUM(F71:F90)</f>
        <v>50984.645920376912</v>
      </c>
      <c r="G91" s="26" t="s">
        <v>271</v>
      </c>
      <c r="H91" s="27">
        <f>IF(COUNT(H71:H90), SUM(H71:H90) / COUNT(H71:H90), 0)</f>
        <v>2.1225447672086041E-2</v>
      </c>
      <c r="I91" s="28">
        <f>SUM(I71:I90)</f>
        <v>42450.895344172081</v>
      </c>
      <c r="J91" s="26" t="s">
        <v>271</v>
      </c>
      <c r="K91" s="27">
        <f>IF(COUNT(K71:K90), SUM(K71:K90) / COUNT(K71:K90), 0)</f>
        <v>2.4783611277438545E-2</v>
      </c>
      <c r="L91" s="28">
        <f>SUM(L71:L90)</f>
        <v>49567.222554877095</v>
      </c>
      <c r="M91" s="26" t="s">
        <v>271</v>
      </c>
      <c r="N91" s="27">
        <f>IF(COUNT(N71:N90), SUM(N71:N90) / COUNT(N71:N90), 0)</f>
        <v>3.6529128984200757E-2</v>
      </c>
      <c r="O91" s="28">
        <f>SUM(O71:O90)</f>
        <v>73058.257968401522</v>
      </c>
      <c r="Q91" s="233"/>
      <c r="R91" s="234"/>
      <c r="S91" s="23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48"/>
      <c r="R94" s="248"/>
      <c r="S94" s="248"/>
    </row>
    <row r="95" spans="1:19" ht="17.25" thickBot="1">
      <c r="A95" s="177" t="s">
        <v>267</v>
      </c>
      <c r="B95" s="249" t="s">
        <v>49</v>
      </c>
      <c r="C95" s="251"/>
      <c r="D95" s="249" t="s">
        <v>58</v>
      </c>
      <c r="E95" s="250"/>
      <c r="F95" s="251"/>
      <c r="G95" s="252">
        <f>_xlfn.IFNA(VLOOKUP(B95, 현재가테이블!$B$2:$D$200, 2, FALSE), "-")</f>
        <v>54440000</v>
      </c>
      <c r="H95" s="253"/>
      <c r="I95" s="254"/>
      <c r="J95" s="249" t="s">
        <v>59</v>
      </c>
      <c r="K95" s="250"/>
      <c r="L95" s="251"/>
      <c r="M95" s="255">
        <f>_xlfn.IFNA(VLOOKUP(B95, 현재가테이블!$B$2:$D$200, 3, FALSE), "-")</f>
        <v>1.07123628E-2</v>
      </c>
      <c r="N95" s="256"/>
      <c r="O95" s="257"/>
      <c r="Q95" s="248"/>
      <c r="R95" s="248"/>
      <c r="S95" s="248"/>
    </row>
    <row r="96" spans="1:19" ht="17.25" thickBot="1">
      <c r="A96" s="293" t="s">
        <v>55</v>
      </c>
      <c r="B96" s="289" t="str">
        <f>TEXT($G$1, "[$-ko-KR]yyyy-mm-dd(ddd) ") &amp; "오전 00:00"</f>
        <v>2021-08-06(금) 오전 00:00</v>
      </c>
      <c r="C96" s="290"/>
      <c r="D96" s="262" t="str">
        <f>TEXT($G$1, "[$-ko-KR]yyyy-mm-dd(ddd) ") &amp; "오후 14:00"</f>
        <v>2021-08-06(금) 오후 14:00</v>
      </c>
      <c r="E96" s="263"/>
      <c r="F96" s="264"/>
      <c r="G96" s="262" t="str">
        <f>TEXT($G$1, "[$-ko-KR]yyyy-mm-dd(ddd) ") &amp; "오후 19:00"</f>
        <v>2021-08-06(금) 오후 19:00</v>
      </c>
      <c r="H96" s="263"/>
      <c r="I96" s="264"/>
      <c r="J96" s="262" t="str">
        <f>TEXT($G$1, "[$-ko-KR]yyyy-mm-dd(ddd) ") &amp; "오후 21:00"</f>
        <v>2021-08-06(금) 오후 21:00</v>
      </c>
      <c r="K96" s="263"/>
      <c r="L96" s="264"/>
      <c r="M96" s="262" t="str">
        <f>TEXT($G$1+1, "[$-ko-KR]yyyy-mm-dd(ddd) ") &amp; "오전 00:00"</f>
        <v>2021-08-07(토) 오전 00:00</v>
      </c>
      <c r="N96" s="263"/>
      <c r="O96" s="264"/>
      <c r="Q96" s="248"/>
      <c r="R96" s="248"/>
      <c r="S96" s="248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8" t="s">
        <v>58</v>
      </c>
      <c r="H97" s="179" t="s">
        <v>268</v>
      </c>
      <c r="I97" s="18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8"/>
      <c r="R97" s="238"/>
      <c r="S97" s="238"/>
    </row>
    <row r="98" spans="1:19" ht="17.25" thickBot="1">
      <c r="A98" s="123" t="s">
        <v>174</v>
      </c>
      <c r="B98" s="124">
        <v>375</v>
      </c>
      <c r="C98" s="76">
        <v>0.1503067485</v>
      </c>
      <c r="D98" s="13">
        <v>347</v>
      </c>
      <c r="E98" s="14">
        <f>IF(ISNUMBER(D98), (D98 - $B98) / $B98, "")</f>
        <v>-7.4666666666666673E-2</v>
      </c>
      <c r="F98" s="16">
        <f>IF(ISNUMBER(D98), $B118 * E98, "")</f>
        <v>-7466.666666666667</v>
      </c>
      <c r="G98" s="29">
        <v>353</v>
      </c>
      <c r="H98" s="14">
        <f>IF(ISNUMBER(G98), (G98 - $B98) / $B98, "")</f>
        <v>-5.8666666666666666E-2</v>
      </c>
      <c r="I98" s="100">
        <f>IF(ISNUMBER(G98), $B118 * H98, "")</f>
        <v>-5866.666666666667</v>
      </c>
      <c r="J98" s="13">
        <v>353</v>
      </c>
      <c r="K98" s="14">
        <f>IF(ISNUMBER(J98), (J98 - $B98) / $B98, "")</f>
        <v>-5.8666666666666666E-2</v>
      </c>
      <c r="L98" s="16">
        <f>IF(ISNUMBER(J98), $B118 * K98, "")</f>
        <v>-5866.666666666667</v>
      </c>
      <c r="M98" s="29">
        <v>364</v>
      </c>
      <c r="N98" s="14">
        <f>IF(ISNUMBER(M98), (M98 - $B98) / $B98, "")</f>
        <v>-2.9333333333333333E-2</v>
      </c>
      <c r="O98" s="16">
        <f>IF(ISNUMBER(M98), $B118 * N98, "")</f>
        <v>-2933.3333333333335</v>
      </c>
      <c r="Q98" s="248"/>
      <c r="R98" s="248"/>
      <c r="S98" s="248"/>
    </row>
    <row r="99" spans="1:19" ht="17.25" thickBot="1">
      <c r="A99" s="125" t="s">
        <v>150</v>
      </c>
      <c r="B99" s="126">
        <v>12.4</v>
      </c>
      <c r="C99" s="77">
        <v>0.13761467890000001</v>
      </c>
      <c r="D99" s="15">
        <v>13.8</v>
      </c>
      <c r="E99" s="32">
        <f t="shared" ref="E99:E102" si="46">IF(ISNUMBER(D99), (D99 - $B99) / $B99, "")</f>
        <v>0.11290322580645164</v>
      </c>
      <c r="F99" s="18">
        <f>IF(ISNUMBER(D99), $B118 * E99, "")</f>
        <v>11290.322580645165</v>
      </c>
      <c r="G99" s="31">
        <v>13.1</v>
      </c>
      <c r="H99" s="32">
        <f t="shared" ref="H99:H102" si="47">IF(ISNUMBER(G99), (G99 - $B99) / $B99, "")</f>
        <v>5.6451612903225749E-2</v>
      </c>
      <c r="I99" s="101">
        <f>IF(ISNUMBER(G99), $B118 * H99, "")</f>
        <v>5645.161290322575</v>
      </c>
      <c r="J99" s="15">
        <v>13</v>
      </c>
      <c r="K99" s="32">
        <f t="shared" ref="K99:K102" si="48">IF(ISNUMBER(J99), (J99 - $B99) / $B99, "")</f>
        <v>4.8387096774193519E-2</v>
      </c>
      <c r="L99" s="18">
        <f>IF(ISNUMBER(J99), $B118 * K99, "")</f>
        <v>4838.7096774193524</v>
      </c>
      <c r="M99" s="31">
        <v>13.1</v>
      </c>
      <c r="N99" s="32">
        <f t="shared" ref="N99:N102" si="49">IF(ISNUMBER(M99), (M99 - $B99) / $B99, "")</f>
        <v>5.6451612903225749E-2</v>
      </c>
      <c r="O99" s="18">
        <f>IF(ISNUMBER(M99), $B118 * N99, "")</f>
        <v>5645.161290322575</v>
      </c>
      <c r="Q99" s="248"/>
      <c r="R99" s="248"/>
      <c r="S99" s="248"/>
    </row>
    <row r="100" spans="1:19" ht="17.25" thickBot="1">
      <c r="A100" s="125" t="s">
        <v>166</v>
      </c>
      <c r="B100" s="126">
        <v>187</v>
      </c>
      <c r="C100" s="77">
        <v>0.1333333333</v>
      </c>
      <c r="D100" s="15">
        <v>250</v>
      </c>
      <c r="E100" s="32">
        <f t="shared" si="46"/>
        <v>0.33689839572192515</v>
      </c>
      <c r="F100" s="18">
        <f>IF(ISNUMBER(D100), $B118 * E100, "")</f>
        <v>33689.839572192512</v>
      </c>
      <c r="G100" s="31">
        <v>230</v>
      </c>
      <c r="H100" s="32">
        <f t="shared" si="47"/>
        <v>0.22994652406417113</v>
      </c>
      <c r="I100" s="101">
        <f>IF(ISNUMBER(G100), $B118 * H100, "")</f>
        <v>22994.652406417114</v>
      </c>
      <c r="J100" s="15">
        <v>233</v>
      </c>
      <c r="K100" s="32">
        <f t="shared" si="48"/>
        <v>0.24598930481283424</v>
      </c>
      <c r="L100" s="18">
        <f>IF(ISNUMBER(J100), $B118 * K100, "")</f>
        <v>24598.930481283423</v>
      </c>
      <c r="M100" s="31">
        <v>231</v>
      </c>
      <c r="N100" s="32">
        <f t="shared" si="49"/>
        <v>0.23529411764705882</v>
      </c>
      <c r="O100" s="18">
        <f>IF(ISNUMBER(M100), $B118 * N100, "")</f>
        <v>23529.411764705881</v>
      </c>
      <c r="Q100" s="238"/>
      <c r="R100" s="238"/>
      <c r="S100" s="238"/>
    </row>
    <row r="101" spans="1:19" ht="17.25" thickBot="1">
      <c r="A101" s="125" t="s">
        <v>242</v>
      </c>
      <c r="B101" s="126">
        <v>499</v>
      </c>
      <c r="C101" s="77">
        <v>0.1163310962</v>
      </c>
      <c r="D101" s="15">
        <v>483</v>
      </c>
      <c r="E101" s="32">
        <f t="shared" si="46"/>
        <v>-3.2064128256513023E-2</v>
      </c>
      <c r="F101" s="18">
        <f>IF(ISNUMBER(D101), $B118 * E101, "")</f>
        <v>-3206.4128256513022</v>
      </c>
      <c r="G101" s="31">
        <v>483</v>
      </c>
      <c r="H101" s="32">
        <f t="shared" si="47"/>
        <v>-3.2064128256513023E-2</v>
      </c>
      <c r="I101" s="101">
        <f>IF(ISNUMBER(G101), $B118 * H101, "")</f>
        <v>-3206.4128256513022</v>
      </c>
      <c r="J101" s="15">
        <v>487</v>
      </c>
      <c r="K101" s="32">
        <f t="shared" si="48"/>
        <v>-2.4048096192384769E-2</v>
      </c>
      <c r="L101" s="18">
        <f>IF(ISNUMBER(J101), $B118 * K101, "")</f>
        <v>-2404.8096192384769</v>
      </c>
      <c r="M101" s="31">
        <v>495</v>
      </c>
      <c r="N101" s="32">
        <f t="shared" si="49"/>
        <v>-8.0160320641282558E-3</v>
      </c>
      <c r="O101" s="18">
        <f>IF(ISNUMBER(M101), $B118 * N101, "")</f>
        <v>-801.60320641282556</v>
      </c>
      <c r="Q101" s="238"/>
      <c r="R101" s="238"/>
      <c r="S101" s="238"/>
    </row>
    <row r="102" spans="1:19" ht="17.25" thickBot="1">
      <c r="A102" s="127" t="s">
        <v>130</v>
      </c>
      <c r="B102" s="128">
        <v>99.8</v>
      </c>
      <c r="C102" s="78">
        <v>7.4273412299999994E-2</v>
      </c>
      <c r="D102" s="20">
        <v>99</v>
      </c>
      <c r="E102" s="21">
        <f t="shared" si="46"/>
        <v>-8.0160320641282281E-3</v>
      </c>
      <c r="F102" s="22">
        <f>IF(ISNUMBER(D102), $B118 * E102, "")</f>
        <v>-801.60320641282283</v>
      </c>
      <c r="G102" s="30">
        <v>98.3</v>
      </c>
      <c r="H102" s="21">
        <f t="shared" si="47"/>
        <v>-1.5030060120240482E-2</v>
      </c>
      <c r="I102" s="105">
        <f>IF(ISNUMBER(G102), $B118 * H102, "")</f>
        <v>-1503.0060120240482</v>
      </c>
      <c r="J102" s="20">
        <v>98.6</v>
      </c>
      <c r="K102" s="21">
        <f t="shared" si="48"/>
        <v>-1.2024048096192414E-2</v>
      </c>
      <c r="L102" s="22">
        <f>IF(ISNUMBER(J102), $B118 * K102, "")</f>
        <v>-1202.4048096192414</v>
      </c>
      <c r="M102" s="30">
        <v>99.2</v>
      </c>
      <c r="N102" s="21">
        <f t="shared" si="49"/>
        <v>-6.0120240480961359E-3</v>
      </c>
      <c r="O102" s="22">
        <f>IF(ISNUMBER(M102), $B118 * N102, "")</f>
        <v>-601.20240480961354</v>
      </c>
      <c r="Q102" s="238"/>
      <c r="R102" s="238"/>
      <c r="S102" s="238"/>
    </row>
    <row r="103" spans="1:19" ht="17.25" thickBot="1">
      <c r="A103" s="125" t="s">
        <v>112</v>
      </c>
      <c r="B103" s="129">
        <v>7495</v>
      </c>
      <c r="C103" s="80">
        <v>7.14796283E-2</v>
      </c>
      <c r="D103" s="106">
        <v>8000</v>
      </c>
      <c r="E103" s="107">
        <f>IF(ISNUMBER(D103), (D103 - $B103) / $B103, "")</f>
        <v>6.7378252168112079E-2</v>
      </c>
      <c r="F103" s="108">
        <f>IF(ISNUMBER(D103), $B118 * E103, "")</f>
        <v>6737.8252168112076</v>
      </c>
      <c r="G103" s="109">
        <v>8170</v>
      </c>
      <c r="H103" s="107">
        <f>IF(ISNUMBER(G103), (G103 - $B103) / $B103, "")</f>
        <v>9.0060040026684454E-2</v>
      </c>
      <c r="I103" s="110">
        <f>IF(ISNUMBER(G103), $B118 * H103, "")</f>
        <v>9006.0040026684455</v>
      </c>
      <c r="J103" s="106">
        <v>8060</v>
      </c>
      <c r="K103" s="107">
        <f>IF(ISNUMBER(J103), (J103 - $B103) / $B103, "")</f>
        <v>7.538358905937291E-2</v>
      </c>
      <c r="L103" s="108">
        <f>IF(ISNUMBER(J103), $B118 * K103, "")</f>
        <v>7538.3589059372907</v>
      </c>
      <c r="M103" s="109">
        <v>8130</v>
      </c>
      <c r="N103" s="107">
        <f>IF(ISNUMBER(M103), (M103 - $B103) / $B103, "")</f>
        <v>8.47231487658439E-2</v>
      </c>
      <c r="O103" s="108">
        <f>IF(ISNUMBER(M103), $B118 * N103, "")</f>
        <v>8472.3148765843907</v>
      </c>
      <c r="Q103" s="238"/>
      <c r="R103" s="238"/>
      <c r="S103" s="238"/>
    </row>
    <row r="104" spans="1:19" ht="17.25" thickBot="1">
      <c r="A104" s="125" t="s">
        <v>110</v>
      </c>
      <c r="B104" s="126">
        <v>142</v>
      </c>
      <c r="C104" s="77">
        <v>5.9701492500000002E-2</v>
      </c>
      <c r="D104" s="15">
        <v>156</v>
      </c>
      <c r="E104" s="32">
        <f t="shared" ref="E104:E107" si="50">IF(ISNUMBER(D104), (D104 - $B104) / $B104, "")</f>
        <v>9.8591549295774641E-2</v>
      </c>
      <c r="F104" s="18">
        <f>IF(ISNUMBER(D104), $B118 * E104, "")</f>
        <v>9859.1549295774639</v>
      </c>
      <c r="G104" s="31">
        <v>155</v>
      </c>
      <c r="H104" s="32">
        <f t="shared" ref="H104:H107" si="51">IF(ISNUMBER(G104), (G104 - $B104) / $B104, "")</f>
        <v>9.154929577464789E-2</v>
      </c>
      <c r="I104" s="101">
        <f>IF(ISNUMBER(G104), $B118 * H104, "")</f>
        <v>9154.929577464789</v>
      </c>
      <c r="J104" s="15">
        <v>157</v>
      </c>
      <c r="K104" s="32">
        <f t="shared" ref="K104:K107" si="52">IF(ISNUMBER(J104), (J104 - $B104) / $B104, "")</f>
        <v>0.10563380281690141</v>
      </c>
      <c r="L104" s="18">
        <f>IF(ISNUMBER(J104), $B118 * K104, "")</f>
        <v>10563.380281690141</v>
      </c>
      <c r="M104" s="31">
        <v>154</v>
      </c>
      <c r="N104" s="32">
        <f t="shared" ref="N104:N107" si="53">IF(ISNUMBER(M104), (M104 - $B104) / $B104, "")</f>
        <v>8.4507042253521125E-2</v>
      </c>
      <c r="O104" s="18">
        <f>IF(ISNUMBER(M104), $B118 * N104, "")</f>
        <v>8450.7042253521122</v>
      </c>
      <c r="Q104" s="238"/>
      <c r="R104" s="238"/>
      <c r="S104" s="238"/>
    </row>
    <row r="105" spans="1:19" ht="17.25" thickBot="1">
      <c r="A105" s="125" t="s">
        <v>98</v>
      </c>
      <c r="B105" s="126">
        <v>3.86</v>
      </c>
      <c r="C105" s="77">
        <v>5.4644808699999999E-2</v>
      </c>
      <c r="D105" s="15">
        <v>4.09</v>
      </c>
      <c r="E105" s="32">
        <f t="shared" si="50"/>
        <v>5.9585492227979271E-2</v>
      </c>
      <c r="F105" s="18">
        <f>IF(ISNUMBER(D105), $B118 * E105, "")</f>
        <v>5958.5492227979275</v>
      </c>
      <c r="G105" s="31">
        <v>4.0599999999999996</v>
      </c>
      <c r="H105" s="32">
        <f t="shared" si="51"/>
        <v>5.1813471502590608E-2</v>
      </c>
      <c r="I105" s="101">
        <f>IF(ISNUMBER(G105), $B118 * H105, "")</f>
        <v>5181.347150259061</v>
      </c>
      <c r="J105" s="15">
        <v>4.0599999999999996</v>
      </c>
      <c r="K105" s="32">
        <f t="shared" si="52"/>
        <v>5.1813471502590608E-2</v>
      </c>
      <c r="L105" s="18">
        <f>IF(ISNUMBER(J105), $B118 * K105, "")</f>
        <v>5181.347150259061</v>
      </c>
      <c r="M105" s="31">
        <v>4.1100000000000003</v>
      </c>
      <c r="N105" s="32">
        <f t="shared" si="53"/>
        <v>6.4766839378238461E-2</v>
      </c>
      <c r="O105" s="18">
        <f>IF(ISNUMBER(M105), $B118 * N105, "")</f>
        <v>6476.6839378238465</v>
      </c>
      <c r="Q105" s="238"/>
      <c r="R105" s="238"/>
      <c r="S105" s="238"/>
    </row>
    <row r="106" spans="1:19" ht="17.25" thickBot="1">
      <c r="A106" s="125" t="s">
        <v>224</v>
      </c>
      <c r="B106" s="126">
        <v>4055</v>
      </c>
      <c r="C106" s="77">
        <v>5.4616384900000002E-2</v>
      </c>
      <c r="D106" s="15">
        <v>4590</v>
      </c>
      <c r="E106" s="32">
        <f t="shared" si="50"/>
        <v>0.13193588162762021</v>
      </c>
      <c r="F106" s="18">
        <f>IF(ISNUMBER(D106), $B118 * E106, "")</f>
        <v>13193.588162762022</v>
      </c>
      <c r="G106" s="31">
        <v>4550</v>
      </c>
      <c r="H106" s="32">
        <f t="shared" si="51"/>
        <v>0.1220715166461159</v>
      </c>
      <c r="I106" s="101">
        <f>IF(ISNUMBER(G106), $B118 * H106, "")</f>
        <v>12207.151664611591</v>
      </c>
      <c r="J106" s="15">
        <v>4530</v>
      </c>
      <c r="K106" s="32">
        <f t="shared" si="52"/>
        <v>0.11713933415536375</v>
      </c>
      <c r="L106" s="18">
        <f>IF(ISNUMBER(J106), $B118 * K106, "")</f>
        <v>11713.933415536374</v>
      </c>
      <c r="M106" s="31">
        <v>4530</v>
      </c>
      <c r="N106" s="32">
        <f t="shared" si="53"/>
        <v>0.11713933415536375</v>
      </c>
      <c r="O106" s="18">
        <f>IF(ISNUMBER(M106), $B118 * N106, "")</f>
        <v>11713.933415536374</v>
      </c>
      <c r="Q106" s="33"/>
      <c r="R106" s="33"/>
    </row>
    <row r="107" spans="1:19" ht="17.25" thickBot="1">
      <c r="A107" s="130" t="s">
        <v>122</v>
      </c>
      <c r="B107" s="131">
        <v>28.3</v>
      </c>
      <c r="C107" s="79">
        <v>5.2044609700000001E-2</v>
      </c>
      <c r="D107" s="24">
        <v>28</v>
      </c>
      <c r="E107" s="25">
        <f t="shared" si="50"/>
        <v>-1.0600706713780944E-2</v>
      </c>
      <c r="F107" s="104">
        <f>IF(ISNUMBER(D107), $B118 * E107, "")</f>
        <v>-1060.0706713780944</v>
      </c>
      <c r="G107" s="102">
        <v>27.8</v>
      </c>
      <c r="H107" s="25">
        <f t="shared" si="51"/>
        <v>-1.7667844522968199E-2</v>
      </c>
      <c r="I107" s="103">
        <f>IF(ISNUMBER(G107), $B118 * H107, "")</f>
        <v>-1766.7844522968198</v>
      </c>
      <c r="J107" s="24">
        <v>28</v>
      </c>
      <c r="K107" s="25">
        <f t="shared" si="52"/>
        <v>-1.0600706713780944E-2</v>
      </c>
      <c r="L107" s="104">
        <f>IF(ISNUMBER(J107), $B118 * K107, "")</f>
        <v>-1060.0706713780944</v>
      </c>
      <c r="M107" s="102">
        <v>28.4</v>
      </c>
      <c r="N107" s="25">
        <f t="shared" si="53"/>
        <v>3.5335689045935641E-3</v>
      </c>
      <c r="O107" s="104">
        <f>IF(ISNUMBER(M107), $B118 * N107, "")</f>
        <v>353.35689045935641</v>
      </c>
      <c r="Q107" s="239"/>
      <c r="R107" s="240"/>
      <c r="S107" s="241"/>
    </row>
    <row r="108" spans="1:19">
      <c r="A108" s="123" t="s">
        <v>164</v>
      </c>
      <c r="B108" s="124">
        <v>309</v>
      </c>
      <c r="C108" s="76">
        <v>4.7457627099999997E-2</v>
      </c>
      <c r="D108" s="13">
        <v>308</v>
      </c>
      <c r="E108" s="14">
        <f>IF(ISNUMBER(D108), (D108 - $B108) / $B108, "")</f>
        <v>-3.2362459546925568E-3</v>
      </c>
      <c r="F108" s="16">
        <f>IF(ISNUMBER(D108), $B118 * E108, "")</f>
        <v>-323.62459546925567</v>
      </c>
      <c r="G108" s="29">
        <v>310</v>
      </c>
      <c r="H108" s="14">
        <f>IF(ISNUMBER(G108), (G108 - $B108) / $B108, "")</f>
        <v>3.2362459546925568E-3</v>
      </c>
      <c r="I108" s="100">
        <f>IF(ISNUMBER(G108), $B118 * H108, "")</f>
        <v>323.62459546925567</v>
      </c>
      <c r="J108" s="13">
        <v>310</v>
      </c>
      <c r="K108" s="14">
        <f>IF(ISNUMBER(J108), (J108 - $B108) / $B108, "")</f>
        <v>3.2362459546925568E-3</v>
      </c>
      <c r="L108" s="16">
        <f>IF(ISNUMBER(J108), $B118 * K108, "")</f>
        <v>323.62459546925567</v>
      </c>
      <c r="M108" s="29">
        <v>314</v>
      </c>
      <c r="N108" s="14">
        <f>IF(ISNUMBER(M108), (M108 - $B108) / $B108, "")</f>
        <v>1.6181229773462782E-2</v>
      </c>
      <c r="O108" s="16">
        <f>IF(ISNUMBER(M108), $B118 * N108, "")</f>
        <v>1618.1229773462783</v>
      </c>
      <c r="Q108" s="242"/>
      <c r="R108" s="243"/>
      <c r="S108" s="244"/>
    </row>
    <row r="109" spans="1:19" ht="17.25" thickBot="1">
      <c r="A109" s="125" t="s">
        <v>250</v>
      </c>
      <c r="B109" s="126">
        <v>64.400000000000006</v>
      </c>
      <c r="C109" s="77">
        <v>4.0387722100000002E-2</v>
      </c>
      <c r="D109" s="15">
        <v>65.400000000000006</v>
      </c>
      <c r="E109" s="32">
        <f t="shared" ref="E109:E112" si="54">IF(ISNUMBER(D109), (D109 - $B109) / $B109, "")</f>
        <v>1.5527950310559004E-2</v>
      </c>
      <c r="F109" s="18">
        <f>IF(ISNUMBER(D109), $B118 * E109, "")</f>
        <v>1552.7950310559004</v>
      </c>
      <c r="G109" s="31">
        <v>65.2</v>
      </c>
      <c r="H109" s="32">
        <f t="shared" ref="H109:H112" si="55">IF(ISNUMBER(G109), (G109 - $B109) / $B109, "")</f>
        <v>1.2422360248447159E-2</v>
      </c>
      <c r="I109" s="101">
        <f>IF(ISNUMBER(G109), $B118 * H109, "")</f>
        <v>1242.236024844716</v>
      </c>
      <c r="J109" s="15">
        <v>65.5</v>
      </c>
      <c r="K109" s="32">
        <f t="shared" ref="K109:K112" si="56">IF(ISNUMBER(J109), (J109 - $B109) / $B109, "")</f>
        <v>1.7080745341614818E-2</v>
      </c>
      <c r="L109" s="18">
        <f>IF(ISNUMBER(J109), $B118 * K109, "")</f>
        <v>1708.0745341614818</v>
      </c>
      <c r="M109" s="31">
        <v>66.3</v>
      </c>
      <c r="N109" s="32">
        <f t="shared" ref="N109:N112" si="57">IF(ISNUMBER(M109), (M109 - $B109) / $B109, "")</f>
        <v>2.9503105590061977E-2</v>
      </c>
      <c r="O109" s="18">
        <f>IF(ISNUMBER(M109), $B118 * N109, "")</f>
        <v>2950.3105590061978</v>
      </c>
      <c r="Q109" s="245"/>
      <c r="R109" s="246"/>
      <c r="S109" s="247"/>
    </row>
    <row r="110" spans="1:19" ht="17.25" thickBot="1">
      <c r="A110" s="125" t="s">
        <v>204</v>
      </c>
      <c r="B110" s="126">
        <v>13.1</v>
      </c>
      <c r="C110" s="77">
        <v>3.9682539699999998E-2</v>
      </c>
      <c r="D110" s="15">
        <v>13.4</v>
      </c>
      <c r="E110" s="32">
        <f t="shared" si="54"/>
        <v>2.2900763358778681E-2</v>
      </c>
      <c r="F110" s="18">
        <f>IF(ISNUMBER(D110), $B118 * E110, "")</f>
        <v>2290.0763358778681</v>
      </c>
      <c r="G110" s="31">
        <v>13.3</v>
      </c>
      <c r="H110" s="32">
        <f t="shared" si="55"/>
        <v>1.5267175572519165E-2</v>
      </c>
      <c r="I110" s="101">
        <f>IF(ISNUMBER(G110), $B118 * H110, "")</f>
        <v>1526.7175572519166</v>
      </c>
      <c r="J110" s="15">
        <v>13.4</v>
      </c>
      <c r="K110" s="32">
        <f t="shared" si="56"/>
        <v>2.2900763358778681E-2</v>
      </c>
      <c r="L110" s="18">
        <f>IF(ISNUMBER(J110), $B118 * K110, "")</f>
        <v>2290.0763358778681</v>
      </c>
      <c r="M110" s="31">
        <v>13.5</v>
      </c>
      <c r="N110" s="32">
        <f t="shared" si="57"/>
        <v>3.0534351145038195E-2</v>
      </c>
      <c r="O110" s="18">
        <f>IF(ISNUMBER(M110), $B118 * N110, "")</f>
        <v>3053.4351145038195</v>
      </c>
      <c r="Q110" s="238"/>
      <c r="R110" s="238"/>
      <c r="S110" s="238"/>
    </row>
    <row r="111" spans="1:19" ht="17.25" thickBot="1">
      <c r="A111" s="125" t="s">
        <v>132</v>
      </c>
      <c r="B111" s="126">
        <v>97.1</v>
      </c>
      <c r="C111" s="77">
        <v>3.8502673799999998E-2</v>
      </c>
      <c r="D111" s="15">
        <v>97.4</v>
      </c>
      <c r="E111" s="32">
        <f t="shared" si="54"/>
        <v>3.0895983522143296E-3</v>
      </c>
      <c r="F111" s="18">
        <f>IF(ISNUMBER(D111), $B118 * E111, "")</f>
        <v>308.95983522143297</v>
      </c>
      <c r="G111" s="31">
        <v>99.8</v>
      </c>
      <c r="H111" s="32">
        <f t="shared" si="55"/>
        <v>2.7806385169927939E-2</v>
      </c>
      <c r="I111" s="101">
        <f>IF(ISNUMBER(G111), $B118 * H111, "")</f>
        <v>2780.6385169927939</v>
      </c>
      <c r="J111" s="15">
        <v>101</v>
      </c>
      <c r="K111" s="32">
        <f t="shared" si="56"/>
        <v>4.0164778578784817E-2</v>
      </c>
      <c r="L111" s="18">
        <f>IF(ISNUMBER(J111), $B118 * K111, "")</f>
        <v>4016.4778578784817</v>
      </c>
      <c r="M111" s="31">
        <v>104</v>
      </c>
      <c r="N111" s="32">
        <f t="shared" si="57"/>
        <v>7.1060762100926947E-2</v>
      </c>
      <c r="O111" s="18">
        <f>IF(ISNUMBER(M111), $B118 * N111, "")</f>
        <v>7106.076210092695</v>
      </c>
      <c r="Q111" s="248"/>
      <c r="R111" s="248"/>
      <c r="S111" s="248"/>
    </row>
    <row r="112" spans="1:19" ht="17.25" thickBot="1">
      <c r="A112" s="127" t="s">
        <v>216</v>
      </c>
      <c r="B112" s="128">
        <v>9.58</v>
      </c>
      <c r="C112" s="78">
        <v>3.6796536800000001E-2</v>
      </c>
      <c r="D112" s="20">
        <v>10.1</v>
      </c>
      <c r="E112" s="21">
        <f t="shared" si="54"/>
        <v>5.4279749478079287E-2</v>
      </c>
      <c r="F112" s="22">
        <f>IF(ISNUMBER(D112), $B118 * E112, "")</f>
        <v>5427.9749478079284</v>
      </c>
      <c r="G112" s="30">
        <v>10</v>
      </c>
      <c r="H112" s="21">
        <f t="shared" si="55"/>
        <v>4.3841336116910219E-2</v>
      </c>
      <c r="I112" s="105">
        <f>IF(ISNUMBER(G112), $B118 * H112, "")</f>
        <v>4384.1336116910215</v>
      </c>
      <c r="J112" s="20">
        <v>10.1</v>
      </c>
      <c r="K112" s="21">
        <f t="shared" si="56"/>
        <v>5.4279749478079287E-2</v>
      </c>
      <c r="L112" s="22">
        <f>IF(ISNUMBER(J112), $B118 * K112, "")</f>
        <v>5427.9749478079284</v>
      </c>
      <c r="M112" s="30">
        <v>10.199999999999999</v>
      </c>
      <c r="N112" s="21">
        <f t="shared" si="57"/>
        <v>6.4718162839248347E-2</v>
      </c>
      <c r="O112" s="22">
        <f>IF(ISNUMBER(M112), $B118 * N112, "")</f>
        <v>6471.8162839248344</v>
      </c>
      <c r="Q112" s="248"/>
      <c r="R112" s="248"/>
      <c r="S112" s="248"/>
    </row>
    <row r="113" spans="1:19" ht="17.25" thickBot="1">
      <c r="A113" s="125" t="s">
        <v>94</v>
      </c>
      <c r="B113" s="129">
        <v>3244000</v>
      </c>
      <c r="C113" s="80">
        <v>3.4438775499999998E-2</v>
      </c>
      <c r="D113" s="106">
        <v>3219000</v>
      </c>
      <c r="E113" s="107">
        <f>IF(ISNUMBER(D113), (D113 - $B113) / $B113, "")</f>
        <v>-7.7065351418002465E-3</v>
      </c>
      <c r="F113" s="108">
        <f>IF(ISNUMBER(D113), $B118 * E113, "")</f>
        <v>-770.65351418002467</v>
      </c>
      <c r="G113" s="109">
        <v>3180000</v>
      </c>
      <c r="H113" s="107">
        <f>IF(ISNUMBER(G113), (G113 - $B113) / $B113, "")</f>
        <v>-1.9728729963008632E-2</v>
      </c>
      <c r="I113" s="110">
        <f>IF(ISNUMBER(G113), $B118 * H113, "")</f>
        <v>-1972.8729963008632</v>
      </c>
      <c r="J113" s="106">
        <v>3195000</v>
      </c>
      <c r="K113" s="107">
        <f>IF(ISNUMBER(J113), (J113 - $B113) / $B113, "")</f>
        <v>-1.5104808877928484E-2</v>
      </c>
      <c r="L113" s="108">
        <f>IF(ISNUMBER(J113), $B118 * K113, "")</f>
        <v>-1510.4808877928483</v>
      </c>
      <c r="M113" s="109">
        <v>3253000</v>
      </c>
      <c r="N113" s="107">
        <f>IF(ISNUMBER(M113), (M113 - $B113) / $B113, "")</f>
        <v>2.7743526510480886E-3</v>
      </c>
      <c r="O113" s="108">
        <f>IF(ISNUMBER(M113), $B118 * N113, "")</f>
        <v>277.43526510480888</v>
      </c>
      <c r="Q113" s="238"/>
      <c r="R113" s="238"/>
      <c r="S113" s="238"/>
    </row>
    <row r="114" spans="1:19" ht="17.25" thickBot="1">
      <c r="A114" s="125" t="s">
        <v>152</v>
      </c>
      <c r="B114" s="126">
        <v>80.2</v>
      </c>
      <c r="C114" s="77">
        <v>3.3505154600000003E-2</v>
      </c>
      <c r="D114" s="15">
        <v>81.400000000000006</v>
      </c>
      <c r="E114" s="32">
        <f t="shared" ref="E114:E117" si="58">IF(ISNUMBER(D114), (D114 - $B114) / $B114, "")</f>
        <v>1.4962593516209511E-2</v>
      </c>
      <c r="F114" s="18">
        <f>IF(ISNUMBER(D114), $B118 * E114, "")</f>
        <v>1496.2593516209511</v>
      </c>
      <c r="G114" s="31">
        <v>81.3</v>
      </c>
      <c r="H114" s="32">
        <f t="shared" ref="H114:H117" si="59">IF(ISNUMBER(G114), (G114 - $B114) / $B114, "")</f>
        <v>1.3715710723191948E-2</v>
      </c>
      <c r="I114" s="101">
        <f>IF(ISNUMBER(G114), $B118 * H114, "")</f>
        <v>1371.5710723191949</v>
      </c>
      <c r="J114" s="15">
        <v>81.7</v>
      </c>
      <c r="K114" s="32">
        <f t="shared" ref="K114:K117" si="60">IF(ISNUMBER(J114), (J114 - $B114) / $B114, "")</f>
        <v>1.8703241895261846E-2</v>
      </c>
      <c r="L114" s="18">
        <f>IF(ISNUMBER(J114), $B118 * K114, "")</f>
        <v>1870.3241895261847</v>
      </c>
      <c r="M114" s="31">
        <v>82.1</v>
      </c>
      <c r="N114" s="32">
        <f t="shared" ref="N114:N117" si="61">IF(ISNUMBER(M114), (M114 - $B114) / $B114, "")</f>
        <v>2.3690773067331562E-2</v>
      </c>
      <c r="O114" s="18">
        <f>IF(ISNUMBER(M114), $B118 * N114, "")</f>
        <v>2369.0773067331561</v>
      </c>
      <c r="Q114" s="238"/>
      <c r="R114" s="238"/>
      <c r="S114" s="238"/>
    </row>
    <row r="115" spans="1:19" ht="17.25" thickBot="1">
      <c r="A115" s="125" t="s">
        <v>214</v>
      </c>
      <c r="B115" s="126">
        <v>1260</v>
      </c>
      <c r="C115" s="77">
        <v>3.2786885199999997E-2</v>
      </c>
      <c r="D115" s="15">
        <v>1140</v>
      </c>
      <c r="E115" s="32">
        <f t="shared" si="58"/>
        <v>-9.5238095238095233E-2</v>
      </c>
      <c r="F115" s="18">
        <f>IF(ISNUMBER(D115), $B118 * E115, "")</f>
        <v>-9523.8095238095229</v>
      </c>
      <c r="G115" s="31">
        <v>1200</v>
      </c>
      <c r="H115" s="32">
        <f t="shared" si="59"/>
        <v>-4.7619047619047616E-2</v>
      </c>
      <c r="I115" s="101">
        <f>IF(ISNUMBER(G115), $B118 * H115, "")</f>
        <v>-4761.9047619047615</v>
      </c>
      <c r="J115" s="15">
        <v>1285</v>
      </c>
      <c r="K115" s="32">
        <f t="shared" si="60"/>
        <v>1.984126984126984E-2</v>
      </c>
      <c r="L115" s="18">
        <f>IF(ISNUMBER(J115), $B118 * K115, "")</f>
        <v>1984.1269841269841</v>
      </c>
      <c r="M115" s="31">
        <v>1275</v>
      </c>
      <c r="N115" s="32">
        <f t="shared" si="61"/>
        <v>1.1904761904761904E-2</v>
      </c>
      <c r="O115" s="18">
        <f>IF(ISNUMBER(M115), $B118 * N115, "")</f>
        <v>1190.4761904761904</v>
      </c>
      <c r="Q115" s="238"/>
      <c r="R115" s="238"/>
      <c r="S115" s="238"/>
    </row>
    <row r="116" spans="1:19">
      <c r="A116" s="125" t="s">
        <v>178</v>
      </c>
      <c r="B116" s="126">
        <v>16</v>
      </c>
      <c r="C116" s="77">
        <v>3.2258064500000003E-2</v>
      </c>
      <c r="D116" s="15">
        <v>16.2</v>
      </c>
      <c r="E116" s="32">
        <f t="shared" si="58"/>
        <v>1.2499999999999956E-2</v>
      </c>
      <c r="F116" s="18">
        <f>IF(ISNUMBER(D116), $B118 * E116, "")</f>
        <v>1249.9999999999955</v>
      </c>
      <c r="G116" s="31">
        <v>16.100000000000001</v>
      </c>
      <c r="H116" s="32">
        <f t="shared" si="59"/>
        <v>6.2500000000000888E-3</v>
      </c>
      <c r="I116" s="101">
        <f>IF(ISNUMBER(G116), $B118 * H116, "")</f>
        <v>625.00000000000887</v>
      </c>
      <c r="J116" s="15">
        <v>16.3</v>
      </c>
      <c r="K116" s="32">
        <f t="shared" si="60"/>
        <v>1.8750000000000044E-2</v>
      </c>
      <c r="L116" s="18">
        <f>IF(ISNUMBER(J116), $B118 * K116, "")</f>
        <v>1875.0000000000045</v>
      </c>
      <c r="M116" s="31">
        <v>16.600000000000001</v>
      </c>
      <c r="N116" s="32">
        <f t="shared" si="61"/>
        <v>3.7500000000000089E-2</v>
      </c>
      <c r="O116" s="18">
        <f>IF(ISNUMBER(M116), $B118 * N116, "")</f>
        <v>3750.0000000000091</v>
      </c>
      <c r="Q116" s="227"/>
      <c r="R116" s="228"/>
      <c r="S116" s="229"/>
    </row>
    <row r="117" spans="1:19" ht="17.25" thickBot="1">
      <c r="A117" s="130" t="s">
        <v>100</v>
      </c>
      <c r="B117" s="131">
        <v>61280</v>
      </c>
      <c r="C117" s="79">
        <v>3.2171130200000002E-2</v>
      </c>
      <c r="D117" s="24">
        <v>59960</v>
      </c>
      <c r="E117" s="25">
        <f t="shared" si="58"/>
        <v>-2.1540469973890339E-2</v>
      </c>
      <c r="F117" s="104">
        <f>IF(ISNUMBER(D117), $B118 * E117, "")</f>
        <v>-2154.046997389034</v>
      </c>
      <c r="G117" s="102">
        <v>59820</v>
      </c>
      <c r="H117" s="25">
        <f t="shared" si="59"/>
        <v>-2.3825065274151437E-2</v>
      </c>
      <c r="I117" s="103">
        <f>IF(ISNUMBER(G117), $B118 * H117, "")</f>
        <v>-2382.5065274151439</v>
      </c>
      <c r="J117" s="24">
        <v>60020</v>
      </c>
      <c r="K117" s="25">
        <f t="shared" si="60"/>
        <v>-2.0561357702349868E-2</v>
      </c>
      <c r="L117" s="104">
        <f>IF(ISNUMBER(J117), $B118 * K117, "")</f>
        <v>-2056.1357702349869</v>
      </c>
      <c r="M117" s="102">
        <v>60700</v>
      </c>
      <c r="N117" s="25">
        <f t="shared" si="61"/>
        <v>-9.4647519582245435E-3</v>
      </c>
      <c r="O117" s="104">
        <f>IF(ISNUMBER(M117), $B118 * N117, "")</f>
        <v>-946.47519582245434</v>
      </c>
      <c r="Q117" s="230"/>
      <c r="R117" s="231"/>
      <c r="S117" s="232"/>
    </row>
    <row r="118" spans="1:19" ht="17.25" thickBot="1">
      <c r="A118" s="132" t="s">
        <v>270</v>
      </c>
      <c r="B118" s="291">
        <f>$B$37</f>
        <v>100000</v>
      </c>
      <c r="C118" s="292"/>
      <c r="D118" s="26" t="s">
        <v>271</v>
      </c>
      <c r="E118" s="27">
        <f>IF(COUNT(E98:E117), SUM(E98:E117) / COUNT(E98:E117), 0)</f>
        <v>3.3874228592706834E-2</v>
      </c>
      <c r="F118" s="28">
        <f>SUM(F98:F117)</f>
        <v>67748.457185413645</v>
      </c>
      <c r="G118" s="26" t="s">
        <v>271</v>
      </c>
      <c r="H118" s="27">
        <f>IF(COUNT(H98:H117), SUM(H98:H117) / COUNT(H98:H117), 0)</f>
        <v>2.749150661402644E-2</v>
      </c>
      <c r="I118" s="28">
        <f>SUM(I98:I117)</f>
        <v>54983.013228052878</v>
      </c>
      <c r="J118" s="26" t="s">
        <v>271</v>
      </c>
      <c r="K118" s="27">
        <f>IF(COUNT(K98:K117), SUM(K98:K117) / COUNT(K98:K117), 0)</f>
        <v>3.4914885466021749E-2</v>
      </c>
      <c r="L118" s="28">
        <f>SUM(L98:L117)</f>
        <v>69829.77093204351</v>
      </c>
      <c r="M118" s="26" t="s">
        <v>271</v>
      </c>
      <c r="N118" s="27">
        <f>IF(COUNT(N98:N117), SUM(N98:N117) / COUNT(N98:N117), 0)</f>
        <v>4.4072851083797153E-2</v>
      </c>
      <c r="O118" s="28">
        <f>SUM(O98:O117)</f>
        <v>88145.702167594311</v>
      </c>
      <c r="Q118" s="233"/>
      <c r="R118" s="234"/>
      <c r="S118" s="23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48"/>
      <c r="R121" s="248"/>
      <c r="S121" s="248"/>
    </row>
    <row r="122" spans="1:19" ht="17.25" thickBot="1">
      <c r="A122" s="177" t="s">
        <v>267</v>
      </c>
      <c r="B122" s="249" t="s">
        <v>49</v>
      </c>
      <c r="C122" s="251"/>
      <c r="D122" s="249" t="s">
        <v>58</v>
      </c>
      <c r="E122" s="250"/>
      <c r="F122" s="251"/>
      <c r="G122" s="252">
        <f>_xlfn.IFNA(VLOOKUP(B122, 현재가테이블!$B$2:$D$200, 2, FALSE), "-")</f>
        <v>54440000</v>
      </c>
      <c r="H122" s="253"/>
      <c r="I122" s="254"/>
      <c r="J122" s="249" t="s">
        <v>59</v>
      </c>
      <c r="K122" s="250"/>
      <c r="L122" s="251"/>
      <c r="M122" s="255">
        <f>_xlfn.IFNA(VLOOKUP(B122, 현재가테이블!$B$2:$D$200, 3, FALSE), "-")</f>
        <v>1.07123628E-2</v>
      </c>
      <c r="N122" s="256"/>
      <c r="O122" s="257"/>
      <c r="Q122" s="248"/>
      <c r="R122" s="248"/>
      <c r="S122" s="248"/>
    </row>
    <row r="123" spans="1:19" ht="17.25" thickBot="1">
      <c r="A123" s="293" t="s">
        <v>55</v>
      </c>
      <c r="B123" s="289" t="str">
        <f>TEXT($G$1, "[$-ko-KR]yyyy-mm-dd(ddd) ") &amp; "오전 00:00"</f>
        <v>2021-08-06(금) 오전 00:00</v>
      </c>
      <c r="C123" s="290"/>
      <c r="D123" s="262" t="str">
        <f>TEXT($G$1, "[$-ko-KR]yyyy-mm-dd(ddd) ") &amp; "오후 14:00"</f>
        <v>2021-08-06(금) 오후 14:00</v>
      </c>
      <c r="E123" s="263"/>
      <c r="F123" s="264"/>
      <c r="G123" s="262" t="str">
        <f>TEXT($G$1, "[$-ko-KR]yyyy-mm-dd(ddd) ") &amp; "오후 19:00"</f>
        <v>2021-08-06(금) 오후 19:00</v>
      </c>
      <c r="H123" s="263"/>
      <c r="I123" s="264"/>
      <c r="J123" s="262" t="str">
        <f>TEXT($G$1, "[$-ko-KR]yyyy-mm-dd(ddd) ") &amp; "오후 21:00"</f>
        <v>2021-08-06(금) 오후 21:00</v>
      </c>
      <c r="K123" s="263"/>
      <c r="L123" s="264"/>
      <c r="M123" s="262" t="str">
        <f>TEXT($G$1+1, "[$-ko-KR]yyyy-mm-dd(ddd) ") &amp; "오전 00:00"</f>
        <v>2021-08-07(토) 오전 00:00</v>
      </c>
      <c r="N123" s="263"/>
      <c r="O123" s="264"/>
      <c r="Q123" s="248"/>
      <c r="R123" s="248"/>
      <c r="S123" s="248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8" t="s">
        <v>58</v>
      </c>
      <c r="H124" s="179" t="s">
        <v>268</v>
      </c>
      <c r="I124" s="18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8"/>
      <c r="R124" s="238"/>
      <c r="S124" s="238"/>
    </row>
    <row r="125" spans="1:19" ht="17.25" thickBot="1">
      <c r="A125" s="123" t="s">
        <v>98</v>
      </c>
      <c r="B125" s="124">
        <v>3.86</v>
      </c>
      <c r="C125" s="76">
        <v>5.4644808699999999E-2</v>
      </c>
      <c r="D125" s="13">
        <v>4.09</v>
      </c>
      <c r="E125" s="14">
        <f>IF(ISNUMBER(D125), (D125 - $B125) / $B125, "")</f>
        <v>5.9585492227979271E-2</v>
      </c>
      <c r="F125" s="16">
        <f>IF(ISNUMBER(D125), $B145 * E125, "")</f>
        <v>5958.5492227979275</v>
      </c>
      <c r="G125" s="29">
        <v>4.0599999999999996</v>
      </c>
      <c r="H125" s="14">
        <f>IF(ISNUMBER(G125), (G125 - $B125) / $B125, "")</f>
        <v>5.1813471502590608E-2</v>
      </c>
      <c r="I125" s="100">
        <f>IF(ISNUMBER(G125), $B145 * H125, "")</f>
        <v>5181.347150259061</v>
      </c>
      <c r="J125" s="13">
        <v>4.0599999999999996</v>
      </c>
      <c r="K125" s="14">
        <f>IF(ISNUMBER(J125), (J125 - $B125) / $B125, "")</f>
        <v>5.1813471502590608E-2</v>
      </c>
      <c r="L125" s="16">
        <f>IF(ISNUMBER(J125), $B145 * K125, "")</f>
        <v>5181.347150259061</v>
      </c>
      <c r="M125" s="29">
        <v>4.1100000000000003</v>
      </c>
      <c r="N125" s="14">
        <f>IF(ISNUMBER(M125), (M125 - $B125) / $B125, "")</f>
        <v>6.4766839378238461E-2</v>
      </c>
      <c r="O125" s="16">
        <f>IF(ISNUMBER(M125), $B145 * N125, "")</f>
        <v>6476.6839378238465</v>
      </c>
      <c r="Q125" s="248"/>
      <c r="R125" s="248"/>
      <c r="S125" s="248"/>
    </row>
    <row r="126" spans="1:19" ht="17.25" thickBot="1">
      <c r="A126" s="125" t="s">
        <v>122</v>
      </c>
      <c r="B126" s="126">
        <v>28.3</v>
      </c>
      <c r="C126" s="77">
        <v>5.2044609700000001E-2</v>
      </c>
      <c r="D126" s="15">
        <v>28</v>
      </c>
      <c r="E126" s="32">
        <f t="shared" ref="E126:E129" si="62">IF(ISNUMBER(D126), (D126 - $B126) / $B126, "")</f>
        <v>-1.0600706713780944E-2</v>
      </c>
      <c r="F126" s="18">
        <f>IF(ISNUMBER(D126), $B145 * E126, "")</f>
        <v>-1060.0706713780944</v>
      </c>
      <c r="G126" s="31">
        <v>27.8</v>
      </c>
      <c r="H126" s="32">
        <f t="shared" ref="H126:H129" si="63">IF(ISNUMBER(G126), (G126 - $B126) / $B126, "")</f>
        <v>-1.7667844522968199E-2</v>
      </c>
      <c r="I126" s="101">
        <f>IF(ISNUMBER(G126), $B145 * H126, "")</f>
        <v>-1766.7844522968198</v>
      </c>
      <c r="J126" s="15">
        <v>28</v>
      </c>
      <c r="K126" s="32">
        <f t="shared" ref="K126:K129" si="64">IF(ISNUMBER(J126), (J126 - $B126) / $B126, "")</f>
        <v>-1.0600706713780944E-2</v>
      </c>
      <c r="L126" s="18">
        <f>IF(ISNUMBER(J126), $B145 * K126, "")</f>
        <v>-1060.0706713780944</v>
      </c>
      <c r="M126" s="31">
        <v>28.4</v>
      </c>
      <c r="N126" s="32">
        <f t="shared" ref="N126:N129" si="65">IF(ISNUMBER(M126), (M126 - $B126) / $B126, "")</f>
        <v>3.5335689045935641E-3</v>
      </c>
      <c r="O126" s="18">
        <f>IF(ISNUMBER(M126), $B145 * N126, "")</f>
        <v>353.35689045935641</v>
      </c>
      <c r="Q126" s="248"/>
      <c r="R126" s="248"/>
      <c r="S126" s="248"/>
    </row>
    <row r="127" spans="1:19" ht="17.25" thickBot="1">
      <c r="A127" s="125" t="s">
        <v>250</v>
      </c>
      <c r="B127" s="126">
        <v>64.400000000000006</v>
      </c>
      <c r="C127" s="77">
        <v>4.0387722100000002E-2</v>
      </c>
      <c r="D127" s="15">
        <v>65.400000000000006</v>
      </c>
      <c r="E127" s="32">
        <f t="shared" si="62"/>
        <v>1.5527950310559004E-2</v>
      </c>
      <c r="F127" s="18">
        <f>IF(ISNUMBER(D127), $B145 * E127, "")</f>
        <v>1552.7950310559004</v>
      </c>
      <c r="G127" s="31">
        <v>65.2</v>
      </c>
      <c r="H127" s="32">
        <f t="shared" si="63"/>
        <v>1.2422360248447159E-2</v>
      </c>
      <c r="I127" s="101">
        <f>IF(ISNUMBER(G127), $B145 * H127, "")</f>
        <v>1242.236024844716</v>
      </c>
      <c r="J127" s="15">
        <v>65.5</v>
      </c>
      <c r="K127" s="32">
        <f t="shared" si="64"/>
        <v>1.7080745341614818E-2</v>
      </c>
      <c r="L127" s="18">
        <f>IF(ISNUMBER(J127), $B145 * K127, "")</f>
        <v>1708.0745341614818</v>
      </c>
      <c r="M127" s="31">
        <v>66.3</v>
      </c>
      <c r="N127" s="32">
        <f t="shared" si="65"/>
        <v>2.9503105590061977E-2</v>
      </c>
      <c r="O127" s="18">
        <f>IF(ISNUMBER(M127), $B145 * N127, "")</f>
        <v>2950.3105590061978</v>
      </c>
      <c r="Q127" s="238"/>
      <c r="R127" s="238"/>
      <c r="S127" s="238"/>
    </row>
    <row r="128" spans="1:19" ht="17.25" thickBot="1">
      <c r="A128" s="125" t="s">
        <v>204</v>
      </c>
      <c r="B128" s="126">
        <v>13.1</v>
      </c>
      <c r="C128" s="77">
        <v>3.9682539699999998E-2</v>
      </c>
      <c r="D128" s="15">
        <v>13.4</v>
      </c>
      <c r="E128" s="32">
        <f t="shared" si="62"/>
        <v>2.2900763358778681E-2</v>
      </c>
      <c r="F128" s="18">
        <f>IF(ISNUMBER(D128), $B145 * E128, "")</f>
        <v>2290.0763358778681</v>
      </c>
      <c r="G128" s="31">
        <v>13.3</v>
      </c>
      <c r="H128" s="32">
        <f t="shared" si="63"/>
        <v>1.5267175572519165E-2</v>
      </c>
      <c r="I128" s="101">
        <f>IF(ISNUMBER(G128), $B145 * H128, "")</f>
        <v>1526.7175572519166</v>
      </c>
      <c r="J128" s="15">
        <v>13.4</v>
      </c>
      <c r="K128" s="32">
        <f t="shared" si="64"/>
        <v>2.2900763358778681E-2</v>
      </c>
      <c r="L128" s="18">
        <f>IF(ISNUMBER(J128), $B145 * K128, "")</f>
        <v>2290.0763358778681</v>
      </c>
      <c r="M128" s="31">
        <v>13.5</v>
      </c>
      <c r="N128" s="32">
        <f t="shared" si="65"/>
        <v>3.0534351145038195E-2</v>
      </c>
      <c r="O128" s="18">
        <f>IF(ISNUMBER(M128), $B145 * N128, "")</f>
        <v>3053.4351145038195</v>
      </c>
      <c r="Q128" s="238"/>
      <c r="R128" s="238"/>
      <c r="S128" s="238"/>
    </row>
    <row r="129" spans="1:19" ht="17.25" thickBot="1">
      <c r="A129" s="127" t="s">
        <v>132</v>
      </c>
      <c r="B129" s="128">
        <v>97.1</v>
      </c>
      <c r="C129" s="78">
        <v>3.8502673799999998E-2</v>
      </c>
      <c r="D129" s="20">
        <v>97.4</v>
      </c>
      <c r="E129" s="21">
        <f t="shared" si="62"/>
        <v>3.0895983522143296E-3</v>
      </c>
      <c r="F129" s="22">
        <f>IF(ISNUMBER(D129), $B145 * E129, "")</f>
        <v>308.95983522143297</v>
      </c>
      <c r="G129" s="30">
        <v>99.8</v>
      </c>
      <c r="H129" s="21">
        <f t="shared" si="63"/>
        <v>2.7806385169927939E-2</v>
      </c>
      <c r="I129" s="105">
        <f>IF(ISNUMBER(G129), $B145 * H129, "")</f>
        <v>2780.6385169927939</v>
      </c>
      <c r="J129" s="20">
        <v>101</v>
      </c>
      <c r="K129" s="21">
        <f t="shared" si="64"/>
        <v>4.0164778578784817E-2</v>
      </c>
      <c r="L129" s="22">
        <f>IF(ISNUMBER(J129), $B145 * K129, "")</f>
        <v>4016.4778578784817</v>
      </c>
      <c r="M129" s="30">
        <v>104</v>
      </c>
      <c r="N129" s="21">
        <f t="shared" si="65"/>
        <v>7.1060762100926947E-2</v>
      </c>
      <c r="O129" s="22">
        <f>IF(ISNUMBER(M129), $B145 * N129, "")</f>
        <v>7106.076210092695</v>
      </c>
      <c r="Q129" s="238"/>
      <c r="R129" s="238"/>
      <c r="S129" s="238"/>
    </row>
    <row r="130" spans="1:19" ht="17.25" thickBot="1">
      <c r="A130" s="125" t="s">
        <v>216</v>
      </c>
      <c r="B130" s="129">
        <v>9.58</v>
      </c>
      <c r="C130" s="80">
        <v>3.6796536800000001E-2</v>
      </c>
      <c r="D130" s="106">
        <v>10.1</v>
      </c>
      <c r="E130" s="107">
        <f>IF(ISNUMBER(D130), (D130 - $B130) / $B130, "")</f>
        <v>5.4279749478079287E-2</v>
      </c>
      <c r="F130" s="108">
        <f>IF(ISNUMBER(D130), $B145 * E130, "")</f>
        <v>5427.9749478079284</v>
      </c>
      <c r="G130" s="109">
        <v>10</v>
      </c>
      <c r="H130" s="107">
        <f>IF(ISNUMBER(G130), (G130 - $B130) / $B130, "")</f>
        <v>4.3841336116910219E-2</v>
      </c>
      <c r="I130" s="110">
        <f>IF(ISNUMBER(G130), $B145 * H130, "")</f>
        <v>4384.1336116910215</v>
      </c>
      <c r="J130" s="106">
        <v>10.1</v>
      </c>
      <c r="K130" s="107">
        <f>IF(ISNUMBER(J130), (J130 - $B130) / $B130, "")</f>
        <v>5.4279749478079287E-2</v>
      </c>
      <c r="L130" s="108">
        <f>IF(ISNUMBER(J130), $B145 * K130, "")</f>
        <v>5427.9749478079284</v>
      </c>
      <c r="M130" s="109">
        <v>10.199999999999999</v>
      </c>
      <c r="N130" s="107">
        <f>IF(ISNUMBER(M130), (M130 - $B130) / $B130, "")</f>
        <v>6.4718162839248347E-2</v>
      </c>
      <c r="O130" s="108">
        <f>IF(ISNUMBER(M130), $B145 * N130, "")</f>
        <v>6471.8162839248344</v>
      </c>
      <c r="Q130" s="238"/>
      <c r="R130" s="238"/>
      <c r="S130" s="238"/>
    </row>
    <row r="131" spans="1:19" ht="17.25" thickBot="1">
      <c r="A131" s="125" t="s">
        <v>152</v>
      </c>
      <c r="B131" s="126">
        <v>80.2</v>
      </c>
      <c r="C131" s="77">
        <v>3.3505154600000003E-2</v>
      </c>
      <c r="D131" s="15">
        <v>81.400000000000006</v>
      </c>
      <c r="E131" s="32">
        <f t="shared" ref="E131:E134" si="66">IF(ISNUMBER(D131), (D131 - $B131) / $B131, "")</f>
        <v>1.4962593516209511E-2</v>
      </c>
      <c r="F131" s="18">
        <f>IF(ISNUMBER(D131), $B145 * E131, "")</f>
        <v>1496.2593516209511</v>
      </c>
      <c r="G131" s="31">
        <v>81.3</v>
      </c>
      <c r="H131" s="32">
        <f t="shared" ref="H131:H134" si="67">IF(ISNUMBER(G131), (G131 - $B131) / $B131, "")</f>
        <v>1.3715710723191948E-2</v>
      </c>
      <c r="I131" s="101">
        <f>IF(ISNUMBER(G131), $B145 * H131, "")</f>
        <v>1371.5710723191949</v>
      </c>
      <c r="J131" s="15">
        <v>81.7</v>
      </c>
      <c r="K131" s="32">
        <f t="shared" ref="K131:K134" si="68">IF(ISNUMBER(J131), (J131 - $B131) / $B131, "")</f>
        <v>1.8703241895261846E-2</v>
      </c>
      <c r="L131" s="18">
        <f>IF(ISNUMBER(J131), $B145 * K131, "")</f>
        <v>1870.3241895261847</v>
      </c>
      <c r="M131" s="31">
        <v>82.1</v>
      </c>
      <c r="N131" s="32">
        <f t="shared" ref="N131:N134" si="69">IF(ISNUMBER(M131), (M131 - $B131) / $B131, "")</f>
        <v>2.3690773067331562E-2</v>
      </c>
      <c r="O131" s="18">
        <f>IF(ISNUMBER(M131), $B145 * N131, "")</f>
        <v>2369.0773067331561</v>
      </c>
      <c r="Q131" s="238"/>
      <c r="R131" s="238"/>
      <c r="S131" s="238"/>
    </row>
    <row r="132" spans="1:19" ht="17.25" thickBot="1">
      <c r="A132" s="125" t="s">
        <v>178</v>
      </c>
      <c r="B132" s="126">
        <v>16</v>
      </c>
      <c r="C132" s="77">
        <v>3.2258064500000003E-2</v>
      </c>
      <c r="D132" s="15">
        <v>16.2</v>
      </c>
      <c r="E132" s="32">
        <f t="shared" si="66"/>
        <v>1.2499999999999956E-2</v>
      </c>
      <c r="F132" s="18">
        <f>IF(ISNUMBER(D132), $B145 * E132, "")</f>
        <v>1249.9999999999955</v>
      </c>
      <c r="G132" s="31">
        <v>16.100000000000001</v>
      </c>
      <c r="H132" s="32">
        <f t="shared" si="67"/>
        <v>6.2500000000000888E-3</v>
      </c>
      <c r="I132" s="101">
        <f>IF(ISNUMBER(G132), $B145 * H132, "")</f>
        <v>625.00000000000887</v>
      </c>
      <c r="J132" s="15">
        <v>16.3</v>
      </c>
      <c r="K132" s="32">
        <f t="shared" si="68"/>
        <v>1.8750000000000044E-2</v>
      </c>
      <c r="L132" s="18">
        <f>IF(ISNUMBER(J132), $B145 * K132, "")</f>
        <v>1875.0000000000045</v>
      </c>
      <c r="M132" s="31">
        <v>16.600000000000001</v>
      </c>
      <c r="N132" s="32">
        <f t="shared" si="69"/>
        <v>3.7500000000000089E-2</v>
      </c>
      <c r="O132" s="18">
        <f>IF(ISNUMBER(M132), $B145 * N132, "")</f>
        <v>3750.0000000000091</v>
      </c>
      <c r="Q132" s="238"/>
      <c r="R132" s="238"/>
      <c r="S132" s="238"/>
    </row>
    <row r="133" spans="1:19" ht="17.25" thickBot="1">
      <c r="A133" s="125" t="s">
        <v>210</v>
      </c>
      <c r="B133" s="126">
        <v>11</v>
      </c>
      <c r="C133" s="77">
        <v>2.8037383200000002E-2</v>
      </c>
      <c r="D133" s="15">
        <v>11.2</v>
      </c>
      <c r="E133" s="32">
        <f t="shared" si="66"/>
        <v>1.8181818181818118E-2</v>
      </c>
      <c r="F133" s="18">
        <f>IF(ISNUMBER(D133), $B145 * E133, "")</f>
        <v>1818.1818181818119</v>
      </c>
      <c r="G133" s="31">
        <v>11.3</v>
      </c>
      <c r="H133" s="32">
        <f t="shared" si="67"/>
        <v>2.7272727272727337E-2</v>
      </c>
      <c r="I133" s="101">
        <f>IF(ISNUMBER(G133), $B145 * H133, "")</f>
        <v>2727.2727272727338</v>
      </c>
      <c r="J133" s="15">
        <v>11.3</v>
      </c>
      <c r="K133" s="32">
        <f t="shared" si="68"/>
        <v>2.7272727272727337E-2</v>
      </c>
      <c r="L133" s="18">
        <f>IF(ISNUMBER(J133), $B145 * K133, "")</f>
        <v>2727.2727272727338</v>
      </c>
      <c r="M133" s="31">
        <v>11.3</v>
      </c>
      <c r="N133" s="32">
        <f t="shared" si="69"/>
        <v>2.7272727272727337E-2</v>
      </c>
      <c r="O133" s="18">
        <f>IF(ISNUMBER(M133), $B145 * N133, "")</f>
        <v>2727.2727272727338</v>
      </c>
      <c r="Q133" s="33"/>
      <c r="R133" s="33"/>
    </row>
    <row r="134" spans="1:19" ht="17.25" thickBot="1">
      <c r="A134" s="130" t="s">
        <v>208</v>
      </c>
      <c r="B134" s="131">
        <v>11.2</v>
      </c>
      <c r="C134" s="79">
        <v>2.7522935799999999E-2</v>
      </c>
      <c r="D134" s="24">
        <v>11.6</v>
      </c>
      <c r="E134" s="25">
        <f t="shared" si="66"/>
        <v>3.5714285714285747E-2</v>
      </c>
      <c r="F134" s="104">
        <f>IF(ISNUMBER(D134), $B145 * E134, "")</f>
        <v>3571.4285714285747</v>
      </c>
      <c r="G134" s="102">
        <v>11.5</v>
      </c>
      <c r="H134" s="25">
        <f t="shared" si="67"/>
        <v>2.678571428571435E-2</v>
      </c>
      <c r="I134" s="103">
        <f>IF(ISNUMBER(G134), $B145 * H134, "")</f>
        <v>2678.5714285714348</v>
      </c>
      <c r="J134" s="24">
        <v>11.5</v>
      </c>
      <c r="K134" s="25">
        <f t="shared" si="68"/>
        <v>2.678571428571435E-2</v>
      </c>
      <c r="L134" s="104">
        <f>IF(ISNUMBER(J134), $B145 * K134, "")</f>
        <v>2678.5714285714348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239"/>
      <c r="R134" s="240"/>
      <c r="S134" s="241"/>
    </row>
    <row r="135" spans="1:19">
      <c r="A135" s="123" t="s">
        <v>72</v>
      </c>
      <c r="B135" s="124">
        <v>21</v>
      </c>
      <c r="C135" s="76">
        <v>1.9417475699999999E-2</v>
      </c>
      <c r="D135" s="13">
        <v>21.4</v>
      </c>
      <c r="E135" s="14">
        <f>IF(ISNUMBER(D135), (D135 - $B135) / $B135, "")</f>
        <v>1.904761904761898E-2</v>
      </c>
      <c r="F135" s="16">
        <f>IF(ISNUMBER(D135), $B145 * E135, "")</f>
        <v>1904.761904761898</v>
      </c>
      <c r="G135" s="29">
        <v>21.5</v>
      </c>
      <c r="H135" s="14">
        <f>IF(ISNUMBER(G135), (G135 - $B135) / $B135, "")</f>
        <v>2.3809523809523808E-2</v>
      </c>
      <c r="I135" s="100">
        <f>IF(ISNUMBER(G135), $B145 * H135, "")</f>
        <v>2380.9523809523807</v>
      </c>
      <c r="J135" s="13">
        <v>21.5</v>
      </c>
      <c r="K135" s="14">
        <f>IF(ISNUMBER(J135), (J135 - $B135) / $B135, "")</f>
        <v>2.3809523809523808E-2</v>
      </c>
      <c r="L135" s="16">
        <f>IF(ISNUMBER(J135), $B145 * K135, "")</f>
        <v>2380.9523809523807</v>
      </c>
      <c r="M135" s="29">
        <v>21.7</v>
      </c>
      <c r="N135" s="14">
        <f>IF(ISNUMBER(M135), (M135 - $B135) / $B135, "")</f>
        <v>3.3333333333333298E-2</v>
      </c>
      <c r="O135" s="16">
        <f>IF(ISNUMBER(M135), $B145 * N135, "")</f>
        <v>3333.3333333333298</v>
      </c>
      <c r="Q135" s="242"/>
      <c r="R135" s="243"/>
      <c r="S135" s="244"/>
    </row>
    <row r="136" spans="1:19" ht="17.25" thickBot="1">
      <c r="A136" s="125" t="s">
        <v>240</v>
      </c>
      <c r="B136" s="126">
        <v>60.2</v>
      </c>
      <c r="C136" s="77">
        <v>1.8612521199999999E-2</v>
      </c>
      <c r="D136" s="15">
        <v>61.1</v>
      </c>
      <c r="E136" s="32">
        <f t="shared" ref="E136:E139" si="70">IF(ISNUMBER(D136), (D136 - $B136) / $B136, "")</f>
        <v>1.4950166112956787E-2</v>
      </c>
      <c r="F136" s="18">
        <f>IF(ISNUMBER(D136), $B145 * E136, "")</f>
        <v>1495.0166112956788</v>
      </c>
      <c r="G136" s="31">
        <v>64</v>
      </c>
      <c r="H136" s="32">
        <f t="shared" ref="H136:H139" si="71">IF(ISNUMBER(G136), (G136 - $B136) / $B136, "")</f>
        <v>6.3122923588039823E-2</v>
      </c>
      <c r="I136" s="101">
        <f>IF(ISNUMBER(G136), $B145 * H136, "")</f>
        <v>6312.2923588039821</v>
      </c>
      <c r="J136" s="15">
        <v>63.3</v>
      </c>
      <c r="K136" s="32">
        <f t="shared" ref="K136:K139" si="72">IF(ISNUMBER(J136), (J136 - $B136) / $B136, "")</f>
        <v>5.1495016611295581E-2</v>
      </c>
      <c r="L136" s="18">
        <f>IF(ISNUMBER(J136), $B145 * K136, "")</f>
        <v>5149.5016611295578</v>
      </c>
      <c r="M136" s="31">
        <v>64.099999999999994</v>
      </c>
      <c r="N136" s="32">
        <f t="shared" ref="N136:N139" si="73">IF(ISNUMBER(M136), (M136 - $B136) / $B136, "")</f>
        <v>6.4784053156146035E-2</v>
      </c>
      <c r="O136" s="18">
        <f>IF(ISNUMBER(M136), $B145 * N136, "")</f>
        <v>6478.4053156146038</v>
      </c>
      <c r="Q136" s="245"/>
      <c r="R136" s="246"/>
      <c r="S136" s="247"/>
    </row>
    <row r="137" spans="1:19" ht="17.25" thickBot="1">
      <c r="A137" s="125" t="s">
        <v>190</v>
      </c>
      <c r="B137" s="126">
        <v>16.100000000000001</v>
      </c>
      <c r="C137" s="77">
        <v>1.2578616399999999E-2</v>
      </c>
      <c r="D137" s="15">
        <v>16.399999999999999</v>
      </c>
      <c r="E137" s="32">
        <f t="shared" si="70"/>
        <v>1.8633540372670631E-2</v>
      </c>
      <c r="F137" s="18">
        <f>IF(ISNUMBER(D137), $B145 * E137, "")</f>
        <v>1863.3540372670632</v>
      </c>
      <c r="G137" s="31">
        <v>16.399999999999999</v>
      </c>
      <c r="H137" s="32">
        <f t="shared" si="71"/>
        <v>1.8633540372670631E-2</v>
      </c>
      <c r="I137" s="101">
        <f>IF(ISNUMBER(G137), $B145 * H137, "")</f>
        <v>1863.3540372670632</v>
      </c>
      <c r="J137" s="15">
        <v>16.5</v>
      </c>
      <c r="K137" s="32">
        <f t="shared" si="72"/>
        <v>2.4844720496894318E-2</v>
      </c>
      <c r="L137" s="18">
        <f>IF(ISNUMBER(J137), $B145 * K137, "")</f>
        <v>2484.472049689432</v>
      </c>
      <c r="M137" s="31">
        <v>16.5</v>
      </c>
      <c r="N137" s="32">
        <f t="shared" si="73"/>
        <v>2.4844720496894318E-2</v>
      </c>
      <c r="O137" s="18">
        <f>IF(ISNUMBER(M137), $B145 * N137, "")</f>
        <v>2484.472049689432</v>
      </c>
      <c r="Q137" s="238"/>
      <c r="R137" s="238"/>
      <c r="S137" s="238"/>
    </row>
    <row r="138" spans="1:19" ht="17.25" thickBot="1">
      <c r="A138" s="125" t="s">
        <v>188</v>
      </c>
      <c r="B138" s="126">
        <v>11.4</v>
      </c>
      <c r="C138" s="77">
        <v>8.8495575000000007E-3</v>
      </c>
      <c r="D138" s="15">
        <v>11.8</v>
      </c>
      <c r="E138" s="32">
        <f t="shared" si="70"/>
        <v>3.5087719298245647E-2</v>
      </c>
      <c r="F138" s="18">
        <f>IF(ISNUMBER(D138), $B145 * E138, "")</f>
        <v>3508.7719298245647</v>
      </c>
      <c r="G138" s="31">
        <v>11.9</v>
      </c>
      <c r="H138" s="32">
        <f t="shared" si="71"/>
        <v>4.3859649122807015E-2</v>
      </c>
      <c r="I138" s="101">
        <f>IF(ISNUMBER(G138), $B145 * H138, "")</f>
        <v>4385.9649122807014</v>
      </c>
      <c r="J138" s="15">
        <v>11.9</v>
      </c>
      <c r="K138" s="32">
        <f t="shared" si="72"/>
        <v>4.3859649122807015E-2</v>
      </c>
      <c r="L138" s="18">
        <f>IF(ISNUMBER(J138), $B145 * K138, "")</f>
        <v>4385.9649122807014</v>
      </c>
      <c r="M138" s="31">
        <v>12.2</v>
      </c>
      <c r="N138" s="32">
        <f t="shared" si="73"/>
        <v>7.0175438596491127E-2</v>
      </c>
      <c r="O138" s="18">
        <f>IF(ISNUMBER(M138), $B145 * N138, "")</f>
        <v>7017.5438596491131</v>
      </c>
      <c r="Q138" s="248"/>
      <c r="R138" s="248"/>
      <c r="S138" s="248"/>
    </row>
    <row r="139" spans="1:19" ht="17.25" thickBot="1">
      <c r="A139" s="127" t="s">
        <v>65</v>
      </c>
      <c r="B139" s="128">
        <v>29.3</v>
      </c>
      <c r="C139" s="78">
        <v>6.8728521999999997E-3</v>
      </c>
      <c r="D139" s="20">
        <v>31.2</v>
      </c>
      <c r="E139" s="21">
        <f t="shared" si="70"/>
        <v>6.4846416382252511E-2</v>
      </c>
      <c r="F139" s="22">
        <f>IF(ISNUMBER(D139), $B145 * E139, "")</f>
        <v>6484.641638225251</v>
      </c>
      <c r="G139" s="30">
        <v>31.5</v>
      </c>
      <c r="H139" s="21">
        <f t="shared" si="71"/>
        <v>7.508532423208189E-2</v>
      </c>
      <c r="I139" s="105">
        <f>IF(ISNUMBER(G139), $B145 * H139, "")</f>
        <v>7508.5324232081894</v>
      </c>
      <c r="J139" s="20">
        <v>31.6</v>
      </c>
      <c r="K139" s="21">
        <f t="shared" si="72"/>
        <v>7.8498293515358378E-2</v>
      </c>
      <c r="L139" s="22">
        <f>IF(ISNUMBER(J139), $B145 * K139, "")</f>
        <v>7849.8293515358382</v>
      </c>
      <c r="M139" s="30">
        <v>31.9</v>
      </c>
      <c r="N139" s="21">
        <f t="shared" si="73"/>
        <v>8.8737201365187632E-2</v>
      </c>
      <c r="O139" s="22">
        <f>IF(ISNUMBER(M139), $B145 * N139, "")</f>
        <v>8873.720136518763</v>
      </c>
      <c r="Q139" s="248"/>
      <c r="R139" s="248"/>
      <c r="S139" s="248"/>
    </row>
    <row r="140" spans="1:19" ht="17.25" thickBot="1">
      <c r="A140" s="125" t="s">
        <v>162</v>
      </c>
      <c r="B140" s="129">
        <v>92.8</v>
      </c>
      <c r="C140" s="80">
        <v>6.5075921999999996E-3</v>
      </c>
      <c r="D140" s="106">
        <v>92.7</v>
      </c>
      <c r="E140" s="107">
        <f>IF(ISNUMBER(D140), (D140 - $B140) / $B140, "")</f>
        <v>-1.0775862068964906E-3</v>
      </c>
      <c r="F140" s="108">
        <f>IF(ISNUMBER(D140), $B145 * E140, "")</f>
        <v>-107.75862068964905</v>
      </c>
      <c r="G140" s="109">
        <v>93.9</v>
      </c>
      <c r="H140" s="107">
        <f>IF(ISNUMBER(G140), (G140 - $B140) / $B140, "")</f>
        <v>1.1853448275862162E-2</v>
      </c>
      <c r="I140" s="110">
        <f>IF(ISNUMBER(G140), $B145 * H140, "")</f>
        <v>1185.3448275862163</v>
      </c>
      <c r="J140" s="106">
        <v>94</v>
      </c>
      <c r="K140" s="107">
        <f>IF(ISNUMBER(J140), (J140 - $B140) / $B140, "")</f>
        <v>1.2931034482758652E-2</v>
      </c>
      <c r="L140" s="108">
        <f>IF(ISNUMBER(J140), $B145 * K140, "")</f>
        <v>1293.1034482758653</v>
      </c>
      <c r="M140" s="109">
        <v>95.7</v>
      </c>
      <c r="N140" s="107">
        <f>IF(ISNUMBER(M140), (M140 - $B140) / $B140, "")</f>
        <v>3.1250000000000062E-2</v>
      </c>
      <c r="O140" s="108">
        <f>IF(ISNUMBER(M140), $B145 * N140, "")</f>
        <v>3125.0000000000064</v>
      </c>
      <c r="Q140" s="238"/>
      <c r="R140" s="238"/>
      <c r="S140" s="238"/>
    </row>
    <row r="141" spans="1:19" ht="17.25" thickBot="1">
      <c r="A141" s="125" t="s">
        <v>238</v>
      </c>
      <c r="B141" s="126">
        <v>97.7</v>
      </c>
      <c r="C141" s="77">
        <v>5.1440328999999996E-3</v>
      </c>
      <c r="D141" s="15">
        <v>101</v>
      </c>
      <c r="E141" s="32">
        <f t="shared" ref="E141:E144" si="74">IF(ISNUMBER(D141), (D141 - $B141) / $B141, "")</f>
        <v>3.3776867963152477E-2</v>
      </c>
      <c r="F141" s="18">
        <f>IF(ISNUMBER(D141), $B145 * E141, "")</f>
        <v>3377.6867963152476</v>
      </c>
      <c r="G141" s="31">
        <v>100</v>
      </c>
      <c r="H141" s="32">
        <f t="shared" ref="H141:H144" si="75">IF(ISNUMBER(G141), (G141 - $B141) / $B141, "")</f>
        <v>2.3541453428863841E-2</v>
      </c>
      <c r="I141" s="101">
        <f>IF(ISNUMBER(G141), $B145 * H141, "")</f>
        <v>2354.1453428863842</v>
      </c>
      <c r="J141" s="15">
        <v>102</v>
      </c>
      <c r="K141" s="32">
        <f t="shared" ref="K141:K144" si="76">IF(ISNUMBER(J141), (J141 - $B141) / $B141, "")</f>
        <v>4.4012282497441116E-2</v>
      </c>
      <c r="L141" s="18">
        <f>IF(ISNUMBER(J141), $B145 * K141, "")</f>
        <v>4401.228249744112</v>
      </c>
      <c r="M141" s="31">
        <v>101</v>
      </c>
      <c r="N141" s="32">
        <f t="shared" ref="N141:N144" si="77">IF(ISNUMBER(M141), (M141 - $B141) / $B141, "")</f>
        <v>3.3776867963152477E-2</v>
      </c>
      <c r="O141" s="18">
        <f>IF(ISNUMBER(M141), $B145 * N141, "")</f>
        <v>3377.6867963152476</v>
      </c>
      <c r="Q141" s="238"/>
      <c r="R141" s="238"/>
      <c r="S141" s="238"/>
    </row>
    <row r="142" spans="1:19" ht="17.25" thickBot="1">
      <c r="A142" s="125" t="s">
        <v>202</v>
      </c>
      <c r="B142" s="126">
        <v>68.599999999999994</v>
      </c>
      <c r="C142" s="77">
        <v>-1.4556040999999999E-3</v>
      </c>
      <c r="D142" s="15">
        <v>73.8</v>
      </c>
      <c r="E142" s="32">
        <f t="shared" si="74"/>
        <v>7.5801749271137073E-2</v>
      </c>
      <c r="F142" s="18">
        <f>IF(ISNUMBER(D142), $B145 * E142, "")</f>
        <v>7580.1749271137069</v>
      </c>
      <c r="G142" s="31">
        <v>73.2</v>
      </c>
      <c r="H142" s="32">
        <f t="shared" si="75"/>
        <v>6.7055393586005957E-2</v>
      </c>
      <c r="I142" s="101">
        <f>IF(ISNUMBER(G142), $B145 * H142, "")</f>
        <v>6705.5393586005957</v>
      </c>
      <c r="J142" s="15">
        <v>73</v>
      </c>
      <c r="K142" s="32">
        <f t="shared" si="76"/>
        <v>6.4139941690962182E-2</v>
      </c>
      <c r="L142" s="18">
        <f>IF(ISNUMBER(J142), $B145 * K142, "")</f>
        <v>6413.9941690962178</v>
      </c>
      <c r="M142" s="31">
        <v>73.5</v>
      </c>
      <c r="N142" s="32">
        <f t="shared" si="77"/>
        <v>7.1428571428571522E-2</v>
      </c>
      <c r="O142" s="18">
        <f>IF(ISNUMBER(M142), $B145 * N142, "")</f>
        <v>7142.8571428571522</v>
      </c>
      <c r="Q142" s="238"/>
      <c r="R142" s="238"/>
      <c r="S142" s="238"/>
    </row>
    <row r="143" spans="1:19">
      <c r="A143" s="125" t="s">
        <v>148</v>
      </c>
      <c r="B143" s="126">
        <v>18.2</v>
      </c>
      <c r="C143" s="77">
        <v>-5.4644808999999997E-3</v>
      </c>
      <c r="D143" s="15">
        <v>18.600000000000001</v>
      </c>
      <c r="E143" s="32">
        <f t="shared" si="74"/>
        <v>2.1978021978022098E-2</v>
      </c>
      <c r="F143" s="18">
        <f>IF(ISNUMBER(D143), $B145 * E143, "")</f>
        <v>2197.8021978022098</v>
      </c>
      <c r="G143" s="31">
        <v>19.100000000000001</v>
      </c>
      <c r="H143" s="32">
        <f t="shared" si="75"/>
        <v>4.9450549450549566E-2</v>
      </c>
      <c r="I143" s="101">
        <f>IF(ISNUMBER(G143), $B145 * H143, "")</f>
        <v>4945.054945054957</v>
      </c>
      <c r="J143" s="15">
        <v>19</v>
      </c>
      <c r="K143" s="32">
        <f t="shared" si="76"/>
        <v>4.3956043956043994E-2</v>
      </c>
      <c r="L143" s="18">
        <f>IF(ISNUMBER(J143), $B145 * K143, "")</f>
        <v>4395.6043956043995</v>
      </c>
      <c r="M143" s="31">
        <v>19.3</v>
      </c>
      <c r="N143" s="32">
        <f t="shared" si="77"/>
        <v>6.0439560439560523E-2</v>
      </c>
      <c r="O143" s="18">
        <f>IF(ISNUMBER(M143), $B145 * N143, "")</f>
        <v>6043.9560439560519</v>
      </c>
      <c r="Q143" s="227"/>
      <c r="R143" s="228"/>
      <c r="S143" s="229"/>
    </row>
    <row r="144" spans="1:19" ht="17.25" thickBot="1">
      <c r="A144" s="130" t="s">
        <v>234</v>
      </c>
      <c r="B144" s="131">
        <v>63.6</v>
      </c>
      <c r="C144" s="79">
        <v>-7.8003120000000002E-3</v>
      </c>
      <c r="D144" s="24">
        <v>67.2</v>
      </c>
      <c r="E144" s="25">
        <f t="shared" si="74"/>
        <v>5.6603773584905683E-2</v>
      </c>
      <c r="F144" s="104">
        <f>IF(ISNUMBER(D144), $B145 * E144, "")</f>
        <v>5660.3773584905684</v>
      </c>
      <c r="G144" s="102">
        <v>66.5</v>
      </c>
      <c r="H144" s="25">
        <f t="shared" si="75"/>
        <v>4.5597484276729536E-2</v>
      </c>
      <c r="I144" s="103">
        <f>IF(ISNUMBER(G144), $B145 * H144, "")</f>
        <v>4559.7484276729538</v>
      </c>
      <c r="J144" s="24">
        <v>66.8</v>
      </c>
      <c r="K144" s="25">
        <f t="shared" si="76"/>
        <v>5.0314465408804965E-2</v>
      </c>
      <c r="L144" s="104">
        <f>IF(ISNUMBER(J144), $B145 * K144, "")</f>
        <v>5031.4465408804963</v>
      </c>
      <c r="M144" s="102">
        <v>67.3</v>
      </c>
      <c r="N144" s="25">
        <f t="shared" si="77"/>
        <v>5.8176100628930749E-2</v>
      </c>
      <c r="O144" s="104">
        <f>IF(ISNUMBER(M144), $B145 * N144, "")</f>
        <v>5817.6100628930753</v>
      </c>
      <c r="Q144" s="230"/>
      <c r="R144" s="231"/>
      <c r="S144" s="232"/>
    </row>
    <row r="145" spans="1:19" ht="17.25" thickBot="1">
      <c r="A145" s="132" t="s">
        <v>270</v>
      </c>
      <c r="B145" s="291">
        <f>$B$37</f>
        <v>100000</v>
      </c>
      <c r="C145" s="292"/>
      <c r="D145" s="26" t="s">
        <v>271</v>
      </c>
      <c r="E145" s="27">
        <f>IF(COUNT(E125:E144), SUM(E125:E144) / COUNT(E125:E144), 0)</f>
        <v>2.8289491611510419E-2</v>
      </c>
      <c r="F145" s="28">
        <f>SUM(F125:F144)</f>
        <v>56578.983223020827</v>
      </c>
      <c r="G145" s="26" t="s">
        <v>271</v>
      </c>
      <c r="H145" s="27">
        <f>IF(COUNT(H125:H144), SUM(H125:H144) / COUNT(H125:H144), 0)</f>
        <v>3.1475816325609737E-2</v>
      </c>
      <c r="I145" s="28">
        <f>SUM(I125:I144)</f>
        <v>62951.632651219486</v>
      </c>
      <c r="J145" s="26" t="s">
        <v>271</v>
      </c>
      <c r="K145" s="27">
        <f>IF(COUNT(K125:K144), SUM(K125:K144) / COUNT(K125:K144), 0)</f>
        <v>3.5250572829583035E-2</v>
      </c>
      <c r="L145" s="28">
        <f>SUM(L125:L144)</f>
        <v>70501.145659166083</v>
      </c>
      <c r="M145" s="26" t="s">
        <v>271</v>
      </c>
      <c r="N145" s="27">
        <f>IF(COUNT(N125:N144), SUM(N125:N144) / COUNT(N125:N144), 0)</f>
        <v>4.6708449742464568E-2</v>
      </c>
      <c r="O145" s="28">
        <f>SUM(O125:O144)</f>
        <v>93416.899484929134</v>
      </c>
      <c r="Q145" s="233"/>
      <c r="R145" s="234"/>
      <c r="S145" s="23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48"/>
      <c r="R148" s="248"/>
      <c r="S148" s="248"/>
    </row>
    <row r="149" spans="1:19" ht="17.25" thickBot="1">
      <c r="A149" s="177" t="s">
        <v>267</v>
      </c>
      <c r="B149" s="249" t="s">
        <v>49</v>
      </c>
      <c r="C149" s="251"/>
      <c r="D149" s="249" t="s">
        <v>58</v>
      </c>
      <c r="E149" s="250"/>
      <c r="F149" s="251"/>
      <c r="G149" s="252">
        <f>_xlfn.IFNA(VLOOKUP(B149, 현재가테이블!$B$2:$D$200, 2, FALSE), "-")</f>
        <v>54440000</v>
      </c>
      <c r="H149" s="253"/>
      <c r="I149" s="254"/>
      <c r="J149" s="249" t="s">
        <v>59</v>
      </c>
      <c r="K149" s="250"/>
      <c r="L149" s="251"/>
      <c r="M149" s="255">
        <f>_xlfn.IFNA(VLOOKUP(B149, 현재가테이블!$B$2:$D$200, 3, FALSE), "-")</f>
        <v>1.07123628E-2</v>
      </c>
      <c r="N149" s="256"/>
      <c r="O149" s="257"/>
      <c r="Q149" s="248"/>
      <c r="R149" s="248"/>
      <c r="S149" s="248"/>
    </row>
    <row r="150" spans="1:19" ht="17.25" thickBot="1">
      <c r="A150" s="293" t="s">
        <v>55</v>
      </c>
      <c r="B150" s="289" t="str">
        <f>TEXT($G$1, "[$-ko-KR]yyyy-mm-dd(ddd) ") &amp; "오전 00:00"</f>
        <v>2021-08-06(금) 오전 00:00</v>
      </c>
      <c r="C150" s="290"/>
      <c r="D150" s="262" t="str">
        <f>TEXT($G$1, "[$-ko-KR]yyyy-mm-dd(ddd) ") &amp; "오후 14:00"</f>
        <v>2021-08-06(금) 오후 14:00</v>
      </c>
      <c r="E150" s="263"/>
      <c r="F150" s="264"/>
      <c r="G150" s="262" t="str">
        <f>TEXT($G$1, "[$-ko-KR]yyyy-mm-dd(ddd) ") &amp; "오후 19:00"</f>
        <v>2021-08-06(금) 오후 19:00</v>
      </c>
      <c r="H150" s="263"/>
      <c r="I150" s="264"/>
      <c r="J150" s="262" t="str">
        <f>TEXT($G$1, "[$-ko-KR]yyyy-mm-dd(ddd) ") &amp; "오후 21:00"</f>
        <v>2021-08-06(금) 오후 21:00</v>
      </c>
      <c r="K150" s="263"/>
      <c r="L150" s="264"/>
      <c r="M150" s="262" t="str">
        <f>TEXT($G$1+1, "[$-ko-KR]yyyy-mm-dd(ddd) ") &amp; "오전 00:00"</f>
        <v>2021-08-07(토) 오전 00:00</v>
      </c>
      <c r="N150" s="263"/>
      <c r="O150" s="264"/>
      <c r="Q150" s="248"/>
      <c r="R150" s="248"/>
      <c r="S150" s="248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8" t="s">
        <v>58</v>
      </c>
      <c r="H151" s="179" t="s">
        <v>268</v>
      </c>
      <c r="I151" s="18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8"/>
      <c r="R151" s="238"/>
      <c r="S151" s="238"/>
    </row>
    <row r="152" spans="1:19" ht="17.25" thickBot="1">
      <c r="A152" s="123" t="s">
        <v>236</v>
      </c>
      <c r="B152" s="124">
        <v>568</v>
      </c>
      <c r="C152" s="76">
        <v>7.0921986000000003E-3</v>
      </c>
      <c r="D152" s="13">
        <v>572</v>
      </c>
      <c r="E152" s="14">
        <f>IF(ISNUMBER(D152), (D152 - $B152) / $B152, "")</f>
        <v>7.0422535211267607E-3</v>
      </c>
      <c r="F152" s="16">
        <f>IF(ISNUMBER(D152), $B172 * E152, "")</f>
        <v>704.22535211267609</v>
      </c>
      <c r="G152" s="29">
        <v>572</v>
      </c>
      <c r="H152" s="14">
        <f>IF(ISNUMBER(G152), (G152 - $B152) / $B152, "")</f>
        <v>7.0422535211267607E-3</v>
      </c>
      <c r="I152" s="100">
        <f>IF(ISNUMBER(G152), $B172 * H152, "")</f>
        <v>704.22535211267609</v>
      </c>
      <c r="J152" s="13">
        <v>574</v>
      </c>
      <c r="K152" s="14">
        <f>IF(ISNUMBER(J152), (J152 - $B152) / $B152, "")</f>
        <v>1.0563380281690141E-2</v>
      </c>
      <c r="L152" s="16">
        <f>IF(ISNUMBER(J152), $B172 * K152, "")</f>
        <v>1056.338028169014</v>
      </c>
      <c r="M152" s="29">
        <v>587</v>
      </c>
      <c r="N152" s="14">
        <f>IF(ISNUMBER(M152), (M152 - $B152) / $B152, "")</f>
        <v>3.345070422535211E-2</v>
      </c>
      <c r="O152" s="16">
        <f>IF(ISNUMBER(M152), $B172 * N152, "")</f>
        <v>3345.070422535211</v>
      </c>
      <c r="Q152" s="248"/>
      <c r="R152" s="248"/>
      <c r="S152" s="248"/>
    </row>
    <row r="153" spans="1:19" ht="17.25" thickBot="1">
      <c r="A153" s="125" t="s">
        <v>57</v>
      </c>
      <c r="B153" s="126">
        <v>192</v>
      </c>
      <c r="C153" s="77">
        <v>0</v>
      </c>
      <c r="D153" s="15">
        <v>192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193</v>
      </c>
      <c r="K153" s="32">
        <f t="shared" ref="K153:K156" si="80">IF(ISNUMBER(J153), (J153 - $B153) / $B153, "")</f>
        <v>5.208333333333333E-3</v>
      </c>
      <c r="L153" s="18">
        <f>IF(ISNUMBER(J153), $B172 * K153, "")</f>
        <v>520.83333333333326</v>
      </c>
      <c r="M153" s="31">
        <v>197</v>
      </c>
      <c r="N153" s="32">
        <f t="shared" ref="N153:N156" si="81">IF(ISNUMBER(M153), (M153 - $B153) / $B153, "")</f>
        <v>2.6041666666666668E-2</v>
      </c>
      <c r="O153" s="18">
        <f>IF(ISNUMBER(M153), $B172 * N153, "")</f>
        <v>2604.166666666667</v>
      </c>
      <c r="Q153" s="248"/>
      <c r="R153" s="248"/>
      <c r="S153" s="248"/>
    </row>
    <row r="154" spans="1:19" ht="17.25" thickBot="1">
      <c r="A154" s="125" t="s">
        <v>228</v>
      </c>
      <c r="B154" s="126">
        <v>370</v>
      </c>
      <c r="C154" s="77">
        <v>0</v>
      </c>
      <c r="D154" s="15">
        <v>380</v>
      </c>
      <c r="E154" s="32">
        <f t="shared" si="78"/>
        <v>2.7027027027027029E-2</v>
      </c>
      <c r="F154" s="18">
        <f>IF(ISNUMBER(D154), $B172 * E154, "")</f>
        <v>2702.7027027027029</v>
      </c>
      <c r="G154" s="31">
        <v>378</v>
      </c>
      <c r="H154" s="32">
        <f t="shared" si="79"/>
        <v>2.1621621621621623E-2</v>
      </c>
      <c r="I154" s="101">
        <f>IF(ISNUMBER(G154), $B172 * H154, "")</f>
        <v>2162.1621621621621</v>
      </c>
      <c r="J154" s="15">
        <v>381</v>
      </c>
      <c r="K154" s="32">
        <f t="shared" si="80"/>
        <v>2.9729729729729731E-2</v>
      </c>
      <c r="L154" s="18">
        <f>IF(ISNUMBER(J154), $B172 * K154, "")</f>
        <v>2972.9729729729729</v>
      </c>
      <c r="M154" s="31">
        <v>383</v>
      </c>
      <c r="N154" s="32">
        <f t="shared" si="81"/>
        <v>3.5135135135135137E-2</v>
      </c>
      <c r="O154" s="18">
        <f>IF(ISNUMBER(M154), $B172 * N154, "")</f>
        <v>3513.5135135135138</v>
      </c>
      <c r="Q154" s="238"/>
      <c r="R154" s="238"/>
      <c r="S154" s="238"/>
    </row>
    <row r="155" spans="1:19" ht="17.25" thickBot="1">
      <c r="A155" s="125" t="s">
        <v>200</v>
      </c>
      <c r="B155" s="126">
        <v>131</v>
      </c>
      <c r="C155" s="77">
        <v>0</v>
      </c>
      <c r="D155" s="15">
        <v>136</v>
      </c>
      <c r="E155" s="32">
        <f t="shared" si="78"/>
        <v>3.8167938931297711E-2</v>
      </c>
      <c r="F155" s="18">
        <f>IF(ISNUMBER(D155), $B172 * E155, "")</f>
        <v>3816.7938931297713</v>
      </c>
      <c r="G155" s="31">
        <v>134</v>
      </c>
      <c r="H155" s="32">
        <f t="shared" si="79"/>
        <v>2.2900763358778626E-2</v>
      </c>
      <c r="I155" s="101">
        <f>IF(ISNUMBER(G155), $B172 * H155, "")</f>
        <v>2290.0763358778627</v>
      </c>
      <c r="J155" s="15">
        <v>134</v>
      </c>
      <c r="K155" s="32">
        <f t="shared" si="80"/>
        <v>2.2900763358778626E-2</v>
      </c>
      <c r="L155" s="18">
        <f>IF(ISNUMBER(J155), $B172 * K155, "")</f>
        <v>2290.0763358778627</v>
      </c>
      <c r="M155" s="31">
        <v>134</v>
      </c>
      <c r="N155" s="32">
        <f t="shared" si="81"/>
        <v>2.2900763358778626E-2</v>
      </c>
      <c r="O155" s="18">
        <f>IF(ISNUMBER(M155), $B172 * N155, "")</f>
        <v>2290.0763358778627</v>
      </c>
      <c r="Q155" s="238"/>
      <c r="R155" s="238"/>
      <c r="S155" s="238"/>
    </row>
    <row r="156" spans="1:19" ht="17.25" thickBot="1">
      <c r="A156" s="127" t="s">
        <v>61</v>
      </c>
      <c r="B156" s="128">
        <v>836</v>
      </c>
      <c r="C156" s="78">
        <v>-1.1947431000000001E-3</v>
      </c>
      <c r="D156" s="20">
        <v>834</v>
      </c>
      <c r="E156" s="21">
        <f t="shared" si="78"/>
        <v>-2.3923444976076554E-3</v>
      </c>
      <c r="F156" s="22">
        <f>IF(ISNUMBER(D156), $B172 * E156, "")</f>
        <v>-239.23444976076553</v>
      </c>
      <c r="G156" s="30">
        <v>839</v>
      </c>
      <c r="H156" s="21">
        <f t="shared" si="79"/>
        <v>3.5885167464114833E-3</v>
      </c>
      <c r="I156" s="105">
        <f>IF(ISNUMBER(G156), $B172 * H156, "")</f>
        <v>358.85167464114835</v>
      </c>
      <c r="J156" s="20">
        <v>839</v>
      </c>
      <c r="K156" s="21">
        <f t="shared" si="80"/>
        <v>3.5885167464114833E-3</v>
      </c>
      <c r="L156" s="22">
        <f>IF(ISNUMBER(J156), $B172 * K156, "")</f>
        <v>358.85167464114835</v>
      </c>
      <c r="M156" s="30">
        <v>844</v>
      </c>
      <c r="N156" s="21">
        <f t="shared" si="81"/>
        <v>9.5693779904306216E-3</v>
      </c>
      <c r="O156" s="22">
        <f>IF(ISNUMBER(M156), $B172 * N156, "")</f>
        <v>956.93779904306211</v>
      </c>
      <c r="Q156" s="238"/>
      <c r="R156" s="238"/>
      <c r="S156" s="238"/>
    </row>
    <row r="157" spans="1:19" ht="17.25" thickBot="1">
      <c r="A157" s="125" t="s">
        <v>206</v>
      </c>
      <c r="B157" s="129">
        <v>308</v>
      </c>
      <c r="C157" s="80">
        <v>-3.2362459999999999E-3</v>
      </c>
      <c r="D157" s="106">
        <v>310</v>
      </c>
      <c r="E157" s="107">
        <f>IF(ISNUMBER(D157), (D157 - $B157) / $B157, "")</f>
        <v>6.4935064935064939E-3</v>
      </c>
      <c r="F157" s="108">
        <f>IF(ISNUMBER(D157), $B172 * E157, "")</f>
        <v>649.35064935064941</v>
      </c>
      <c r="G157" s="109">
        <v>310</v>
      </c>
      <c r="H157" s="107">
        <f>IF(ISNUMBER(G157), (G157 - $B157) / $B157, "")</f>
        <v>6.4935064935064939E-3</v>
      </c>
      <c r="I157" s="110">
        <f>IF(ISNUMBER(G157), $B172 * H157, "")</f>
        <v>649.35064935064941</v>
      </c>
      <c r="J157" s="106">
        <v>310</v>
      </c>
      <c r="K157" s="107">
        <f>IF(ISNUMBER(J157), (J157 - $B157) / $B157, "")</f>
        <v>6.4935064935064939E-3</v>
      </c>
      <c r="L157" s="108">
        <f>IF(ISNUMBER(J157), $B172 * K157, "")</f>
        <v>649.35064935064941</v>
      </c>
      <c r="M157" s="109">
        <v>314</v>
      </c>
      <c r="N157" s="107">
        <f>IF(ISNUMBER(M157), (M157 - $B157) / $B157, "")</f>
        <v>1.948051948051948E-2</v>
      </c>
      <c r="O157" s="108">
        <f>IF(ISNUMBER(M157), $B172 * N157, "")</f>
        <v>1948.0519480519481</v>
      </c>
      <c r="Q157" s="238"/>
      <c r="R157" s="238"/>
      <c r="S157" s="238"/>
    </row>
    <row r="158" spans="1:19" ht="17.25" thickBot="1">
      <c r="A158" s="125" t="s">
        <v>90</v>
      </c>
      <c r="B158" s="126">
        <v>837</v>
      </c>
      <c r="C158" s="77">
        <v>-5.9382423000000004E-3</v>
      </c>
      <c r="D158" s="15">
        <v>845</v>
      </c>
      <c r="E158" s="32">
        <f t="shared" ref="E158:E161" si="82">IF(ISNUMBER(D158), (D158 - $B158) / $B158, "")</f>
        <v>9.557945041816009E-3</v>
      </c>
      <c r="F158" s="18">
        <f>IF(ISNUMBER(D158), $B172 * E158, "")</f>
        <v>955.79450418160093</v>
      </c>
      <c r="G158" s="31">
        <v>845</v>
      </c>
      <c r="H158" s="32">
        <f t="shared" ref="H158:H161" si="83">IF(ISNUMBER(G158), (G158 - $B158) / $B158, "")</f>
        <v>9.557945041816009E-3</v>
      </c>
      <c r="I158" s="101">
        <f>IF(ISNUMBER(G158), $B172 * H158, "")</f>
        <v>955.79450418160093</v>
      </c>
      <c r="J158" s="15">
        <v>846</v>
      </c>
      <c r="K158" s="32">
        <f t="shared" ref="K158:K161" si="84">IF(ISNUMBER(J158), (J158 - $B158) / $B158, "")</f>
        <v>1.0752688172043012E-2</v>
      </c>
      <c r="L158" s="18">
        <f>IF(ISNUMBER(J158), $B172 * K158, "")</f>
        <v>1075.2688172043011</v>
      </c>
      <c r="M158" s="31">
        <v>852</v>
      </c>
      <c r="N158" s="32">
        <f t="shared" ref="N158:N161" si="85">IF(ISNUMBER(M158), (M158 - $B158) / $B158, "")</f>
        <v>1.7921146953405017E-2</v>
      </c>
      <c r="O158" s="18">
        <f>IF(ISNUMBER(M158), $B172 * N158, "")</f>
        <v>1792.1146953405016</v>
      </c>
      <c r="Q158" s="238"/>
      <c r="R158" s="238"/>
      <c r="S158" s="238"/>
    </row>
    <row r="159" spans="1:19" ht="17.25" thickBot="1">
      <c r="A159" s="125" t="s">
        <v>51</v>
      </c>
      <c r="B159" s="126">
        <v>321</v>
      </c>
      <c r="C159" s="77">
        <v>-6.1919504999999996E-3</v>
      </c>
      <c r="D159" s="15">
        <v>319</v>
      </c>
      <c r="E159" s="32">
        <f t="shared" si="82"/>
        <v>-6.2305295950155761E-3</v>
      </c>
      <c r="F159" s="18">
        <f>IF(ISNUMBER(D159), $B172 * E159, "")</f>
        <v>-623.05295950155767</v>
      </c>
      <c r="G159" s="31">
        <v>319</v>
      </c>
      <c r="H159" s="32">
        <f t="shared" si="83"/>
        <v>-6.2305295950155761E-3</v>
      </c>
      <c r="I159" s="101">
        <f>IF(ISNUMBER(G159), $B172 * H159, "")</f>
        <v>-623.05295950155767</v>
      </c>
      <c r="J159" s="15">
        <v>321</v>
      </c>
      <c r="K159" s="32">
        <f t="shared" si="84"/>
        <v>0</v>
      </c>
      <c r="L159" s="18">
        <f>IF(ISNUMBER(J159), $B172 * K159, "")</f>
        <v>0</v>
      </c>
      <c r="M159" s="31">
        <v>324</v>
      </c>
      <c r="N159" s="32">
        <f t="shared" si="85"/>
        <v>9.3457943925233638E-3</v>
      </c>
      <c r="O159" s="18">
        <f>IF(ISNUMBER(M159), $B172 * N159, "")</f>
        <v>934.57943925233633</v>
      </c>
      <c r="Q159" s="238"/>
      <c r="R159" s="238"/>
      <c r="S159" s="238"/>
    </row>
    <row r="160" spans="1:19" ht="17.25" thickBot="1">
      <c r="A160" s="125" t="s">
        <v>118</v>
      </c>
      <c r="B160" s="126">
        <v>144</v>
      </c>
      <c r="C160" s="77">
        <v>-6.8965516999999997E-3</v>
      </c>
      <c r="D160" s="15">
        <v>148</v>
      </c>
      <c r="E160" s="32">
        <f t="shared" si="82"/>
        <v>2.7777777777777776E-2</v>
      </c>
      <c r="F160" s="18">
        <f>IF(ISNUMBER(D160), $B172 * E160, "")</f>
        <v>2777.7777777777778</v>
      </c>
      <c r="G160" s="31">
        <v>147</v>
      </c>
      <c r="H160" s="32">
        <f t="shared" si="83"/>
        <v>2.0833333333333332E-2</v>
      </c>
      <c r="I160" s="101">
        <f>IF(ISNUMBER(G160), $B172 * H160, "")</f>
        <v>2083.333333333333</v>
      </c>
      <c r="J160" s="15">
        <v>148</v>
      </c>
      <c r="K160" s="32">
        <f t="shared" si="84"/>
        <v>2.7777777777777776E-2</v>
      </c>
      <c r="L160" s="18">
        <f>IF(ISNUMBER(J160), $B172 * K160, "")</f>
        <v>2777.7777777777778</v>
      </c>
      <c r="M160" s="31">
        <v>152</v>
      </c>
      <c r="N160" s="32">
        <f t="shared" si="85"/>
        <v>5.5555555555555552E-2</v>
      </c>
      <c r="O160" s="18">
        <f>IF(ISNUMBER(M160), $B172 * N160, "")</f>
        <v>5555.5555555555557</v>
      </c>
      <c r="Q160" s="33"/>
      <c r="R160" s="33"/>
    </row>
    <row r="161" spans="1:19" ht="17.25" thickBot="1">
      <c r="A161" s="130" t="s">
        <v>102</v>
      </c>
      <c r="B161" s="131">
        <v>972</v>
      </c>
      <c r="C161" s="79">
        <v>-8.1632652999999999E-3</v>
      </c>
      <c r="D161" s="24">
        <v>968</v>
      </c>
      <c r="E161" s="25">
        <f t="shared" si="82"/>
        <v>-4.11522633744856E-3</v>
      </c>
      <c r="F161" s="104">
        <f>IF(ISNUMBER(D161), $B172 * E161, "")</f>
        <v>-411.52263374485602</v>
      </c>
      <c r="G161" s="102">
        <v>971</v>
      </c>
      <c r="H161" s="25">
        <f t="shared" si="83"/>
        <v>-1.02880658436214E-3</v>
      </c>
      <c r="I161" s="103">
        <f>IF(ISNUMBER(G161), $B172 * H161, "")</f>
        <v>-102.88065843621401</v>
      </c>
      <c r="J161" s="24">
        <v>977</v>
      </c>
      <c r="K161" s="25">
        <f t="shared" si="84"/>
        <v>5.1440329218106996E-3</v>
      </c>
      <c r="L161" s="104">
        <f>IF(ISNUMBER(J161), $B172 * K161, "")</f>
        <v>514.40329218107001</v>
      </c>
      <c r="M161" s="102">
        <v>1005</v>
      </c>
      <c r="N161" s="25">
        <f t="shared" si="85"/>
        <v>3.3950617283950615E-2</v>
      </c>
      <c r="O161" s="104">
        <f>IF(ISNUMBER(M161), $B172 * N161, "")</f>
        <v>3395.0617283950614</v>
      </c>
      <c r="Q161" s="239"/>
      <c r="R161" s="240"/>
      <c r="S161" s="241"/>
    </row>
    <row r="162" spans="1:19">
      <c r="A162" s="123" t="s">
        <v>218</v>
      </c>
      <c r="B162" s="124">
        <v>115</v>
      </c>
      <c r="C162" s="76">
        <v>-8.6206896999999998E-3</v>
      </c>
      <c r="D162" s="13">
        <v>122</v>
      </c>
      <c r="E162" s="14">
        <f>IF(ISNUMBER(D162), (D162 - $B162) / $B162, "")</f>
        <v>6.0869565217391307E-2</v>
      </c>
      <c r="F162" s="16">
        <f>IF(ISNUMBER(D162), $B172 * E162, "")</f>
        <v>6086.9565217391309</v>
      </c>
      <c r="G162" s="29">
        <v>120</v>
      </c>
      <c r="H162" s="14">
        <f>IF(ISNUMBER(G162), (G162 - $B162) / $B162, "")</f>
        <v>4.3478260869565216E-2</v>
      </c>
      <c r="I162" s="100">
        <f>IF(ISNUMBER(G162), $B172 * H162, "")</f>
        <v>4347.826086956522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120</v>
      </c>
      <c r="N162" s="14">
        <f>IF(ISNUMBER(M162), (M162 - $B162) / $B162, "")</f>
        <v>4.3478260869565216E-2</v>
      </c>
      <c r="O162" s="16">
        <f>IF(ISNUMBER(M162), $B172 * N162, "")</f>
        <v>4347.826086956522</v>
      </c>
      <c r="Q162" s="242"/>
      <c r="R162" s="243"/>
      <c r="S162" s="244"/>
    </row>
    <row r="163" spans="1:19" ht="17.25" thickBot="1">
      <c r="A163" s="125" t="s">
        <v>266</v>
      </c>
      <c r="B163" s="126">
        <v>230</v>
      </c>
      <c r="C163" s="77">
        <v>-8.6206896999999998E-3</v>
      </c>
      <c r="D163" s="15">
        <v>231</v>
      </c>
      <c r="E163" s="32">
        <f t="shared" ref="E163:E166" si="86">IF(ISNUMBER(D163), (D163 - $B163) / $B163, "")</f>
        <v>4.3478260869565218E-3</v>
      </c>
      <c r="F163" s="18">
        <f>IF(ISNUMBER(D163), $B172 * E163, "")</f>
        <v>434.78260869565219</v>
      </c>
      <c r="G163" s="31">
        <v>231</v>
      </c>
      <c r="H163" s="32">
        <f t="shared" ref="H163:H166" si="87">IF(ISNUMBER(G163), (G163 - $B163) / $B163, "")</f>
        <v>4.3478260869565218E-3</v>
      </c>
      <c r="I163" s="101">
        <f>IF(ISNUMBER(G163), $B172 * H163, "")</f>
        <v>434.78260869565219</v>
      </c>
      <c r="J163" s="15">
        <v>232</v>
      </c>
      <c r="K163" s="32">
        <f t="shared" ref="K163:K166" si="88">IF(ISNUMBER(J163), (J163 - $B163) / $B163, "")</f>
        <v>8.6956521739130436E-3</v>
      </c>
      <c r="L163" s="18">
        <f>IF(ISNUMBER(J163), $B172 * K163, "")</f>
        <v>869.56521739130437</v>
      </c>
      <c r="M163" s="31">
        <v>236</v>
      </c>
      <c r="N163" s="32">
        <f t="shared" ref="N163:N166" si="89">IF(ISNUMBER(M163), (M163 - $B163) / $B163, "")</f>
        <v>2.6086956521739129E-2</v>
      </c>
      <c r="O163" s="18">
        <f>IF(ISNUMBER(M163), $B172 * N163, "")</f>
        <v>2608.695652173913</v>
      </c>
      <c r="Q163" s="245"/>
      <c r="R163" s="246"/>
      <c r="S163" s="247"/>
    </row>
    <row r="164" spans="1:19" ht="17.25" thickBot="1">
      <c r="A164" s="125" t="s">
        <v>220</v>
      </c>
      <c r="B164" s="126">
        <v>204</v>
      </c>
      <c r="C164" s="77">
        <v>-9.7087379000000001E-3</v>
      </c>
      <c r="D164" s="15">
        <v>208</v>
      </c>
      <c r="E164" s="32">
        <f t="shared" si="86"/>
        <v>1.9607843137254902E-2</v>
      </c>
      <c r="F164" s="18">
        <f>IF(ISNUMBER(D164), $B172 * E164, "")</f>
        <v>1960.7843137254902</v>
      </c>
      <c r="G164" s="31">
        <v>206</v>
      </c>
      <c r="H164" s="32">
        <f t="shared" si="87"/>
        <v>9.8039215686274508E-3</v>
      </c>
      <c r="I164" s="101">
        <f>IF(ISNUMBER(G164), $B172 * H164, "")</f>
        <v>980.39215686274508</v>
      </c>
      <c r="J164" s="15">
        <v>206</v>
      </c>
      <c r="K164" s="32">
        <f t="shared" si="88"/>
        <v>9.8039215686274508E-3</v>
      </c>
      <c r="L164" s="18">
        <f>IF(ISNUMBER(J164), $B172 * K164, "")</f>
        <v>980.39215686274508</v>
      </c>
      <c r="M164" s="31">
        <v>208</v>
      </c>
      <c r="N164" s="32">
        <f t="shared" si="89"/>
        <v>1.9607843137254902E-2</v>
      </c>
      <c r="O164" s="18">
        <f>IF(ISNUMBER(M164), $B172 * N164, "")</f>
        <v>1960.7843137254902</v>
      </c>
      <c r="Q164" s="238"/>
      <c r="R164" s="238"/>
      <c r="S164" s="238"/>
    </row>
    <row r="165" spans="1:19" ht="17.25" thickBot="1">
      <c r="A165" s="125" t="s">
        <v>86</v>
      </c>
      <c r="B165" s="126">
        <v>303</v>
      </c>
      <c r="C165" s="77">
        <v>-9.8039215999999995E-3</v>
      </c>
      <c r="D165" s="15">
        <v>304</v>
      </c>
      <c r="E165" s="32">
        <f t="shared" si="86"/>
        <v>3.3003300330033004E-3</v>
      </c>
      <c r="F165" s="18">
        <f>IF(ISNUMBER(D165), $B172 * E165, "")</f>
        <v>330.03300330033005</v>
      </c>
      <c r="G165" s="31">
        <v>305</v>
      </c>
      <c r="H165" s="32">
        <f t="shared" si="87"/>
        <v>6.6006600660066007E-3</v>
      </c>
      <c r="I165" s="101">
        <f>IF(ISNUMBER(G165), $B172 * H165, "")</f>
        <v>660.0660066006601</v>
      </c>
      <c r="J165" s="15">
        <v>305</v>
      </c>
      <c r="K165" s="32">
        <f t="shared" si="88"/>
        <v>6.6006600660066007E-3</v>
      </c>
      <c r="L165" s="18">
        <f>IF(ISNUMBER(J165), $B172 * K165, "")</f>
        <v>660.0660066006601</v>
      </c>
      <c r="M165" s="31">
        <v>313</v>
      </c>
      <c r="N165" s="32">
        <f t="shared" si="89"/>
        <v>3.3003300330033E-2</v>
      </c>
      <c r="O165" s="18">
        <f>IF(ISNUMBER(M165), $B172 * N165, "")</f>
        <v>3300.3300330032998</v>
      </c>
      <c r="Q165" s="248"/>
      <c r="R165" s="248"/>
      <c r="S165" s="248"/>
    </row>
    <row r="166" spans="1:19" ht="17.25" thickBot="1">
      <c r="A166" s="127" t="s">
        <v>252</v>
      </c>
      <c r="B166" s="128">
        <v>904</v>
      </c>
      <c r="C166" s="78">
        <v>-1.3100436700000001E-2</v>
      </c>
      <c r="D166" s="20">
        <v>922</v>
      </c>
      <c r="E166" s="21">
        <f t="shared" si="86"/>
        <v>1.9911504424778761E-2</v>
      </c>
      <c r="F166" s="22">
        <f>IF(ISNUMBER(D166), $B172 * E166, "")</f>
        <v>1991.1504424778761</v>
      </c>
      <c r="G166" s="30">
        <v>926</v>
      </c>
      <c r="H166" s="21">
        <f t="shared" si="87"/>
        <v>2.4336283185840708E-2</v>
      </c>
      <c r="I166" s="105">
        <f>IF(ISNUMBER(G166), $B172 * H166, "")</f>
        <v>2433.6283185840707</v>
      </c>
      <c r="J166" s="20">
        <v>929</v>
      </c>
      <c r="K166" s="21">
        <f t="shared" si="88"/>
        <v>2.7654867256637169E-2</v>
      </c>
      <c r="L166" s="22">
        <f>IF(ISNUMBER(J166), $B172 * K166, "")</f>
        <v>2765.4867256637172</v>
      </c>
      <c r="M166" s="30">
        <v>958</v>
      </c>
      <c r="N166" s="21">
        <f t="shared" si="89"/>
        <v>5.9734513274336286E-2</v>
      </c>
      <c r="O166" s="22">
        <f>IF(ISNUMBER(M166), $B172 * N166, "")</f>
        <v>5973.4513274336286</v>
      </c>
      <c r="Q166" s="248"/>
      <c r="R166" s="248"/>
      <c r="S166" s="248"/>
    </row>
    <row r="167" spans="1:19" ht="17.25" thickBot="1">
      <c r="A167" s="125" t="s">
        <v>184</v>
      </c>
      <c r="B167" s="129">
        <v>908</v>
      </c>
      <c r="C167" s="80">
        <v>-1.41150923E-2</v>
      </c>
      <c r="D167" s="106">
        <v>911</v>
      </c>
      <c r="E167" s="107">
        <f>IF(ISNUMBER(D167), (D167 - $B167) / $B167, "")</f>
        <v>3.3039647577092512E-3</v>
      </c>
      <c r="F167" s="108">
        <f>IF(ISNUMBER(D167), $B172 * E167, "")</f>
        <v>330.39647577092512</v>
      </c>
      <c r="G167" s="109">
        <v>920</v>
      </c>
      <c r="H167" s="107">
        <f>IF(ISNUMBER(G167), (G167 - $B167) / $B167, "")</f>
        <v>1.3215859030837005E-2</v>
      </c>
      <c r="I167" s="110">
        <f>IF(ISNUMBER(G167), $B172 * H167, "")</f>
        <v>1321.5859030837005</v>
      </c>
      <c r="J167" s="106">
        <v>926</v>
      </c>
      <c r="K167" s="107">
        <f>IF(ISNUMBER(J167), (J167 - $B167) / $B167, "")</f>
        <v>1.9823788546255508E-2</v>
      </c>
      <c r="L167" s="108">
        <f>IF(ISNUMBER(J167), $B172 * K167, "")</f>
        <v>1982.3788546255507</v>
      </c>
      <c r="M167" s="109">
        <v>934</v>
      </c>
      <c r="N167" s="107">
        <f>IF(ISNUMBER(M167), (M167 - $B167) / $B167, "")</f>
        <v>2.8634361233480177E-2</v>
      </c>
      <c r="O167" s="108">
        <f>IF(ISNUMBER(M167), $B172 * N167, "")</f>
        <v>2863.4361233480176</v>
      </c>
      <c r="Q167" s="238"/>
      <c r="R167" s="238"/>
      <c r="S167" s="238"/>
    </row>
    <row r="168" spans="1:19" ht="17.25" thickBot="1">
      <c r="A168" s="125" t="s">
        <v>232</v>
      </c>
      <c r="B168" s="126">
        <v>474</v>
      </c>
      <c r="C168" s="77">
        <v>-1.8633540399999999E-2</v>
      </c>
      <c r="D168" s="15">
        <v>476</v>
      </c>
      <c r="E168" s="32">
        <f t="shared" ref="E168:E171" si="90">IF(ISNUMBER(D168), (D168 - $B168) / $B168, "")</f>
        <v>4.2194092827004216E-3</v>
      </c>
      <c r="F168" s="18">
        <f>IF(ISNUMBER(D168), $B172 * E168, "")</f>
        <v>421.94092827004215</v>
      </c>
      <c r="G168" s="31">
        <v>476</v>
      </c>
      <c r="H168" s="32">
        <f t="shared" ref="H168:H171" si="91">IF(ISNUMBER(G168), (G168 - $B168) / $B168, "")</f>
        <v>4.2194092827004216E-3</v>
      </c>
      <c r="I168" s="101">
        <f>IF(ISNUMBER(G168), $B172 * H168, "")</f>
        <v>421.94092827004215</v>
      </c>
      <c r="J168" s="15">
        <v>480</v>
      </c>
      <c r="K168" s="32">
        <f t="shared" ref="K168:K171" si="92">IF(ISNUMBER(J168), (J168 - $B168) / $B168, "")</f>
        <v>1.2658227848101266E-2</v>
      </c>
      <c r="L168" s="18">
        <f>IF(ISNUMBER(J168), $B172 * K168, "")</f>
        <v>1265.8227848101264</v>
      </c>
      <c r="M168" s="31">
        <v>484</v>
      </c>
      <c r="N168" s="32">
        <f t="shared" ref="N168:N171" si="93">IF(ISNUMBER(M168), (M168 - $B168) / $B168, "")</f>
        <v>2.1097046413502109E-2</v>
      </c>
      <c r="O168" s="18">
        <f>IF(ISNUMBER(M168), $B172 * N168, "")</f>
        <v>2109.7046413502107</v>
      </c>
      <c r="Q168" s="238"/>
      <c r="R168" s="238"/>
      <c r="S168" s="238"/>
    </row>
    <row r="169" spans="1:19" ht="17.25" thickBot="1">
      <c r="A169" s="125" t="s">
        <v>230</v>
      </c>
      <c r="B169" s="126">
        <v>193</v>
      </c>
      <c r="C169" s="77">
        <v>-2.0304568499999998E-2</v>
      </c>
      <c r="D169" s="15">
        <v>196</v>
      </c>
      <c r="E169" s="32">
        <f t="shared" si="90"/>
        <v>1.5544041450777202E-2</v>
      </c>
      <c r="F169" s="18">
        <f>IF(ISNUMBER(D169), $B172 * E169, "")</f>
        <v>1554.4041450777202</v>
      </c>
      <c r="G169" s="31">
        <v>196</v>
      </c>
      <c r="H169" s="32">
        <f t="shared" si="91"/>
        <v>1.5544041450777202E-2</v>
      </c>
      <c r="I169" s="101">
        <f>IF(ISNUMBER(G169), $B172 * H169, "")</f>
        <v>1554.4041450777202</v>
      </c>
      <c r="J169" s="15">
        <v>196</v>
      </c>
      <c r="K169" s="32">
        <f t="shared" si="92"/>
        <v>1.5544041450777202E-2</v>
      </c>
      <c r="L169" s="18">
        <f>IF(ISNUMBER(J169), $B172 * K169, "")</f>
        <v>1554.4041450777202</v>
      </c>
      <c r="M169" s="31">
        <v>200</v>
      </c>
      <c r="N169" s="32">
        <f t="shared" si="93"/>
        <v>3.6269430051813469E-2</v>
      </c>
      <c r="O169" s="18">
        <f>IF(ISNUMBER(M169), $B172 * N169, "")</f>
        <v>3626.943005181347</v>
      </c>
      <c r="Q169" s="238"/>
      <c r="R169" s="238"/>
      <c r="S169" s="238"/>
    </row>
    <row r="170" spans="1:19">
      <c r="A170" s="125" t="s">
        <v>144</v>
      </c>
      <c r="B170" s="126">
        <v>109</v>
      </c>
      <c r="C170" s="77">
        <v>-2.6785714299999999E-2</v>
      </c>
      <c r="D170" s="15">
        <v>111</v>
      </c>
      <c r="E170" s="32">
        <f t="shared" si="90"/>
        <v>1.834862385321101E-2</v>
      </c>
      <c r="F170" s="18">
        <f>IF(ISNUMBER(D170), $B172 * E170, "")</f>
        <v>1834.8623853211011</v>
      </c>
      <c r="G170" s="31">
        <v>110</v>
      </c>
      <c r="H170" s="32">
        <f t="shared" si="91"/>
        <v>9.1743119266055051E-3</v>
      </c>
      <c r="I170" s="101">
        <f>IF(ISNUMBER(G170), $B172 * H170, "")</f>
        <v>917.43119266055055</v>
      </c>
      <c r="J170" s="15">
        <v>109</v>
      </c>
      <c r="K170" s="32">
        <f t="shared" si="92"/>
        <v>0</v>
      </c>
      <c r="L170" s="18">
        <f>IF(ISNUMBER(J170), $B172 * K170, "")</f>
        <v>0</v>
      </c>
      <c r="M170" s="31">
        <v>111</v>
      </c>
      <c r="N170" s="32">
        <f t="shared" si="93"/>
        <v>1.834862385321101E-2</v>
      </c>
      <c r="O170" s="18">
        <f>IF(ISNUMBER(M170), $B172 * N170, "")</f>
        <v>1834.8623853211011</v>
      </c>
      <c r="Q170" s="227"/>
      <c r="R170" s="228"/>
      <c r="S170" s="229"/>
    </row>
    <row r="171" spans="1:19" ht="17.25" thickBot="1">
      <c r="A171" s="130" t="s">
        <v>114</v>
      </c>
      <c r="B171" s="131">
        <v>723</v>
      </c>
      <c r="C171" s="79">
        <v>-3.47129506E-2</v>
      </c>
      <c r="D171" s="24">
        <v>719</v>
      </c>
      <c r="E171" s="25">
        <f t="shared" si="90"/>
        <v>-5.5325034578146614E-3</v>
      </c>
      <c r="F171" s="104">
        <f>IF(ISNUMBER(D171), $B172 * E171, "")</f>
        <v>-553.25034578146619</v>
      </c>
      <c r="G171" s="102">
        <v>734</v>
      </c>
      <c r="H171" s="25">
        <f t="shared" si="91"/>
        <v>1.5214384508990318E-2</v>
      </c>
      <c r="I171" s="103">
        <f>IF(ISNUMBER(G171), $B172 * H171, "")</f>
        <v>1521.4384508990317</v>
      </c>
      <c r="J171" s="24">
        <v>737</v>
      </c>
      <c r="K171" s="25">
        <f t="shared" si="92"/>
        <v>1.9363762102351315E-2</v>
      </c>
      <c r="L171" s="104">
        <f>IF(ISNUMBER(J171), $B172 * K171, "")</f>
        <v>1936.3762102351316</v>
      </c>
      <c r="M171" s="102">
        <v>738</v>
      </c>
      <c r="N171" s="25">
        <f t="shared" si="93"/>
        <v>2.0746887966804978E-2</v>
      </c>
      <c r="O171" s="104">
        <f>IF(ISNUMBER(M171), $B172 * N171, "")</f>
        <v>2074.6887966804979</v>
      </c>
      <c r="Q171" s="230"/>
      <c r="R171" s="231"/>
      <c r="S171" s="232"/>
    </row>
    <row r="172" spans="1:19" ht="17.25" thickBot="1">
      <c r="A172" s="132" t="s">
        <v>270</v>
      </c>
      <c r="B172" s="291">
        <f>$B$37</f>
        <v>100000</v>
      </c>
      <c r="C172" s="292"/>
      <c r="D172" s="26" t="s">
        <v>271</v>
      </c>
      <c r="E172" s="27">
        <f>IF(COUNT(E152:E171), SUM(E152:E171) / COUNT(E152:E171), 0)</f>
        <v>1.2362447657422403E-2</v>
      </c>
      <c r="F172" s="28">
        <f>SUM(F152:F171)</f>
        <v>24724.895314844798</v>
      </c>
      <c r="G172" s="26" t="s">
        <v>271</v>
      </c>
      <c r="H172" s="27">
        <f>IF(COUNT(H152:H171), SUM(H152:H171) / COUNT(H152:H171), 0)</f>
        <v>1.1535678095706178E-2</v>
      </c>
      <c r="I172" s="28">
        <f>SUM(I152:I171)</f>
        <v>23071.35619141236</v>
      </c>
      <c r="J172" s="26" t="s">
        <v>271</v>
      </c>
      <c r="K172" s="27">
        <f>IF(COUNT(K152:K171), SUM(K152:K171) / COUNT(K152:K171), 0)</f>
        <v>1.4289095534865803E-2</v>
      </c>
      <c r="L172" s="28">
        <f>SUM(L152:L171)</f>
        <v>28578.191069731609</v>
      </c>
      <c r="M172" s="26" t="s">
        <v>271</v>
      </c>
      <c r="N172" s="27">
        <f>IF(COUNT(N152:N171), SUM(N152:N171) / COUNT(N152:N171), 0)</f>
        <v>2.8517925234702875E-2</v>
      </c>
      <c r="O172" s="28">
        <f>SUM(O152:O171)</f>
        <v>57035.850469405748</v>
      </c>
      <c r="Q172" s="233"/>
      <c r="R172" s="234"/>
      <c r="S172" s="23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48"/>
      <c r="R175" s="248"/>
      <c r="S175" s="248"/>
    </row>
    <row r="176" spans="1:19" ht="17.25" thickBot="1">
      <c r="A176" s="177" t="s">
        <v>267</v>
      </c>
      <c r="B176" s="249" t="s">
        <v>49</v>
      </c>
      <c r="C176" s="251"/>
      <c r="D176" s="249" t="s">
        <v>58</v>
      </c>
      <c r="E176" s="250"/>
      <c r="F176" s="251"/>
      <c r="G176" s="252">
        <f>_xlfn.IFNA(VLOOKUP(B176, 현재가테이블!$B$2:$D$200, 2, FALSE), "-")</f>
        <v>54440000</v>
      </c>
      <c r="H176" s="253"/>
      <c r="I176" s="254"/>
      <c r="J176" s="249" t="s">
        <v>59</v>
      </c>
      <c r="K176" s="250"/>
      <c r="L176" s="251"/>
      <c r="M176" s="255">
        <f>_xlfn.IFNA(VLOOKUP(B176, 현재가테이블!$B$2:$D$200, 3, FALSE), "-")</f>
        <v>1.07123628E-2</v>
      </c>
      <c r="N176" s="256"/>
      <c r="O176" s="257"/>
      <c r="Q176" s="248"/>
      <c r="R176" s="248"/>
      <c r="S176" s="248"/>
    </row>
    <row r="177" spans="1:19" ht="17.25" thickBot="1">
      <c r="A177" s="293" t="s">
        <v>55</v>
      </c>
      <c r="B177" s="289" t="str">
        <f>TEXT($G$1, "[$-ko-KR]yyyy-mm-dd(ddd) ") &amp; "오전 00:00"</f>
        <v>2021-08-06(금) 오전 00:00</v>
      </c>
      <c r="C177" s="290"/>
      <c r="D177" s="262" t="str">
        <f>TEXT($G$1, "[$-ko-KR]yyyy-mm-dd(ddd) ") &amp; "오후 14:00"</f>
        <v>2021-08-06(금) 오후 14:00</v>
      </c>
      <c r="E177" s="263"/>
      <c r="F177" s="264"/>
      <c r="G177" s="262" t="str">
        <f>TEXT($G$1, "[$-ko-KR]yyyy-mm-dd(ddd) ") &amp; "오후 19:00"</f>
        <v>2021-08-06(금) 오후 19:00</v>
      </c>
      <c r="H177" s="263"/>
      <c r="I177" s="264"/>
      <c r="J177" s="262" t="str">
        <f>TEXT($G$1, "[$-ko-KR]yyyy-mm-dd(ddd) ") &amp; "오후 21:00"</f>
        <v>2021-08-06(금) 오후 21:00</v>
      </c>
      <c r="K177" s="263"/>
      <c r="L177" s="264"/>
      <c r="M177" s="262" t="str">
        <f>TEXT($G$1+1, "[$-ko-KR]yyyy-mm-dd(ddd) ") &amp; "오전 00:00"</f>
        <v>2021-08-07(토) 오전 00:00</v>
      </c>
      <c r="N177" s="263"/>
      <c r="O177" s="264"/>
      <c r="Q177" s="248"/>
      <c r="R177" s="248"/>
      <c r="S177" s="248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8" t="s">
        <v>58</v>
      </c>
      <c r="H178" s="179" t="s">
        <v>268</v>
      </c>
      <c r="I178" s="18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8"/>
      <c r="R178" s="238"/>
      <c r="S178" s="238"/>
    </row>
    <row r="179" spans="1:19" ht="17.25" thickBot="1">
      <c r="A179" s="123" t="s">
        <v>212</v>
      </c>
      <c r="B179" s="124">
        <v>1185</v>
      </c>
      <c r="C179" s="76">
        <v>-1.2500000000000001E-2</v>
      </c>
      <c r="D179" s="13">
        <v>1280</v>
      </c>
      <c r="E179" s="14">
        <f>IF(ISNUMBER(D179), (D179 - $B179) / $B179, "")</f>
        <v>8.0168776371308023E-2</v>
      </c>
      <c r="F179" s="16">
        <f>IF(ISNUMBER(D179), $B199 * E179, "")</f>
        <v>8016.8776371308022</v>
      </c>
      <c r="G179" s="29">
        <v>1280</v>
      </c>
      <c r="H179" s="14">
        <f>IF(ISNUMBER(G179), (G179 - $B179) / $B179, "")</f>
        <v>8.0168776371308023E-2</v>
      </c>
      <c r="I179" s="100">
        <f>IF(ISNUMBER(G179), $B199 * H179, "")</f>
        <v>8016.8776371308022</v>
      </c>
      <c r="J179" s="13">
        <v>1270</v>
      </c>
      <c r="K179" s="14">
        <f>IF(ISNUMBER(J179), (J179 - $B179) / $B179, "")</f>
        <v>7.1729957805907171E-2</v>
      </c>
      <c r="L179" s="16">
        <f>IF(ISNUMBER(J179), $B199 * K179, "")</f>
        <v>7172.995780590717</v>
      </c>
      <c r="M179" s="29">
        <v>1270</v>
      </c>
      <c r="N179" s="14">
        <f>IF(ISNUMBER(M179), (M179 - $B179) / $B179, "")</f>
        <v>7.1729957805907171E-2</v>
      </c>
      <c r="O179" s="16">
        <f>IF(ISNUMBER(M179), $B199 * N179, "")</f>
        <v>7172.995780590717</v>
      </c>
      <c r="Q179" s="248"/>
      <c r="R179" s="248"/>
      <c r="S179" s="248"/>
    </row>
    <row r="180" spans="1:19" ht="17.25" thickBot="1">
      <c r="A180" s="125" t="s">
        <v>49</v>
      </c>
      <c r="B180" s="126">
        <v>45122000</v>
      </c>
      <c r="C180" s="77">
        <v>-1.30364408E-2</v>
      </c>
      <c r="D180" s="15">
        <v>46669000</v>
      </c>
      <c r="E180" s="32">
        <f t="shared" ref="E180:E183" si="94">IF(ISNUMBER(D180), (D180 - $B180) / $B180, "")</f>
        <v>3.4284827800186164E-2</v>
      </c>
      <c r="F180" s="18">
        <f>IF(ISNUMBER(D180), $B199 * E180, "")</f>
        <v>3428.4827800186163</v>
      </c>
      <c r="G180" s="31">
        <v>46872000</v>
      </c>
      <c r="H180" s="32">
        <f t="shared" ref="H180:H183" si="95">IF(ISNUMBER(G180), (G180 - $B180) / $B180, "")</f>
        <v>3.8783741855414208E-2</v>
      </c>
      <c r="I180" s="101">
        <f>IF(ISNUMBER(G180), $B199 * H180, "")</f>
        <v>3878.374185541421</v>
      </c>
      <c r="J180" s="15">
        <v>47187000</v>
      </c>
      <c r="K180" s="32">
        <f t="shared" ref="K180:K183" si="96">IF(ISNUMBER(J180), (J180 - $B180) / $B180, "")</f>
        <v>4.5764815389388772E-2</v>
      </c>
      <c r="L180" s="18">
        <f>IF(ISNUMBER(J180), $B199 * K180, "")</f>
        <v>4576.4815389388768</v>
      </c>
      <c r="M180" s="31">
        <v>48400000</v>
      </c>
      <c r="N180" s="32">
        <f t="shared" ref="N180:N183" si="97">IF(ISNUMBER(M180), (M180 - $B180) / $B180, "")</f>
        <v>7.2647489029741594E-2</v>
      </c>
      <c r="O180" s="18">
        <f>IF(ISNUMBER(M180), $B199 * N180, "")</f>
        <v>7264.7489029741591</v>
      </c>
      <c r="Q180" s="248"/>
      <c r="R180" s="248"/>
      <c r="S180" s="248"/>
    </row>
    <row r="181" spans="1:19" ht="17.25" thickBot="1">
      <c r="A181" s="125" t="s">
        <v>252</v>
      </c>
      <c r="B181" s="126">
        <v>904</v>
      </c>
      <c r="C181" s="77">
        <v>-1.3100436700000001E-2</v>
      </c>
      <c r="D181" s="15">
        <v>922</v>
      </c>
      <c r="E181" s="32">
        <f t="shared" si="94"/>
        <v>1.9911504424778761E-2</v>
      </c>
      <c r="F181" s="18">
        <f>IF(ISNUMBER(D181), $B199 * E181, "")</f>
        <v>1991.1504424778761</v>
      </c>
      <c r="G181" s="31">
        <v>926</v>
      </c>
      <c r="H181" s="32">
        <f t="shared" si="95"/>
        <v>2.4336283185840708E-2</v>
      </c>
      <c r="I181" s="101">
        <f>IF(ISNUMBER(G181), $B199 * H181, "")</f>
        <v>2433.6283185840707</v>
      </c>
      <c r="J181" s="15">
        <v>929</v>
      </c>
      <c r="K181" s="32">
        <f t="shared" si="96"/>
        <v>2.7654867256637169E-2</v>
      </c>
      <c r="L181" s="18">
        <f>IF(ISNUMBER(J181), $B199 * K181, "")</f>
        <v>2765.4867256637172</v>
      </c>
      <c r="M181" s="31">
        <v>958</v>
      </c>
      <c r="N181" s="32">
        <f t="shared" si="97"/>
        <v>5.9734513274336286E-2</v>
      </c>
      <c r="O181" s="18">
        <f>IF(ISNUMBER(M181), $B199 * N181, "")</f>
        <v>5973.4513274336286</v>
      </c>
      <c r="Q181" s="238"/>
      <c r="R181" s="238"/>
      <c r="S181" s="238"/>
    </row>
    <row r="182" spans="1:19" ht="17.25" thickBot="1">
      <c r="A182" s="125" t="s">
        <v>92</v>
      </c>
      <c r="B182" s="126">
        <v>61680</v>
      </c>
      <c r="C182" s="77">
        <v>-1.3435700599999999E-2</v>
      </c>
      <c r="D182" s="15">
        <v>62760</v>
      </c>
      <c r="E182" s="32">
        <f t="shared" si="94"/>
        <v>1.7509727626459144E-2</v>
      </c>
      <c r="F182" s="18">
        <f>IF(ISNUMBER(D182), $B199 * E182, "")</f>
        <v>1750.9727626459144</v>
      </c>
      <c r="G182" s="31">
        <v>63300</v>
      </c>
      <c r="H182" s="32">
        <f t="shared" si="95"/>
        <v>2.6264591439688716E-2</v>
      </c>
      <c r="I182" s="101">
        <f>IF(ISNUMBER(G182), $B199 * H182, "")</f>
        <v>2626.4591439688716</v>
      </c>
      <c r="J182" s="15">
        <v>63580</v>
      </c>
      <c r="K182" s="32">
        <f t="shared" si="96"/>
        <v>3.0804150453955903E-2</v>
      </c>
      <c r="L182" s="18">
        <f>IF(ISNUMBER(J182), $B199 * K182, "")</f>
        <v>3080.4150453955904</v>
      </c>
      <c r="M182" s="31">
        <v>63990</v>
      </c>
      <c r="N182" s="32">
        <f t="shared" si="97"/>
        <v>3.7451361867704279E-2</v>
      </c>
      <c r="O182" s="18">
        <f>IF(ISNUMBER(M182), $B199 * N182, "")</f>
        <v>3745.1361867704277</v>
      </c>
      <c r="Q182" s="238"/>
      <c r="R182" s="238"/>
      <c r="S182" s="238"/>
    </row>
    <row r="183" spans="1:19" ht="17.25" thickBot="1">
      <c r="A183" s="127" t="s">
        <v>184</v>
      </c>
      <c r="B183" s="128">
        <v>908</v>
      </c>
      <c r="C183" s="78">
        <v>-1.41150923E-2</v>
      </c>
      <c r="D183" s="20">
        <v>911</v>
      </c>
      <c r="E183" s="21">
        <f t="shared" si="94"/>
        <v>3.3039647577092512E-3</v>
      </c>
      <c r="F183" s="22">
        <f>IF(ISNUMBER(D183), $B199 * E183, "")</f>
        <v>330.39647577092512</v>
      </c>
      <c r="G183" s="30">
        <v>920</v>
      </c>
      <c r="H183" s="21">
        <f t="shared" si="95"/>
        <v>1.3215859030837005E-2</v>
      </c>
      <c r="I183" s="105">
        <f>IF(ISNUMBER(G183), $B199 * H183, "")</f>
        <v>1321.5859030837005</v>
      </c>
      <c r="J183" s="20">
        <v>926</v>
      </c>
      <c r="K183" s="21">
        <f t="shared" si="96"/>
        <v>1.9823788546255508E-2</v>
      </c>
      <c r="L183" s="22">
        <f>IF(ISNUMBER(J183), $B199 * K183, "")</f>
        <v>1982.3788546255507</v>
      </c>
      <c r="M183" s="30">
        <v>934</v>
      </c>
      <c r="N183" s="21">
        <f t="shared" si="97"/>
        <v>2.8634361233480177E-2</v>
      </c>
      <c r="O183" s="22">
        <f>IF(ISNUMBER(M183), $B199 * N183, "")</f>
        <v>2863.4361233480176</v>
      </c>
      <c r="Q183" s="238"/>
      <c r="R183" s="238"/>
      <c r="S183" s="238"/>
    </row>
    <row r="184" spans="1:19" ht="17.25" thickBot="1">
      <c r="A184" s="125" t="s">
        <v>160</v>
      </c>
      <c r="B184" s="129">
        <v>1235</v>
      </c>
      <c r="C184" s="80">
        <v>-1.5936255E-2</v>
      </c>
      <c r="D184" s="106">
        <v>1255</v>
      </c>
      <c r="E184" s="107">
        <f>IF(ISNUMBER(D184), (D184 - $B184) / $B184, "")</f>
        <v>1.6194331983805668E-2</v>
      </c>
      <c r="F184" s="108">
        <f>IF(ISNUMBER(D184), $B199 * E184, "")</f>
        <v>1619.4331983805669</v>
      </c>
      <c r="G184" s="109">
        <v>1255</v>
      </c>
      <c r="H184" s="107">
        <f>IF(ISNUMBER(G184), (G184 - $B184) / $B184, "")</f>
        <v>1.6194331983805668E-2</v>
      </c>
      <c r="I184" s="110">
        <f>IF(ISNUMBER(G184), $B199 * H184, "")</f>
        <v>1619.4331983805669</v>
      </c>
      <c r="J184" s="106">
        <v>1275</v>
      </c>
      <c r="K184" s="107">
        <f>IF(ISNUMBER(J184), (J184 - $B184) / $B184, "")</f>
        <v>3.2388663967611336E-2</v>
      </c>
      <c r="L184" s="108">
        <f>IF(ISNUMBER(J184), $B199 * K184, "")</f>
        <v>3238.8663967611337</v>
      </c>
      <c r="M184" s="109">
        <v>1300</v>
      </c>
      <c r="N184" s="107">
        <f>IF(ISNUMBER(M184), (M184 - $B184) / $B184, "")</f>
        <v>5.2631578947368418E-2</v>
      </c>
      <c r="O184" s="108">
        <f>IF(ISNUMBER(M184), $B199 * N184, "")</f>
        <v>5263.1578947368416</v>
      </c>
      <c r="Q184" s="238"/>
      <c r="R184" s="238"/>
      <c r="S184" s="238"/>
    </row>
    <row r="185" spans="1:19" ht="17.25" thickBot="1">
      <c r="A185" s="125" t="s">
        <v>170</v>
      </c>
      <c r="B185" s="126">
        <v>29450</v>
      </c>
      <c r="C185" s="77">
        <v>-1.66944908E-2</v>
      </c>
      <c r="D185" s="15">
        <v>29320</v>
      </c>
      <c r="E185" s="32">
        <f t="shared" ref="E185:E188" si="98">IF(ISNUMBER(D185), (D185 - $B185) / $B185, "")</f>
        <v>-4.4142614601018672E-3</v>
      </c>
      <c r="F185" s="18">
        <f>IF(ISNUMBER(D185), $B199 * E185, "")</f>
        <v>-441.4261460101867</v>
      </c>
      <c r="G185" s="31">
        <v>29390</v>
      </c>
      <c r="H185" s="32">
        <f t="shared" ref="H185:H188" si="99">IF(ISNUMBER(G185), (G185 - $B185) / $B185, "")</f>
        <v>-2.0373514431239388E-3</v>
      </c>
      <c r="I185" s="101">
        <f>IF(ISNUMBER(G185), $B199 * H185, "")</f>
        <v>-203.73514431239389</v>
      </c>
      <c r="J185" s="15">
        <v>29410</v>
      </c>
      <c r="K185" s="32">
        <f t="shared" ref="K185:K188" si="100">IF(ISNUMBER(J185), (J185 - $B185) / $B185, "")</f>
        <v>-1.3582342954159593E-3</v>
      </c>
      <c r="L185" s="18">
        <f>IF(ISNUMBER(J185), $B199 * K185, "")</f>
        <v>-135.82342954159594</v>
      </c>
      <c r="M185" s="31">
        <v>29820</v>
      </c>
      <c r="N185" s="32">
        <f t="shared" ref="N185:N188" si="101">IF(ISNUMBER(M185), (M185 - $B185) / $B185, "")</f>
        <v>1.2563667232597622E-2</v>
      </c>
      <c r="O185" s="18">
        <f>IF(ISNUMBER(M185), $B199 * N185, "")</f>
        <v>1256.3667232597622</v>
      </c>
      <c r="Q185" s="238"/>
      <c r="R185" s="238"/>
      <c r="S185" s="238"/>
    </row>
    <row r="186" spans="1:19" ht="17.25" thickBot="1">
      <c r="A186" s="125" t="s">
        <v>69</v>
      </c>
      <c r="B186" s="126">
        <v>5160</v>
      </c>
      <c r="C186" s="77">
        <v>-1.8078020899999998E-2</v>
      </c>
      <c r="D186" s="15">
        <v>5035</v>
      </c>
      <c r="E186" s="32">
        <f t="shared" si="98"/>
        <v>-2.4224806201550389E-2</v>
      </c>
      <c r="F186" s="18">
        <f>IF(ISNUMBER(D186), $B199 * E186, "")</f>
        <v>-2422.4806201550391</v>
      </c>
      <c r="G186" s="31">
        <v>5025</v>
      </c>
      <c r="H186" s="32">
        <f t="shared" si="99"/>
        <v>-2.616279069767442E-2</v>
      </c>
      <c r="I186" s="101">
        <f>IF(ISNUMBER(G186), $B199 * H186, "")</f>
        <v>-2616.2790697674418</v>
      </c>
      <c r="J186" s="15">
        <v>5075</v>
      </c>
      <c r="K186" s="32">
        <f t="shared" si="100"/>
        <v>-1.6472868217054265E-2</v>
      </c>
      <c r="L186" s="18">
        <f>IF(ISNUMBER(J186), $B199 * K186, "")</f>
        <v>-1647.2868217054265</v>
      </c>
      <c r="M186" s="31">
        <v>5240</v>
      </c>
      <c r="N186" s="32">
        <f t="shared" si="101"/>
        <v>1.5503875968992248E-2</v>
      </c>
      <c r="O186" s="18">
        <f>IF(ISNUMBER(M186), $B199 * N186, "")</f>
        <v>1550.3875968992247</v>
      </c>
      <c r="Q186" s="238"/>
      <c r="R186" s="238"/>
      <c r="S186" s="238"/>
    </row>
    <row r="187" spans="1:19" ht="17.25" thickBot="1">
      <c r="A187" s="125" t="s">
        <v>232</v>
      </c>
      <c r="B187" s="126">
        <v>474</v>
      </c>
      <c r="C187" s="77">
        <v>-1.8633540399999999E-2</v>
      </c>
      <c r="D187" s="15">
        <v>476</v>
      </c>
      <c r="E187" s="32">
        <f t="shared" si="98"/>
        <v>4.2194092827004216E-3</v>
      </c>
      <c r="F187" s="18">
        <f>IF(ISNUMBER(D187), $B199 * E187, "")</f>
        <v>421.94092827004215</v>
      </c>
      <c r="G187" s="31">
        <v>476</v>
      </c>
      <c r="H187" s="32">
        <f t="shared" si="99"/>
        <v>4.2194092827004216E-3</v>
      </c>
      <c r="I187" s="101">
        <f>IF(ISNUMBER(G187), $B199 * H187, "")</f>
        <v>421.94092827004215</v>
      </c>
      <c r="J187" s="15">
        <v>480</v>
      </c>
      <c r="K187" s="32">
        <f t="shared" si="100"/>
        <v>1.2658227848101266E-2</v>
      </c>
      <c r="L187" s="18">
        <f>IF(ISNUMBER(J187), $B199 * K187, "")</f>
        <v>1265.8227848101264</v>
      </c>
      <c r="M187" s="31">
        <v>484</v>
      </c>
      <c r="N187" s="32">
        <f t="shared" si="101"/>
        <v>2.1097046413502109E-2</v>
      </c>
      <c r="O187" s="18">
        <f>IF(ISNUMBER(M187), $B199 * N187, "")</f>
        <v>2109.7046413502107</v>
      </c>
      <c r="Q187" s="33"/>
      <c r="R187" s="33"/>
    </row>
    <row r="188" spans="1:19" ht="17.25" thickBot="1">
      <c r="A188" s="130" t="s">
        <v>244</v>
      </c>
      <c r="B188" s="131">
        <v>1315</v>
      </c>
      <c r="C188" s="79">
        <v>-1.8656716399999999E-2</v>
      </c>
      <c r="D188" s="24">
        <v>1330</v>
      </c>
      <c r="E188" s="25">
        <f t="shared" si="98"/>
        <v>1.1406844106463879E-2</v>
      </c>
      <c r="F188" s="104">
        <f>IF(ISNUMBER(D188), $B199 * E188, "")</f>
        <v>1140.684410646388</v>
      </c>
      <c r="G188" s="102">
        <v>1330</v>
      </c>
      <c r="H188" s="25">
        <f t="shared" si="99"/>
        <v>1.1406844106463879E-2</v>
      </c>
      <c r="I188" s="103">
        <f>IF(ISNUMBER(G188), $B199 * H188, "")</f>
        <v>1140.684410646388</v>
      </c>
      <c r="J188" s="24">
        <v>1345</v>
      </c>
      <c r="K188" s="25">
        <f t="shared" si="100"/>
        <v>2.2813688212927757E-2</v>
      </c>
      <c r="L188" s="104">
        <f>IF(ISNUMBER(J188), $B199 * K188, "")</f>
        <v>2281.3688212927759</v>
      </c>
      <c r="M188" s="102">
        <v>1365</v>
      </c>
      <c r="N188" s="25">
        <f t="shared" si="101"/>
        <v>3.8022813688212927E-2</v>
      </c>
      <c r="O188" s="104">
        <f>IF(ISNUMBER(M188), $B199 * N188, "")</f>
        <v>3802.2813688212927</v>
      </c>
      <c r="Q188" s="239"/>
      <c r="R188" s="240"/>
      <c r="S188" s="241"/>
    </row>
    <row r="189" spans="1:19">
      <c r="A189" s="123" t="s">
        <v>248</v>
      </c>
      <c r="B189" s="124">
        <v>2200</v>
      </c>
      <c r="C189" s="76">
        <v>-2.00445434E-2</v>
      </c>
      <c r="D189" s="13">
        <v>2230</v>
      </c>
      <c r="E189" s="14">
        <f>IF(ISNUMBER(D189), (D189 - $B189) / $B189, "")</f>
        <v>1.3636363636363636E-2</v>
      </c>
      <c r="F189" s="16">
        <f>IF(ISNUMBER(D189), $B199 * E189, "")</f>
        <v>1363.6363636363635</v>
      </c>
      <c r="G189" s="29">
        <v>2230</v>
      </c>
      <c r="H189" s="14">
        <f>IF(ISNUMBER(G189), (G189 - $B189) / $B189, "")</f>
        <v>1.3636363636363636E-2</v>
      </c>
      <c r="I189" s="100">
        <f>IF(ISNUMBER(G189), $B199 * H189, "")</f>
        <v>1363.6363636363635</v>
      </c>
      <c r="J189" s="13">
        <v>2235</v>
      </c>
      <c r="K189" s="14">
        <f>IF(ISNUMBER(J189), (J189 - $B189) / $B189, "")</f>
        <v>1.5909090909090907E-2</v>
      </c>
      <c r="L189" s="16">
        <f>IF(ISNUMBER(J189), $B199 * K189, "")</f>
        <v>1590.9090909090908</v>
      </c>
      <c r="M189" s="29">
        <v>2265</v>
      </c>
      <c r="N189" s="14">
        <f>IF(ISNUMBER(M189), (M189 - $B189) / $B189, "")</f>
        <v>2.9545454545454545E-2</v>
      </c>
      <c r="O189" s="16">
        <f>IF(ISNUMBER(M189), $B199 * N189, "")</f>
        <v>2954.5454545454545</v>
      </c>
      <c r="Q189" s="242"/>
      <c r="R189" s="243"/>
      <c r="S189" s="244"/>
    </row>
    <row r="190" spans="1:19" ht="17.25" thickBot="1">
      <c r="A190" s="125" t="s">
        <v>230</v>
      </c>
      <c r="B190" s="126">
        <v>193</v>
      </c>
      <c r="C190" s="77">
        <v>-2.0304568499999998E-2</v>
      </c>
      <c r="D190" s="15">
        <v>196</v>
      </c>
      <c r="E190" s="32">
        <f t="shared" ref="E190:E193" si="102">IF(ISNUMBER(D190), (D190 - $B190) / $B190, "")</f>
        <v>1.5544041450777202E-2</v>
      </c>
      <c r="F190" s="18">
        <f>IF(ISNUMBER(D190), $B199 * E190, "")</f>
        <v>1554.4041450777202</v>
      </c>
      <c r="G190" s="31">
        <v>196</v>
      </c>
      <c r="H190" s="32">
        <f t="shared" ref="H190:H193" si="103">IF(ISNUMBER(G190), (G190 - $B190) / $B190, "")</f>
        <v>1.5544041450777202E-2</v>
      </c>
      <c r="I190" s="101">
        <f>IF(ISNUMBER(G190), $B199 * H190, "")</f>
        <v>1554.4041450777202</v>
      </c>
      <c r="J190" s="15">
        <v>196</v>
      </c>
      <c r="K190" s="32">
        <f t="shared" ref="K190:K193" si="104">IF(ISNUMBER(J190), (J190 - $B190) / $B190, "")</f>
        <v>1.5544041450777202E-2</v>
      </c>
      <c r="L190" s="18">
        <f>IF(ISNUMBER(J190), $B199 * K190, "")</f>
        <v>1554.4041450777202</v>
      </c>
      <c r="M190" s="31">
        <v>200</v>
      </c>
      <c r="N190" s="32">
        <f t="shared" ref="N190:N193" si="105">IF(ISNUMBER(M190), (M190 - $B190) / $B190, "")</f>
        <v>3.6269430051813469E-2</v>
      </c>
      <c r="O190" s="18">
        <f>IF(ISNUMBER(M190), $B199 * N190, "")</f>
        <v>3626.943005181347</v>
      </c>
      <c r="Q190" s="245"/>
      <c r="R190" s="246"/>
      <c r="S190" s="247"/>
    </row>
    <row r="191" spans="1:19" ht="17.25" thickBot="1">
      <c r="A191" s="125" t="s">
        <v>196</v>
      </c>
      <c r="B191" s="126">
        <v>4050</v>
      </c>
      <c r="C191" s="77">
        <v>-2.29191797E-2</v>
      </c>
      <c r="D191" s="15">
        <v>4105</v>
      </c>
      <c r="E191" s="32">
        <f t="shared" si="102"/>
        <v>1.3580246913580247E-2</v>
      </c>
      <c r="F191" s="18">
        <f>IF(ISNUMBER(D191), $B199 * E191, "")</f>
        <v>1358.0246913580247</v>
      </c>
      <c r="G191" s="31">
        <v>4090</v>
      </c>
      <c r="H191" s="32">
        <f t="shared" si="103"/>
        <v>9.876543209876543E-3</v>
      </c>
      <c r="I191" s="101">
        <f>IF(ISNUMBER(G191), $B199 * H191, "")</f>
        <v>987.65432098765427</v>
      </c>
      <c r="J191" s="15">
        <v>4105</v>
      </c>
      <c r="K191" s="32">
        <f t="shared" si="104"/>
        <v>1.3580246913580247E-2</v>
      </c>
      <c r="L191" s="18">
        <f>IF(ISNUMBER(J191), $B199 * K191, "")</f>
        <v>1358.0246913580247</v>
      </c>
      <c r="M191" s="31">
        <v>4170</v>
      </c>
      <c r="N191" s="32">
        <f t="shared" si="105"/>
        <v>2.9629629629629631E-2</v>
      </c>
      <c r="O191" s="18">
        <f>IF(ISNUMBER(M191), $B199 * N191, "")</f>
        <v>2962.962962962963</v>
      </c>
      <c r="Q191" s="238"/>
      <c r="R191" s="238"/>
      <c r="S191" s="238"/>
    </row>
    <row r="192" spans="1:19" ht="17.25" thickBot="1">
      <c r="A192" s="125" t="s">
        <v>182</v>
      </c>
      <c r="B192" s="126">
        <v>57560</v>
      </c>
      <c r="C192" s="77">
        <v>-2.4075958000000001E-2</v>
      </c>
      <c r="D192" s="15">
        <v>57660</v>
      </c>
      <c r="E192" s="32">
        <f t="shared" si="102"/>
        <v>1.7373175816539264E-3</v>
      </c>
      <c r="F192" s="18">
        <f>IF(ISNUMBER(D192), $B199 * E192, "")</f>
        <v>173.73175816539265</v>
      </c>
      <c r="G192" s="31">
        <v>58080</v>
      </c>
      <c r="H192" s="32">
        <f t="shared" si="103"/>
        <v>9.0340514246004169E-3</v>
      </c>
      <c r="I192" s="101">
        <f>IF(ISNUMBER(G192), $B199 * H192, "")</f>
        <v>903.4051424600417</v>
      </c>
      <c r="J192" s="15">
        <v>58050</v>
      </c>
      <c r="K192" s="32">
        <f t="shared" si="104"/>
        <v>8.512856150104239E-3</v>
      </c>
      <c r="L192" s="18">
        <f>IF(ISNUMBER(J192), $B199 * K192, "")</f>
        <v>851.28561501042395</v>
      </c>
      <c r="M192" s="31">
        <v>58440</v>
      </c>
      <c r="N192" s="32">
        <f t="shared" si="105"/>
        <v>1.5288394718554551E-2</v>
      </c>
      <c r="O192" s="18">
        <f>IF(ISNUMBER(M192), $B199 * N192, "")</f>
        <v>1528.839471855455</v>
      </c>
      <c r="Q192" s="248"/>
      <c r="R192" s="248"/>
      <c r="S192" s="248"/>
    </row>
    <row r="193" spans="1:19" ht="17.25" thickBot="1">
      <c r="A193" s="127" t="s">
        <v>142</v>
      </c>
      <c r="B193" s="128">
        <v>9345</v>
      </c>
      <c r="C193" s="78">
        <v>-2.4530271400000001E-2</v>
      </c>
      <c r="D193" s="20">
        <v>9420</v>
      </c>
      <c r="E193" s="21">
        <f t="shared" si="102"/>
        <v>8.0256821829855531E-3</v>
      </c>
      <c r="F193" s="22">
        <f>IF(ISNUMBER(D193), $B199 * E193, "")</f>
        <v>802.56821829855528</v>
      </c>
      <c r="G193" s="30">
        <v>9430</v>
      </c>
      <c r="H193" s="21">
        <f t="shared" si="103"/>
        <v>9.0957731407169604E-3</v>
      </c>
      <c r="I193" s="105">
        <f>IF(ISNUMBER(G193), $B199 * H193, "")</f>
        <v>909.57731407169604</v>
      </c>
      <c r="J193" s="20">
        <v>9460</v>
      </c>
      <c r="K193" s="21">
        <f t="shared" si="104"/>
        <v>1.2306046013911182E-2</v>
      </c>
      <c r="L193" s="22">
        <f>IF(ISNUMBER(J193), $B199 * K193, "")</f>
        <v>1230.6046013911182</v>
      </c>
      <c r="M193" s="30">
        <v>9540</v>
      </c>
      <c r="N193" s="21">
        <f t="shared" si="105"/>
        <v>2.0866773675762441E-2</v>
      </c>
      <c r="O193" s="22">
        <f>IF(ISNUMBER(M193), $B199 * N193, "")</f>
        <v>2086.6773675762443</v>
      </c>
      <c r="Q193" s="248"/>
      <c r="R193" s="248"/>
      <c r="S193" s="248"/>
    </row>
    <row r="194" spans="1:19" ht="17.25" thickBot="1">
      <c r="A194" s="125" t="s">
        <v>144</v>
      </c>
      <c r="B194" s="129">
        <v>109</v>
      </c>
      <c r="C194" s="80">
        <v>-2.6785714299999999E-2</v>
      </c>
      <c r="D194" s="106">
        <v>111</v>
      </c>
      <c r="E194" s="107">
        <f>IF(ISNUMBER(D194), (D194 - $B194) / $B194, "")</f>
        <v>1.834862385321101E-2</v>
      </c>
      <c r="F194" s="108">
        <f>IF(ISNUMBER(D194), $B199 * E194, "")</f>
        <v>1834.8623853211011</v>
      </c>
      <c r="G194" s="109">
        <v>110</v>
      </c>
      <c r="H194" s="107">
        <f>IF(ISNUMBER(G194), (G194 - $B194) / $B194, "")</f>
        <v>9.1743119266055051E-3</v>
      </c>
      <c r="I194" s="110">
        <f>IF(ISNUMBER(G194), $B199 * H194, "")</f>
        <v>917.43119266055055</v>
      </c>
      <c r="J194" s="106">
        <v>109</v>
      </c>
      <c r="K194" s="107">
        <f>IF(ISNUMBER(J194), (J194 - $B194) / $B194, "")</f>
        <v>0</v>
      </c>
      <c r="L194" s="108">
        <f>IF(ISNUMBER(J194), $B199 * K194, "")</f>
        <v>0</v>
      </c>
      <c r="M194" s="109">
        <v>111</v>
      </c>
      <c r="N194" s="107">
        <f>IF(ISNUMBER(M194), (M194 - $B194) / $B194, "")</f>
        <v>1.834862385321101E-2</v>
      </c>
      <c r="O194" s="108">
        <f>IF(ISNUMBER(M194), $B199 * N194, "")</f>
        <v>1834.8623853211011</v>
      </c>
      <c r="Q194" s="238"/>
      <c r="R194" s="238"/>
      <c r="S194" s="238"/>
    </row>
    <row r="195" spans="1:19" ht="17.25" thickBot="1">
      <c r="A195" s="125" t="s">
        <v>168</v>
      </c>
      <c r="B195" s="126">
        <v>1525</v>
      </c>
      <c r="C195" s="77">
        <v>-3.1746031700000003E-2</v>
      </c>
      <c r="D195" s="15">
        <v>1515</v>
      </c>
      <c r="E195" s="32">
        <f t="shared" ref="E195:E198" si="106">IF(ISNUMBER(D195), (D195 - $B195) / $B195, "")</f>
        <v>-6.5573770491803279E-3</v>
      </c>
      <c r="F195" s="18">
        <f>IF(ISNUMBER(D195), $B199 * E195, "")</f>
        <v>-655.73770491803282</v>
      </c>
      <c r="G195" s="31">
        <v>1525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1545</v>
      </c>
      <c r="K195" s="32">
        <f t="shared" ref="K195:K198" si="108">IF(ISNUMBER(J195), (J195 - $B195) / $B195, "")</f>
        <v>1.3114754098360656E-2</v>
      </c>
      <c r="L195" s="18">
        <f>IF(ISNUMBER(J195), $B199 * K195, "")</f>
        <v>1311.4754098360656</v>
      </c>
      <c r="M195" s="31">
        <v>1610</v>
      </c>
      <c r="N195" s="32">
        <f t="shared" ref="N195:N198" si="109">IF(ISNUMBER(M195), (M195 - $B195) / $B195, "")</f>
        <v>5.5737704918032788E-2</v>
      </c>
      <c r="O195" s="18">
        <f>IF(ISNUMBER(M195), $B199 * N195, "")</f>
        <v>5573.7704918032787</v>
      </c>
      <c r="Q195" s="238"/>
      <c r="R195" s="238"/>
      <c r="S195" s="238"/>
    </row>
    <row r="196" spans="1:19" ht="17.25" thickBot="1">
      <c r="A196" s="125" t="s">
        <v>154</v>
      </c>
      <c r="B196" s="126">
        <v>48860</v>
      </c>
      <c r="C196" s="77">
        <v>-3.2475247499999998E-2</v>
      </c>
      <c r="D196" s="15">
        <v>48490</v>
      </c>
      <c r="E196" s="32">
        <f t="shared" si="106"/>
        <v>-7.5726565697912399E-3</v>
      </c>
      <c r="F196" s="18">
        <f>IF(ISNUMBER(D196), $B199 * E196, "")</f>
        <v>-757.26565697912395</v>
      </c>
      <c r="G196" s="31">
        <v>49840</v>
      </c>
      <c r="H196" s="32">
        <f t="shared" si="107"/>
        <v>2.0057306590257881E-2</v>
      </c>
      <c r="I196" s="101">
        <f>IF(ISNUMBER(G196), $B199 * H196, "")</f>
        <v>2005.7306590257881</v>
      </c>
      <c r="J196" s="15">
        <v>50260</v>
      </c>
      <c r="K196" s="32">
        <f t="shared" si="108"/>
        <v>2.865329512893983E-2</v>
      </c>
      <c r="L196" s="18">
        <f>IF(ISNUMBER(J196), $B199 * K196, "")</f>
        <v>2865.3295128939831</v>
      </c>
      <c r="M196" s="31">
        <v>49870</v>
      </c>
      <c r="N196" s="32">
        <f t="shared" si="109"/>
        <v>2.0671305771592305E-2</v>
      </c>
      <c r="O196" s="18">
        <f>IF(ISNUMBER(M196), $B199 * N196, "")</f>
        <v>2067.1305771592306</v>
      </c>
      <c r="Q196" s="238"/>
      <c r="R196" s="238"/>
      <c r="S196" s="238"/>
    </row>
    <row r="197" spans="1:19">
      <c r="A197" s="125" t="s">
        <v>114</v>
      </c>
      <c r="B197" s="126">
        <v>723</v>
      </c>
      <c r="C197" s="77">
        <v>-3.47129506E-2</v>
      </c>
      <c r="D197" s="15">
        <v>719</v>
      </c>
      <c r="E197" s="32">
        <f t="shared" si="106"/>
        <v>-5.5325034578146614E-3</v>
      </c>
      <c r="F197" s="18">
        <f>IF(ISNUMBER(D197), $B199 * E197, "")</f>
        <v>-553.25034578146619</v>
      </c>
      <c r="G197" s="31">
        <v>734</v>
      </c>
      <c r="H197" s="32">
        <f t="shared" si="107"/>
        <v>1.5214384508990318E-2</v>
      </c>
      <c r="I197" s="101">
        <f>IF(ISNUMBER(G197), $B199 * H197, "")</f>
        <v>1521.4384508990317</v>
      </c>
      <c r="J197" s="15">
        <v>737</v>
      </c>
      <c r="K197" s="32">
        <f t="shared" si="108"/>
        <v>1.9363762102351315E-2</v>
      </c>
      <c r="L197" s="18">
        <f>IF(ISNUMBER(J197), $B199 * K197, "")</f>
        <v>1936.3762102351316</v>
      </c>
      <c r="M197" s="31">
        <v>738</v>
      </c>
      <c r="N197" s="32">
        <f t="shared" si="109"/>
        <v>2.0746887966804978E-2</v>
      </c>
      <c r="O197" s="18">
        <f>IF(ISNUMBER(M197), $B199 * N197, "")</f>
        <v>2074.6887966804979</v>
      </c>
      <c r="Q197" s="227"/>
      <c r="R197" s="228"/>
      <c r="S197" s="229"/>
    </row>
    <row r="198" spans="1:19" ht="17.25" thickBot="1">
      <c r="A198" s="130" t="s">
        <v>226</v>
      </c>
      <c r="B198" s="131">
        <v>1765</v>
      </c>
      <c r="C198" s="79">
        <v>-3.5519125700000001E-2</v>
      </c>
      <c r="D198" s="24">
        <v>1850</v>
      </c>
      <c r="E198" s="25">
        <f t="shared" si="106"/>
        <v>4.8158640226628892E-2</v>
      </c>
      <c r="F198" s="104">
        <f>IF(ISNUMBER(D198), $B199 * E198, "")</f>
        <v>4815.8640226628895</v>
      </c>
      <c r="G198" s="102">
        <v>1825</v>
      </c>
      <c r="H198" s="25">
        <f t="shared" si="107"/>
        <v>3.39943342776204E-2</v>
      </c>
      <c r="I198" s="103">
        <f>IF(ISNUMBER(G198), $B199 * H198, "")</f>
        <v>3399.4334277620401</v>
      </c>
      <c r="J198" s="24">
        <v>1825</v>
      </c>
      <c r="K198" s="25">
        <f t="shared" si="108"/>
        <v>3.39943342776204E-2</v>
      </c>
      <c r="L198" s="104">
        <f>IF(ISNUMBER(J198), $B199 * K198, "")</f>
        <v>3399.4334277620401</v>
      </c>
      <c r="M198" s="102">
        <v>1835</v>
      </c>
      <c r="N198" s="25">
        <f t="shared" si="109"/>
        <v>3.9660056657223795E-2</v>
      </c>
      <c r="O198" s="104">
        <f>IF(ISNUMBER(M198), $B199 * N198, "")</f>
        <v>3966.0056657223795</v>
      </c>
      <c r="Q198" s="230"/>
      <c r="R198" s="231"/>
      <c r="S198" s="232"/>
    </row>
    <row r="199" spans="1:19" ht="17.25" thickBot="1">
      <c r="A199" s="132" t="s">
        <v>270</v>
      </c>
      <c r="B199" s="291">
        <f>$B$37</f>
        <v>100000</v>
      </c>
      <c r="C199" s="292"/>
      <c r="D199" s="26" t="s">
        <v>271</v>
      </c>
      <c r="E199" s="27">
        <f>IF(COUNT(E179:E198), SUM(E179:E198) / COUNT(E179:E198), 0)</f>
        <v>1.2886434873008664E-2</v>
      </c>
      <c r="F199" s="28">
        <f>SUM(F179:F198)</f>
        <v>25772.869746017324</v>
      </c>
      <c r="G199" s="26" t="s">
        <v>271</v>
      </c>
      <c r="H199" s="27">
        <f>IF(COUNT(H179:H198), SUM(H179:H198) / COUNT(H179:H198), 0)</f>
        <v>1.6100840264053458E-2</v>
      </c>
      <c r="I199" s="28">
        <f>SUM(I179:I198)</f>
        <v>32201.680528106914</v>
      </c>
      <c r="J199" s="26" t="s">
        <v>271</v>
      </c>
      <c r="K199" s="27">
        <f>IF(COUNT(K179:K198), SUM(K179:K198) / COUNT(K179:K198), 0)</f>
        <v>2.033927420065253E-2</v>
      </c>
      <c r="L199" s="28">
        <f>SUM(L179:L198)</f>
        <v>40678.548401305059</v>
      </c>
      <c r="M199" s="26" t="s">
        <v>271</v>
      </c>
      <c r="N199" s="27">
        <f>IF(COUNT(N179:N198), SUM(N179:N198) / COUNT(N179:N198), 0)</f>
        <v>3.4839046362496115E-2</v>
      </c>
      <c r="O199" s="28">
        <f>SUM(O179:O198)</f>
        <v>69678.092724992224</v>
      </c>
      <c r="Q199" s="233"/>
      <c r="R199" s="234"/>
      <c r="S199" s="23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7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7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7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7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7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6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6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6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6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6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64" priority="157">
      <formula>AND($N17 &gt; 0, ISNUMBER($N17))</formula>
    </cfRule>
    <cfRule type="expression" dxfId="2163" priority="158">
      <formula>AND($N17 = 0 * ISNUMBER($N17))</formula>
    </cfRule>
    <cfRule type="expression" dxfId="2162" priority="159">
      <formula>AND($N17 &lt; 0, ISNUMBER($N17))</formula>
    </cfRule>
  </conditionalFormatting>
  <conditionalFormatting sqref="A17:F36">
    <cfRule type="expression" dxfId="2161" priority="166">
      <formula>AND($E17 &gt; 0, ISNUMBER($E17))</formula>
    </cfRule>
    <cfRule type="expression" dxfId="2160" priority="167">
      <formula>AND($E17 = 0 * ISNUMBER($E17))</formula>
    </cfRule>
    <cfRule type="expression" dxfId="2159" priority="168">
      <formula>AND($E17 &lt; 0, ISNUMBER($E17))</formula>
    </cfRule>
  </conditionalFormatting>
  <conditionalFormatting sqref="A17:C36 G17:I36">
    <cfRule type="expression" dxfId="2158" priority="163">
      <formula>AND($H17 &gt; 0, ISNUMBER($H17))</formula>
    </cfRule>
    <cfRule type="expression" dxfId="2157" priority="164">
      <formula>AND($H17 = 0 * ISNUMBER($H17))</formula>
    </cfRule>
    <cfRule type="expression" dxfId="2156" priority="165">
      <formula>AND($H17 &lt; 0, ISNUMBER($H17))</formula>
    </cfRule>
  </conditionalFormatting>
  <conditionalFormatting sqref="A17:C36 J17:L36">
    <cfRule type="expression" dxfId="2155" priority="160">
      <formula>AND($K17 &gt; 0, ISNUMBER($K17))</formula>
    </cfRule>
    <cfRule type="expression" dxfId="2154" priority="161">
      <formula>AND($K17 = 0 * ISNUMBER($K17))</formula>
    </cfRule>
    <cfRule type="expression" dxfId="2153" priority="162">
      <formula>AND($K17 &lt; 0, ISNUMBER($K17))</formula>
    </cfRule>
  </conditionalFormatting>
  <conditionalFormatting sqref="D15:F16 E37:F37">
    <cfRule type="expression" dxfId="2152" priority="154">
      <formula>$E$37 &gt; 0</formula>
    </cfRule>
    <cfRule type="expression" dxfId="2151" priority="155">
      <formula>$E$37 = 0</formula>
    </cfRule>
    <cfRule type="expression" dxfId="2150" priority="156">
      <formula>$E$37 &lt; 0</formula>
    </cfRule>
  </conditionalFormatting>
  <conditionalFormatting sqref="G15:I16 H37:I37">
    <cfRule type="expression" dxfId="2149" priority="151">
      <formula>$H$37 &gt; 0</formula>
    </cfRule>
    <cfRule type="expression" dxfId="2148" priority="152">
      <formula>$H$37 = 0</formula>
    </cfRule>
    <cfRule type="expression" dxfId="2147" priority="153">
      <formula>$H$37 &lt; 0</formula>
    </cfRule>
  </conditionalFormatting>
  <conditionalFormatting sqref="J15:L16 K37:L37">
    <cfRule type="expression" dxfId="2146" priority="148">
      <formula>$K$37 &gt; 0</formula>
    </cfRule>
    <cfRule type="expression" dxfId="2145" priority="149">
      <formula>$K$37 = 0</formula>
    </cfRule>
    <cfRule type="expression" dxfId="2144" priority="150">
      <formula>$K$37 &lt; 0</formula>
    </cfRule>
  </conditionalFormatting>
  <conditionalFormatting sqref="M15:O16 N37:O37">
    <cfRule type="expression" dxfId="2143" priority="145">
      <formula>$N$37 &gt; 0</formula>
    </cfRule>
    <cfRule type="expression" dxfId="2142" priority="146">
      <formula>$N$37 = 0</formula>
    </cfRule>
    <cfRule type="expression" dxfId="2141" priority="147">
      <formula>$N$37 &lt; 0</formula>
    </cfRule>
  </conditionalFormatting>
  <conditionalFormatting sqref="A44:C63 M44:O63">
    <cfRule type="expression" dxfId="2140" priority="133">
      <formula>AND($N44 &gt; 0, ISNUMBER($N44))</formula>
    </cfRule>
    <cfRule type="expression" dxfId="2139" priority="134">
      <formula>AND($N44 = 0 * ISNUMBER($N44))</formula>
    </cfRule>
    <cfRule type="expression" dxfId="2138" priority="135">
      <formula>AND($N44 &lt; 0, ISNUMBER($N44))</formula>
    </cfRule>
  </conditionalFormatting>
  <conditionalFormatting sqref="A44:F63">
    <cfRule type="expression" dxfId="2137" priority="142">
      <formula>AND($E44 &gt; 0, ISNUMBER($E44))</formula>
    </cfRule>
    <cfRule type="expression" dxfId="2136" priority="143">
      <formula>AND($E44 = 0 * ISNUMBER($E44))</formula>
    </cfRule>
    <cfRule type="expression" dxfId="2135" priority="144">
      <formula>AND($E44 &lt; 0, ISNUMBER($E44))</formula>
    </cfRule>
  </conditionalFormatting>
  <conditionalFormatting sqref="A44:C63 G44:I63">
    <cfRule type="expression" dxfId="2134" priority="139">
      <formula>AND($H44 &gt; 0, ISNUMBER($H44))</formula>
    </cfRule>
    <cfRule type="expression" dxfId="2133" priority="140">
      <formula>AND($H44 = 0 * ISNUMBER($H44))</formula>
    </cfRule>
    <cfRule type="expression" dxfId="2132" priority="141">
      <formula>AND($H44 &lt; 0, ISNUMBER($H44))</formula>
    </cfRule>
  </conditionalFormatting>
  <conditionalFormatting sqref="A44:C63 J44:L63">
    <cfRule type="expression" dxfId="2131" priority="136">
      <formula>AND($K44 &gt; 0, ISNUMBER($K44))</formula>
    </cfRule>
    <cfRule type="expression" dxfId="2130" priority="137">
      <formula>AND($K44 = 0 * ISNUMBER($K44))</formula>
    </cfRule>
    <cfRule type="expression" dxfId="2129" priority="138">
      <formula>AND($K44 &lt; 0, ISNUMBER($K44))</formula>
    </cfRule>
  </conditionalFormatting>
  <conditionalFormatting sqref="D42:F43 E64:F64">
    <cfRule type="expression" dxfId="2128" priority="130">
      <formula>$E$64 &gt; 0</formula>
    </cfRule>
    <cfRule type="expression" dxfId="2127" priority="131">
      <formula>$E$64 = 0</formula>
    </cfRule>
    <cfRule type="expression" dxfId="2126" priority="132">
      <formula>$E$64 &lt; 0</formula>
    </cfRule>
  </conditionalFormatting>
  <conditionalFormatting sqref="G42:I43 H64:I64">
    <cfRule type="expression" dxfId="2125" priority="127">
      <formula>$H$64 &gt; 0</formula>
    </cfRule>
    <cfRule type="expression" dxfId="2124" priority="128">
      <formula>$H$64 = 0</formula>
    </cfRule>
    <cfRule type="expression" dxfId="2123" priority="129">
      <formula>$H$64 &lt; 0</formula>
    </cfRule>
  </conditionalFormatting>
  <conditionalFormatting sqref="J42:L43 K64:L64">
    <cfRule type="expression" dxfId="2122" priority="124">
      <formula>$K$64 &gt; 0</formula>
    </cfRule>
    <cfRule type="expression" dxfId="2121" priority="125">
      <formula>$K$64 = 0</formula>
    </cfRule>
    <cfRule type="expression" dxfId="2120" priority="126">
      <formula>$K$64 &lt; 0</formula>
    </cfRule>
  </conditionalFormatting>
  <conditionalFormatting sqref="M42:O43 N64:O64">
    <cfRule type="expression" dxfId="2119" priority="121">
      <formula>$N$64 &gt; 0</formula>
    </cfRule>
    <cfRule type="expression" dxfId="2118" priority="122">
      <formula>$N$64 = 0</formula>
    </cfRule>
    <cfRule type="expression" dxfId="2117" priority="123">
      <formula>$N$64 &lt; 0</formula>
    </cfRule>
  </conditionalFormatting>
  <conditionalFormatting sqref="A71:C90 M71:O90">
    <cfRule type="expression" dxfId="2116" priority="109">
      <formula>AND($N71 &gt; 0, ISNUMBER($N71))</formula>
    </cfRule>
    <cfRule type="expression" dxfId="2115" priority="110">
      <formula>AND($N71 = 0 * ISNUMBER($N71))</formula>
    </cfRule>
    <cfRule type="expression" dxfId="2114" priority="111">
      <formula>AND($N71 &lt; 0, ISNUMBER($N71))</formula>
    </cfRule>
  </conditionalFormatting>
  <conditionalFormatting sqref="A71:F90">
    <cfRule type="expression" dxfId="2113" priority="118">
      <formula>AND($E71 &gt; 0, ISNUMBER($E71))</formula>
    </cfRule>
    <cfRule type="expression" dxfId="2112" priority="119">
      <formula>AND($E71 = 0 * ISNUMBER($E71))</formula>
    </cfRule>
    <cfRule type="expression" dxfId="2111" priority="120">
      <formula>AND($E71 &lt; 0, ISNUMBER($E71))</formula>
    </cfRule>
  </conditionalFormatting>
  <conditionalFormatting sqref="A71:C90 G71:I90">
    <cfRule type="expression" dxfId="2110" priority="115">
      <formula>AND($H71 &gt; 0, ISNUMBER($H71))</formula>
    </cfRule>
    <cfRule type="expression" dxfId="2109" priority="116">
      <formula>AND($H71 = 0 * ISNUMBER($H71))</formula>
    </cfRule>
    <cfRule type="expression" dxfId="2108" priority="117">
      <formula>AND($H71 &lt; 0, ISNUMBER($H71))</formula>
    </cfRule>
  </conditionalFormatting>
  <conditionalFormatting sqref="A71:C90 J71:L90">
    <cfRule type="expression" dxfId="2107" priority="112">
      <formula>AND($K71 &gt; 0, ISNUMBER($K71))</formula>
    </cfRule>
    <cfRule type="expression" dxfId="2106" priority="113">
      <formula>AND($K71 = 0 * ISNUMBER($K71))</formula>
    </cfRule>
    <cfRule type="expression" dxfId="2105" priority="114">
      <formula>AND($K71 &lt; 0, ISNUMBER($K71))</formula>
    </cfRule>
  </conditionalFormatting>
  <conditionalFormatting sqref="D69:F70 E91:F91">
    <cfRule type="expression" dxfId="2104" priority="106">
      <formula>$E$91 &gt; 0</formula>
    </cfRule>
    <cfRule type="expression" dxfId="2103" priority="107">
      <formula>$E$91 = 0</formula>
    </cfRule>
    <cfRule type="expression" dxfId="2102" priority="108">
      <formula>$E$91 &lt; 0</formula>
    </cfRule>
  </conditionalFormatting>
  <conditionalFormatting sqref="G69:I70 H91:I91">
    <cfRule type="expression" dxfId="2101" priority="103">
      <formula>$H$91 &gt; 0</formula>
    </cfRule>
    <cfRule type="expression" dxfId="2100" priority="104">
      <formula>$H$91 = 0</formula>
    </cfRule>
    <cfRule type="expression" dxfId="2099" priority="105">
      <formula>$H$91 &lt; 0</formula>
    </cfRule>
  </conditionalFormatting>
  <conditionalFormatting sqref="J69:L70 K91:L91">
    <cfRule type="expression" dxfId="2098" priority="100">
      <formula>$K$91 &gt; 0</formula>
    </cfRule>
    <cfRule type="expression" dxfId="2097" priority="101">
      <formula>$K$91 = 0</formula>
    </cfRule>
    <cfRule type="expression" dxfId="2096" priority="102">
      <formula>$K$91 &lt; 0</formula>
    </cfRule>
  </conditionalFormatting>
  <conditionalFormatting sqref="M69:O70 N91:O91">
    <cfRule type="expression" dxfId="2095" priority="97">
      <formula>$N$91 &gt; 0</formula>
    </cfRule>
    <cfRule type="expression" dxfId="2094" priority="98">
      <formula>$N$91 = 0</formula>
    </cfRule>
    <cfRule type="expression" dxfId="2093" priority="99">
      <formula>$N$91 &lt; 0</formula>
    </cfRule>
  </conditionalFormatting>
  <conditionalFormatting sqref="A98:C117 M98:O117">
    <cfRule type="expression" dxfId="2092" priority="85">
      <formula>AND($N98 &gt; 0, ISNUMBER($N98))</formula>
    </cfRule>
    <cfRule type="expression" dxfId="2091" priority="86">
      <formula>AND($N98 = 0 * ISNUMBER($N98))</formula>
    </cfRule>
    <cfRule type="expression" dxfId="2090" priority="87">
      <formula>AND($N98 &lt; 0, ISNUMBER($N98))</formula>
    </cfRule>
  </conditionalFormatting>
  <conditionalFormatting sqref="A98:F117">
    <cfRule type="expression" dxfId="2089" priority="94">
      <formula>AND($E98 &gt; 0, ISNUMBER($E98))</formula>
    </cfRule>
    <cfRule type="expression" dxfId="2088" priority="95">
      <formula>AND($E98 = 0 * ISNUMBER($E98))</formula>
    </cfRule>
    <cfRule type="expression" dxfId="2087" priority="96">
      <formula>AND($E98 &lt; 0, ISNUMBER($E98))</formula>
    </cfRule>
  </conditionalFormatting>
  <conditionalFormatting sqref="A98:C117 G98:I117">
    <cfRule type="expression" dxfId="2086" priority="91">
      <formula>AND($H98 &gt; 0, ISNUMBER($H98))</formula>
    </cfRule>
    <cfRule type="expression" dxfId="2085" priority="92">
      <formula>AND($H98 = 0 * ISNUMBER($H98))</formula>
    </cfRule>
    <cfRule type="expression" dxfId="2084" priority="93">
      <formula>AND($H98 &lt; 0, ISNUMBER($H98))</formula>
    </cfRule>
  </conditionalFormatting>
  <conditionalFormatting sqref="A98:C117 J98:L117">
    <cfRule type="expression" dxfId="2083" priority="88">
      <formula>AND($K98 &gt; 0, ISNUMBER($K98))</formula>
    </cfRule>
    <cfRule type="expression" dxfId="2082" priority="89">
      <formula>AND($K98 = 0 * ISNUMBER($K98))</formula>
    </cfRule>
    <cfRule type="expression" dxfId="2081" priority="90">
      <formula>AND($K98 &lt; 0, ISNUMBER($K98))</formula>
    </cfRule>
  </conditionalFormatting>
  <conditionalFormatting sqref="D96:F97 E118:F118">
    <cfRule type="expression" dxfId="2080" priority="82">
      <formula>$E$118 &gt; 0</formula>
    </cfRule>
    <cfRule type="expression" dxfId="2079" priority="83">
      <formula>$E$118 = 0</formula>
    </cfRule>
    <cfRule type="expression" dxfId="2078" priority="84">
      <formula>$E$118 &lt; 0</formula>
    </cfRule>
  </conditionalFormatting>
  <conditionalFormatting sqref="G96:I97 H118:I118">
    <cfRule type="expression" dxfId="2077" priority="79">
      <formula>$H$118 &gt; 0</formula>
    </cfRule>
    <cfRule type="expression" dxfId="2076" priority="80">
      <formula>$H$118 = 0</formula>
    </cfRule>
    <cfRule type="expression" dxfId="2075" priority="81">
      <formula>$H$118 &lt; 0</formula>
    </cfRule>
  </conditionalFormatting>
  <conditionalFormatting sqref="J96:L97 K118:L118">
    <cfRule type="expression" dxfId="2074" priority="76">
      <formula>$K$118 &gt; 0</formula>
    </cfRule>
    <cfRule type="expression" dxfId="2073" priority="77">
      <formula>$K$118 = 0</formula>
    </cfRule>
    <cfRule type="expression" dxfId="2072" priority="78">
      <formula>$K$118 &lt; 0</formula>
    </cfRule>
  </conditionalFormatting>
  <conditionalFormatting sqref="M96:O97 N118:O118">
    <cfRule type="expression" dxfId="2071" priority="73">
      <formula>$N$118 &gt; 0</formula>
    </cfRule>
    <cfRule type="expression" dxfId="2070" priority="74">
      <formula>$N$118 = 0</formula>
    </cfRule>
    <cfRule type="expression" dxfId="2069" priority="75">
      <formula>$N$118 &lt; 0</formula>
    </cfRule>
  </conditionalFormatting>
  <conditionalFormatting sqref="A125:C144 M125:O144">
    <cfRule type="expression" dxfId="2068" priority="61">
      <formula>AND($N125 &gt; 0, ISNUMBER($N125))</formula>
    </cfRule>
    <cfRule type="expression" dxfId="2067" priority="62">
      <formula>AND($N125 = 0 * ISNUMBER($N125))</formula>
    </cfRule>
    <cfRule type="expression" dxfId="2066" priority="63">
      <formula>AND($N125 &lt; 0, ISNUMBER($N125))</formula>
    </cfRule>
  </conditionalFormatting>
  <conditionalFormatting sqref="A125:F144">
    <cfRule type="expression" dxfId="2065" priority="70">
      <formula>AND($E125 &gt; 0, ISNUMBER($E125))</formula>
    </cfRule>
    <cfRule type="expression" dxfId="2064" priority="71">
      <formula>AND($E125 = 0 * ISNUMBER($E125))</formula>
    </cfRule>
    <cfRule type="expression" dxfId="2063" priority="72">
      <formula>AND($E125 &lt; 0, ISNUMBER($E125))</formula>
    </cfRule>
  </conditionalFormatting>
  <conditionalFormatting sqref="A125:C144 G125:I144">
    <cfRule type="expression" dxfId="2062" priority="67">
      <formula>AND($H125 &gt; 0, ISNUMBER($H125))</formula>
    </cfRule>
    <cfRule type="expression" dxfId="2061" priority="68">
      <formula>AND($H125 = 0 * ISNUMBER($H125))</formula>
    </cfRule>
    <cfRule type="expression" dxfId="2060" priority="69">
      <formula>AND($H125 &lt; 0, ISNUMBER($H125))</formula>
    </cfRule>
  </conditionalFormatting>
  <conditionalFormatting sqref="A125:C144 J125:L144">
    <cfRule type="expression" dxfId="2059" priority="64">
      <formula>AND($K125 &gt; 0, ISNUMBER($K125))</formula>
    </cfRule>
    <cfRule type="expression" dxfId="2058" priority="65">
      <formula>AND($K125 = 0 * ISNUMBER($K125))</formula>
    </cfRule>
    <cfRule type="expression" dxfId="2057" priority="66">
      <formula>AND($K125 &lt; 0, ISNUMBER($K125))</formula>
    </cfRule>
  </conditionalFormatting>
  <conditionalFormatting sqref="D123:F124 E145:F145">
    <cfRule type="expression" dxfId="2056" priority="58">
      <formula>$E$145 &gt; 0</formula>
    </cfRule>
    <cfRule type="expression" dxfId="2055" priority="59">
      <formula>$E$145 = 0</formula>
    </cfRule>
    <cfRule type="expression" dxfId="2054" priority="60">
      <formula>$E$145 &lt; 0</formula>
    </cfRule>
  </conditionalFormatting>
  <conditionalFormatting sqref="G123:I124 H145:I145">
    <cfRule type="expression" dxfId="2053" priority="55">
      <formula>$H$145 &gt; 0</formula>
    </cfRule>
    <cfRule type="expression" dxfId="2052" priority="56">
      <formula>$H$145 = 0</formula>
    </cfRule>
    <cfRule type="expression" dxfId="2051" priority="57">
      <formula>$H$145 &lt; 0</formula>
    </cfRule>
  </conditionalFormatting>
  <conditionalFormatting sqref="J123:L124 K145:L145">
    <cfRule type="expression" dxfId="2050" priority="52">
      <formula>$K$145 &gt; 0</formula>
    </cfRule>
    <cfRule type="expression" dxfId="2049" priority="53">
      <formula>$K$145 = 0</formula>
    </cfRule>
    <cfRule type="expression" dxfId="2048" priority="54">
      <formula>$K$145 &lt; 0</formula>
    </cfRule>
  </conditionalFormatting>
  <conditionalFormatting sqref="M123:O124 N145:O145">
    <cfRule type="expression" dxfId="2047" priority="49">
      <formula>$N$145 &gt; 0</formula>
    </cfRule>
    <cfRule type="expression" dxfId="2046" priority="50">
      <formula>$N$145 = 0</formula>
    </cfRule>
    <cfRule type="expression" dxfId="2045" priority="51">
      <formula>$N$145 &lt; 0</formula>
    </cfRule>
  </conditionalFormatting>
  <conditionalFormatting sqref="A152:C171 M152:O171">
    <cfRule type="expression" dxfId="2044" priority="37">
      <formula>AND($N152 &gt; 0, ISNUMBER($N152))</formula>
    </cfRule>
    <cfRule type="expression" dxfId="2043" priority="38">
      <formula>AND($N152 = 0 * ISNUMBER($N152))</formula>
    </cfRule>
    <cfRule type="expression" dxfId="2042" priority="39">
      <formula>AND($N152 &lt; 0, ISNUMBER($N152))</formula>
    </cfRule>
  </conditionalFormatting>
  <conditionalFormatting sqref="A152:F171">
    <cfRule type="expression" dxfId="2041" priority="46">
      <formula>AND($E152 &gt; 0, ISNUMBER($E152))</formula>
    </cfRule>
    <cfRule type="expression" dxfId="2040" priority="47">
      <formula>AND($E152 = 0 * ISNUMBER($E152))</formula>
    </cfRule>
    <cfRule type="expression" dxfId="2039" priority="48">
      <formula>AND($E152 &lt; 0, ISNUMBER($E152))</formula>
    </cfRule>
  </conditionalFormatting>
  <conditionalFormatting sqref="A152:C171 G152:I171">
    <cfRule type="expression" dxfId="2038" priority="43">
      <formula>AND($H152 &gt; 0, ISNUMBER($H152))</formula>
    </cfRule>
    <cfRule type="expression" dxfId="2037" priority="44">
      <formula>AND($H152 = 0 * ISNUMBER($H152))</formula>
    </cfRule>
    <cfRule type="expression" dxfId="2036" priority="45">
      <formula>AND($H152 &lt; 0, ISNUMBER($H152))</formula>
    </cfRule>
  </conditionalFormatting>
  <conditionalFormatting sqref="A152:C171 J152:L171">
    <cfRule type="expression" dxfId="2035" priority="40">
      <formula>AND($K152 &gt; 0, ISNUMBER($K152))</formula>
    </cfRule>
    <cfRule type="expression" dxfId="2034" priority="41">
      <formula>AND($K152 = 0 * ISNUMBER($K152))</formula>
    </cfRule>
    <cfRule type="expression" dxfId="2033" priority="42">
      <formula>AND($K152 &lt; 0, ISNUMBER($K152))</formula>
    </cfRule>
  </conditionalFormatting>
  <conditionalFormatting sqref="D150:F151 E172:F172">
    <cfRule type="expression" dxfId="2032" priority="34">
      <formula>$E$172 &gt; 0</formula>
    </cfRule>
    <cfRule type="expression" dxfId="2031" priority="35">
      <formula>$E$172 = 0</formula>
    </cfRule>
    <cfRule type="expression" dxfId="2030" priority="36">
      <formula>$E$172 &lt; 0</formula>
    </cfRule>
  </conditionalFormatting>
  <conditionalFormatting sqref="G150:I151 H172:I172">
    <cfRule type="expression" dxfId="2029" priority="31">
      <formula>$H$172 &gt; 0</formula>
    </cfRule>
    <cfRule type="expression" dxfId="2028" priority="32">
      <formula>$H$172 = 0</formula>
    </cfRule>
    <cfRule type="expression" dxfId="2027" priority="33">
      <formula>$H$172 &lt; 0</formula>
    </cfRule>
  </conditionalFormatting>
  <conditionalFormatting sqref="J150:L151 K172:L172">
    <cfRule type="expression" dxfId="2026" priority="28">
      <formula>$K$172 &gt; 0</formula>
    </cfRule>
    <cfRule type="expression" dxfId="2025" priority="29">
      <formula>$K$172 = 0</formula>
    </cfRule>
    <cfRule type="expression" dxfId="2024" priority="30">
      <formula>$K$172 &lt; 0</formula>
    </cfRule>
  </conditionalFormatting>
  <conditionalFormatting sqref="M150:O151 N172:O172">
    <cfRule type="expression" dxfId="2023" priority="25">
      <formula>$N$172 &gt; 0</formula>
    </cfRule>
    <cfRule type="expression" dxfId="2022" priority="26">
      <formula>$N$172 = 0</formula>
    </cfRule>
    <cfRule type="expression" dxfId="2021" priority="27">
      <formula>$N$172 &lt; 0</formula>
    </cfRule>
  </conditionalFormatting>
  <conditionalFormatting sqref="A179:C198 M179:O198">
    <cfRule type="expression" dxfId="2020" priority="13">
      <formula>AND($N179 &gt; 0, ISNUMBER($N179))</formula>
    </cfRule>
    <cfRule type="expression" dxfId="2019" priority="14">
      <formula>AND($N179 = 0 * ISNUMBER($N179))</formula>
    </cfRule>
    <cfRule type="expression" dxfId="2018" priority="15">
      <formula>AND($N179 &lt; 0, ISNUMBER($N179))</formula>
    </cfRule>
  </conditionalFormatting>
  <conditionalFormatting sqref="A179:F198">
    <cfRule type="expression" dxfId="2017" priority="22">
      <formula>AND($E179 &gt; 0, ISNUMBER($E179))</formula>
    </cfRule>
    <cfRule type="expression" dxfId="2016" priority="23">
      <formula>AND($E179 = 0 * ISNUMBER($E179))</formula>
    </cfRule>
    <cfRule type="expression" dxfId="2015" priority="24">
      <formula>AND($E179 &lt; 0, ISNUMBER($E179))</formula>
    </cfRule>
  </conditionalFormatting>
  <conditionalFormatting sqref="A179:C198 G179:I198">
    <cfRule type="expression" dxfId="2014" priority="19">
      <formula>AND($H179 &gt; 0, ISNUMBER($H179))</formula>
    </cfRule>
    <cfRule type="expression" dxfId="2013" priority="20">
      <formula>AND($H179 = 0 * ISNUMBER($H179))</formula>
    </cfRule>
    <cfRule type="expression" dxfId="2012" priority="21">
      <formula>AND($H179 &lt; 0, ISNUMBER($H179))</formula>
    </cfRule>
  </conditionalFormatting>
  <conditionalFormatting sqref="A179:C198 J179:L198">
    <cfRule type="expression" dxfId="2011" priority="16">
      <formula>AND($K179 &gt; 0, ISNUMBER($K179))</formula>
    </cfRule>
    <cfRule type="expression" dxfId="2010" priority="17">
      <formula>AND($K179 = 0 * ISNUMBER($K179))</formula>
    </cfRule>
    <cfRule type="expression" dxfId="2009" priority="18">
      <formula>AND($K179 &lt; 0, ISNUMBER($K179))</formula>
    </cfRule>
  </conditionalFormatting>
  <conditionalFormatting sqref="D177:F178 E199:F199">
    <cfRule type="expression" dxfId="2008" priority="10">
      <formula>$E$199 &gt; 0</formula>
    </cfRule>
    <cfRule type="expression" dxfId="2007" priority="11">
      <formula>$E$199 = 0</formula>
    </cfRule>
    <cfRule type="expression" dxfId="2006" priority="12">
      <formula>$E$199 &lt; 0</formula>
    </cfRule>
  </conditionalFormatting>
  <conditionalFormatting sqref="G177:I178 H199:I199">
    <cfRule type="expression" dxfId="2005" priority="7">
      <formula>$H$199 &gt; 0</formula>
    </cfRule>
    <cfRule type="expression" dxfId="2004" priority="8">
      <formula>$H$199 = 0</formula>
    </cfRule>
    <cfRule type="expression" dxfId="2003" priority="9">
      <formula>$H$199 &lt; 0</formula>
    </cfRule>
  </conditionalFormatting>
  <conditionalFormatting sqref="J177:L178 K199:L199">
    <cfRule type="expression" dxfId="2002" priority="4">
      <formula>$K$199 &gt; 0</formula>
    </cfRule>
    <cfRule type="expression" dxfId="2001" priority="5">
      <formula>$K$199 = 0</formula>
    </cfRule>
    <cfRule type="expression" dxfId="2000" priority="6">
      <formula>$K$199 &lt; 0</formula>
    </cfRule>
  </conditionalFormatting>
  <conditionalFormatting sqref="M177:O178 N199:O199">
    <cfRule type="expression" dxfId="1999" priority="1">
      <formula>$N$199 &gt; 0</formula>
    </cfRule>
    <cfRule type="expression" dxfId="1998" priority="2">
      <formula>$N$199 = 0</formula>
    </cfRule>
    <cfRule type="expression" dxfId="199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CFBBF-3B07-40DF-85A4-F25C0FBEDA18}">
  <sheetPr codeName="Sheet13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80">
        <v>44415</v>
      </c>
      <c r="H1" s="281"/>
      <c r="I1" s="282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83" t="s">
        <v>8</v>
      </c>
      <c r="C2" s="284"/>
      <c r="D2" s="284"/>
      <c r="E2" s="284"/>
      <c r="F2" s="285"/>
      <c r="G2" s="277" t="s">
        <v>46</v>
      </c>
      <c r="H2" s="278"/>
      <c r="I2" s="279"/>
      <c r="J2" s="1" t="s">
        <v>3</v>
      </c>
      <c r="K2" s="283" t="s">
        <v>320</v>
      </c>
      <c r="L2" s="284"/>
      <c r="M2" s="284"/>
      <c r="N2" s="284"/>
      <c r="O2" s="285"/>
      <c r="Q2" s="2" t="s">
        <v>6</v>
      </c>
      <c r="R2" s="3">
        <v>0.375</v>
      </c>
    </row>
    <row r="3" spans="1:19" ht="17.25" customHeight="1" thickBot="1">
      <c r="A3" s="118" t="s">
        <v>7</v>
      </c>
      <c r="B3" s="274" t="s">
        <v>328</v>
      </c>
      <c r="C3" s="275"/>
      <c r="D3" s="275"/>
      <c r="E3" s="275"/>
      <c r="F3" s="276"/>
      <c r="G3" s="27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111,540 KRW (5.58%)</v>
      </c>
      <c r="H3" s="271"/>
      <c r="I3" s="272"/>
      <c r="J3" s="4" t="s">
        <v>7</v>
      </c>
      <c r="K3" s="274" t="s">
        <v>321</v>
      </c>
      <c r="L3" s="275"/>
      <c r="M3" s="275"/>
      <c r="N3" s="275"/>
      <c r="O3" s="27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4" t="s">
        <v>16</v>
      </c>
      <c r="C4" s="275"/>
      <c r="D4" s="275"/>
      <c r="E4" s="275"/>
      <c r="F4" s="276"/>
      <c r="G4" s="277" t="s">
        <v>44</v>
      </c>
      <c r="H4" s="278"/>
      <c r="I4" s="279"/>
      <c r="J4" s="4" t="s">
        <v>11</v>
      </c>
      <c r="K4" s="274" t="s">
        <v>322</v>
      </c>
      <c r="L4" s="275"/>
      <c r="M4" s="275"/>
      <c r="N4" s="275"/>
      <c r="O4" s="27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4" t="s">
        <v>319</v>
      </c>
      <c r="C5" s="275"/>
      <c r="D5" s="275"/>
      <c r="E5" s="275"/>
      <c r="F5" s="276"/>
      <c r="G5" s="27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96,580 KRW (4.83%)</v>
      </c>
      <c r="H5" s="271"/>
      <c r="I5" s="272"/>
      <c r="J5" s="4" t="s">
        <v>15</v>
      </c>
      <c r="K5" s="274" t="s">
        <v>323</v>
      </c>
      <c r="L5" s="275"/>
      <c r="M5" s="275"/>
      <c r="N5" s="275"/>
      <c r="O5" s="276"/>
    </row>
    <row r="6" spans="1:19">
      <c r="A6" s="118" t="s">
        <v>18</v>
      </c>
      <c r="B6" s="274"/>
      <c r="C6" s="275"/>
      <c r="D6" s="275"/>
      <c r="E6" s="275"/>
      <c r="F6" s="276"/>
      <c r="G6" s="277" t="s">
        <v>45</v>
      </c>
      <c r="H6" s="278"/>
      <c r="I6" s="279"/>
      <c r="J6" s="4" t="s">
        <v>18</v>
      </c>
      <c r="K6" s="274" t="s">
        <v>324</v>
      </c>
      <c r="L6" s="275"/>
      <c r="M6" s="275"/>
      <c r="N6" s="275"/>
      <c r="O6" s="276"/>
    </row>
    <row r="7" spans="1:19" ht="17.25" thickBot="1">
      <c r="A7" s="118" t="s">
        <v>21</v>
      </c>
      <c r="B7" s="274"/>
      <c r="C7" s="275"/>
      <c r="D7" s="275"/>
      <c r="E7" s="275"/>
      <c r="F7" s="276"/>
      <c r="G7" s="27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131,469 KRW (6.57%)</v>
      </c>
      <c r="H7" s="271"/>
      <c r="I7" s="272"/>
      <c r="J7" s="4" t="s">
        <v>21</v>
      </c>
      <c r="K7" s="274" t="s">
        <v>325</v>
      </c>
      <c r="L7" s="275"/>
      <c r="M7" s="275"/>
      <c r="N7" s="275"/>
      <c r="O7" s="276"/>
    </row>
    <row r="8" spans="1:19" ht="17.25" thickBot="1">
      <c r="A8" s="118" t="s">
        <v>24</v>
      </c>
      <c r="B8" s="274"/>
      <c r="C8" s="275"/>
      <c r="D8" s="275"/>
      <c r="E8" s="275"/>
      <c r="F8" s="276"/>
      <c r="G8" s="277" t="s">
        <v>255</v>
      </c>
      <c r="H8" s="278"/>
      <c r="I8" s="279"/>
      <c r="J8" s="4" t="s">
        <v>24</v>
      </c>
      <c r="K8" s="274"/>
      <c r="L8" s="275"/>
      <c r="M8" s="275"/>
      <c r="N8" s="275"/>
      <c r="O8" s="276"/>
      <c r="Q8" s="249" t="s">
        <v>27</v>
      </c>
      <c r="R8" s="251"/>
    </row>
    <row r="9" spans="1:19" ht="17.25" thickBot="1">
      <c r="A9" s="118" t="s">
        <v>28</v>
      </c>
      <c r="B9" s="274"/>
      <c r="C9" s="275"/>
      <c r="D9" s="275"/>
      <c r="E9" s="275"/>
      <c r="F9" s="276"/>
      <c r="G9" s="27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45,017 KRW (2.25%)</v>
      </c>
      <c r="H9" s="271"/>
      <c r="I9" s="272"/>
      <c r="J9" s="4" t="s">
        <v>28</v>
      </c>
      <c r="K9" s="274"/>
      <c r="L9" s="275"/>
      <c r="M9" s="275"/>
      <c r="N9" s="275"/>
      <c r="O9" s="276"/>
      <c r="Q9" s="2" t="s">
        <v>29</v>
      </c>
      <c r="R9" s="6">
        <v>10</v>
      </c>
    </row>
    <row r="10" spans="1:19">
      <c r="A10" s="118" t="s">
        <v>30</v>
      </c>
      <c r="B10" s="274"/>
      <c r="C10" s="275"/>
      <c r="D10" s="275"/>
      <c r="E10" s="275"/>
      <c r="F10" s="276"/>
      <c r="G10" s="277" t="s">
        <v>47</v>
      </c>
      <c r="H10" s="278"/>
      <c r="I10" s="279"/>
      <c r="J10" s="4" t="s">
        <v>30</v>
      </c>
      <c r="K10" s="274" t="s">
        <v>326</v>
      </c>
      <c r="L10" s="275"/>
      <c r="M10" s="275"/>
      <c r="N10" s="275"/>
      <c r="O10" s="276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7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1"/>
      <c r="I11" s="272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48"/>
      <c r="R13" s="248"/>
      <c r="S13" s="248"/>
    </row>
    <row r="14" spans="1:19" ht="17.25" customHeight="1" thickBot="1">
      <c r="A14" s="181" t="s">
        <v>35</v>
      </c>
      <c r="B14" s="249" t="s">
        <v>36</v>
      </c>
      <c r="C14" s="251"/>
      <c r="D14" s="249" t="s">
        <v>37</v>
      </c>
      <c r="E14" s="250"/>
      <c r="F14" s="251"/>
      <c r="G14" s="252">
        <f>_xlfn.IFNA(VLOOKUP(B14, 현재가테이블!$B$2:$D$200, 2, FALSE), "-")</f>
        <v>54440000</v>
      </c>
      <c r="H14" s="253"/>
      <c r="I14" s="254"/>
      <c r="J14" s="249" t="s">
        <v>38</v>
      </c>
      <c r="K14" s="250"/>
      <c r="L14" s="251"/>
      <c r="M14" s="255">
        <f>_xlfn.IFNA(VLOOKUP(B14, 현재가테이블!$B$2:$D$200, 3, FALSE), "-")</f>
        <v>1.07123628E-2</v>
      </c>
      <c r="N14" s="256"/>
      <c r="O14" s="257"/>
      <c r="Q14" s="248"/>
      <c r="R14" s="248"/>
      <c r="S14" s="248"/>
    </row>
    <row r="15" spans="1:19" ht="17.25" customHeight="1" thickBot="1">
      <c r="A15" s="286" t="s">
        <v>39</v>
      </c>
      <c r="B15" s="287" t="str">
        <f>TEXT($G$1, "[$-ko-KR]yyyy-mm-dd(ddd) ") &amp; "오전 00:00"</f>
        <v>2021-08-07(토) 오전 00:00</v>
      </c>
      <c r="C15" s="288"/>
      <c r="D15" s="262" t="str">
        <f>TEXT($G$1, "[$-ko-KR]yyyy-mm-dd(ddd) ") &amp; "오후 14:00"</f>
        <v>2021-08-07(토) 오후 14:00</v>
      </c>
      <c r="E15" s="263"/>
      <c r="F15" s="264"/>
      <c r="G15" s="262" t="str">
        <f>TEXT($G$1, "[$-ko-KR]yyyy-mm-dd(ddd) ") &amp; "오후 19:00"</f>
        <v>2021-08-07(토) 오후 19:00</v>
      </c>
      <c r="H15" s="263"/>
      <c r="I15" s="264"/>
      <c r="J15" s="262" t="str">
        <f>TEXT($G$1, "[$-ko-KR]yyyy-mm-dd(ddd) ") &amp; "오후 21:00"</f>
        <v>2021-08-07(토) 오후 21:00</v>
      </c>
      <c r="K15" s="263"/>
      <c r="L15" s="264"/>
      <c r="M15" s="262" t="str">
        <f>TEXT($G$1+1, "[$-ko-KR]yyyy-mm-dd(ddd) ") &amp; "오전 00:00"</f>
        <v>2021-08-08(일) 오전 00:00</v>
      </c>
      <c r="N15" s="263"/>
      <c r="O15" s="264"/>
      <c r="Q15" s="248"/>
      <c r="R15" s="248"/>
      <c r="S15" s="248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8"/>
      <c r="R17" s="248"/>
      <c r="S17" s="24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8"/>
      <c r="R18" s="248"/>
      <c r="S18" s="24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8"/>
      <c r="R19" s="238"/>
      <c r="S19" s="23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8"/>
      <c r="R20" s="238"/>
      <c r="S20" s="23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8"/>
      <c r="R21" s="238"/>
      <c r="S21" s="23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8"/>
      <c r="R22" s="238"/>
      <c r="S22" s="23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8"/>
      <c r="R23" s="238"/>
      <c r="S23" s="23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8"/>
      <c r="R24" s="238"/>
      <c r="S24" s="23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9"/>
      <c r="R26" s="240"/>
      <c r="S26" s="24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2"/>
      <c r="R27" s="243"/>
      <c r="S27" s="24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5"/>
      <c r="R28" s="246"/>
      <c r="S28" s="24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8"/>
      <c r="R29" s="238"/>
      <c r="S29" s="23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8"/>
      <c r="R30" s="248"/>
      <c r="S30" s="24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8"/>
      <c r="R31" s="248"/>
      <c r="S31" s="24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8"/>
      <c r="R32" s="238"/>
      <c r="S32" s="23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7"/>
      <c r="R35" s="228"/>
      <c r="S35" s="22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0"/>
      <c r="R36" s="231"/>
      <c r="S36" s="232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3"/>
      <c r="R37" s="234"/>
      <c r="S37" s="23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48"/>
      <c r="R40" s="248"/>
      <c r="S40" s="248"/>
    </row>
    <row r="41" spans="1:19" ht="17.25" customHeight="1" thickBot="1">
      <c r="A41" s="181" t="s">
        <v>267</v>
      </c>
      <c r="B41" s="249" t="s">
        <v>49</v>
      </c>
      <c r="C41" s="251"/>
      <c r="D41" s="249" t="s">
        <v>58</v>
      </c>
      <c r="E41" s="250"/>
      <c r="F41" s="251"/>
      <c r="G41" s="252">
        <f>_xlfn.IFNA(VLOOKUP(B41, 현재가테이블!$B$2:$D$200, 2, FALSE), "-")</f>
        <v>54440000</v>
      </c>
      <c r="H41" s="253"/>
      <c r="I41" s="254"/>
      <c r="J41" s="249" t="s">
        <v>59</v>
      </c>
      <c r="K41" s="250"/>
      <c r="L41" s="251"/>
      <c r="M41" s="255">
        <f>_xlfn.IFNA(VLOOKUP(B41, 현재가테이블!$B$2:$D$200, 3, FALSE), "-")</f>
        <v>1.07123628E-2</v>
      </c>
      <c r="N41" s="256"/>
      <c r="O41" s="257"/>
      <c r="Q41" s="248"/>
      <c r="R41" s="248"/>
      <c r="S41" s="248"/>
    </row>
    <row r="42" spans="1:19" ht="17.25" customHeight="1" thickBot="1">
      <c r="A42" s="293" t="s">
        <v>55</v>
      </c>
      <c r="B42" s="289" t="str">
        <f>TEXT($G$1, "[$-ko-KR]yyyy-mm-dd(ddd) ") &amp; "오전 00:00"</f>
        <v>2021-08-07(토) 오전 00:00</v>
      </c>
      <c r="C42" s="290"/>
      <c r="D42" s="262" t="str">
        <f>TEXT($G$1, "[$-ko-KR]yyyy-mm-dd(ddd) ") &amp; "오후 14:00"</f>
        <v>2021-08-07(토) 오후 14:00</v>
      </c>
      <c r="E42" s="263"/>
      <c r="F42" s="264"/>
      <c r="G42" s="262" t="str">
        <f>TEXT($G$1, "[$-ko-KR]yyyy-mm-dd(ddd) ") &amp; "오후 19:00"</f>
        <v>2021-08-07(토) 오후 19:00</v>
      </c>
      <c r="H42" s="263"/>
      <c r="I42" s="264"/>
      <c r="J42" s="262" t="str">
        <f>TEXT($G$1, "[$-ko-KR]yyyy-mm-dd(ddd) ") &amp; "오후 21:00"</f>
        <v>2021-08-07(토) 오후 21:00</v>
      </c>
      <c r="K42" s="263"/>
      <c r="L42" s="264"/>
      <c r="M42" s="262" t="str">
        <f>TEXT($G$1+1, "[$-ko-KR]yyyy-mm-dd(ddd) ") &amp; "오전 00:00"</f>
        <v>2021-08-08(일) 오전 00:00</v>
      </c>
      <c r="N42" s="263"/>
      <c r="O42" s="264"/>
      <c r="Q42" s="248"/>
      <c r="R42" s="248"/>
      <c r="S42" s="248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2" t="s">
        <v>58</v>
      </c>
      <c r="H43" s="183" t="s">
        <v>268</v>
      </c>
      <c r="I43" s="18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8"/>
      <c r="R43" s="238"/>
      <c r="S43" s="238"/>
    </row>
    <row r="44" spans="1:19" ht="17.25" customHeight="1" thickBot="1">
      <c r="A44" s="123" t="s">
        <v>188</v>
      </c>
      <c r="B44" s="124">
        <v>12.2</v>
      </c>
      <c r="C44" s="76">
        <v>6.0869565200000003E-2</v>
      </c>
      <c r="D44" s="13">
        <v>12.6</v>
      </c>
      <c r="E44" s="14">
        <f>IF(ISNUMBER(D44), (D44 - $B44) / $B44, "")</f>
        <v>3.2786885245901669E-2</v>
      </c>
      <c r="F44" s="16">
        <f>IF(ISNUMBER(D44), $B64 * E44, "")</f>
        <v>3278.6885245901667</v>
      </c>
      <c r="G44" s="29">
        <v>12.9</v>
      </c>
      <c r="H44" s="14">
        <f>IF(ISNUMBER(G44), (G44 - $B44) / $B44, "")</f>
        <v>5.737704918032796E-2</v>
      </c>
      <c r="I44" s="100">
        <f>IF(ISNUMBER(G44), $B64 * H44, "")</f>
        <v>5737.7049180327958</v>
      </c>
      <c r="J44" s="13">
        <v>12.7</v>
      </c>
      <c r="K44" s="14">
        <f>IF(ISNUMBER(J44), (J44 - $B44) / $B44, "")</f>
        <v>4.0983606557377053E-2</v>
      </c>
      <c r="L44" s="16">
        <f>IF(ISNUMBER(J44), $B64 * K44, "")</f>
        <v>4098.3606557377052</v>
      </c>
      <c r="M44" s="29">
        <v>12.6</v>
      </c>
      <c r="N44" s="14">
        <f>IF(ISNUMBER(M44), (M44 - $B44) / $B44, "")</f>
        <v>3.2786885245901669E-2</v>
      </c>
      <c r="O44" s="16">
        <f>IF(ISNUMBER(M44), $B64 * N44, "")</f>
        <v>3278.6885245901667</v>
      </c>
      <c r="Q44" s="248"/>
      <c r="R44" s="248"/>
      <c r="S44" s="248"/>
    </row>
    <row r="45" spans="1:19" ht="17.25" customHeight="1" thickBot="1">
      <c r="A45" s="125" t="s">
        <v>240</v>
      </c>
      <c r="B45" s="126">
        <v>64.099999999999994</v>
      </c>
      <c r="C45" s="77">
        <v>5.2545156000000003E-2</v>
      </c>
      <c r="D45" s="15">
        <v>65</v>
      </c>
      <c r="E45" s="32">
        <f t="shared" ref="E45:E48" si="14">IF(ISNUMBER(D45), (D45 - $B45) / $B45, "")</f>
        <v>1.4040561622464989E-2</v>
      </c>
      <c r="F45" s="18">
        <f>IF(ISNUMBER(D45), $B64 * E45, "")</f>
        <v>1404.0561622464988</v>
      </c>
      <c r="G45" s="31">
        <v>65</v>
      </c>
      <c r="H45" s="32">
        <f t="shared" ref="H45:H48" si="15">IF(ISNUMBER(G45), (G45 - $B45) / $B45, "")</f>
        <v>1.4040561622464989E-2</v>
      </c>
      <c r="I45" s="101">
        <f>IF(ISNUMBER(G45), $B64 * H45, "")</f>
        <v>1404.0561622464988</v>
      </c>
      <c r="J45" s="15">
        <v>65.099999999999994</v>
      </c>
      <c r="K45" s="32">
        <f t="shared" ref="K45:K48" si="16">IF(ISNUMBER(J45), (J45 - $B45) / $B45, "")</f>
        <v>1.5600624024960999E-2</v>
      </c>
      <c r="L45" s="18">
        <f>IF(ISNUMBER(J45), $B64 * K45, "")</f>
        <v>1560.0624024960998</v>
      </c>
      <c r="M45" s="31">
        <v>64.099999999999994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48"/>
      <c r="R45" s="248"/>
      <c r="S45" s="248"/>
    </row>
    <row r="46" spans="1:19" ht="17.25" customHeight="1" thickBot="1">
      <c r="A46" s="125" t="s">
        <v>202</v>
      </c>
      <c r="B46" s="126">
        <v>73.5</v>
      </c>
      <c r="C46" s="77">
        <v>4.1076487299999999E-2</v>
      </c>
      <c r="D46" s="15">
        <v>88.6</v>
      </c>
      <c r="E46" s="32">
        <f t="shared" si="14"/>
        <v>0.20544217687074823</v>
      </c>
      <c r="F46" s="18">
        <f>IF(ISNUMBER(D46), $B64 * E46, "")</f>
        <v>20544.217687074823</v>
      </c>
      <c r="G46" s="31">
        <v>83.8</v>
      </c>
      <c r="H46" s="32">
        <f t="shared" si="15"/>
        <v>0.14013605442176866</v>
      </c>
      <c r="I46" s="101">
        <f>IF(ISNUMBER(G46), $B64 * H46, "")</f>
        <v>14013.605442176866</v>
      </c>
      <c r="J46" s="15">
        <v>85.6</v>
      </c>
      <c r="K46" s="32">
        <f t="shared" si="16"/>
        <v>0.16462585034013597</v>
      </c>
      <c r="L46" s="18">
        <f>IF(ISNUMBER(J46), $B64 * K46, "")</f>
        <v>16462.585034013595</v>
      </c>
      <c r="M46" s="31">
        <v>83.4</v>
      </c>
      <c r="N46" s="32">
        <f t="shared" si="17"/>
        <v>0.1346938775510205</v>
      </c>
      <c r="O46" s="18">
        <f>IF(ISNUMBER(M46), $B64 * N46, "")</f>
        <v>13469.387755102051</v>
      </c>
      <c r="Q46" s="238"/>
      <c r="R46" s="238"/>
      <c r="S46" s="238"/>
    </row>
    <row r="47" spans="1:19" ht="17.25" customHeight="1" thickBot="1">
      <c r="A47" s="125" t="s">
        <v>216</v>
      </c>
      <c r="B47" s="126">
        <v>10.199999999999999</v>
      </c>
      <c r="C47" s="77">
        <v>3.9755351699999997E-2</v>
      </c>
      <c r="D47" s="15">
        <v>10.6</v>
      </c>
      <c r="E47" s="32">
        <f t="shared" si="14"/>
        <v>3.9215686274509838E-2</v>
      </c>
      <c r="F47" s="18">
        <f>IF(ISNUMBER(D47), $B64 * E47, "")</f>
        <v>3921.568627450984</v>
      </c>
      <c r="G47" s="31">
        <v>10.8</v>
      </c>
      <c r="H47" s="32">
        <f t="shared" si="15"/>
        <v>5.8823529411764851E-2</v>
      </c>
      <c r="I47" s="101">
        <f>IF(ISNUMBER(G47), $B64 * H47, "")</f>
        <v>5882.3529411764848</v>
      </c>
      <c r="J47" s="15">
        <v>10.7</v>
      </c>
      <c r="K47" s="32">
        <f t="shared" si="16"/>
        <v>4.9019607843137261E-2</v>
      </c>
      <c r="L47" s="18">
        <f>IF(ISNUMBER(J47), $B64 * K47, "")</f>
        <v>4901.9607843137264</v>
      </c>
      <c r="M47" s="31">
        <v>10.5</v>
      </c>
      <c r="N47" s="32">
        <f t="shared" si="17"/>
        <v>2.9411764705882425E-2</v>
      </c>
      <c r="O47" s="18">
        <f>IF(ISNUMBER(M47), $B64 * N47, "")</f>
        <v>2941.1764705882424</v>
      </c>
      <c r="Q47" s="238"/>
      <c r="R47" s="238"/>
      <c r="S47" s="238"/>
    </row>
    <row r="48" spans="1:19" ht="17.25" customHeight="1" thickBot="1">
      <c r="A48" s="127" t="s">
        <v>98</v>
      </c>
      <c r="B48" s="128">
        <v>4.1100000000000003</v>
      </c>
      <c r="C48" s="78">
        <v>3.7878787900000002E-2</v>
      </c>
      <c r="D48" s="20">
        <v>4.59</v>
      </c>
      <c r="E48" s="21">
        <f t="shared" si="14"/>
        <v>0.1167883211678831</v>
      </c>
      <c r="F48" s="22">
        <f>IF(ISNUMBER(D48), $B64 * E48, "")</f>
        <v>11678.83211678831</v>
      </c>
      <c r="G48" s="30">
        <v>4.5999999999999996</v>
      </c>
      <c r="H48" s="21">
        <f t="shared" si="15"/>
        <v>0.11922141119221394</v>
      </c>
      <c r="I48" s="105">
        <f>IF(ISNUMBER(G48), $B64 * H48, "")</f>
        <v>11922.141119221395</v>
      </c>
      <c r="J48" s="20">
        <v>4.59</v>
      </c>
      <c r="K48" s="21">
        <f t="shared" si="16"/>
        <v>0.1167883211678831</v>
      </c>
      <c r="L48" s="22">
        <f>IF(ISNUMBER(J48), $B64 * K48, "")</f>
        <v>11678.83211678831</v>
      </c>
      <c r="M48" s="30">
        <v>4.43</v>
      </c>
      <c r="N48" s="21">
        <f t="shared" si="17"/>
        <v>7.7858880778588657E-2</v>
      </c>
      <c r="O48" s="22">
        <f>IF(ISNUMBER(M48), $B64 * N48, "")</f>
        <v>7785.8880778588655</v>
      </c>
      <c r="Q48" s="238"/>
      <c r="R48" s="238"/>
      <c r="S48" s="238"/>
    </row>
    <row r="49" spans="1:19" ht="17.25" customHeight="1" thickBot="1">
      <c r="A49" s="125" t="s">
        <v>148</v>
      </c>
      <c r="B49" s="129">
        <v>19.3</v>
      </c>
      <c r="C49" s="80">
        <v>3.2085561499999998E-2</v>
      </c>
      <c r="D49" s="106">
        <v>19.899999999999999</v>
      </c>
      <c r="E49" s="107">
        <f>IF(ISNUMBER(D49), (D49 - $B49) / $B49, "")</f>
        <v>3.1088082901554293E-2</v>
      </c>
      <c r="F49" s="108">
        <f>IF(ISNUMBER(D49), $B64 * E49, "")</f>
        <v>3108.8082901554294</v>
      </c>
      <c r="G49" s="109">
        <v>20.100000000000001</v>
      </c>
      <c r="H49" s="107">
        <f>IF(ISNUMBER(G49), (G49 - $B49) / $B49, "")</f>
        <v>4.1450777202072575E-2</v>
      </c>
      <c r="I49" s="110">
        <f>IF(ISNUMBER(G49), $B64 * H49, "")</f>
        <v>4145.0777202072577</v>
      </c>
      <c r="J49" s="106">
        <v>20.100000000000001</v>
      </c>
      <c r="K49" s="107">
        <f>IF(ISNUMBER(J49), (J49 - $B49) / $B49, "")</f>
        <v>4.1450777202072575E-2</v>
      </c>
      <c r="L49" s="108">
        <f>IF(ISNUMBER(J49), $B64 * K49, "")</f>
        <v>4145.0777202072577</v>
      </c>
      <c r="M49" s="109">
        <v>19.8</v>
      </c>
      <c r="N49" s="107">
        <f>IF(ISNUMBER(M49), (M49 - $B49) / $B49, "")</f>
        <v>2.5906735751295335E-2</v>
      </c>
      <c r="O49" s="108">
        <f>IF(ISNUMBER(M49), $B64 * N49, "")</f>
        <v>2590.6735751295337</v>
      </c>
      <c r="Q49" s="238"/>
      <c r="R49" s="238"/>
      <c r="S49" s="238"/>
    </row>
    <row r="50" spans="1:19" ht="17.25" customHeight="1" thickBot="1">
      <c r="A50" s="125" t="s">
        <v>150</v>
      </c>
      <c r="B50" s="126">
        <v>13.1</v>
      </c>
      <c r="C50" s="77">
        <v>3.1496062999999998E-2</v>
      </c>
      <c r="D50" s="15">
        <v>13.3</v>
      </c>
      <c r="E50" s="32">
        <f t="shared" ref="E50:E53" si="18">IF(ISNUMBER(D50), (D50 - $B50) / $B50, "")</f>
        <v>1.5267175572519165E-2</v>
      </c>
      <c r="F50" s="18">
        <f>IF(ISNUMBER(D50), $B64 * E50, "")</f>
        <v>1526.7175572519166</v>
      </c>
      <c r="G50" s="31">
        <v>13.2</v>
      </c>
      <c r="H50" s="32">
        <f t="shared" ref="H50:H53" si="19">IF(ISNUMBER(G50), (G50 - $B50) / $B50, "")</f>
        <v>7.6335877862595148E-3</v>
      </c>
      <c r="I50" s="101">
        <f>IF(ISNUMBER(G50), $B64 * H50, "")</f>
        <v>763.35877862595146</v>
      </c>
      <c r="J50" s="15">
        <v>13.2</v>
      </c>
      <c r="K50" s="32">
        <f t="shared" ref="K50:K53" si="20">IF(ISNUMBER(J50), (J50 - $B50) / $B50, "")</f>
        <v>7.6335877862595148E-3</v>
      </c>
      <c r="L50" s="18">
        <f>IF(ISNUMBER(J50), $B64 * K50, "")</f>
        <v>763.35877862595146</v>
      </c>
      <c r="M50" s="31">
        <v>13</v>
      </c>
      <c r="N50" s="32">
        <f t="shared" ref="N50:N53" si="21">IF(ISNUMBER(M50), (M50 - $B50) / $B50, "")</f>
        <v>-7.6335877862595148E-3</v>
      </c>
      <c r="O50" s="18">
        <f>IF(ISNUMBER(M50), $B64 * N50, "")</f>
        <v>-763.35877862595146</v>
      </c>
      <c r="Q50" s="238"/>
      <c r="R50" s="238"/>
      <c r="S50" s="238"/>
    </row>
    <row r="51" spans="1:19" ht="17.25" customHeight="1" thickBot="1">
      <c r="A51" s="125" t="s">
        <v>65</v>
      </c>
      <c r="B51" s="126">
        <v>31.9</v>
      </c>
      <c r="C51" s="77">
        <v>2.90322581E-2</v>
      </c>
      <c r="D51" s="15">
        <v>32.1</v>
      </c>
      <c r="E51" s="32">
        <f t="shared" si="18"/>
        <v>6.2695924764891173E-3</v>
      </c>
      <c r="F51" s="18">
        <f>IF(ISNUMBER(D51), $B64 * E51, "")</f>
        <v>626.95924764891174</v>
      </c>
      <c r="G51" s="31">
        <v>32.5</v>
      </c>
      <c r="H51" s="32">
        <f t="shared" si="19"/>
        <v>1.8808777429467131E-2</v>
      </c>
      <c r="I51" s="101">
        <f>IF(ISNUMBER(G51), $B64 * H51, "")</f>
        <v>1880.8777429467132</v>
      </c>
      <c r="J51" s="15">
        <v>32.9</v>
      </c>
      <c r="K51" s="32">
        <f t="shared" si="20"/>
        <v>3.1347962382445145E-2</v>
      </c>
      <c r="L51" s="18">
        <f>IF(ISNUMBER(J51), $B64 * K51, "")</f>
        <v>3134.7962382445144</v>
      </c>
      <c r="M51" s="31">
        <v>32.5</v>
      </c>
      <c r="N51" s="32">
        <f t="shared" si="21"/>
        <v>1.8808777429467131E-2</v>
      </c>
      <c r="O51" s="18">
        <f>IF(ISNUMBER(M51), $B64 * N51, "")</f>
        <v>1880.8777429467132</v>
      </c>
      <c r="Q51" s="238"/>
      <c r="R51" s="238"/>
      <c r="S51" s="238"/>
    </row>
    <row r="52" spans="1:19" ht="17.25" customHeight="1" thickBot="1">
      <c r="A52" s="125" t="s">
        <v>234</v>
      </c>
      <c r="B52" s="126">
        <v>67.3</v>
      </c>
      <c r="C52" s="77">
        <v>1.9696969700000001E-2</v>
      </c>
      <c r="D52" s="15">
        <v>73</v>
      </c>
      <c r="E52" s="32">
        <f t="shared" si="18"/>
        <v>8.4695393759286822E-2</v>
      </c>
      <c r="F52" s="18">
        <f>IF(ISNUMBER(D52), $B64 * E52, "")</f>
        <v>8469.5393759286817</v>
      </c>
      <c r="G52" s="31">
        <v>72.7</v>
      </c>
      <c r="H52" s="32">
        <f t="shared" si="19"/>
        <v>8.0237741456166509E-2</v>
      </c>
      <c r="I52" s="101">
        <f>IF(ISNUMBER(G52), $B64 * H52, "")</f>
        <v>8023.7741456166505</v>
      </c>
      <c r="J52" s="15">
        <v>73.2</v>
      </c>
      <c r="K52" s="32">
        <f t="shared" si="20"/>
        <v>8.7667161961367104E-2</v>
      </c>
      <c r="L52" s="18">
        <f>IF(ISNUMBER(J52), $B64 * K52, "")</f>
        <v>8766.716196136711</v>
      </c>
      <c r="M52" s="31">
        <v>71.8</v>
      </c>
      <c r="N52" s="32">
        <f t="shared" si="21"/>
        <v>6.6864784546805348E-2</v>
      </c>
      <c r="O52" s="18">
        <f>IF(ISNUMBER(M52), $B64 * N52, "")</f>
        <v>6686.4784546805349</v>
      </c>
      <c r="Q52" s="33"/>
      <c r="R52" s="33"/>
    </row>
    <row r="53" spans="1:19" ht="17.25" customHeight="1" thickBot="1">
      <c r="A53" s="130" t="s">
        <v>72</v>
      </c>
      <c r="B53" s="131">
        <v>21.7</v>
      </c>
      <c r="C53" s="79">
        <v>1.87793427E-2</v>
      </c>
      <c r="D53" s="24">
        <v>22.4</v>
      </c>
      <c r="E53" s="25">
        <f t="shared" si="18"/>
        <v>3.2258064516129004E-2</v>
      </c>
      <c r="F53" s="104">
        <f>IF(ISNUMBER(D53), $B64 * E53, "")</f>
        <v>3225.8064516129002</v>
      </c>
      <c r="G53" s="102">
        <v>22.6</v>
      </c>
      <c r="H53" s="25">
        <f t="shared" si="19"/>
        <v>4.1474654377880282E-2</v>
      </c>
      <c r="I53" s="103">
        <f>IF(ISNUMBER(G53), $B64 * H53, "")</f>
        <v>4147.4654377880279</v>
      </c>
      <c r="J53" s="24">
        <v>22.6</v>
      </c>
      <c r="K53" s="25">
        <f t="shared" si="20"/>
        <v>4.1474654377880282E-2</v>
      </c>
      <c r="L53" s="104">
        <f>IF(ISNUMBER(J53), $B64 * K53, "")</f>
        <v>4147.4654377880279</v>
      </c>
      <c r="M53" s="102">
        <v>22.3</v>
      </c>
      <c r="N53" s="25">
        <f t="shared" si="21"/>
        <v>2.7649769585253524E-2</v>
      </c>
      <c r="O53" s="104">
        <f>IF(ISNUMBER(M53), $B64 * N53, "")</f>
        <v>2764.9769585253525</v>
      </c>
      <c r="Q53" s="239"/>
      <c r="R53" s="240"/>
      <c r="S53" s="241"/>
    </row>
    <row r="54" spans="1:19" ht="17.25" customHeight="1">
      <c r="A54" s="123" t="s">
        <v>162</v>
      </c>
      <c r="B54" s="124">
        <v>95.7</v>
      </c>
      <c r="C54" s="76">
        <v>1.8085106399999998E-2</v>
      </c>
      <c r="D54" s="13">
        <v>101</v>
      </c>
      <c r="E54" s="14">
        <f>IF(ISNUMBER(D54), (D54 - $B54) / $B54, "")</f>
        <v>5.5381400208986388E-2</v>
      </c>
      <c r="F54" s="16">
        <f>IF(ISNUMBER(D54), $B64 * E54, "")</f>
        <v>5538.1400208986388</v>
      </c>
      <c r="G54" s="29">
        <v>103</v>
      </c>
      <c r="H54" s="14">
        <f>IF(ISNUMBER(G54), (G54 - $B54) / $B54, "")</f>
        <v>7.6280041797283149E-2</v>
      </c>
      <c r="I54" s="100">
        <f>IF(ISNUMBER(G54), $B64 * H54, "")</f>
        <v>7628.0041797283147</v>
      </c>
      <c r="J54" s="13">
        <v>103</v>
      </c>
      <c r="K54" s="14">
        <f>IF(ISNUMBER(J54), (J54 - $B54) / $B54, "")</f>
        <v>7.6280041797283149E-2</v>
      </c>
      <c r="L54" s="16">
        <f>IF(ISNUMBER(J54), $B64 * K54, "")</f>
        <v>7628.0041797283147</v>
      </c>
      <c r="M54" s="29">
        <v>103</v>
      </c>
      <c r="N54" s="14">
        <f>IF(ISNUMBER(M54), (M54 - $B54) / $B54, "")</f>
        <v>7.6280041797283149E-2</v>
      </c>
      <c r="O54" s="16">
        <f>IF(ISNUMBER(M54), $B64 * N54, "")</f>
        <v>7628.0041797283147</v>
      </c>
      <c r="Q54" s="242"/>
      <c r="R54" s="243"/>
      <c r="S54" s="244"/>
    </row>
    <row r="55" spans="1:19" ht="17.25" customHeight="1" thickBot="1">
      <c r="A55" s="125" t="s">
        <v>152</v>
      </c>
      <c r="B55" s="126">
        <v>82.1</v>
      </c>
      <c r="C55" s="77">
        <v>1.6089108899999999E-2</v>
      </c>
      <c r="D55" s="15">
        <v>85.9</v>
      </c>
      <c r="E55" s="32">
        <f t="shared" ref="E55:E58" si="22">IF(ISNUMBER(D55), (D55 - $B55) / $B55, "")</f>
        <v>4.6285018270402094E-2</v>
      </c>
      <c r="F55" s="18">
        <f>IF(ISNUMBER(D55), $B64 * E55, "")</f>
        <v>4628.5018270402097</v>
      </c>
      <c r="G55" s="31">
        <v>87</v>
      </c>
      <c r="H55" s="32">
        <f t="shared" ref="H55:H58" si="23">IF(ISNUMBER(G55), (G55 - $B55) / $B55, "")</f>
        <v>5.9683313032886799E-2</v>
      </c>
      <c r="I55" s="101">
        <f>IF(ISNUMBER(G55), $B64 * H55, "")</f>
        <v>5968.3313032886799</v>
      </c>
      <c r="J55" s="15">
        <v>86.9</v>
      </c>
      <c r="K55" s="32">
        <f t="shared" ref="K55:K58" si="24">IF(ISNUMBER(J55), (J55 - $B55) / $B55, "")</f>
        <v>5.8465286236297341E-2</v>
      </c>
      <c r="L55" s="18">
        <f>IF(ISNUMBER(J55), $B64 * K55, "")</f>
        <v>5846.5286236297343</v>
      </c>
      <c r="M55" s="31">
        <v>86.1</v>
      </c>
      <c r="N55" s="32">
        <f t="shared" ref="N55:N58" si="25">IF(ISNUMBER(M55), (M55 - $B55) / $B55, "")</f>
        <v>4.8721071863581003E-2</v>
      </c>
      <c r="O55" s="18">
        <f>IF(ISNUMBER(M55), $B64 * N55, "")</f>
        <v>4872.1071863581001</v>
      </c>
      <c r="Q55" s="245"/>
      <c r="R55" s="246"/>
      <c r="S55" s="247"/>
    </row>
    <row r="56" spans="1:19" ht="17.25" customHeight="1" thickBot="1">
      <c r="A56" s="125" t="s">
        <v>204</v>
      </c>
      <c r="B56" s="126">
        <v>13.5</v>
      </c>
      <c r="C56" s="77">
        <v>1.5037594E-2</v>
      </c>
      <c r="D56" s="15">
        <v>14.2</v>
      </c>
      <c r="E56" s="32">
        <f t="shared" si="22"/>
        <v>5.1851851851851802E-2</v>
      </c>
      <c r="F56" s="18">
        <f>IF(ISNUMBER(D56), $B64 * E56, "")</f>
        <v>5185.1851851851798</v>
      </c>
      <c r="G56" s="31">
        <v>14.6</v>
      </c>
      <c r="H56" s="32">
        <f t="shared" si="23"/>
        <v>8.148148148148146E-2</v>
      </c>
      <c r="I56" s="101">
        <f>IF(ISNUMBER(G56), $B64 * H56, "")</f>
        <v>8148.148148148146</v>
      </c>
      <c r="J56" s="15">
        <v>14.3</v>
      </c>
      <c r="K56" s="32">
        <f t="shared" si="24"/>
        <v>5.925925925925931E-2</v>
      </c>
      <c r="L56" s="18">
        <f>IF(ISNUMBER(J56), $B64 * K56, "")</f>
        <v>5925.9259259259306</v>
      </c>
      <c r="M56" s="31">
        <v>14.2</v>
      </c>
      <c r="N56" s="32">
        <f t="shared" si="25"/>
        <v>5.1851851851851802E-2</v>
      </c>
      <c r="O56" s="18">
        <f>IF(ISNUMBER(M56), $B64 * N56, "")</f>
        <v>5185.1851851851798</v>
      </c>
      <c r="Q56" s="238"/>
      <c r="R56" s="238"/>
      <c r="S56" s="238"/>
    </row>
    <row r="57" spans="1:19" ht="17.25" customHeight="1" thickBot="1">
      <c r="A57" s="125" t="s">
        <v>250</v>
      </c>
      <c r="B57" s="126">
        <v>66.3</v>
      </c>
      <c r="C57" s="77">
        <v>1.06707317E-2</v>
      </c>
      <c r="D57" s="15">
        <v>70.2</v>
      </c>
      <c r="E57" s="32">
        <f t="shared" si="22"/>
        <v>5.8823529411764795E-2</v>
      </c>
      <c r="F57" s="18">
        <f>IF(ISNUMBER(D57), $B64 * E57, "")</f>
        <v>5882.3529411764794</v>
      </c>
      <c r="G57" s="31">
        <v>71.2</v>
      </c>
      <c r="H57" s="32">
        <f t="shared" si="23"/>
        <v>7.3906485671191638E-2</v>
      </c>
      <c r="I57" s="101">
        <f>IF(ISNUMBER(G57), $B64 * H57, "")</f>
        <v>7390.648567119164</v>
      </c>
      <c r="J57" s="15">
        <v>70.8</v>
      </c>
      <c r="K57" s="32">
        <f t="shared" si="24"/>
        <v>6.7873303167420823E-2</v>
      </c>
      <c r="L57" s="18">
        <f>IF(ISNUMBER(J57), $B64 * K57, "")</f>
        <v>6787.3303167420827</v>
      </c>
      <c r="M57" s="31">
        <v>69.5</v>
      </c>
      <c r="N57" s="32">
        <f t="shared" si="25"/>
        <v>4.8265460030165956E-2</v>
      </c>
      <c r="O57" s="18">
        <f>IF(ISNUMBER(M57), $B64 * N57, "")</f>
        <v>4826.5460030165959</v>
      </c>
      <c r="Q57" s="248"/>
      <c r="R57" s="248"/>
      <c r="S57" s="248"/>
    </row>
    <row r="58" spans="1:19" ht="17.25" customHeight="1" thickBot="1">
      <c r="A58" s="127" t="s">
        <v>210</v>
      </c>
      <c r="B58" s="128">
        <v>11.3</v>
      </c>
      <c r="C58" s="78">
        <v>8.9285713999999999E-3</v>
      </c>
      <c r="D58" s="20">
        <v>11.7</v>
      </c>
      <c r="E58" s="21">
        <f t="shared" si="22"/>
        <v>3.539823008849545E-2</v>
      </c>
      <c r="F58" s="22">
        <f>IF(ISNUMBER(D58), $B64 * E58, "")</f>
        <v>3539.8230088495452</v>
      </c>
      <c r="G58" s="30">
        <v>12</v>
      </c>
      <c r="H58" s="21">
        <f t="shared" si="23"/>
        <v>6.1946902654867193E-2</v>
      </c>
      <c r="I58" s="105">
        <f>IF(ISNUMBER(G58), $B64 * H58, "")</f>
        <v>6194.690265486719</v>
      </c>
      <c r="J58" s="20">
        <v>11.9</v>
      </c>
      <c r="K58" s="21">
        <f t="shared" si="24"/>
        <v>5.3097345132743327E-2</v>
      </c>
      <c r="L58" s="22">
        <f>IF(ISNUMBER(J58), $B64 * K58, "")</f>
        <v>5309.734513274333</v>
      </c>
      <c r="M58" s="30">
        <v>11.7</v>
      </c>
      <c r="N58" s="21">
        <f t="shared" si="25"/>
        <v>3.539823008849545E-2</v>
      </c>
      <c r="O58" s="22">
        <f>IF(ISNUMBER(M58), $B64 * N58, "")</f>
        <v>3539.8230088495452</v>
      </c>
      <c r="Q58" s="248"/>
      <c r="R58" s="248"/>
      <c r="S58" s="248"/>
    </row>
    <row r="59" spans="1:19" ht="17.25" customHeight="1" thickBot="1">
      <c r="A59" s="125" t="s">
        <v>208</v>
      </c>
      <c r="B59" s="129">
        <v>11.7</v>
      </c>
      <c r="C59" s="80">
        <v>8.6206896999999998E-3</v>
      </c>
      <c r="D59" s="106">
        <v>12.8</v>
      </c>
      <c r="E59" s="107">
        <f>IF(ISNUMBER(D59), (D59 - $B59) / $B59, "")</f>
        <v>9.4017094017094141E-2</v>
      </c>
      <c r="F59" s="108">
        <f>IF(ISNUMBER(D59), $B64 * E59, "")</f>
        <v>9401.7094017094132</v>
      </c>
      <c r="G59" s="109">
        <v>14.8</v>
      </c>
      <c r="H59" s="107">
        <f>IF(ISNUMBER(G59), (G59 - $B59) / $B59, "")</f>
        <v>0.26495726495726507</v>
      </c>
      <c r="I59" s="110">
        <f>IF(ISNUMBER(G59), $B64 * H59, "")</f>
        <v>26495.726495726507</v>
      </c>
      <c r="J59" s="106">
        <v>14.4</v>
      </c>
      <c r="K59" s="107">
        <f>IF(ISNUMBER(J59), (J59 - $B59) / $B59, "")</f>
        <v>0.23076923076923087</v>
      </c>
      <c r="L59" s="108">
        <f>IF(ISNUMBER(J59), $B64 * K59, "")</f>
        <v>23076.923076923085</v>
      </c>
      <c r="M59" s="109">
        <v>13.7</v>
      </c>
      <c r="N59" s="107">
        <f>IF(ISNUMBER(M59), (M59 - $B59) / $B59, "")</f>
        <v>0.17094017094017094</v>
      </c>
      <c r="O59" s="108">
        <f>IF(ISNUMBER(M59), $B64 * N59, "")</f>
        <v>17094.017094017094</v>
      </c>
      <c r="Q59" s="238"/>
      <c r="R59" s="238"/>
      <c r="S59" s="238"/>
    </row>
    <row r="60" spans="1:19" ht="17.25" customHeight="1" thickBot="1">
      <c r="A60" s="125" t="s">
        <v>190</v>
      </c>
      <c r="B60" s="126">
        <v>16.5</v>
      </c>
      <c r="C60" s="77">
        <v>6.0975609999999996E-3</v>
      </c>
      <c r="D60" s="15">
        <v>17.8</v>
      </c>
      <c r="E60" s="32">
        <f t="shared" ref="E60:E63" si="26">IF(ISNUMBER(D60), (D60 - $B60) / $B60, "")</f>
        <v>7.8787878787878837E-2</v>
      </c>
      <c r="F60" s="18">
        <f>IF(ISNUMBER(D60), $B64 * E60, "")</f>
        <v>7878.7878787878835</v>
      </c>
      <c r="G60" s="31">
        <v>17.899999999999999</v>
      </c>
      <c r="H60" s="32">
        <f t="shared" ref="H60:H63" si="27">IF(ISNUMBER(G60), (G60 - $B60) / $B60, "")</f>
        <v>8.4848484848484756E-2</v>
      </c>
      <c r="I60" s="101">
        <f>IF(ISNUMBER(G60), $B64 * H60, "")</f>
        <v>8484.848484848475</v>
      </c>
      <c r="J60" s="15">
        <v>17.899999999999999</v>
      </c>
      <c r="K60" s="32">
        <f t="shared" ref="K60:K63" si="28">IF(ISNUMBER(J60), (J60 - $B60) / $B60, "")</f>
        <v>8.4848484848484756E-2</v>
      </c>
      <c r="L60" s="18">
        <f>IF(ISNUMBER(J60), $B64 * K60, "")</f>
        <v>8484.848484848475</v>
      </c>
      <c r="M60" s="31">
        <v>17.399999999999999</v>
      </c>
      <c r="N60" s="32">
        <f t="shared" ref="N60:N63" si="29">IF(ISNUMBER(M60), (M60 - $B60) / $B60, "")</f>
        <v>5.454545454545446E-2</v>
      </c>
      <c r="O60" s="18">
        <f>IF(ISNUMBER(M60), $B64 * N60, "")</f>
        <v>5454.5454545454459</v>
      </c>
      <c r="Q60" s="238"/>
      <c r="R60" s="238"/>
      <c r="S60" s="238"/>
    </row>
    <row r="61" spans="1:19" ht="17.25" customHeight="1" thickBot="1">
      <c r="A61" s="125" t="s">
        <v>130</v>
      </c>
      <c r="B61" s="126">
        <v>99.2</v>
      </c>
      <c r="C61" s="77">
        <v>2.020202E-3</v>
      </c>
      <c r="D61" s="15">
        <v>104</v>
      </c>
      <c r="E61" s="32">
        <f t="shared" si="26"/>
        <v>4.8387096774193519E-2</v>
      </c>
      <c r="F61" s="18">
        <f>IF(ISNUMBER(D61), $B64 * E61, "")</f>
        <v>4838.7096774193524</v>
      </c>
      <c r="G61" s="31">
        <v>104</v>
      </c>
      <c r="H61" s="32">
        <f t="shared" si="27"/>
        <v>4.8387096774193519E-2</v>
      </c>
      <c r="I61" s="101">
        <f>IF(ISNUMBER(G61), $B64 * H61, "")</f>
        <v>4838.7096774193524</v>
      </c>
      <c r="J61" s="15">
        <v>104</v>
      </c>
      <c r="K61" s="32">
        <f t="shared" si="28"/>
        <v>4.8387096774193519E-2</v>
      </c>
      <c r="L61" s="18">
        <f>IF(ISNUMBER(J61), $B64 * K61, "")</f>
        <v>4838.7096774193524</v>
      </c>
      <c r="M61" s="31">
        <v>102</v>
      </c>
      <c r="N61" s="32">
        <f t="shared" si="29"/>
        <v>2.8225806451612875E-2</v>
      </c>
      <c r="O61" s="18">
        <f>IF(ISNUMBER(M61), $B64 * N61, "")</f>
        <v>2822.5806451612875</v>
      </c>
      <c r="Q61" s="238"/>
      <c r="R61" s="238"/>
      <c r="S61" s="238"/>
    </row>
    <row r="62" spans="1:19" ht="17.25" customHeight="1">
      <c r="A62" s="125" t="s">
        <v>178</v>
      </c>
      <c r="B62" s="126">
        <v>16.600000000000001</v>
      </c>
      <c r="C62" s="77">
        <v>0</v>
      </c>
      <c r="D62" s="15">
        <v>17</v>
      </c>
      <c r="E62" s="32">
        <f t="shared" si="26"/>
        <v>2.4096385542168586E-2</v>
      </c>
      <c r="F62" s="18">
        <f>IF(ISNUMBER(D62), $B64 * E62, "")</f>
        <v>2409.6385542168587</v>
      </c>
      <c r="G62" s="31">
        <v>17.3</v>
      </c>
      <c r="H62" s="32">
        <f t="shared" si="27"/>
        <v>4.2168674698795136E-2</v>
      </c>
      <c r="I62" s="101">
        <f>IF(ISNUMBER(G62), $B64 * H62, "")</f>
        <v>4216.8674698795139</v>
      </c>
      <c r="J62" s="15">
        <v>17.100000000000001</v>
      </c>
      <c r="K62" s="32">
        <f t="shared" si="28"/>
        <v>3.012048192771084E-2</v>
      </c>
      <c r="L62" s="18">
        <f>IF(ISNUMBER(J62), $B64 * K62, "")</f>
        <v>3012.0481927710839</v>
      </c>
      <c r="M62" s="31">
        <v>17</v>
      </c>
      <c r="N62" s="32">
        <f t="shared" si="29"/>
        <v>2.4096385542168586E-2</v>
      </c>
      <c r="O62" s="18">
        <f>IF(ISNUMBER(M62), $B64 * N62, "")</f>
        <v>2409.6385542168587</v>
      </c>
      <c r="Q62" s="227"/>
      <c r="R62" s="228"/>
      <c r="S62" s="229"/>
    </row>
    <row r="63" spans="1:19" ht="17.25" customHeight="1" thickBot="1">
      <c r="A63" s="130" t="s">
        <v>122</v>
      </c>
      <c r="B63" s="131">
        <v>28.4</v>
      </c>
      <c r="C63" s="79">
        <v>0</v>
      </c>
      <c r="D63" s="24">
        <v>29.5</v>
      </c>
      <c r="E63" s="25">
        <f t="shared" si="26"/>
        <v>3.8732394366197236E-2</v>
      </c>
      <c r="F63" s="104">
        <f>IF(ISNUMBER(D63), $B64 * E63, "")</f>
        <v>3873.2394366197236</v>
      </c>
      <c r="G63" s="102">
        <v>29.7</v>
      </c>
      <c r="H63" s="25">
        <f t="shared" si="27"/>
        <v>4.5774647887323973E-2</v>
      </c>
      <c r="I63" s="103">
        <f>IF(ISNUMBER(G63), $B64 * H63, "")</f>
        <v>4577.4647887323972</v>
      </c>
      <c r="J63" s="24">
        <v>29.4</v>
      </c>
      <c r="K63" s="25">
        <f t="shared" si="28"/>
        <v>3.5211267605633804E-2</v>
      </c>
      <c r="L63" s="104">
        <f>IF(ISNUMBER(J63), $B64 * K63, "")</f>
        <v>3521.1267605633802</v>
      </c>
      <c r="M63" s="102">
        <v>29</v>
      </c>
      <c r="N63" s="25">
        <f t="shared" si="29"/>
        <v>2.1126760563380333E-2</v>
      </c>
      <c r="O63" s="104">
        <f>IF(ISNUMBER(M63), $B64 * N63, "")</f>
        <v>2112.6760563380335</v>
      </c>
      <c r="Q63" s="230"/>
      <c r="R63" s="231"/>
      <c r="S63" s="232"/>
    </row>
    <row r="64" spans="1:19" ht="17.25" customHeight="1" thickBot="1">
      <c r="A64" s="132" t="s">
        <v>270</v>
      </c>
      <c r="B64" s="291">
        <f>$B$37</f>
        <v>100000</v>
      </c>
      <c r="C64" s="292"/>
      <c r="D64" s="26" t="s">
        <v>271</v>
      </c>
      <c r="E64" s="27">
        <f>IF(COUNT(E44:E63), SUM(E44:E63) / COUNT(E44:E63), 0)</f>
        <v>5.5480640986325956E-2</v>
      </c>
      <c r="F64" s="28">
        <f>SUM(F44:F63)</f>
        <v>110961.28197265191</v>
      </c>
      <c r="G64" s="26" t="s">
        <v>271</v>
      </c>
      <c r="H64" s="27">
        <f>IF(COUNT(H44:H63), SUM(H44:H63) / COUNT(H44:H63), 0)</f>
        <v>7.0931926894207936E-2</v>
      </c>
      <c r="I64" s="28">
        <f>SUM(I44:I63)</f>
        <v>141863.85378841593</v>
      </c>
      <c r="J64" s="26" t="s">
        <v>271</v>
      </c>
      <c r="K64" s="27">
        <f>IF(COUNT(K44:K63), SUM(K44:K63) / COUNT(K44:K63), 0)</f>
        <v>6.7045197558088826E-2</v>
      </c>
      <c r="L64" s="28">
        <f>SUM(L44:L63)</f>
        <v>134090.39511617768</v>
      </c>
      <c r="M64" s="26" t="s">
        <v>271</v>
      </c>
      <c r="N64" s="27">
        <f>IF(COUNT(N44:N63), SUM(N44:N63) / COUNT(N44:N63), 0)</f>
        <v>4.828995607410598E-2</v>
      </c>
      <c r="O64" s="28">
        <f>SUM(O44:O63)</f>
        <v>96579.912148211966</v>
      </c>
      <c r="Q64" s="233"/>
      <c r="R64" s="234"/>
      <c r="S64" s="23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48"/>
      <c r="R67" s="248"/>
      <c r="S67" s="248"/>
    </row>
    <row r="68" spans="1:19" ht="17.25" thickBot="1">
      <c r="A68" s="181" t="s">
        <v>267</v>
      </c>
      <c r="B68" s="249" t="s">
        <v>49</v>
      </c>
      <c r="C68" s="251"/>
      <c r="D68" s="249" t="s">
        <v>58</v>
      </c>
      <c r="E68" s="250"/>
      <c r="F68" s="251"/>
      <c r="G68" s="252">
        <f>_xlfn.IFNA(VLOOKUP(B68, 현재가테이블!$B$2:$D$200, 2, FALSE), "-")</f>
        <v>54440000</v>
      </c>
      <c r="H68" s="253"/>
      <c r="I68" s="254"/>
      <c r="J68" s="249" t="s">
        <v>59</v>
      </c>
      <c r="K68" s="250"/>
      <c r="L68" s="251"/>
      <c r="M68" s="255">
        <f>_xlfn.IFNA(VLOOKUP(B68, 현재가테이블!$B$2:$D$200, 3, FALSE), "-")</f>
        <v>1.07123628E-2</v>
      </c>
      <c r="N68" s="256"/>
      <c r="O68" s="257"/>
      <c r="Q68" s="248"/>
      <c r="R68" s="248"/>
      <c r="S68" s="248"/>
    </row>
    <row r="69" spans="1:19" ht="17.25" thickBot="1">
      <c r="A69" s="293" t="s">
        <v>55</v>
      </c>
      <c r="B69" s="289" t="str">
        <f>TEXT($G$1, "[$-ko-KR]yyyy-mm-dd(ddd) ") &amp; "오전 00:00"</f>
        <v>2021-08-07(토) 오전 00:00</v>
      </c>
      <c r="C69" s="290"/>
      <c r="D69" s="262" t="str">
        <f>TEXT($G$1, "[$-ko-KR]yyyy-mm-dd(ddd) ") &amp; "오후 14:00"</f>
        <v>2021-08-07(토) 오후 14:00</v>
      </c>
      <c r="E69" s="263"/>
      <c r="F69" s="264"/>
      <c r="G69" s="262" t="str">
        <f>TEXT($G$1, "[$-ko-KR]yyyy-mm-dd(ddd) ") &amp; "오후 19:00"</f>
        <v>2021-08-07(토) 오후 19:00</v>
      </c>
      <c r="H69" s="263"/>
      <c r="I69" s="264"/>
      <c r="J69" s="262" t="str">
        <f>TEXT($G$1, "[$-ko-KR]yyyy-mm-dd(ddd) ") &amp; "오후 21:00"</f>
        <v>2021-08-07(토) 오후 21:00</v>
      </c>
      <c r="K69" s="263"/>
      <c r="L69" s="264"/>
      <c r="M69" s="262" t="str">
        <f>TEXT($G$1+1, "[$-ko-KR]yyyy-mm-dd(ddd) ") &amp; "오전 00:00"</f>
        <v>2021-08-08(일) 오전 00:00</v>
      </c>
      <c r="N69" s="263"/>
      <c r="O69" s="264"/>
      <c r="Q69" s="248"/>
      <c r="R69" s="248"/>
      <c r="S69" s="248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2" t="s">
        <v>58</v>
      </c>
      <c r="H70" s="183" t="s">
        <v>268</v>
      </c>
      <c r="I70" s="18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8"/>
      <c r="R70" s="238"/>
      <c r="S70" s="238"/>
    </row>
    <row r="71" spans="1:19" ht="17.25" thickBot="1">
      <c r="A71" s="123" t="s">
        <v>166</v>
      </c>
      <c r="B71" s="124">
        <v>231</v>
      </c>
      <c r="C71" s="76">
        <v>0.2419354839</v>
      </c>
      <c r="D71" s="13">
        <v>287</v>
      </c>
      <c r="E71" s="14">
        <f>IF(ISNUMBER(D71), (D71 - $B71) / $B71, "")</f>
        <v>0.24242424242424243</v>
      </c>
      <c r="F71" s="16">
        <f>IF(ISNUMBER(D71), $B91 * E71, "")</f>
        <v>24242.424242424244</v>
      </c>
      <c r="G71" s="29">
        <v>284</v>
      </c>
      <c r="H71" s="14">
        <f>IF(ISNUMBER(G71), (G71 - $B71) / $B71, "")</f>
        <v>0.22943722943722944</v>
      </c>
      <c r="I71" s="100">
        <f>IF(ISNUMBER(G71), $B91 * H71, "")</f>
        <v>22943.722943722943</v>
      </c>
      <c r="J71" s="13">
        <v>280</v>
      </c>
      <c r="K71" s="14">
        <f>IF(ISNUMBER(J71), (J71 - $B71) / $B71, "")</f>
        <v>0.21212121212121213</v>
      </c>
      <c r="L71" s="16">
        <f>IF(ISNUMBER(J71), $B91 * K71, "")</f>
        <v>21212.121212121212</v>
      </c>
      <c r="M71" s="29">
        <v>271</v>
      </c>
      <c r="N71" s="14">
        <f>IF(ISNUMBER(M71), (M71 - $B71) / $B71, "")</f>
        <v>0.17316017316017315</v>
      </c>
      <c r="O71" s="16">
        <f>IF(ISNUMBER(M71), $B91 * N71, "")</f>
        <v>17316.017316017314</v>
      </c>
      <c r="Q71" s="248"/>
      <c r="R71" s="248"/>
      <c r="S71" s="248"/>
    </row>
    <row r="72" spans="1:19" ht="17.25" thickBot="1">
      <c r="A72" s="125" t="s">
        <v>222</v>
      </c>
      <c r="B72" s="126">
        <v>131</v>
      </c>
      <c r="C72" s="77">
        <v>5.6451612900000003E-2</v>
      </c>
      <c r="D72" s="15">
        <v>142</v>
      </c>
      <c r="E72" s="32">
        <f t="shared" ref="E72:E75" si="30">IF(ISNUMBER(D72), (D72 - $B72) / $B72, "")</f>
        <v>8.3969465648854963E-2</v>
      </c>
      <c r="F72" s="18">
        <f>IF(ISNUMBER(D72), $B91 * E72, "")</f>
        <v>8396.9465648854966</v>
      </c>
      <c r="G72" s="31">
        <v>141</v>
      </c>
      <c r="H72" s="32">
        <f t="shared" ref="H72:H75" si="31">IF(ISNUMBER(G72), (G72 - $B72) / $B72, "")</f>
        <v>7.6335877862595422E-2</v>
      </c>
      <c r="I72" s="101">
        <f>IF(ISNUMBER(G72), $B91 * H72, "")</f>
        <v>7633.5877862595426</v>
      </c>
      <c r="J72" s="15">
        <v>141</v>
      </c>
      <c r="K72" s="32">
        <f t="shared" ref="K72:K75" si="32">IF(ISNUMBER(J72), (J72 - $B72) / $B72, "")</f>
        <v>7.6335877862595422E-2</v>
      </c>
      <c r="L72" s="18">
        <f>IF(ISNUMBER(J72), $B91 * K72, "")</f>
        <v>7633.5877862595426</v>
      </c>
      <c r="M72" s="31">
        <v>136</v>
      </c>
      <c r="N72" s="32">
        <f t="shared" ref="N72:N75" si="33">IF(ISNUMBER(M72), (M72 - $B72) / $B72, "")</f>
        <v>3.8167938931297711E-2</v>
      </c>
      <c r="O72" s="18">
        <f>IF(ISNUMBER(M72), $B91 * N72, "")</f>
        <v>3816.7938931297713</v>
      </c>
      <c r="Q72" s="248"/>
      <c r="R72" s="248"/>
      <c r="S72" s="248"/>
    </row>
    <row r="73" spans="1:19" ht="17.25" thickBot="1">
      <c r="A73" s="125" t="s">
        <v>110</v>
      </c>
      <c r="B73" s="126">
        <v>154</v>
      </c>
      <c r="C73" s="77">
        <v>5.4794520499999999E-2</v>
      </c>
      <c r="D73" s="15">
        <v>203</v>
      </c>
      <c r="E73" s="32">
        <f t="shared" si="30"/>
        <v>0.31818181818181818</v>
      </c>
      <c r="F73" s="18">
        <f>IF(ISNUMBER(D73), $B91 * E73, "")</f>
        <v>31818.181818181816</v>
      </c>
      <c r="G73" s="31">
        <v>193</v>
      </c>
      <c r="H73" s="32">
        <f t="shared" si="31"/>
        <v>0.25324675324675322</v>
      </c>
      <c r="I73" s="101">
        <f>IF(ISNUMBER(G73), $B91 * H73, "")</f>
        <v>25324.675324675321</v>
      </c>
      <c r="J73" s="15">
        <v>200</v>
      </c>
      <c r="K73" s="32">
        <f t="shared" si="32"/>
        <v>0.29870129870129869</v>
      </c>
      <c r="L73" s="18">
        <f>IF(ISNUMBER(J73), $B91 * K73, "")</f>
        <v>29870.129870129869</v>
      </c>
      <c r="M73" s="31">
        <v>191</v>
      </c>
      <c r="N73" s="32">
        <f t="shared" si="33"/>
        <v>0.24025974025974026</v>
      </c>
      <c r="O73" s="18">
        <f>IF(ISNUMBER(M73), $B91 * N73, "")</f>
        <v>24025.974025974025</v>
      </c>
      <c r="Q73" s="238"/>
      <c r="R73" s="238"/>
      <c r="S73" s="238"/>
    </row>
    <row r="74" spans="1:19" ht="17.25" thickBot="1">
      <c r="A74" s="125" t="s">
        <v>194</v>
      </c>
      <c r="B74" s="126">
        <v>145</v>
      </c>
      <c r="C74" s="77">
        <v>5.0724637699999998E-2</v>
      </c>
      <c r="D74" s="15">
        <v>155</v>
      </c>
      <c r="E74" s="32">
        <f t="shared" si="30"/>
        <v>6.8965517241379309E-2</v>
      </c>
      <c r="F74" s="18">
        <f>IF(ISNUMBER(D74), $B91 * E74, "")</f>
        <v>6896.5517241379312</v>
      </c>
      <c r="G74" s="31">
        <v>154</v>
      </c>
      <c r="H74" s="32">
        <f t="shared" si="31"/>
        <v>6.2068965517241378E-2</v>
      </c>
      <c r="I74" s="101">
        <f>IF(ISNUMBER(G74), $B91 * H74, "")</f>
        <v>6206.8965517241377</v>
      </c>
      <c r="J74" s="15">
        <v>153</v>
      </c>
      <c r="K74" s="32">
        <f t="shared" si="32"/>
        <v>5.5172413793103448E-2</v>
      </c>
      <c r="L74" s="18">
        <f>IF(ISNUMBER(J74), $B91 * K74, "")</f>
        <v>5517.2413793103451</v>
      </c>
      <c r="M74" s="31">
        <v>148</v>
      </c>
      <c r="N74" s="32">
        <f t="shared" si="33"/>
        <v>2.0689655172413793E-2</v>
      </c>
      <c r="O74" s="18">
        <f>IF(ISNUMBER(M74), $B91 * N74, "")</f>
        <v>2068.9655172413791</v>
      </c>
      <c r="Q74" s="238"/>
      <c r="R74" s="238"/>
      <c r="S74" s="238"/>
    </row>
    <row r="75" spans="1:19" ht="17.25" thickBot="1">
      <c r="A75" s="127" t="s">
        <v>128</v>
      </c>
      <c r="B75" s="128">
        <v>110</v>
      </c>
      <c r="C75" s="78">
        <v>4.7619047599999999E-2</v>
      </c>
      <c r="D75" s="20">
        <v>116</v>
      </c>
      <c r="E75" s="21">
        <f t="shared" si="30"/>
        <v>5.4545454545454543E-2</v>
      </c>
      <c r="F75" s="22">
        <f>IF(ISNUMBER(D75), $B91 * E75, "")</f>
        <v>5454.545454545454</v>
      </c>
      <c r="G75" s="30">
        <v>123</v>
      </c>
      <c r="H75" s="21">
        <f t="shared" si="31"/>
        <v>0.11818181818181818</v>
      </c>
      <c r="I75" s="105">
        <f>IF(ISNUMBER(G75), $B91 * H75, "")</f>
        <v>11818.181818181818</v>
      </c>
      <c r="J75" s="20">
        <v>122</v>
      </c>
      <c r="K75" s="21">
        <f t="shared" si="32"/>
        <v>0.10909090909090909</v>
      </c>
      <c r="L75" s="22">
        <f>IF(ISNUMBER(J75), $B91 * K75, "")</f>
        <v>10909.090909090908</v>
      </c>
      <c r="M75" s="30">
        <v>121</v>
      </c>
      <c r="N75" s="21">
        <f t="shared" si="33"/>
        <v>0.1</v>
      </c>
      <c r="O75" s="22">
        <f>IF(ISNUMBER(M75), $B91 * N75, "")</f>
        <v>10000</v>
      </c>
      <c r="Q75" s="238"/>
      <c r="R75" s="238"/>
      <c r="S75" s="238"/>
    </row>
    <row r="76" spans="1:19" ht="17.25" thickBot="1">
      <c r="A76" s="125" t="s">
        <v>132</v>
      </c>
      <c r="B76" s="129">
        <v>104</v>
      </c>
      <c r="C76" s="80">
        <v>4.6277666000000002E-2</v>
      </c>
      <c r="D76" s="106">
        <v>107</v>
      </c>
      <c r="E76" s="107">
        <f>IF(ISNUMBER(D76), (D76 - $B76) / $B76, "")</f>
        <v>2.8846153846153848E-2</v>
      </c>
      <c r="F76" s="108">
        <f>IF(ISNUMBER(D76), $B91 * E76, "")</f>
        <v>2884.6153846153848</v>
      </c>
      <c r="G76" s="109">
        <v>108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109</v>
      </c>
      <c r="K76" s="107">
        <f>IF(ISNUMBER(J76), (J76 - $B76) / $B76, "")</f>
        <v>4.807692307692308E-2</v>
      </c>
      <c r="L76" s="108">
        <f>IF(ISNUMBER(J76), $B91 * K76, "")</f>
        <v>4807.6923076923076</v>
      </c>
      <c r="M76" s="109">
        <v>107</v>
      </c>
      <c r="N76" s="107">
        <f>IF(ISNUMBER(M76), (M76 - $B76) / $B76, "")</f>
        <v>2.8846153846153848E-2</v>
      </c>
      <c r="O76" s="108">
        <f>IF(ISNUMBER(M76), $B91 * N76, "")</f>
        <v>2884.6153846153848</v>
      </c>
      <c r="Q76" s="238"/>
      <c r="R76" s="238"/>
      <c r="S76" s="238"/>
    </row>
    <row r="77" spans="1:19" ht="17.25" thickBot="1">
      <c r="A77" s="125" t="s">
        <v>252</v>
      </c>
      <c r="B77" s="126">
        <v>958</v>
      </c>
      <c r="C77" s="77">
        <v>4.2437431999999997E-2</v>
      </c>
      <c r="D77" s="15">
        <v>974</v>
      </c>
      <c r="E77" s="32">
        <f t="shared" ref="E77:E80" si="34">IF(ISNUMBER(D77), (D77 - $B77) / $B77, "")</f>
        <v>1.6701461377870562E-2</v>
      </c>
      <c r="F77" s="18">
        <f>IF(ISNUMBER(D77), $B91 * E77, "")</f>
        <v>1670.1461377870562</v>
      </c>
      <c r="G77" s="31">
        <v>987</v>
      </c>
      <c r="H77" s="32">
        <f t="shared" ref="H77:H80" si="35">IF(ISNUMBER(G77), (G77 - $B77) / $B77, "")</f>
        <v>3.0271398747390398E-2</v>
      </c>
      <c r="I77" s="101">
        <f>IF(ISNUMBER(G77), $B91 * H77, "")</f>
        <v>3027.1398747390399</v>
      </c>
      <c r="J77" s="15">
        <v>990</v>
      </c>
      <c r="K77" s="32">
        <f t="shared" ref="K77:K80" si="36">IF(ISNUMBER(J77), (J77 - $B77) / $B77, "")</f>
        <v>3.3402922755741124E-2</v>
      </c>
      <c r="L77" s="18">
        <f>IF(ISNUMBER(J77), $B91 * K77, "")</f>
        <v>3340.2922755741124</v>
      </c>
      <c r="M77" s="31">
        <v>975</v>
      </c>
      <c r="N77" s="32">
        <f t="shared" ref="N77:N80" si="37">IF(ISNUMBER(M77), (M77 - $B77) / $B77, "")</f>
        <v>1.7745302713987474E-2</v>
      </c>
      <c r="O77" s="18">
        <f>IF(ISNUMBER(M77), $B91 * N77, "")</f>
        <v>1774.5302713987473</v>
      </c>
      <c r="Q77" s="238"/>
      <c r="R77" s="238"/>
      <c r="S77" s="238"/>
    </row>
    <row r="78" spans="1:19" ht="17.25" thickBot="1">
      <c r="A78" s="125" t="s">
        <v>218</v>
      </c>
      <c r="B78" s="126">
        <v>120</v>
      </c>
      <c r="C78" s="77">
        <v>3.4482758600000003E-2</v>
      </c>
      <c r="D78" s="15">
        <v>133</v>
      </c>
      <c r="E78" s="32">
        <f t="shared" si="34"/>
        <v>0.10833333333333334</v>
      </c>
      <c r="F78" s="18">
        <f>IF(ISNUMBER(D78), $B91 * E78, "")</f>
        <v>10833.333333333334</v>
      </c>
      <c r="G78" s="31">
        <v>137</v>
      </c>
      <c r="H78" s="32">
        <f t="shared" si="35"/>
        <v>0.14166666666666666</v>
      </c>
      <c r="I78" s="101">
        <f>IF(ISNUMBER(G78), $B91 * H78, "")</f>
        <v>14166.666666666666</v>
      </c>
      <c r="J78" s="15">
        <v>135</v>
      </c>
      <c r="K78" s="32">
        <f t="shared" si="36"/>
        <v>0.125</v>
      </c>
      <c r="L78" s="18">
        <f>IF(ISNUMBER(J78), $B91 * K78, "")</f>
        <v>12500</v>
      </c>
      <c r="M78" s="31">
        <v>131</v>
      </c>
      <c r="N78" s="32">
        <f t="shared" si="37"/>
        <v>9.166666666666666E-2</v>
      </c>
      <c r="O78" s="18">
        <f>IF(ISNUMBER(M78), $B91 * N78, "")</f>
        <v>9166.6666666666661</v>
      </c>
      <c r="Q78" s="238"/>
      <c r="R78" s="238"/>
      <c r="S78" s="238"/>
    </row>
    <row r="79" spans="1:19" ht="17.25" thickBot="1">
      <c r="A79" s="125" t="s">
        <v>86</v>
      </c>
      <c r="B79" s="126">
        <v>313</v>
      </c>
      <c r="C79" s="77">
        <v>1.9543973900000001E-2</v>
      </c>
      <c r="D79" s="15">
        <v>336</v>
      </c>
      <c r="E79" s="32">
        <f t="shared" si="34"/>
        <v>7.3482428115015971E-2</v>
      </c>
      <c r="F79" s="18">
        <f>IF(ISNUMBER(D79), $B91 * E79, "")</f>
        <v>7348.2428115015973</v>
      </c>
      <c r="G79" s="31">
        <v>339</v>
      </c>
      <c r="H79" s="32">
        <f t="shared" si="35"/>
        <v>8.3067092651757185E-2</v>
      </c>
      <c r="I79" s="101">
        <f>IF(ISNUMBER(G79), $B91 * H79, "")</f>
        <v>8306.7092651757193</v>
      </c>
      <c r="J79" s="15">
        <v>339</v>
      </c>
      <c r="K79" s="32">
        <f t="shared" si="36"/>
        <v>8.3067092651757185E-2</v>
      </c>
      <c r="L79" s="18">
        <f>IF(ISNUMBER(J79), $B91 * K79, "")</f>
        <v>8306.7092651757193</v>
      </c>
      <c r="M79" s="31">
        <v>334</v>
      </c>
      <c r="N79" s="32">
        <f t="shared" si="37"/>
        <v>6.7092651757188496E-2</v>
      </c>
      <c r="O79" s="18">
        <f>IF(ISNUMBER(M79), $B91 * N79, "")</f>
        <v>6709.2651757188496</v>
      </c>
      <c r="Q79" s="33"/>
      <c r="R79" s="33"/>
    </row>
    <row r="80" spans="1:19" ht="17.25" thickBot="1">
      <c r="A80" s="130" t="s">
        <v>238</v>
      </c>
      <c r="B80" s="131">
        <v>101</v>
      </c>
      <c r="C80" s="79">
        <v>1.9172552999999998E-2</v>
      </c>
      <c r="D80" s="24">
        <v>107</v>
      </c>
      <c r="E80" s="25">
        <f t="shared" si="34"/>
        <v>5.9405940594059403E-2</v>
      </c>
      <c r="F80" s="104">
        <f>IF(ISNUMBER(D80), $B91 * E80, "")</f>
        <v>5940.5940594059402</v>
      </c>
      <c r="G80" s="102">
        <v>108</v>
      </c>
      <c r="H80" s="25">
        <f t="shared" si="35"/>
        <v>6.9306930693069313E-2</v>
      </c>
      <c r="I80" s="103">
        <f>IF(ISNUMBER(G80), $B91 * H80, "")</f>
        <v>6930.6930693069316</v>
      </c>
      <c r="J80" s="24">
        <v>107</v>
      </c>
      <c r="K80" s="25">
        <f t="shared" si="36"/>
        <v>5.9405940594059403E-2</v>
      </c>
      <c r="L80" s="104">
        <f>IF(ISNUMBER(J80), $B91 * K80, "")</f>
        <v>5940.5940594059402</v>
      </c>
      <c r="M80" s="102">
        <v>105</v>
      </c>
      <c r="N80" s="25">
        <f t="shared" si="37"/>
        <v>3.9603960396039604E-2</v>
      </c>
      <c r="O80" s="104">
        <f>IF(ISNUMBER(M80), $B91 * N80, "")</f>
        <v>3960.3960396039606</v>
      </c>
      <c r="Q80" s="239"/>
      <c r="R80" s="240"/>
      <c r="S80" s="241"/>
    </row>
    <row r="81" spans="1:19">
      <c r="A81" s="123" t="s">
        <v>266</v>
      </c>
      <c r="B81" s="124">
        <v>236</v>
      </c>
      <c r="C81" s="76">
        <v>1.7241379300000002E-2</v>
      </c>
      <c r="D81" s="13">
        <v>245</v>
      </c>
      <c r="E81" s="14">
        <f>IF(ISNUMBER(D81), (D81 - $B81) / $B81, "")</f>
        <v>3.8135593220338986E-2</v>
      </c>
      <c r="F81" s="16">
        <f>IF(ISNUMBER(D81), $B91 * E81, "")</f>
        <v>3813.5593220338988</v>
      </c>
      <c r="G81" s="29">
        <v>262</v>
      </c>
      <c r="H81" s="14">
        <f>IF(ISNUMBER(G81), (G81 - $B81) / $B81, "")</f>
        <v>0.11016949152542373</v>
      </c>
      <c r="I81" s="100">
        <f>IF(ISNUMBER(G81), $B91 * H81, "")</f>
        <v>11016.949152542373</v>
      </c>
      <c r="J81" s="13">
        <v>261</v>
      </c>
      <c r="K81" s="14">
        <f>IF(ISNUMBER(J81), (J81 - $B81) / $B81, "")</f>
        <v>0.1059322033898305</v>
      </c>
      <c r="L81" s="16">
        <f>IF(ISNUMBER(J81), $B91 * K81, "")</f>
        <v>10593.22033898305</v>
      </c>
      <c r="M81" s="29">
        <v>278</v>
      </c>
      <c r="N81" s="14">
        <f>IF(ISNUMBER(M81), (M81 - $B81) / $B81, "")</f>
        <v>0.17796610169491525</v>
      </c>
      <c r="O81" s="16">
        <f>IF(ISNUMBER(M81), $B91 * N81, "")</f>
        <v>17796.610169491527</v>
      </c>
      <c r="Q81" s="242"/>
      <c r="R81" s="243"/>
      <c r="S81" s="244"/>
    </row>
    <row r="82" spans="1:19" ht="17.25" thickBot="1">
      <c r="A82" s="125" t="s">
        <v>236</v>
      </c>
      <c r="B82" s="126">
        <v>587</v>
      </c>
      <c r="C82" s="77">
        <v>1.55709343E-2</v>
      </c>
      <c r="D82" s="15">
        <v>605</v>
      </c>
      <c r="E82" s="32">
        <f t="shared" ref="E82:E85" si="38">IF(ISNUMBER(D82), (D82 - $B82) / $B82, "")</f>
        <v>3.0664395229982964E-2</v>
      </c>
      <c r="F82" s="18">
        <f>IF(ISNUMBER(D82), $B91 * E82, "")</f>
        <v>3066.4395229982965</v>
      </c>
      <c r="G82" s="31">
        <v>611</v>
      </c>
      <c r="H82" s="32">
        <f t="shared" ref="H82:H85" si="39">IF(ISNUMBER(G82), (G82 - $B82) / $B82, "")</f>
        <v>4.0885860306643949E-2</v>
      </c>
      <c r="I82" s="101">
        <f>IF(ISNUMBER(G82), $B91 * H82, "")</f>
        <v>4088.5860306643949</v>
      </c>
      <c r="J82" s="15">
        <v>613</v>
      </c>
      <c r="K82" s="32">
        <f t="shared" ref="K82:K85" si="40">IF(ISNUMBER(J82), (J82 - $B82) / $B82, "")</f>
        <v>4.4293015332197615E-2</v>
      </c>
      <c r="L82" s="18">
        <f>IF(ISNUMBER(J82), $B91 * K82, "")</f>
        <v>4429.301533219761</v>
      </c>
      <c r="M82" s="31">
        <v>607</v>
      </c>
      <c r="N82" s="32">
        <f t="shared" ref="N82:N85" si="41">IF(ISNUMBER(M82), (M82 - $B82) / $B82, "")</f>
        <v>3.4071550255536626E-2</v>
      </c>
      <c r="O82" s="18">
        <f>IF(ISNUMBER(M82), $B91 * N82, "")</f>
        <v>3407.1550255536627</v>
      </c>
      <c r="Q82" s="245"/>
      <c r="R82" s="246"/>
      <c r="S82" s="247"/>
    </row>
    <row r="83" spans="1:19" ht="17.25" thickBot="1">
      <c r="A83" s="125" t="s">
        <v>200</v>
      </c>
      <c r="B83" s="126">
        <v>134</v>
      </c>
      <c r="C83" s="77">
        <v>1.51515152E-2</v>
      </c>
      <c r="D83" s="15">
        <v>142</v>
      </c>
      <c r="E83" s="32">
        <f t="shared" si="38"/>
        <v>5.9701492537313432E-2</v>
      </c>
      <c r="F83" s="18">
        <f>IF(ISNUMBER(D83), $B91 * E83, "")</f>
        <v>5970.1492537313434</v>
      </c>
      <c r="G83" s="31">
        <v>143</v>
      </c>
      <c r="H83" s="32">
        <f t="shared" si="39"/>
        <v>6.7164179104477612E-2</v>
      </c>
      <c r="I83" s="101">
        <f>IF(ISNUMBER(G83), $B91 * H83, "")</f>
        <v>6716.4179104477607</v>
      </c>
      <c r="J83" s="15">
        <v>143</v>
      </c>
      <c r="K83" s="32">
        <f t="shared" si="40"/>
        <v>6.7164179104477612E-2</v>
      </c>
      <c r="L83" s="18">
        <f>IF(ISNUMBER(J83), $B91 * K83, "")</f>
        <v>6716.4179104477607</v>
      </c>
      <c r="M83" s="31">
        <v>140</v>
      </c>
      <c r="N83" s="32">
        <f t="shared" si="41"/>
        <v>4.4776119402985072E-2</v>
      </c>
      <c r="O83" s="18">
        <f>IF(ISNUMBER(M83), $B91 * N83, "")</f>
        <v>4477.6119402985069</v>
      </c>
      <c r="Q83" s="238"/>
      <c r="R83" s="238"/>
      <c r="S83" s="238"/>
    </row>
    <row r="84" spans="1:19" ht="17.25" thickBot="1">
      <c r="A84" s="125" t="s">
        <v>118</v>
      </c>
      <c r="B84" s="126">
        <v>152</v>
      </c>
      <c r="C84" s="77">
        <v>1.33333333E-2</v>
      </c>
      <c r="D84" s="15">
        <v>154</v>
      </c>
      <c r="E84" s="32">
        <f t="shared" si="38"/>
        <v>1.3157894736842105E-2</v>
      </c>
      <c r="F84" s="18">
        <f>IF(ISNUMBER(D84), $B91 * E84, "")</f>
        <v>1315.7894736842104</v>
      </c>
      <c r="G84" s="31">
        <v>158</v>
      </c>
      <c r="H84" s="32">
        <f t="shared" si="39"/>
        <v>3.9473684210526314E-2</v>
      </c>
      <c r="I84" s="101">
        <f>IF(ISNUMBER(G84), $B91 * H84, "")</f>
        <v>3947.3684210526312</v>
      </c>
      <c r="J84" s="15">
        <v>156</v>
      </c>
      <c r="K84" s="32">
        <f t="shared" si="40"/>
        <v>2.6315789473684209E-2</v>
      </c>
      <c r="L84" s="18">
        <f>IF(ISNUMBER(J84), $B91 * K84, "")</f>
        <v>2631.5789473684208</v>
      </c>
      <c r="M84" s="31">
        <v>157</v>
      </c>
      <c r="N84" s="32">
        <f t="shared" si="41"/>
        <v>3.2894736842105261E-2</v>
      </c>
      <c r="O84" s="18">
        <f>IF(ISNUMBER(M84), $B91 * N84, "")</f>
        <v>3289.4736842105262</v>
      </c>
      <c r="Q84" s="248"/>
      <c r="R84" s="248"/>
      <c r="S84" s="248"/>
    </row>
    <row r="85" spans="1:19" ht="17.25" thickBot="1">
      <c r="A85" s="127" t="s">
        <v>174</v>
      </c>
      <c r="B85" s="128">
        <v>364</v>
      </c>
      <c r="C85" s="78">
        <v>1.11111111E-2</v>
      </c>
      <c r="D85" s="20">
        <v>356</v>
      </c>
      <c r="E85" s="21">
        <f t="shared" si="38"/>
        <v>-2.197802197802198E-2</v>
      </c>
      <c r="F85" s="22">
        <f>IF(ISNUMBER(D85), $B91 * E85, "")</f>
        <v>-2197.802197802198</v>
      </c>
      <c r="G85" s="30">
        <v>360</v>
      </c>
      <c r="H85" s="21">
        <f t="shared" si="39"/>
        <v>-1.098901098901099E-2</v>
      </c>
      <c r="I85" s="105">
        <f>IF(ISNUMBER(G85), $B91 * H85, "")</f>
        <v>-1098.901098901099</v>
      </c>
      <c r="J85" s="20">
        <v>362</v>
      </c>
      <c r="K85" s="21">
        <f t="shared" si="40"/>
        <v>-5.4945054945054949E-3</v>
      </c>
      <c r="L85" s="22">
        <f>IF(ISNUMBER(J85), $B91 * K85, "")</f>
        <v>-549.45054945054949</v>
      </c>
      <c r="M85" s="30">
        <v>355</v>
      </c>
      <c r="N85" s="21">
        <f t="shared" si="41"/>
        <v>-2.4725274725274724E-2</v>
      </c>
      <c r="O85" s="22">
        <f>IF(ISNUMBER(M85), $B91 * N85, "")</f>
        <v>-2472.5274725274726</v>
      </c>
      <c r="Q85" s="248"/>
      <c r="R85" s="248"/>
      <c r="S85" s="248"/>
    </row>
    <row r="86" spans="1:19" ht="17.25" thickBot="1">
      <c r="A86" s="125" t="s">
        <v>184</v>
      </c>
      <c r="B86" s="129">
        <v>934</v>
      </c>
      <c r="C86" s="80">
        <v>1.0822510800000001E-2</v>
      </c>
      <c r="D86" s="106">
        <v>971</v>
      </c>
      <c r="E86" s="107">
        <f>IF(ISNUMBER(D86), (D86 - $B86) / $B86, "")</f>
        <v>3.961456102783726E-2</v>
      </c>
      <c r="F86" s="108">
        <f>IF(ISNUMBER(D86), $B91 * E86, "")</f>
        <v>3961.4561027837258</v>
      </c>
      <c r="G86" s="109">
        <v>984</v>
      </c>
      <c r="H86" s="107">
        <f>IF(ISNUMBER(G86), (G86 - $B86) / $B86, "")</f>
        <v>5.353319057815846E-2</v>
      </c>
      <c r="I86" s="110">
        <f>IF(ISNUMBER(G86), $B91 * H86, "")</f>
        <v>5353.3190578158456</v>
      </c>
      <c r="J86" s="106">
        <v>988</v>
      </c>
      <c r="K86" s="107">
        <f>IF(ISNUMBER(J86), (J86 - $B86) / $B86, "")</f>
        <v>5.7815845824411134E-2</v>
      </c>
      <c r="L86" s="108">
        <f>IF(ISNUMBER(J86), $B91 * K86, "")</f>
        <v>5781.5845824411135</v>
      </c>
      <c r="M86" s="109">
        <v>970</v>
      </c>
      <c r="N86" s="107">
        <f>IF(ISNUMBER(M86), (M86 - $B86) / $B86, "")</f>
        <v>3.8543897216274089E-2</v>
      </c>
      <c r="O86" s="108">
        <f>IF(ISNUMBER(M86), $B91 * N86, "")</f>
        <v>3854.389721627409</v>
      </c>
      <c r="Q86" s="238"/>
      <c r="R86" s="238"/>
      <c r="S86" s="238"/>
    </row>
    <row r="87" spans="1:19" ht="17.25" thickBot="1">
      <c r="A87" s="125" t="s">
        <v>57</v>
      </c>
      <c r="B87" s="126">
        <v>197</v>
      </c>
      <c r="C87" s="77">
        <v>1.0256410299999999E-2</v>
      </c>
      <c r="D87" s="15">
        <v>206</v>
      </c>
      <c r="E87" s="32">
        <f t="shared" ref="E87:E90" si="42">IF(ISNUMBER(D87), (D87 - $B87) / $B87, "")</f>
        <v>4.5685279187817257E-2</v>
      </c>
      <c r="F87" s="18">
        <f>IF(ISNUMBER(D87), $B91 * E87, "")</f>
        <v>4568.5279187817259</v>
      </c>
      <c r="G87" s="31">
        <v>210</v>
      </c>
      <c r="H87" s="32">
        <f t="shared" ref="H87:H90" si="43">IF(ISNUMBER(G87), (G87 - $B87) / $B87, "")</f>
        <v>6.5989847715736044E-2</v>
      </c>
      <c r="I87" s="101">
        <f>IF(ISNUMBER(G87), $B91 * H87, "")</f>
        <v>6598.9847715736041</v>
      </c>
      <c r="J87" s="15">
        <v>211</v>
      </c>
      <c r="K87" s="32">
        <f t="shared" ref="K87:K90" si="44">IF(ISNUMBER(J87), (J87 - $B87) / $B87, "")</f>
        <v>7.1065989847715741E-2</v>
      </c>
      <c r="L87" s="18">
        <f>IF(ISNUMBER(J87), $B91 * K87, "")</f>
        <v>7106.5989847715737</v>
      </c>
      <c r="M87" s="31">
        <v>208</v>
      </c>
      <c r="N87" s="32">
        <f t="shared" ref="N87:N90" si="45">IF(ISNUMBER(M87), (M87 - $B87) / $B87, "")</f>
        <v>5.5837563451776651E-2</v>
      </c>
      <c r="O87" s="18">
        <f>IF(ISNUMBER(M87), $B91 * N87, "")</f>
        <v>5583.756345177665</v>
      </c>
      <c r="Q87" s="238"/>
      <c r="R87" s="238"/>
      <c r="S87" s="238"/>
    </row>
    <row r="88" spans="1:19" ht="17.25" thickBot="1">
      <c r="A88" s="125" t="s">
        <v>80</v>
      </c>
      <c r="B88" s="126">
        <v>794</v>
      </c>
      <c r="C88" s="77">
        <v>1.0178117E-2</v>
      </c>
      <c r="D88" s="15">
        <v>816</v>
      </c>
      <c r="E88" s="32">
        <f t="shared" si="42"/>
        <v>2.7707808564231738E-2</v>
      </c>
      <c r="F88" s="18">
        <f>IF(ISNUMBER(D88), $B91 * E88, "")</f>
        <v>2770.7808564231736</v>
      </c>
      <c r="G88" s="31">
        <v>835</v>
      </c>
      <c r="H88" s="32">
        <f t="shared" si="43"/>
        <v>5.163727959697733E-2</v>
      </c>
      <c r="I88" s="101">
        <f>IF(ISNUMBER(G88), $B91 * H88, "")</f>
        <v>5163.7279596977332</v>
      </c>
      <c r="J88" s="15">
        <v>837</v>
      </c>
      <c r="K88" s="32">
        <f t="shared" si="44"/>
        <v>5.4156171284634763E-2</v>
      </c>
      <c r="L88" s="18">
        <f>IF(ISNUMBER(J88), $B91 * K88, "")</f>
        <v>5415.6171284634765</v>
      </c>
      <c r="M88" s="31">
        <v>825</v>
      </c>
      <c r="N88" s="32">
        <f t="shared" si="45"/>
        <v>3.9042821158690177E-2</v>
      </c>
      <c r="O88" s="18">
        <f>IF(ISNUMBER(M88), $B91 * N88, "")</f>
        <v>3904.2821158690176</v>
      </c>
      <c r="Q88" s="238"/>
      <c r="R88" s="238"/>
      <c r="S88" s="238"/>
    </row>
    <row r="89" spans="1:19">
      <c r="A89" s="125" t="s">
        <v>192</v>
      </c>
      <c r="B89" s="126">
        <v>226</v>
      </c>
      <c r="C89" s="77">
        <v>8.9285713999999999E-3</v>
      </c>
      <c r="D89" s="15">
        <v>235</v>
      </c>
      <c r="E89" s="32">
        <f t="shared" si="42"/>
        <v>3.9823008849557522E-2</v>
      </c>
      <c r="F89" s="18">
        <f>IF(ISNUMBER(D89), $B91 * E89, "")</f>
        <v>3982.3008849557523</v>
      </c>
      <c r="G89" s="31">
        <v>240</v>
      </c>
      <c r="H89" s="32">
        <f t="shared" si="43"/>
        <v>6.1946902654867256E-2</v>
      </c>
      <c r="I89" s="101">
        <f>IF(ISNUMBER(G89), $B91 * H89, "")</f>
        <v>6194.6902654867254</v>
      </c>
      <c r="J89" s="15">
        <v>239</v>
      </c>
      <c r="K89" s="32">
        <f t="shared" si="44"/>
        <v>5.7522123893805309E-2</v>
      </c>
      <c r="L89" s="18">
        <f>IF(ISNUMBER(J89), $B91 * K89, "")</f>
        <v>5752.212389380531</v>
      </c>
      <c r="M89" s="31">
        <v>233</v>
      </c>
      <c r="N89" s="32">
        <f t="shared" si="45"/>
        <v>3.0973451327433628E-2</v>
      </c>
      <c r="O89" s="18">
        <f>IF(ISNUMBER(M89), $B91 * N89, "")</f>
        <v>3097.3451327433627</v>
      </c>
      <c r="Q89" s="227"/>
      <c r="R89" s="228"/>
      <c r="S89" s="229"/>
    </row>
    <row r="90" spans="1:19" ht="17.25" thickBot="1">
      <c r="A90" s="130" t="s">
        <v>90</v>
      </c>
      <c r="B90" s="131">
        <v>852</v>
      </c>
      <c r="C90" s="79">
        <v>8.2840237000000004E-3</v>
      </c>
      <c r="D90" s="24">
        <v>877</v>
      </c>
      <c r="E90" s="25">
        <f t="shared" si="42"/>
        <v>2.9342723004694836E-2</v>
      </c>
      <c r="F90" s="104">
        <f>IF(ISNUMBER(D90), $B91 * E90, "")</f>
        <v>2934.2723004694835</v>
      </c>
      <c r="G90" s="102">
        <v>910</v>
      </c>
      <c r="H90" s="25">
        <f t="shared" si="43"/>
        <v>6.8075117370892016E-2</v>
      </c>
      <c r="I90" s="103">
        <f>IF(ISNUMBER(G90), $B91 * H90, "")</f>
        <v>6807.5117370892012</v>
      </c>
      <c r="J90" s="24">
        <v>907</v>
      </c>
      <c r="K90" s="25">
        <f t="shared" si="44"/>
        <v>6.455399061032864E-2</v>
      </c>
      <c r="L90" s="104">
        <f>IF(ISNUMBER(J90), $B91 * K90, "")</f>
        <v>6455.3990610328638</v>
      </c>
      <c r="M90" s="102">
        <v>910</v>
      </c>
      <c r="N90" s="25">
        <f t="shared" si="45"/>
        <v>6.8075117370892016E-2</v>
      </c>
      <c r="O90" s="104">
        <f>IF(ISNUMBER(M90), $B91 * N90, "")</f>
        <v>6807.5117370892012</v>
      </c>
      <c r="Q90" s="230"/>
      <c r="R90" s="231"/>
      <c r="S90" s="232"/>
    </row>
    <row r="91" spans="1:19" ht="17.25" thickBot="1">
      <c r="A91" s="132" t="s">
        <v>270</v>
      </c>
      <c r="B91" s="291">
        <f>$B$37</f>
        <v>100000</v>
      </c>
      <c r="C91" s="292"/>
      <c r="D91" s="26" t="s">
        <v>271</v>
      </c>
      <c r="E91" s="27">
        <f>IF(COUNT(E71:E90), SUM(E71:E90) / COUNT(E71:E90), 0)</f>
        <v>6.7835527484438829E-2</v>
      </c>
      <c r="F91" s="28">
        <f>SUM(F71:F90)</f>
        <v>135671.05496887764</v>
      </c>
      <c r="G91" s="26" t="s">
        <v>271</v>
      </c>
      <c r="H91" s="27">
        <f>IF(COUNT(H71:H90), SUM(H71:H90) / COUNT(H71:H90), 0)</f>
        <v>8.2496540677037572E-2</v>
      </c>
      <c r="I91" s="28">
        <f>SUM(I71:I90)</f>
        <v>164993.08135407514</v>
      </c>
      <c r="J91" s="26" t="s">
        <v>271</v>
      </c>
      <c r="K91" s="27">
        <f>IF(COUNT(K71:K90), SUM(K71:K90) / COUNT(K71:K90), 0)</f>
        <v>8.2184969695709001E-2</v>
      </c>
      <c r="L91" s="28">
        <f>SUM(L71:L90)</f>
        <v>164369.93939141792</v>
      </c>
      <c r="M91" s="26" t="s">
        <v>271</v>
      </c>
      <c r="N91" s="27">
        <f>IF(COUNT(N71:N90), SUM(N71:N90) / COUNT(N71:N90), 0)</f>
        <v>6.5734416344949753E-2</v>
      </c>
      <c r="O91" s="28">
        <f>SUM(O71:O90)</f>
        <v>131468.83268989949</v>
      </c>
      <c r="Q91" s="233"/>
      <c r="R91" s="234"/>
      <c r="S91" s="23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48"/>
      <c r="R94" s="248"/>
      <c r="S94" s="248"/>
    </row>
    <row r="95" spans="1:19" ht="17.25" thickBot="1">
      <c r="A95" s="181" t="s">
        <v>267</v>
      </c>
      <c r="B95" s="249" t="s">
        <v>49</v>
      </c>
      <c r="C95" s="251"/>
      <c r="D95" s="249" t="s">
        <v>58</v>
      </c>
      <c r="E95" s="250"/>
      <c r="F95" s="251"/>
      <c r="G95" s="252">
        <f>_xlfn.IFNA(VLOOKUP(B95, 현재가테이블!$B$2:$D$200, 2, FALSE), "-")</f>
        <v>54440000</v>
      </c>
      <c r="H95" s="253"/>
      <c r="I95" s="254"/>
      <c r="J95" s="249" t="s">
        <v>59</v>
      </c>
      <c r="K95" s="250"/>
      <c r="L95" s="251"/>
      <c r="M95" s="255">
        <f>_xlfn.IFNA(VLOOKUP(B95, 현재가테이블!$B$2:$D$200, 3, FALSE), "-")</f>
        <v>1.07123628E-2</v>
      </c>
      <c r="N95" s="256"/>
      <c r="O95" s="257"/>
      <c r="Q95" s="248"/>
      <c r="R95" s="248"/>
      <c r="S95" s="248"/>
    </row>
    <row r="96" spans="1:19" ht="17.25" thickBot="1">
      <c r="A96" s="293" t="s">
        <v>55</v>
      </c>
      <c r="B96" s="289" t="str">
        <f>TEXT($G$1, "[$-ko-KR]yyyy-mm-dd(ddd) ") &amp; "오전 00:00"</f>
        <v>2021-08-07(토) 오전 00:00</v>
      </c>
      <c r="C96" s="290"/>
      <c r="D96" s="262" t="str">
        <f>TEXT($G$1, "[$-ko-KR]yyyy-mm-dd(ddd) ") &amp; "오후 14:00"</f>
        <v>2021-08-07(토) 오후 14:00</v>
      </c>
      <c r="E96" s="263"/>
      <c r="F96" s="264"/>
      <c r="G96" s="262" t="str">
        <f>TEXT($G$1, "[$-ko-KR]yyyy-mm-dd(ddd) ") &amp; "오후 19:00"</f>
        <v>2021-08-07(토) 오후 19:00</v>
      </c>
      <c r="H96" s="263"/>
      <c r="I96" s="264"/>
      <c r="J96" s="262" t="str">
        <f>TEXT($G$1, "[$-ko-KR]yyyy-mm-dd(ddd) ") &amp; "오후 21:00"</f>
        <v>2021-08-07(토) 오후 21:00</v>
      </c>
      <c r="K96" s="263"/>
      <c r="L96" s="264"/>
      <c r="M96" s="262" t="str">
        <f>TEXT($G$1+1, "[$-ko-KR]yyyy-mm-dd(ddd) ") &amp; "오전 00:00"</f>
        <v>2021-08-08(일) 오전 00:00</v>
      </c>
      <c r="N96" s="263"/>
      <c r="O96" s="264"/>
      <c r="Q96" s="248"/>
      <c r="R96" s="248"/>
      <c r="S96" s="248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2" t="s">
        <v>58</v>
      </c>
      <c r="H97" s="183" t="s">
        <v>268</v>
      </c>
      <c r="I97" s="18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8"/>
      <c r="R97" s="238"/>
      <c r="S97" s="238"/>
    </row>
    <row r="98" spans="1:19" ht="17.25" thickBot="1">
      <c r="A98" s="123" t="s">
        <v>166</v>
      </c>
      <c r="B98" s="124">
        <v>231</v>
      </c>
      <c r="C98" s="76">
        <v>0.2419354839</v>
      </c>
      <c r="D98" s="13">
        <v>287</v>
      </c>
      <c r="E98" s="14">
        <f>IF(ISNUMBER(D98), (D98 - $B98) / $B98, "")</f>
        <v>0.24242424242424243</v>
      </c>
      <c r="F98" s="16">
        <f>IF(ISNUMBER(D98), $B118 * E98, "")</f>
        <v>24242.424242424244</v>
      </c>
      <c r="G98" s="29">
        <v>284</v>
      </c>
      <c r="H98" s="14">
        <f>IF(ISNUMBER(G98), (G98 - $B98) / $B98, "")</f>
        <v>0.22943722943722944</v>
      </c>
      <c r="I98" s="100">
        <f>IF(ISNUMBER(G98), $B118 * H98, "")</f>
        <v>22943.722943722943</v>
      </c>
      <c r="J98" s="13">
        <v>280</v>
      </c>
      <c r="K98" s="14">
        <f>IF(ISNUMBER(J98), (J98 - $B98) / $B98, "")</f>
        <v>0.21212121212121213</v>
      </c>
      <c r="L98" s="16">
        <f>IF(ISNUMBER(J98), $B118 * K98, "")</f>
        <v>21212.121212121212</v>
      </c>
      <c r="M98" s="29">
        <v>271</v>
      </c>
      <c r="N98" s="14">
        <f>IF(ISNUMBER(M98), (M98 - $B98) / $B98, "")</f>
        <v>0.17316017316017315</v>
      </c>
      <c r="O98" s="16">
        <f>IF(ISNUMBER(M98), $B118 * N98, "")</f>
        <v>17316.017316017314</v>
      </c>
      <c r="Q98" s="248"/>
      <c r="R98" s="248"/>
      <c r="S98" s="248"/>
    </row>
    <row r="99" spans="1:19" ht="17.25" thickBot="1">
      <c r="A99" s="125" t="s">
        <v>224</v>
      </c>
      <c r="B99" s="126">
        <v>4530</v>
      </c>
      <c r="C99" s="77">
        <v>0.1075794621</v>
      </c>
      <c r="D99" s="15">
        <v>4685</v>
      </c>
      <c r="E99" s="32">
        <f t="shared" ref="E99:E102" si="46">IF(ISNUMBER(D99), (D99 - $B99) / $B99, "")</f>
        <v>3.4216335540838853E-2</v>
      </c>
      <c r="F99" s="18">
        <f>IF(ISNUMBER(D99), $B118 * E99, "")</f>
        <v>3421.6335540838854</v>
      </c>
      <c r="G99" s="31">
        <v>4675</v>
      </c>
      <c r="H99" s="32">
        <f t="shared" ref="H99:H102" si="47">IF(ISNUMBER(G99), (G99 - $B99) / $B99, "")</f>
        <v>3.2008830022075052E-2</v>
      </c>
      <c r="I99" s="101">
        <f>IF(ISNUMBER(G99), $B118 * H99, "")</f>
        <v>3200.8830022075053</v>
      </c>
      <c r="J99" s="15">
        <v>4685</v>
      </c>
      <c r="K99" s="32">
        <f t="shared" ref="K99:K102" si="48">IF(ISNUMBER(J99), (J99 - $B99) / $B99, "")</f>
        <v>3.4216335540838853E-2</v>
      </c>
      <c r="L99" s="18">
        <f>IF(ISNUMBER(J99), $B118 * K99, "")</f>
        <v>3421.6335540838854</v>
      </c>
      <c r="M99" s="31">
        <v>4550</v>
      </c>
      <c r="N99" s="32">
        <f t="shared" ref="N99:N102" si="49">IF(ISNUMBER(M99), (M99 - $B99) / $B99, "")</f>
        <v>4.4150110375275938E-3</v>
      </c>
      <c r="O99" s="18">
        <f>IF(ISNUMBER(M99), $B118 * N99, "")</f>
        <v>441.50110375275938</v>
      </c>
      <c r="Q99" s="248"/>
      <c r="R99" s="248"/>
      <c r="S99" s="248"/>
    </row>
    <row r="100" spans="1:19" ht="17.25" thickBot="1">
      <c r="A100" s="125" t="s">
        <v>146</v>
      </c>
      <c r="B100" s="126">
        <v>2940</v>
      </c>
      <c r="C100" s="77">
        <v>8.6876155299999994E-2</v>
      </c>
      <c r="D100" s="15">
        <v>2955</v>
      </c>
      <c r="E100" s="32">
        <f t="shared" si="46"/>
        <v>5.1020408163265302E-3</v>
      </c>
      <c r="F100" s="18">
        <f>IF(ISNUMBER(D100), $B118 * E100, "")</f>
        <v>510.20408163265301</v>
      </c>
      <c r="G100" s="31">
        <v>3005</v>
      </c>
      <c r="H100" s="32">
        <f t="shared" si="47"/>
        <v>2.2108843537414966E-2</v>
      </c>
      <c r="I100" s="101">
        <f>IF(ISNUMBER(G100), $B118 * H100, "")</f>
        <v>2210.8843537414964</v>
      </c>
      <c r="J100" s="15">
        <v>3020</v>
      </c>
      <c r="K100" s="32">
        <f t="shared" si="48"/>
        <v>2.7210884353741496E-2</v>
      </c>
      <c r="L100" s="18">
        <f>IF(ISNUMBER(J100), $B118 * K100, "")</f>
        <v>2721.0884353741494</v>
      </c>
      <c r="M100" s="31">
        <v>2960</v>
      </c>
      <c r="N100" s="32">
        <f t="shared" si="49"/>
        <v>6.8027210884353739E-3</v>
      </c>
      <c r="O100" s="18">
        <f>IF(ISNUMBER(M100), $B118 * N100, "")</f>
        <v>680.27210884353735</v>
      </c>
      <c r="Q100" s="238"/>
      <c r="R100" s="238"/>
      <c r="S100" s="238"/>
    </row>
    <row r="101" spans="1:19" ht="17.25" thickBot="1">
      <c r="A101" s="125" t="s">
        <v>106</v>
      </c>
      <c r="B101" s="126">
        <v>73650</v>
      </c>
      <c r="C101" s="77">
        <v>6.4306358399999999E-2</v>
      </c>
      <c r="D101" s="15">
        <v>71890</v>
      </c>
      <c r="E101" s="32">
        <f t="shared" si="46"/>
        <v>-2.3896809232858113E-2</v>
      </c>
      <c r="F101" s="18">
        <f>IF(ISNUMBER(D101), $B118 * E101, "")</f>
        <v>-2389.6809232858113</v>
      </c>
      <c r="G101" s="31">
        <v>71600</v>
      </c>
      <c r="H101" s="32">
        <f t="shared" si="47"/>
        <v>-2.7834351663272233E-2</v>
      </c>
      <c r="I101" s="101">
        <f>IF(ISNUMBER(G101), $B118 * H101, "")</f>
        <v>-2783.4351663272232</v>
      </c>
      <c r="J101" s="15">
        <v>71470</v>
      </c>
      <c r="K101" s="32">
        <f t="shared" si="48"/>
        <v>-2.9599456890699254E-2</v>
      </c>
      <c r="L101" s="18">
        <f>IF(ISNUMBER(J101), $B118 * K101, "")</f>
        <v>-2959.9456890699253</v>
      </c>
      <c r="M101" s="31">
        <v>69270</v>
      </c>
      <c r="N101" s="32">
        <f t="shared" si="49"/>
        <v>-5.9470468431771895E-2</v>
      </c>
      <c r="O101" s="18">
        <f>IF(ISNUMBER(M101), $B118 * N101, "")</f>
        <v>-5947.0468431771897</v>
      </c>
      <c r="Q101" s="238"/>
      <c r="R101" s="238"/>
      <c r="S101" s="238"/>
    </row>
    <row r="102" spans="1:19" ht="17.25" thickBot="1">
      <c r="A102" s="127" t="s">
        <v>120</v>
      </c>
      <c r="B102" s="128">
        <v>4410</v>
      </c>
      <c r="C102" s="78">
        <v>6.2650602400000005E-2</v>
      </c>
      <c r="D102" s="20">
        <v>4540</v>
      </c>
      <c r="E102" s="21">
        <f t="shared" si="46"/>
        <v>2.9478458049886622E-2</v>
      </c>
      <c r="F102" s="22">
        <f>IF(ISNUMBER(D102), $B118 * E102, "")</f>
        <v>2947.8458049886622</v>
      </c>
      <c r="G102" s="30">
        <v>4535</v>
      </c>
      <c r="H102" s="21">
        <f t="shared" si="47"/>
        <v>2.834467120181406E-2</v>
      </c>
      <c r="I102" s="105">
        <f>IF(ISNUMBER(G102), $B118 * H102, "")</f>
        <v>2834.4671201814062</v>
      </c>
      <c r="J102" s="20">
        <v>4545</v>
      </c>
      <c r="K102" s="21">
        <f t="shared" si="48"/>
        <v>3.0612244897959183E-2</v>
      </c>
      <c r="L102" s="22">
        <f>IF(ISNUMBER(J102), $B118 * K102, "")</f>
        <v>3061.2244897959181</v>
      </c>
      <c r="M102" s="30">
        <v>4425</v>
      </c>
      <c r="N102" s="21">
        <f t="shared" si="49"/>
        <v>3.4013605442176869E-3</v>
      </c>
      <c r="O102" s="22">
        <f>IF(ISNUMBER(M102), $B118 * N102, "")</f>
        <v>340.13605442176868</v>
      </c>
      <c r="Q102" s="238"/>
      <c r="R102" s="238"/>
      <c r="S102" s="238"/>
    </row>
    <row r="103" spans="1:19" ht="17.25" thickBot="1">
      <c r="A103" s="125" t="s">
        <v>188</v>
      </c>
      <c r="B103" s="129">
        <v>12.2</v>
      </c>
      <c r="C103" s="80">
        <v>6.0869565200000003E-2</v>
      </c>
      <c r="D103" s="106">
        <v>12.6</v>
      </c>
      <c r="E103" s="107">
        <f>IF(ISNUMBER(D103), (D103 - $B103) / $B103, "")</f>
        <v>3.2786885245901669E-2</v>
      </c>
      <c r="F103" s="108">
        <f>IF(ISNUMBER(D103), $B118 * E103, "")</f>
        <v>3278.6885245901667</v>
      </c>
      <c r="G103" s="109">
        <v>12.9</v>
      </c>
      <c r="H103" s="107">
        <f>IF(ISNUMBER(G103), (G103 - $B103) / $B103, "")</f>
        <v>5.737704918032796E-2</v>
      </c>
      <c r="I103" s="110">
        <f>IF(ISNUMBER(G103), $B118 * H103, "")</f>
        <v>5737.7049180327958</v>
      </c>
      <c r="J103" s="106">
        <v>12.7</v>
      </c>
      <c r="K103" s="107">
        <f>IF(ISNUMBER(J103), (J103 - $B103) / $B103, "")</f>
        <v>4.0983606557377053E-2</v>
      </c>
      <c r="L103" s="108">
        <f>IF(ISNUMBER(J103), $B118 * K103, "")</f>
        <v>4098.3606557377052</v>
      </c>
      <c r="M103" s="109">
        <v>12.6</v>
      </c>
      <c r="N103" s="107">
        <f>IF(ISNUMBER(M103), (M103 - $B103) / $B103, "")</f>
        <v>3.2786885245901669E-2</v>
      </c>
      <c r="O103" s="108">
        <f>IF(ISNUMBER(M103), $B118 * N103, "")</f>
        <v>3278.6885245901667</v>
      </c>
      <c r="Q103" s="238"/>
      <c r="R103" s="238"/>
      <c r="S103" s="238"/>
    </row>
    <row r="104" spans="1:19" ht="17.25" thickBot="1">
      <c r="A104" s="125" t="s">
        <v>222</v>
      </c>
      <c r="B104" s="126">
        <v>131</v>
      </c>
      <c r="C104" s="77">
        <v>5.6451612900000003E-2</v>
      </c>
      <c r="D104" s="15">
        <v>142</v>
      </c>
      <c r="E104" s="32">
        <f t="shared" ref="E104:E107" si="50">IF(ISNUMBER(D104), (D104 - $B104) / $B104, "")</f>
        <v>8.3969465648854963E-2</v>
      </c>
      <c r="F104" s="18">
        <f>IF(ISNUMBER(D104), $B118 * E104, "")</f>
        <v>8396.9465648854966</v>
      </c>
      <c r="G104" s="31">
        <v>141</v>
      </c>
      <c r="H104" s="32">
        <f t="shared" ref="H104:H107" si="51">IF(ISNUMBER(G104), (G104 - $B104) / $B104, "")</f>
        <v>7.6335877862595422E-2</v>
      </c>
      <c r="I104" s="101">
        <f>IF(ISNUMBER(G104), $B118 * H104, "")</f>
        <v>7633.5877862595426</v>
      </c>
      <c r="J104" s="15">
        <v>141</v>
      </c>
      <c r="K104" s="32">
        <f t="shared" ref="K104:K107" si="52">IF(ISNUMBER(J104), (J104 - $B104) / $B104, "")</f>
        <v>7.6335877862595422E-2</v>
      </c>
      <c r="L104" s="18">
        <f>IF(ISNUMBER(J104), $B118 * K104, "")</f>
        <v>7633.5877862595426</v>
      </c>
      <c r="M104" s="31">
        <v>136</v>
      </c>
      <c r="N104" s="32">
        <f t="shared" ref="N104:N107" si="53">IF(ISNUMBER(M104), (M104 - $B104) / $B104, "")</f>
        <v>3.8167938931297711E-2</v>
      </c>
      <c r="O104" s="18">
        <f>IF(ISNUMBER(M104), $B118 * N104, "")</f>
        <v>3816.7938931297713</v>
      </c>
      <c r="Q104" s="238"/>
      <c r="R104" s="238"/>
      <c r="S104" s="238"/>
    </row>
    <row r="105" spans="1:19" ht="17.25" thickBot="1">
      <c r="A105" s="125" t="s">
        <v>110</v>
      </c>
      <c r="B105" s="126">
        <v>154</v>
      </c>
      <c r="C105" s="77">
        <v>5.4794520499999999E-2</v>
      </c>
      <c r="D105" s="15">
        <v>203</v>
      </c>
      <c r="E105" s="32">
        <f t="shared" si="50"/>
        <v>0.31818181818181818</v>
      </c>
      <c r="F105" s="18">
        <f>IF(ISNUMBER(D105), $B118 * E105, "")</f>
        <v>31818.181818181816</v>
      </c>
      <c r="G105" s="31">
        <v>193</v>
      </c>
      <c r="H105" s="32">
        <f t="shared" si="51"/>
        <v>0.25324675324675322</v>
      </c>
      <c r="I105" s="101">
        <f>IF(ISNUMBER(G105), $B118 * H105, "")</f>
        <v>25324.675324675321</v>
      </c>
      <c r="J105" s="15">
        <v>200</v>
      </c>
      <c r="K105" s="32">
        <f t="shared" si="52"/>
        <v>0.29870129870129869</v>
      </c>
      <c r="L105" s="18">
        <f>IF(ISNUMBER(J105), $B118 * K105, "")</f>
        <v>29870.129870129869</v>
      </c>
      <c r="M105" s="31">
        <v>191</v>
      </c>
      <c r="N105" s="32">
        <f t="shared" si="53"/>
        <v>0.24025974025974026</v>
      </c>
      <c r="O105" s="18">
        <f>IF(ISNUMBER(M105), $B118 * N105, "")</f>
        <v>24025.974025974025</v>
      </c>
      <c r="Q105" s="238"/>
      <c r="R105" s="238"/>
      <c r="S105" s="238"/>
    </row>
    <row r="106" spans="1:19" ht="17.25" thickBot="1">
      <c r="A106" s="125" t="s">
        <v>212</v>
      </c>
      <c r="B106" s="126">
        <v>1270</v>
      </c>
      <c r="C106" s="77">
        <v>5.3941908699999999E-2</v>
      </c>
      <c r="D106" s="15">
        <v>1360</v>
      </c>
      <c r="E106" s="32">
        <f t="shared" si="50"/>
        <v>7.0866141732283464E-2</v>
      </c>
      <c r="F106" s="18">
        <f>IF(ISNUMBER(D106), $B118 * E106, "")</f>
        <v>7086.6141732283468</v>
      </c>
      <c r="G106" s="31">
        <v>1340</v>
      </c>
      <c r="H106" s="32">
        <f t="shared" si="51"/>
        <v>5.5118110236220472E-2</v>
      </c>
      <c r="I106" s="101">
        <f>IF(ISNUMBER(G106), $B118 * H106, "")</f>
        <v>5511.8110236220473</v>
      </c>
      <c r="J106" s="15">
        <v>1345</v>
      </c>
      <c r="K106" s="32">
        <f t="shared" si="52"/>
        <v>5.905511811023622E-2</v>
      </c>
      <c r="L106" s="18">
        <f>IF(ISNUMBER(J106), $B118 * K106, "")</f>
        <v>5905.5118110236217</v>
      </c>
      <c r="M106" s="31">
        <v>1315</v>
      </c>
      <c r="N106" s="32">
        <f t="shared" si="53"/>
        <v>3.5433070866141732E-2</v>
      </c>
      <c r="O106" s="18">
        <f>IF(ISNUMBER(M106), $B118 * N106, "")</f>
        <v>3543.3070866141734</v>
      </c>
      <c r="Q106" s="33"/>
      <c r="R106" s="33"/>
    </row>
    <row r="107" spans="1:19" ht="17.25" thickBot="1">
      <c r="A107" s="130" t="s">
        <v>240</v>
      </c>
      <c r="B107" s="131">
        <v>64.099999999999994</v>
      </c>
      <c r="C107" s="79">
        <v>5.2545156000000003E-2</v>
      </c>
      <c r="D107" s="24">
        <v>65</v>
      </c>
      <c r="E107" s="25">
        <f t="shared" si="50"/>
        <v>1.4040561622464989E-2</v>
      </c>
      <c r="F107" s="104">
        <f>IF(ISNUMBER(D107), $B118 * E107, "")</f>
        <v>1404.0561622464988</v>
      </c>
      <c r="G107" s="102">
        <v>65</v>
      </c>
      <c r="H107" s="25">
        <f t="shared" si="51"/>
        <v>1.4040561622464989E-2</v>
      </c>
      <c r="I107" s="103">
        <f>IF(ISNUMBER(G107), $B118 * H107, "")</f>
        <v>1404.0561622464988</v>
      </c>
      <c r="J107" s="24">
        <v>65.099999999999994</v>
      </c>
      <c r="K107" s="25">
        <f t="shared" si="52"/>
        <v>1.5600624024960999E-2</v>
      </c>
      <c r="L107" s="104">
        <f>IF(ISNUMBER(J107), $B118 * K107, "")</f>
        <v>1560.0624024960998</v>
      </c>
      <c r="M107" s="102">
        <v>64.099999999999994</v>
      </c>
      <c r="N107" s="25">
        <f t="shared" si="53"/>
        <v>0</v>
      </c>
      <c r="O107" s="104">
        <f>IF(ISNUMBER(M107), $B118 * N107, "")</f>
        <v>0</v>
      </c>
      <c r="Q107" s="239"/>
      <c r="R107" s="240"/>
      <c r="S107" s="241"/>
    </row>
    <row r="108" spans="1:19">
      <c r="A108" s="123" t="s">
        <v>74</v>
      </c>
      <c r="B108" s="124">
        <v>15820</v>
      </c>
      <c r="C108" s="76">
        <v>5.1162790700000002E-2</v>
      </c>
      <c r="D108" s="13">
        <v>15940</v>
      </c>
      <c r="E108" s="14">
        <f>IF(ISNUMBER(D108), (D108 - $B108) / $B108, "")</f>
        <v>7.5853350189633373E-3</v>
      </c>
      <c r="F108" s="16">
        <f>IF(ISNUMBER(D108), $B118 * E108, "")</f>
        <v>758.53350189633375</v>
      </c>
      <c r="G108" s="29">
        <v>16320</v>
      </c>
      <c r="H108" s="14">
        <f>IF(ISNUMBER(G108), (G108 - $B108) / $B108, "")</f>
        <v>3.1605562579013903E-2</v>
      </c>
      <c r="I108" s="100">
        <f>IF(ISNUMBER(G108), $B118 * H108, "")</f>
        <v>3160.5562579013904</v>
      </c>
      <c r="J108" s="13">
        <v>16280</v>
      </c>
      <c r="K108" s="14">
        <f>IF(ISNUMBER(J108), (J108 - $B108) / $B108, "")</f>
        <v>2.9077117572692796E-2</v>
      </c>
      <c r="L108" s="16">
        <f>IF(ISNUMBER(J108), $B118 * K108, "")</f>
        <v>2907.7117572692796</v>
      </c>
      <c r="M108" s="29">
        <v>16190</v>
      </c>
      <c r="N108" s="14">
        <f>IF(ISNUMBER(M108), (M108 - $B108) / $B108, "")</f>
        <v>2.3388116308470291E-2</v>
      </c>
      <c r="O108" s="16">
        <f>IF(ISNUMBER(M108), $B118 * N108, "")</f>
        <v>2338.8116308470289</v>
      </c>
      <c r="Q108" s="242"/>
      <c r="R108" s="243"/>
      <c r="S108" s="244"/>
    </row>
    <row r="109" spans="1:19" ht="17.25" thickBot="1">
      <c r="A109" s="125" t="s">
        <v>194</v>
      </c>
      <c r="B109" s="126">
        <v>145</v>
      </c>
      <c r="C109" s="77">
        <v>5.0724637699999998E-2</v>
      </c>
      <c r="D109" s="15">
        <v>155</v>
      </c>
      <c r="E109" s="32">
        <f t="shared" ref="E109:E112" si="54">IF(ISNUMBER(D109), (D109 - $B109) / $B109, "")</f>
        <v>6.8965517241379309E-2</v>
      </c>
      <c r="F109" s="18">
        <f>IF(ISNUMBER(D109), $B118 * E109, "")</f>
        <v>6896.5517241379312</v>
      </c>
      <c r="G109" s="31">
        <v>154</v>
      </c>
      <c r="H109" s="32">
        <f t="shared" ref="H109:H112" si="55">IF(ISNUMBER(G109), (G109 - $B109) / $B109, "")</f>
        <v>6.2068965517241378E-2</v>
      </c>
      <c r="I109" s="101">
        <f>IF(ISNUMBER(G109), $B118 * H109, "")</f>
        <v>6206.8965517241377</v>
      </c>
      <c r="J109" s="15">
        <v>153</v>
      </c>
      <c r="K109" s="32">
        <f t="shared" ref="K109:K112" si="56">IF(ISNUMBER(J109), (J109 - $B109) / $B109, "")</f>
        <v>5.5172413793103448E-2</v>
      </c>
      <c r="L109" s="18">
        <f>IF(ISNUMBER(J109), $B118 * K109, "")</f>
        <v>5517.2413793103451</v>
      </c>
      <c r="M109" s="31">
        <v>148</v>
      </c>
      <c r="N109" s="32">
        <f t="shared" ref="N109:N112" si="57">IF(ISNUMBER(M109), (M109 - $B109) / $B109, "")</f>
        <v>2.0689655172413793E-2</v>
      </c>
      <c r="O109" s="18">
        <f>IF(ISNUMBER(M109), $B118 * N109, "")</f>
        <v>2068.9655172413791</v>
      </c>
      <c r="Q109" s="245"/>
      <c r="R109" s="246"/>
      <c r="S109" s="247"/>
    </row>
    <row r="110" spans="1:19" ht="17.25" thickBot="1">
      <c r="A110" s="125" t="s">
        <v>180</v>
      </c>
      <c r="B110" s="126">
        <v>9840</v>
      </c>
      <c r="C110" s="77">
        <v>5.0160085399999998E-2</v>
      </c>
      <c r="D110" s="15">
        <v>12340</v>
      </c>
      <c r="E110" s="32">
        <f t="shared" si="54"/>
        <v>0.25406504065040653</v>
      </c>
      <c r="F110" s="18">
        <f>IF(ISNUMBER(D110), $B118 * E110, "")</f>
        <v>25406.504065040652</v>
      </c>
      <c r="G110" s="31">
        <v>12650</v>
      </c>
      <c r="H110" s="32">
        <f t="shared" si="55"/>
        <v>0.28556910569105692</v>
      </c>
      <c r="I110" s="101">
        <f>IF(ISNUMBER(G110), $B118 * H110, "")</f>
        <v>28556.910569105694</v>
      </c>
      <c r="J110" s="15">
        <v>13060</v>
      </c>
      <c r="K110" s="32">
        <f t="shared" si="56"/>
        <v>0.32723577235772355</v>
      </c>
      <c r="L110" s="18">
        <f>IF(ISNUMBER(J110), $B118 * K110, "")</f>
        <v>32723.577235772354</v>
      </c>
      <c r="M110" s="31">
        <v>12220</v>
      </c>
      <c r="N110" s="32">
        <f t="shared" si="57"/>
        <v>0.241869918699187</v>
      </c>
      <c r="O110" s="18">
        <f>IF(ISNUMBER(M110), $B118 * N110, "")</f>
        <v>24186.9918699187</v>
      </c>
      <c r="Q110" s="238"/>
      <c r="R110" s="238"/>
      <c r="S110" s="238"/>
    </row>
    <row r="111" spans="1:19" ht="17.25" thickBot="1">
      <c r="A111" s="125" t="s">
        <v>128</v>
      </c>
      <c r="B111" s="126">
        <v>110</v>
      </c>
      <c r="C111" s="77">
        <v>4.7619047599999999E-2</v>
      </c>
      <c r="D111" s="15">
        <v>116</v>
      </c>
      <c r="E111" s="32">
        <f t="shared" si="54"/>
        <v>5.4545454545454543E-2</v>
      </c>
      <c r="F111" s="18">
        <f>IF(ISNUMBER(D111), $B118 * E111, "")</f>
        <v>5454.545454545454</v>
      </c>
      <c r="G111" s="31">
        <v>123</v>
      </c>
      <c r="H111" s="32">
        <f t="shared" si="55"/>
        <v>0.11818181818181818</v>
      </c>
      <c r="I111" s="101">
        <f>IF(ISNUMBER(G111), $B118 * H111, "")</f>
        <v>11818.181818181818</v>
      </c>
      <c r="J111" s="15">
        <v>122</v>
      </c>
      <c r="K111" s="32">
        <f t="shared" si="56"/>
        <v>0.10909090909090909</v>
      </c>
      <c r="L111" s="18">
        <f>IF(ISNUMBER(J111), $B118 * K111, "")</f>
        <v>10909.090909090908</v>
      </c>
      <c r="M111" s="31">
        <v>121</v>
      </c>
      <c r="N111" s="32">
        <f t="shared" si="57"/>
        <v>0.1</v>
      </c>
      <c r="O111" s="18">
        <f>IF(ISNUMBER(M111), $B118 * N111, "")</f>
        <v>10000</v>
      </c>
      <c r="Q111" s="248"/>
      <c r="R111" s="248"/>
      <c r="S111" s="248"/>
    </row>
    <row r="112" spans="1:19" ht="17.25" thickBot="1">
      <c r="A112" s="127" t="s">
        <v>134</v>
      </c>
      <c r="B112" s="128">
        <v>23100</v>
      </c>
      <c r="C112" s="78">
        <v>4.66696874E-2</v>
      </c>
      <c r="D112" s="20">
        <v>24140</v>
      </c>
      <c r="E112" s="21">
        <f t="shared" si="54"/>
        <v>4.5021645021645025E-2</v>
      </c>
      <c r="F112" s="22">
        <f>IF(ISNUMBER(D112), $B118 * E112, "")</f>
        <v>4502.1645021645027</v>
      </c>
      <c r="G112" s="30">
        <v>24380</v>
      </c>
      <c r="H112" s="21">
        <f t="shared" si="55"/>
        <v>5.5411255411255411E-2</v>
      </c>
      <c r="I112" s="105">
        <f>IF(ISNUMBER(G112), $B118 * H112, "")</f>
        <v>5541.1255411255415</v>
      </c>
      <c r="J112" s="20">
        <v>24450</v>
      </c>
      <c r="K112" s="21">
        <f t="shared" si="56"/>
        <v>5.844155844155844E-2</v>
      </c>
      <c r="L112" s="22">
        <f>IF(ISNUMBER(J112), $B118 * K112, "")</f>
        <v>5844.1558441558436</v>
      </c>
      <c r="M112" s="30">
        <v>24040</v>
      </c>
      <c r="N112" s="21">
        <f t="shared" si="57"/>
        <v>4.069264069264069E-2</v>
      </c>
      <c r="O112" s="22">
        <f>IF(ISNUMBER(M112), $B118 * N112, "")</f>
        <v>4069.2640692640689</v>
      </c>
      <c r="Q112" s="248"/>
      <c r="R112" s="248"/>
      <c r="S112" s="248"/>
    </row>
    <row r="113" spans="1:19" ht="17.25" thickBot="1">
      <c r="A113" s="125" t="s">
        <v>132</v>
      </c>
      <c r="B113" s="129">
        <v>104</v>
      </c>
      <c r="C113" s="80">
        <v>4.6277666000000002E-2</v>
      </c>
      <c r="D113" s="106">
        <v>107</v>
      </c>
      <c r="E113" s="107">
        <f>IF(ISNUMBER(D113), (D113 - $B113) / $B113, "")</f>
        <v>2.8846153846153848E-2</v>
      </c>
      <c r="F113" s="108">
        <f>IF(ISNUMBER(D113), $B118 * E113, "")</f>
        <v>2884.6153846153848</v>
      </c>
      <c r="G113" s="109">
        <v>108</v>
      </c>
      <c r="H113" s="107">
        <f>IF(ISNUMBER(G113), (G113 - $B113) / $B113, "")</f>
        <v>3.8461538461538464E-2</v>
      </c>
      <c r="I113" s="110">
        <f>IF(ISNUMBER(G113), $B118 * H113, "")</f>
        <v>3846.1538461538462</v>
      </c>
      <c r="J113" s="106">
        <v>109</v>
      </c>
      <c r="K113" s="107">
        <f>IF(ISNUMBER(J113), (J113 - $B113) / $B113, "")</f>
        <v>4.807692307692308E-2</v>
      </c>
      <c r="L113" s="108">
        <f>IF(ISNUMBER(J113), $B118 * K113, "")</f>
        <v>4807.6923076923076</v>
      </c>
      <c r="M113" s="109">
        <v>107</v>
      </c>
      <c r="N113" s="107">
        <f>IF(ISNUMBER(M113), (M113 - $B113) / $B113, "")</f>
        <v>2.8846153846153848E-2</v>
      </c>
      <c r="O113" s="108">
        <f>IF(ISNUMBER(M113), $B118 * N113, "")</f>
        <v>2884.6153846153848</v>
      </c>
      <c r="Q113" s="238"/>
      <c r="R113" s="238"/>
      <c r="S113" s="238"/>
    </row>
    <row r="114" spans="1:19" ht="17.25" thickBot="1">
      <c r="A114" s="125" t="s">
        <v>252</v>
      </c>
      <c r="B114" s="126">
        <v>958</v>
      </c>
      <c r="C114" s="77">
        <v>4.2437431999999997E-2</v>
      </c>
      <c r="D114" s="15">
        <v>974</v>
      </c>
      <c r="E114" s="32">
        <f t="shared" ref="E114:E117" si="58">IF(ISNUMBER(D114), (D114 - $B114) / $B114, "")</f>
        <v>1.6701461377870562E-2</v>
      </c>
      <c r="F114" s="18">
        <f>IF(ISNUMBER(D114), $B118 * E114, "")</f>
        <v>1670.1461377870562</v>
      </c>
      <c r="G114" s="31">
        <v>987</v>
      </c>
      <c r="H114" s="32">
        <f t="shared" ref="H114:H117" si="59">IF(ISNUMBER(G114), (G114 - $B114) / $B114, "")</f>
        <v>3.0271398747390398E-2</v>
      </c>
      <c r="I114" s="101">
        <f>IF(ISNUMBER(G114), $B118 * H114, "")</f>
        <v>3027.1398747390399</v>
      </c>
      <c r="J114" s="15">
        <v>990</v>
      </c>
      <c r="K114" s="32">
        <f t="shared" ref="K114:K117" si="60">IF(ISNUMBER(J114), (J114 - $B114) / $B114, "")</f>
        <v>3.3402922755741124E-2</v>
      </c>
      <c r="L114" s="18">
        <f>IF(ISNUMBER(J114), $B118 * K114, "")</f>
        <v>3340.2922755741124</v>
      </c>
      <c r="M114" s="31">
        <v>975</v>
      </c>
      <c r="N114" s="32">
        <f t="shared" ref="N114:N117" si="61">IF(ISNUMBER(M114), (M114 - $B114) / $B114, "")</f>
        <v>1.7745302713987474E-2</v>
      </c>
      <c r="O114" s="18">
        <f>IF(ISNUMBER(M114), $B118 * N114, "")</f>
        <v>1774.5302713987473</v>
      </c>
      <c r="Q114" s="238"/>
      <c r="R114" s="238"/>
      <c r="S114" s="238"/>
    </row>
    <row r="115" spans="1:19" ht="17.25" thickBot="1">
      <c r="A115" s="125" t="s">
        <v>168</v>
      </c>
      <c r="B115" s="126">
        <v>1610</v>
      </c>
      <c r="C115" s="77">
        <v>4.2071197400000003E-2</v>
      </c>
      <c r="D115" s="15">
        <v>1635</v>
      </c>
      <c r="E115" s="32">
        <f t="shared" si="58"/>
        <v>1.5527950310559006E-2</v>
      </c>
      <c r="F115" s="18">
        <f>IF(ISNUMBER(D115), $B118 * E115, "")</f>
        <v>1552.7950310559006</v>
      </c>
      <c r="G115" s="31">
        <v>1645</v>
      </c>
      <c r="H115" s="32">
        <f t="shared" si="59"/>
        <v>2.1739130434782608E-2</v>
      </c>
      <c r="I115" s="101">
        <f>IF(ISNUMBER(G115), $B118 * H115, "")</f>
        <v>2173.913043478261</v>
      </c>
      <c r="J115" s="15">
        <v>1665</v>
      </c>
      <c r="K115" s="32">
        <f t="shared" si="60"/>
        <v>3.4161490683229816E-2</v>
      </c>
      <c r="L115" s="18">
        <f>IF(ISNUMBER(J115), $B118 * K115, "")</f>
        <v>3416.1490683229817</v>
      </c>
      <c r="M115" s="31">
        <v>1615</v>
      </c>
      <c r="N115" s="32">
        <f t="shared" si="61"/>
        <v>3.105590062111801E-3</v>
      </c>
      <c r="O115" s="18">
        <f>IF(ISNUMBER(M115), $B118 * N115, "")</f>
        <v>310.55900621118008</v>
      </c>
      <c r="Q115" s="238"/>
      <c r="R115" s="238"/>
      <c r="S115" s="238"/>
    </row>
    <row r="116" spans="1:19">
      <c r="A116" s="125" t="s">
        <v>202</v>
      </c>
      <c r="B116" s="126">
        <v>73.5</v>
      </c>
      <c r="C116" s="77">
        <v>4.1076487299999999E-2</v>
      </c>
      <c r="D116" s="15">
        <v>88.6</v>
      </c>
      <c r="E116" s="32">
        <f t="shared" si="58"/>
        <v>0.20544217687074823</v>
      </c>
      <c r="F116" s="18">
        <f>IF(ISNUMBER(D116), $B118 * E116, "")</f>
        <v>20544.217687074823</v>
      </c>
      <c r="G116" s="31">
        <v>83.8</v>
      </c>
      <c r="H116" s="32">
        <f t="shared" si="59"/>
        <v>0.14013605442176866</v>
      </c>
      <c r="I116" s="101">
        <f>IF(ISNUMBER(G116), $B118 * H116, "")</f>
        <v>14013.605442176866</v>
      </c>
      <c r="J116" s="15">
        <v>85.6</v>
      </c>
      <c r="K116" s="32">
        <f t="shared" si="60"/>
        <v>0.16462585034013597</v>
      </c>
      <c r="L116" s="18">
        <f>IF(ISNUMBER(J116), $B118 * K116, "")</f>
        <v>16462.585034013595</v>
      </c>
      <c r="M116" s="31">
        <v>83.4</v>
      </c>
      <c r="N116" s="32">
        <f t="shared" si="61"/>
        <v>0.1346938775510205</v>
      </c>
      <c r="O116" s="18">
        <f>IF(ISNUMBER(M116), $B118 * N116, "")</f>
        <v>13469.387755102051</v>
      </c>
      <c r="Q116" s="227"/>
      <c r="R116" s="228"/>
      <c r="S116" s="229"/>
    </row>
    <row r="117" spans="1:19" ht="17.25" thickBot="1">
      <c r="A117" s="130" t="s">
        <v>216</v>
      </c>
      <c r="B117" s="131">
        <v>10.199999999999999</v>
      </c>
      <c r="C117" s="79">
        <v>3.9755351699999997E-2</v>
      </c>
      <c r="D117" s="24">
        <v>10.6</v>
      </c>
      <c r="E117" s="25">
        <f t="shared" si="58"/>
        <v>3.9215686274509838E-2</v>
      </c>
      <c r="F117" s="104">
        <f>IF(ISNUMBER(D117), $B118 * E117, "")</f>
        <v>3921.568627450984</v>
      </c>
      <c r="G117" s="102">
        <v>10.8</v>
      </c>
      <c r="H117" s="25">
        <f t="shared" si="59"/>
        <v>5.8823529411764851E-2</v>
      </c>
      <c r="I117" s="103">
        <f>IF(ISNUMBER(G117), $B118 * H117, "")</f>
        <v>5882.3529411764848</v>
      </c>
      <c r="J117" s="24">
        <v>10.7</v>
      </c>
      <c r="K117" s="25">
        <f t="shared" si="60"/>
        <v>4.9019607843137261E-2</v>
      </c>
      <c r="L117" s="104">
        <f>IF(ISNUMBER(J117), $B118 * K117, "")</f>
        <v>4901.9607843137264</v>
      </c>
      <c r="M117" s="102">
        <v>10.5</v>
      </c>
      <c r="N117" s="25">
        <f t="shared" si="61"/>
        <v>2.9411764705882425E-2</v>
      </c>
      <c r="O117" s="104">
        <f>IF(ISNUMBER(M117), $B118 * N117, "")</f>
        <v>2941.1764705882424</v>
      </c>
      <c r="Q117" s="230"/>
      <c r="R117" s="231"/>
      <c r="S117" s="232"/>
    </row>
    <row r="118" spans="1:19" ht="17.25" thickBot="1">
      <c r="A118" s="132" t="s">
        <v>270</v>
      </c>
      <c r="B118" s="291">
        <f>$B$37</f>
        <v>100000</v>
      </c>
      <c r="C118" s="292"/>
      <c r="D118" s="26" t="s">
        <v>271</v>
      </c>
      <c r="E118" s="27">
        <f>IF(COUNT(E98:E117), SUM(E98:E117) / COUNT(E98:E117), 0)</f>
        <v>7.7154278059372486E-2</v>
      </c>
      <c r="F118" s="28">
        <f>SUM(F98:F117)</f>
        <v>154308.55611874498</v>
      </c>
      <c r="G118" s="26" t="s">
        <v>271</v>
      </c>
      <c r="H118" s="27">
        <f>IF(COUNT(H98:H117), SUM(H98:H117) / COUNT(H98:H117), 0)</f>
        <v>7.9122596677062729E-2</v>
      </c>
      <c r="I118" s="28">
        <f>SUM(I98:I117)</f>
        <v>158245.19335412545</v>
      </c>
      <c r="J118" s="26" t="s">
        <v>271</v>
      </c>
      <c r="K118" s="27">
        <f>IF(COUNT(K98:K117), SUM(K98:K117) / COUNT(K98:K117), 0)</f>
        <v>8.3677115561733767E-2</v>
      </c>
      <c r="L118" s="28">
        <f>SUM(L98:L117)</f>
        <v>167354.23112346756</v>
      </c>
      <c r="M118" s="26" t="s">
        <v>271</v>
      </c>
      <c r="N118" s="27">
        <f>IF(COUNT(N98:N117), SUM(N98:N117) / COUNT(N98:N117), 0)</f>
        <v>5.5769972622676557E-2</v>
      </c>
      <c r="O118" s="28">
        <f>SUM(O98:O117)</f>
        <v>111539.9452453531</v>
      </c>
      <c r="Q118" s="233"/>
      <c r="R118" s="234"/>
      <c r="S118" s="23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48"/>
      <c r="R121" s="248"/>
      <c r="S121" s="248"/>
    </row>
    <row r="122" spans="1:19" ht="17.25" thickBot="1">
      <c r="A122" s="181" t="s">
        <v>267</v>
      </c>
      <c r="B122" s="249" t="s">
        <v>49</v>
      </c>
      <c r="C122" s="251"/>
      <c r="D122" s="249" t="s">
        <v>58</v>
      </c>
      <c r="E122" s="250"/>
      <c r="F122" s="251"/>
      <c r="G122" s="252">
        <f>_xlfn.IFNA(VLOOKUP(B122, 현재가테이블!$B$2:$D$200, 2, FALSE), "-")</f>
        <v>54440000</v>
      </c>
      <c r="H122" s="253"/>
      <c r="I122" s="254"/>
      <c r="J122" s="249" t="s">
        <v>59</v>
      </c>
      <c r="K122" s="250"/>
      <c r="L122" s="251"/>
      <c r="M122" s="255">
        <f>_xlfn.IFNA(VLOOKUP(B122, 현재가테이블!$B$2:$D$200, 3, FALSE), "-")</f>
        <v>1.07123628E-2</v>
      </c>
      <c r="N122" s="256"/>
      <c r="O122" s="257"/>
      <c r="Q122" s="248"/>
      <c r="R122" s="248"/>
      <c r="S122" s="248"/>
    </row>
    <row r="123" spans="1:19" ht="17.25" thickBot="1">
      <c r="A123" s="293" t="s">
        <v>55</v>
      </c>
      <c r="B123" s="289" t="str">
        <f>TEXT($G$1, "[$-ko-KR]yyyy-mm-dd(ddd) ") &amp; "오전 00:00"</f>
        <v>2021-08-07(토) 오전 00:00</v>
      </c>
      <c r="C123" s="290"/>
      <c r="D123" s="262" t="str">
        <f>TEXT($G$1, "[$-ko-KR]yyyy-mm-dd(ddd) ") &amp; "오후 14:00"</f>
        <v>2021-08-07(토) 오후 14:00</v>
      </c>
      <c r="E123" s="263"/>
      <c r="F123" s="264"/>
      <c r="G123" s="262" t="str">
        <f>TEXT($G$1, "[$-ko-KR]yyyy-mm-dd(ddd) ") &amp; "오후 19:00"</f>
        <v>2021-08-07(토) 오후 19:00</v>
      </c>
      <c r="H123" s="263"/>
      <c r="I123" s="264"/>
      <c r="J123" s="262" t="str">
        <f>TEXT($G$1, "[$-ko-KR]yyyy-mm-dd(ddd) ") &amp; "오후 21:00"</f>
        <v>2021-08-07(토) 오후 21:00</v>
      </c>
      <c r="K123" s="263"/>
      <c r="L123" s="264"/>
      <c r="M123" s="262" t="str">
        <f>TEXT($G$1+1, "[$-ko-KR]yyyy-mm-dd(ddd) ") &amp; "오전 00:00"</f>
        <v>2021-08-08(일) 오전 00:00</v>
      </c>
      <c r="N123" s="263"/>
      <c r="O123" s="264"/>
      <c r="Q123" s="248"/>
      <c r="R123" s="248"/>
      <c r="S123" s="248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2" t="s">
        <v>58</v>
      </c>
      <c r="H124" s="183" t="s">
        <v>268</v>
      </c>
      <c r="I124" s="18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8"/>
      <c r="R124" s="238"/>
      <c r="S124" s="238"/>
    </row>
    <row r="125" spans="1:19" ht="17.25" thickBot="1">
      <c r="A125" s="123" t="s">
        <v>188</v>
      </c>
      <c r="B125" s="124">
        <v>12.2</v>
      </c>
      <c r="C125" s="76">
        <v>6.0869565200000003E-2</v>
      </c>
      <c r="D125" s="13">
        <v>12.6</v>
      </c>
      <c r="E125" s="14">
        <f>IF(ISNUMBER(D125), (D125 - $B125) / $B125, "")</f>
        <v>3.2786885245901669E-2</v>
      </c>
      <c r="F125" s="16">
        <f>IF(ISNUMBER(D125), $B145 * E125, "")</f>
        <v>3278.6885245901667</v>
      </c>
      <c r="G125" s="29">
        <v>12.9</v>
      </c>
      <c r="H125" s="14">
        <f>IF(ISNUMBER(G125), (G125 - $B125) / $B125, "")</f>
        <v>5.737704918032796E-2</v>
      </c>
      <c r="I125" s="100">
        <f>IF(ISNUMBER(G125), $B145 * H125, "")</f>
        <v>5737.7049180327958</v>
      </c>
      <c r="J125" s="13">
        <v>12.7</v>
      </c>
      <c r="K125" s="14">
        <f>IF(ISNUMBER(J125), (J125 - $B125) / $B125, "")</f>
        <v>4.0983606557377053E-2</v>
      </c>
      <c r="L125" s="16">
        <f>IF(ISNUMBER(J125), $B145 * K125, "")</f>
        <v>4098.3606557377052</v>
      </c>
      <c r="M125" s="29">
        <v>12.6</v>
      </c>
      <c r="N125" s="14">
        <f>IF(ISNUMBER(M125), (M125 - $B125) / $B125, "")</f>
        <v>3.2786885245901669E-2</v>
      </c>
      <c r="O125" s="16">
        <f>IF(ISNUMBER(M125), $B145 * N125, "")</f>
        <v>3278.6885245901667</v>
      </c>
      <c r="Q125" s="248"/>
      <c r="R125" s="248"/>
      <c r="S125" s="248"/>
    </row>
    <row r="126" spans="1:19" ht="17.25" thickBot="1">
      <c r="A126" s="125" t="s">
        <v>240</v>
      </c>
      <c r="B126" s="126">
        <v>64.099999999999994</v>
      </c>
      <c r="C126" s="77">
        <v>5.2545156000000003E-2</v>
      </c>
      <c r="D126" s="15">
        <v>65</v>
      </c>
      <c r="E126" s="32">
        <f t="shared" ref="E126:E129" si="62">IF(ISNUMBER(D126), (D126 - $B126) / $B126, "")</f>
        <v>1.4040561622464989E-2</v>
      </c>
      <c r="F126" s="18">
        <f>IF(ISNUMBER(D126), $B145 * E126, "")</f>
        <v>1404.0561622464988</v>
      </c>
      <c r="G126" s="31">
        <v>65</v>
      </c>
      <c r="H126" s="32">
        <f t="shared" ref="H126:H129" si="63">IF(ISNUMBER(G126), (G126 - $B126) / $B126, "")</f>
        <v>1.4040561622464989E-2</v>
      </c>
      <c r="I126" s="101">
        <f>IF(ISNUMBER(G126), $B145 * H126, "")</f>
        <v>1404.0561622464988</v>
      </c>
      <c r="J126" s="15">
        <v>65.099999999999994</v>
      </c>
      <c r="K126" s="32">
        <f t="shared" ref="K126:K129" si="64">IF(ISNUMBER(J126), (J126 - $B126) / $B126, "")</f>
        <v>1.5600624024960999E-2</v>
      </c>
      <c r="L126" s="18">
        <f>IF(ISNUMBER(J126), $B145 * K126, "")</f>
        <v>1560.0624024960998</v>
      </c>
      <c r="M126" s="31">
        <v>64.099999999999994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48"/>
      <c r="R126" s="248"/>
      <c r="S126" s="248"/>
    </row>
    <row r="127" spans="1:19" ht="17.25" thickBot="1">
      <c r="A127" s="125" t="s">
        <v>202</v>
      </c>
      <c r="B127" s="126">
        <v>73.5</v>
      </c>
      <c r="C127" s="77">
        <v>4.1076487299999999E-2</v>
      </c>
      <c r="D127" s="15">
        <v>88.6</v>
      </c>
      <c r="E127" s="32">
        <f t="shared" si="62"/>
        <v>0.20544217687074823</v>
      </c>
      <c r="F127" s="18">
        <f>IF(ISNUMBER(D127), $B145 * E127, "")</f>
        <v>20544.217687074823</v>
      </c>
      <c r="G127" s="31">
        <v>83.8</v>
      </c>
      <c r="H127" s="32">
        <f t="shared" si="63"/>
        <v>0.14013605442176866</v>
      </c>
      <c r="I127" s="101">
        <f>IF(ISNUMBER(G127), $B145 * H127, "")</f>
        <v>14013.605442176866</v>
      </c>
      <c r="J127" s="15">
        <v>85.6</v>
      </c>
      <c r="K127" s="32">
        <f t="shared" si="64"/>
        <v>0.16462585034013597</v>
      </c>
      <c r="L127" s="18">
        <f>IF(ISNUMBER(J127), $B145 * K127, "")</f>
        <v>16462.585034013595</v>
      </c>
      <c r="M127" s="31">
        <v>83.4</v>
      </c>
      <c r="N127" s="32">
        <f t="shared" si="65"/>
        <v>0.1346938775510205</v>
      </c>
      <c r="O127" s="18">
        <f>IF(ISNUMBER(M127), $B145 * N127, "")</f>
        <v>13469.387755102051</v>
      </c>
      <c r="Q127" s="238"/>
      <c r="R127" s="238"/>
      <c r="S127" s="238"/>
    </row>
    <row r="128" spans="1:19" ht="17.25" thickBot="1">
      <c r="A128" s="125" t="s">
        <v>216</v>
      </c>
      <c r="B128" s="126">
        <v>10.199999999999999</v>
      </c>
      <c r="C128" s="77">
        <v>3.9755351699999997E-2</v>
      </c>
      <c r="D128" s="15">
        <v>10.6</v>
      </c>
      <c r="E128" s="32">
        <f t="shared" si="62"/>
        <v>3.9215686274509838E-2</v>
      </c>
      <c r="F128" s="18">
        <f>IF(ISNUMBER(D128), $B145 * E128, "")</f>
        <v>3921.568627450984</v>
      </c>
      <c r="G128" s="31">
        <v>10.8</v>
      </c>
      <c r="H128" s="32">
        <f t="shared" si="63"/>
        <v>5.8823529411764851E-2</v>
      </c>
      <c r="I128" s="101">
        <f>IF(ISNUMBER(G128), $B145 * H128, "")</f>
        <v>5882.3529411764848</v>
      </c>
      <c r="J128" s="15">
        <v>10.7</v>
      </c>
      <c r="K128" s="32">
        <f t="shared" si="64"/>
        <v>4.9019607843137261E-2</v>
      </c>
      <c r="L128" s="18">
        <f>IF(ISNUMBER(J128), $B145 * K128, "")</f>
        <v>4901.9607843137264</v>
      </c>
      <c r="M128" s="31">
        <v>10.5</v>
      </c>
      <c r="N128" s="32">
        <f t="shared" si="65"/>
        <v>2.9411764705882425E-2</v>
      </c>
      <c r="O128" s="18">
        <f>IF(ISNUMBER(M128), $B145 * N128, "")</f>
        <v>2941.1764705882424</v>
      </c>
      <c r="Q128" s="238"/>
      <c r="R128" s="238"/>
      <c r="S128" s="238"/>
    </row>
    <row r="129" spans="1:19" ht="17.25" thickBot="1">
      <c r="A129" s="127" t="s">
        <v>98</v>
      </c>
      <c r="B129" s="128">
        <v>4.1100000000000003</v>
      </c>
      <c r="C129" s="78">
        <v>3.7878787900000002E-2</v>
      </c>
      <c r="D129" s="20">
        <v>4.59</v>
      </c>
      <c r="E129" s="21">
        <f t="shared" si="62"/>
        <v>0.1167883211678831</v>
      </c>
      <c r="F129" s="22">
        <f>IF(ISNUMBER(D129), $B145 * E129, "")</f>
        <v>11678.83211678831</v>
      </c>
      <c r="G129" s="30">
        <v>4.5999999999999996</v>
      </c>
      <c r="H129" s="21">
        <f t="shared" si="63"/>
        <v>0.11922141119221394</v>
      </c>
      <c r="I129" s="105">
        <f>IF(ISNUMBER(G129), $B145 * H129, "")</f>
        <v>11922.141119221395</v>
      </c>
      <c r="J129" s="20">
        <v>4.59</v>
      </c>
      <c r="K129" s="21">
        <f t="shared" si="64"/>
        <v>0.1167883211678831</v>
      </c>
      <c r="L129" s="22">
        <f>IF(ISNUMBER(J129), $B145 * K129, "")</f>
        <v>11678.83211678831</v>
      </c>
      <c r="M129" s="30">
        <v>4.43</v>
      </c>
      <c r="N129" s="21">
        <f t="shared" si="65"/>
        <v>7.7858880778588657E-2</v>
      </c>
      <c r="O129" s="22">
        <f>IF(ISNUMBER(M129), $B145 * N129, "")</f>
        <v>7785.8880778588655</v>
      </c>
      <c r="Q129" s="238"/>
      <c r="R129" s="238"/>
      <c r="S129" s="238"/>
    </row>
    <row r="130" spans="1:19" ht="17.25" thickBot="1">
      <c r="A130" s="125" t="s">
        <v>148</v>
      </c>
      <c r="B130" s="129">
        <v>19.3</v>
      </c>
      <c r="C130" s="80">
        <v>3.2085561499999998E-2</v>
      </c>
      <c r="D130" s="106">
        <v>19.899999999999999</v>
      </c>
      <c r="E130" s="107">
        <f>IF(ISNUMBER(D130), (D130 - $B130) / $B130, "")</f>
        <v>3.1088082901554293E-2</v>
      </c>
      <c r="F130" s="108">
        <f>IF(ISNUMBER(D130), $B145 * E130, "")</f>
        <v>3108.8082901554294</v>
      </c>
      <c r="G130" s="109">
        <v>20.100000000000001</v>
      </c>
      <c r="H130" s="107">
        <f>IF(ISNUMBER(G130), (G130 - $B130) / $B130, "")</f>
        <v>4.1450777202072575E-2</v>
      </c>
      <c r="I130" s="110">
        <f>IF(ISNUMBER(G130), $B145 * H130, "")</f>
        <v>4145.0777202072577</v>
      </c>
      <c r="J130" s="106">
        <v>20.100000000000001</v>
      </c>
      <c r="K130" s="107">
        <f>IF(ISNUMBER(J130), (J130 - $B130) / $B130, "")</f>
        <v>4.1450777202072575E-2</v>
      </c>
      <c r="L130" s="108">
        <f>IF(ISNUMBER(J130), $B145 * K130, "")</f>
        <v>4145.0777202072577</v>
      </c>
      <c r="M130" s="109">
        <v>19.8</v>
      </c>
      <c r="N130" s="107">
        <f>IF(ISNUMBER(M130), (M130 - $B130) / $B130, "")</f>
        <v>2.5906735751295335E-2</v>
      </c>
      <c r="O130" s="108">
        <f>IF(ISNUMBER(M130), $B145 * N130, "")</f>
        <v>2590.6735751295337</v>
      </c>
      <c r="Q130" s="238"/>
      <c r="R130" s="238"/>
      <c r="S130" s="238"/>
    </row>
    <row r="131" spans="1:19" ht="17.25" thickBot="1">
      <c r="A131" s="125" t="s">
        <v>150</v>
      </c>
      <c r="B131" s="126">
        <v>13.1</v>
      </c>
      <c r="C131" s="77">
        <v>3.1496062999999998E-2</v>
      </c>
      <c r="D131" s="15">
        <v>13.3</v>
      </c>
      <c r="E131" s="32">
        <f t="shared" ref="E131:E134" si="66">IF(ISNUMBER(D131), (D131 - $B131) / $B131, "")</f>
        <v>1.5267175572519165E-2</v>
      </c>
      <c r="F131" s="18">
        <f>IF(ISNUMBER(D131), $B145 * E131, "")</f>
        <v>1526.7175572519166</v>
      </c>
      <c r="G131" s="31">
        <v>13.2</v>
      </c>
      <c r="H131" s="32">
        <f t="shared" ref="H131:H134" si="67">IF(ISNUMBER(G131), (G131 - $B131) / $B131, "")</f>
        <v>7.6335877862595148E-3</v>
      </c>
      <c r="I131" s="101">
        <f>IF(ISNUMBER(G131), $B145 * H131, "")</f>
        <v>763.35877862595146</v>
      </c>
      <c r="J131" s="15">
        <v>13.2</v>
      </c>
      <c r="K131" s="32">
        <f t="shared" ref="K131:K134" si="68">IF(ISNUMBER(J131), (J131 - $B131) / $B131, "")</f>
        <v>7.6335877862595148E-3</v>
      </c>
      <c r="L131" s="18">
        <f>IF(ISNUMBER(J131), $B145 * K131, "")</f>
        <v>763.35877862595146</v>
      </c>
      <c r="M131" s="31">
        <v>13</v>
      </c>
      <c r="N131" s="32">
        <f t="shared" ref="N131:N134" si="69">IF(ISNUMBER(M131), (M131 - $B131) / $B131, "")</f>
        <v>-7.6335877862595148E-3</v>
      </c>
      <c r="O131" s="18">
        <f>IF(ISNUMBER(M131), $B145 * N131, "")</f>
        <v>-763.35877862595146</v>
      </c>
      <c r="Q131" s="238"/>
      <c r="R131" s="238"/>
      <c r="S131" s="238"/>
    </row>
    <row r="132" spans="1:19" ht="17.25" thickBot="1">
      <c r="A132" s="125" t="s">
        <v>65</v>
      </c>
      <c r="B132" s="126">
        <v>31.9</v>
      </c>
      <c r="C132" s="77">
        <v>2.90322581E-2</v>
      </c>
      <c r="D132" s="15">
        <v>32.1</v>
      </c>
      <c r="E132" s="32">
        <f t="shared" si="66"/>
        <v>6.2695924764891173E-3</v>
      </c>
      <c r="F132" s="18">
        <f>IF(ISNUMBER(D132), $B145 * E132, "")</f>
        <v>626.95924764891174</v>
      </c>
      <c r="G132" s="31">
        <v>32.5</v>
      </c>
      <c r="H132" s="32">
        <f t="shared" si="67"/>
        <v>1.8808777429467131E-2</v>
      </c>
      <c r="I132" s="101">
        <f>IF(ISNUMBER(G132), $B145 * H132, "")</f>
        <v>1880.8777429467132</v>
      </c>
      <c r="J132" s="15">
        <v>32.9</v>
      </c>
      <c r="K132" s="32">
        <f t="shared" si="68"/>
        <v>3.1347962382445145E-2</v>
      </c>
      <c r="L132" s="18">
        <f>IF(ISNUMBER(J132), $B145 * K132, "")</f>
        <v>3134.7962382445144</v>
      </c>
      <c r="M132" s="31">
        <v>32.5</v>
      </c>
      <c r="N132" s="32">
        <f t="shared" si="69"/>
        <v>1.8808777429467131E-2</v>
      </c>
      <c r="O132" s="18">
        <f>IF(ISNUMBER(M132), $B145 * N132, "")</f>
        <v>1880.8777429467132</v>
      </c>
      <c r="Q132" s="238"/>
      <c r="R132" s="238"/>
      <c r="S132" s="238"/>
    </row>
    <row r="133" spans="1:19" ht="17.25" thickBot="1">
      <c r="A133" s="125" t="s">
        <v>234</v>
      </c>
      <c r="B133" s="126">
        <v>67.3</v>
      </c>
      <c r="C133" s="77">
        <v>1.9696969700000001E-2</v>
      </c>
      <c r="D133" s="15">
        <v>73</v>
      </c>
      <c r="E133" s="32">
        <f t="shared" si="66"/>
        <v>8.4695393759286822E-2</v>
      </c>
      <c r="F133" s="18">
        <f>IF(ISNUMBER(D133), $B145 * E133, "")</f>
        <v>8469.5393759286817</v>
      </c>
      <c r="G133" s="31">
        <v>72.7</v>
      </c>
      <c r="H133" s="32">
        <f t="shared" si="67"/>
        <v>8.0237741456166509E-2</v>
      </c>
      <c r="I133" s="101">
        <f>IF(ISNUMBER(G133), $B145 * H133, "")</f>
        <v>8023.7741456166505</v>
      </c>
      <c r="J133" s="15">
        <v>73.2</v>
      </c>
      <c r="K133" s="32">
        <f t="shared" si="68"/>
        <v>8.7667161961367104E-2</v>
      </c>
      <c r="L133" s="18">
        <f>IF(ISNUMBER(J133), $B145 * K133, "")</f>
        <v>8766.716196136711</v>
      </c>
      <c r="M133" s="31">
        <v>71.8</v>
      </c>
      <c r="N133" s="32">
        <f t="shared" si="69"/>
        <v>6.6864784546805348E-2</v>
      </c>
      <c r="O133" s="18">
        <f>IF(ISNUMBER(M133), $B145 * N133, "")</f>
        <v>6686.4784546805349</v>
      </c>
      <c r="Q133" s="33"/>
      <c r="R133" s="33"/>
    </row>
    <row r="134" spans="1:19" ht="17.25" thickBot="1">
      <c r="A134" s="130" t="s">
        <v>72</v>
      </c>
      <c r="B134" s="131">
        <v>21.7</v>
      </c>
      <c r="C134" s="79">
        <v>1.87793427E-2</v>
      </c>
      <c r="D134" s="24">
        <v>22.4</v>
      </c>
      <c r="E134" s="25">
        <f t="shared" si="66"/>
        <v>3.2258064516129004E-2</v>
      </c>
      <c r="F134" s="104">
        <f>IF(ISNUMBER(D134), $B145 * E134, "")</f>
        <v>3225.8064516129002</v>
      </c>
      <c r="G134" s="102">
        <v>22.6</v>
      </c>
      <c r="H134" s="25">
        <f t="shared" si="67"/>
        <v>4.1474654377880282E-2</v>
      </c>
      <c r="I134" s="103">
        <f>IF(ISNUMBER(G134), $B145 * H134, "")</f>
        <v>4147.4654377880279</v>
      </c>
      <c r="J134" s="24">
        <v>22.6</v>
      </c>
      <c r="K134" s="25">
        <f t="shared" si="68"/>
        <v>4.1474654377880282E-2</v>
      </c>
      <c r="L134" s="104">
        <f>IF(ISNUMBER(J134), $B145 * K134, "")</f>
        <v>4147.4654377880279</v>
      </c>
      <c r="M134" s="102">
        <v>22.3</v>
      </c>
      <c r="N134" s="25">
        <f t="shared" si="69"/>
        <v>2.7649769585253524E-2</v>
      </c>
      <c r="O134" s="104">
        <f>IF(ISNUMBER(M134), $B145 * N134, "")</f>
        <v>2764.9769585253525</v>
      </c>
      <c r="Q134" s="239"/>
      <c r="R134" s="240"/>
      <c r="S134" s="241"/>
    </row>
    <row r="135" spans="1:19">
      <c r="A135" s="123" t="s">
        <v>162</v>
      </c>
      <c r="B135" s="124">
        <v>95.7</v>
      </c>
      <c r="C135" s="76">
        <v>1.8085106399999998E-2</v>
      </c>
      <c r="D135" s="13">
        <v>101</v>
      </c>
      <c r="E135" s="14">
        <f>IF(ISNUMBER(D135), (D135 - $B135) / $B135, "")</f>
        <v>5.5381400208986388E-2</v>
      </c>
      <c r="F135" s="16">
        <f>IF(ISNUMBER(D135), $B145 * E135, "")</f>
        <v>5538.1400208986388</v>
      </c>
      <c r="G135" s="29">
        <v>103</v>
      </c>
      <c r="H135" s="14">
        <f>IF(ISNUMBER(G135), (G135 - $B135) / $B135, "")</f>
        <v>7.6280041797283149E-2</v>
      </c>
      <c r="I135" s="100">
        <f>IF(ISNUMBER(G135), $B145 * H135, "")</f>
        <v>7628.0041797283147</v>
      </c>
      <c r="J135" s="13">
        <v>103</v>
      </c>
      <c r="K135" s="14">
        <f>IF(ISNUMBER(J135), (J135 - $B135) / $B135, "")</f>
        <v>7.6280041797283149E-2</v>
      </c>
      <c r="L135" s="16">
        <f>IF(ISNUMBER(J135), $B145 * K135, "")</f>
        <v>7628.0041797283147</v>
      </c>
      <c r="M135" s="29">
        <v>103</v>
      </c>
      <c r="N135" s="14">
        <f>IF(ISNUMBER(M135), (M135 - $B135) / $B135, "")</f>
        <v>7.6280041797283149E-2</v>
      </c>
      <c r="O135" s="16">
        <f>IF(ISNUMBER(M135), $B145 * N135, "")</f>
        <v>7628.0041797283147</v>
      </c>
      <c r="Q135" s="242"/>
      <c r="R135" s="243"/>
      <c r="S135" s="244"/>
    </row>
    <row r="136" spans="1:19" ht="17.25" thickBot="1">
      <c r="A136" s="125" t="s">
        <v>152</v>
      </c>
      <c r="B136" s="126">
        <v>82.1</v>
      </c>
      <c r="C136" s="77">
        <v>1.6089108899999999E-2</v>
      </c>
      <c r="D136" s="15">
        <v>85.9</v>
      </c>
      <c r="E136" s="32">
        <f t="shared" ref="E136:E139" si="70">IF(ISNUMBER(D136), (D136 - $B136) / $B136, "")</f>
        <v>4.6285018270402094E-2</v>
      </c>
      <c r="F136" s="18">
        <f>IF(ISNUMBER(D136), $B145 * E136, "")</f>
        <v>4628.5018270402097</v>
      </c>
      <c r="G136" s="31">
        <v>87</v>
      </c>
      <c r="H136" s="32">
        <f t="shared" ref="H136:H139" si="71">IF(ISNUMBER(G136), (G136 - $B136) / $B136, "")</f>
        <v>5.9683313032886799E-2</v>
      </c>
      <c r="I136" s="101">
        <f>IF(ISNUMBER(G136), $B145 * H136, "")</f>
        <v>5968.3313032886799</v>
      </c>
      <c r="J136" s="15">
        <v>86.9</v>
      </c>
      <c r="K136" s="32">
        <f t="shared" ref="K136:K139" si="72">IF(ISNUMBER(J136), (J136 - $B136) / $B136, "")</f>
        <v>5.8465286236297341E-2</v>
      </c>
      <c r="L136" s="18">
        <f>IF(ISNUMBER(J136), $B145 * K136, "")</f>
        <v>5846.5286236297343</v>
      </c>
      <c r="M136" s="31">
        <v>86.1</v>
      </c>
      <c r="N136" s="32">
        <f t="shared" ref="N136:N139" si="73">IF(ISNUMBER(M136), (M136 - $B136) / $B136, "")</f>
        <v>4.8721071863581003E-2</v>
      </c>
      <c r="O136" s="18">
        <f>IF(ISNUMBER(M136), $B145 * N136, "")</f>
        <v>4872.1071863581001</v>
      </c>
      <c r="Q136" s="245"/>
      <c r="R136" s="246"/>
      <c r="S136" s="247"/>
    </row>
    <row r="137" spans="1:19" ht="17.25" thickBot="1">
      <c r="A137" s="125" t="s">
        <v>204</v>
      </c>
      <c r="B137" s="126">
        <v>13.5</v>
      </c>
      <c r="C137" s="77">
        <v>1.5037594E-2</v>
      </c>
      <c r="D137" s="15">
        <v>14.2</v>
      </c>
      <c r="E137" s="32">
        <f t="shared" si="70"/>
        <v>5.1851851851851802E-2</v>
      </c>
      <c r="F137" s="18">
        <f>IF(ISNUMBER(D137), $B145 * E137, "")</f>
        <v>5185.1851851851798</v>
      </c>
      <c r="G137" s="31">
        <v>14.6</v>
      </c>
      <c r="H137" s="32">
        <f t="shared" si="71"/>
        <v>8.148148148148146E-2</v>
      </c>
      <c r="I137" s="101">
        <f>IF(ISNUMBER(G137), $B145 * H137, "")</f>
        <v>8148.148148148146</v>
      </c>
      <c r="J137" s="15">
        <v>14.3</v>
      </c>
      <c r="K137" s="32">
        <f t="shared" si="72"/>
        <v>5.925925925925931E-2</v>
      </c>
      <c r="L137" s="18">
        <f>IF(ISNUMBER(J137), $B145 * K137, "")</f>
        <v>5925.9259259259306</v>
      </c>
      <c r="M137" s="31">
        <v>14.2</v>
      </c>
      <c r="N137" s="32">
        <f t="shared" si="73"/>
        <v>5.1851851851851802E-2</v>
      </c>
      <c r="O137" s="18">
        <f>IF(ISNUMBER(M137), $B145 * N137, "")</f>
        <v>5185.1851851851798</v>
      </c>
      <c r="Q137" s="238"/>
      <c r="R137" s="238"/>
      <c r="S137" s="238"/>
    </row>
    <row r="138" spans="1:19" ht="17.25" thickBot="1">
      <c r="A138" s="125" t="s">
        <v>250</v>
      </c>
      <c r="B138" s="126">
        <v>66.3</v>
      </c>
      <c r="C138" s="77">
        <v>1.06707317E-2</v>
      </c>
      <c r="D138" s="15">
        <v>70.2</v>
      </c>
      <c r="E138" s="32">
        <f t="shared" si="70"/>
        <v>5.8823529411764795E-2</v>
      </c>
      <c r="F138" s="18">
        <f>IF(ISNUMBER(D138), $B145 * E138, "")</f>
        <v>5882.3529411764794</v>
      </c>
      <c r="G138" s="31">
        <v>71.2</v>
      </c>
      <c r="H138" s="32">
        <f t="shared" si="71"/>
        <v>7.3906485671191638E-2</v>
      </c>
      <c r="I138" s="101">
        <f>IF(ISNUMBER(G138), $B145 * H138, "")</f>
        <v>7390.648567119164</v>
      </c>
      <c r="J138" s="15">
        <v>70.8</v>
      </c>
      <c r="K138" s="32">
        <f t="shared" si="72"/>
        <v>6.7873303167420823E-2</v>
      </c>
      <c r="L138" s="18">
        <f>IF(ISNUMBER(J138), $B145 * K138, "")</f>
        <v>6787.3303167420827</v>
      </c>
      <c r="M138" s="31">
        <v>69.5</v>
      </c>
      <c r="N138" s="32">
        <f t="shared" si="73"/>
        <v>4.8265460030165956E-2</v>
      </c>
      <c r="O138" s="18">
        <f>IF(ISNUMBER(M138), $B145 * N138, "")</f>
        <v>4826.5460030165959</v>
      </c>
      <c r="Q138" s="248"/>
      <c r="R138" s="248"/>
      <c r="S138" s="248"/>
    </row>
    <row r="139" spans="1:19" ht="17.25" thickBot="1">
      <c r="A139" s="127" t="s">
        <v>210</v>
      </c>
      <c r="B139" s="128">
        <v>11.3</v>
      </c>
      <c r="C139" s="78">
        <v>8.9285713999999999E-3</v>
      </c>
      <c r="D139" s="20">
        <v>11.7</v>
      </c>
      <c r="E139" s="21">
        <f t="shared" si="70"/>
        <v>3.539823008849545E-2</v>
      </c>
      <c r="F139" s="22">
        <f>IF(ISNUMBER(D139), $B145 * E139, "")</f>
        <v>3539.8230088495452</v>
      </c>
      <c r="G139" s="30">
        <v>12</v>
      </c>
      <c r="H139" s="21">
        <f t="shared" si="71"/>
        <v>6.1946902654867193E-2</v>
      </c>
      <c r="I139" s="105">
        <f>IF(ISNUMBER(G139), $B145 * H139, "")</f>
        <v>6194.690265486719</v>
      </c>
      <c r="J139" s="20">
        <v>11.9</v>
      </c>
      <c r="K139" s="21">
        <f t="shared" si="72"/>
        <v>5.3097345132743327E-2</v>
      </c>
      <c r="L139" s="22">
        <f>IF(ISNUMBER(J139), $B145 * K139, "")</f>
        <v>5309.734513274333</v>
      </c>
      <c r="M139" s="30">
        <v>11.7</v>
      </c>
      <c r="N139" s="21">
        <f t="shared" si="73"/>
        <v>3.539823008849545E-2</v>
      </c>
      <c r="O139" s="22">
        <f>IF(ISNUMBER(M139), $B145 * N139, "")</f>
        <v>3539.8230088495452</v>
      </c>
      <c r="Q139" s="248"/>
      <c r="R139" s="248"/>
      <c r="S139" s="248"/>
    </row>
    <row r="140" spans="1:19" ht="17.25" thickBot="1">
      <c r="A140" s="125" t="s">
        <v>208</v>
      </c>
      <c r="B140" s="129">
        <v>11.7</v>
      </c>
      <c r="C140" s="80">
        <v>8.6206896999999998E-3</v>
      </c>
      <c r="D140" s="106">
        <v>12.8</v>
      </c>
      <c r="E140" s="107">
        <f>IF(ISNUMBER(D140), (D140 - $B140) / $B140, "")</f>
        <v>9.4017094017094141E-2</v>
      </c>
      <c r="F140" s="108">
        <f>IF(ISNUMBER(D140), $B145 * E140, "")</f>
        <v>9401.7094017094132</v>
      </c>
      <c r="G140" s="109">
        <v>14.8</v>
      </c>
      <c r="H140" s="107">
        <f>IF(ISNUMBER(G140), (G140 - $B140) / $B140, "")</f>
        <v>0.26495726495726507</v>
      </c>
      <c r="I140" s="110">
        <f>IF(ISNUMBER(G140), $B145 * H140, "")</f>
        <v>26495.726495726507</v>
      </c>
      <c r="J140" s="106">
        <v>14.4</v>
      </c>
      <c r="K140" s="107">
        <f>IF(ISNUMBER(J140), (J140 - $B140) / $B140, "")</f>
        <v>0.23076923076923087</v>
      </c>
      <c r="L140" s="108">
        <f>IF(ISNUMBER(J140), $B145 * K140, "")</f>
        <v>23076.923076923085</v>
      </c>
      <c r="M140" s="109">
        <v>13.7</v>
      </c>
      <c r="N140" s="107">
        <f>IF(ISNUMBER(M140), (M140 - $B140) / $B140, "")</f>
        <v>0.17094017094017094</v>
      </c>
      <c r="O140" s="108">
        <f>IF(ISNUMBER(M140), $B145 * N140, "")</f>
        <v>17094.017094017094</v>
      </c>
      <c r="Q140" s="238"/>
      <c r="R140" s="238"/>
      <c r="S140" s="238"/>
    </row>
    <row r="141" spans="1:19" ht="17.25" thickBot="1">
      <c r="A141" s="125" t="s">
        <v>190</v>
      </c>
      <c r="B141" s="126">
        <v>16.5</v>
      </c>
      <c r="C141" s="77">
        <v>6.0975609999999996E-3</v>
      </c>
      <c r="D141" s="15">
        <v>17.8</v>
      </c>
      <c r="E141" s="32">
        <f t="shared" ref="E141:E144" si="74">IF(ISNUMBER(D141), (D141 - $B141) / $B141, "")</f>
        <v>7.8787878787878837E-2</v>
      </c>
      <c r="F141" s="18">
        <f>IF(ISNUMBER(D141), $B145 * E141, "")</f>
        <v>7878.7878787878835</v>
      </c>
      <c r="G141" s="31">
        <v>17.899999999999999</v>
      </c>
      <c r="H141" s="32">
        <f t="shared" ref="H141:H144" si="75">IF(ISNUMBER(G141), (G141 - $B141) / $B141, "")</f>
        <v>8.4848484848484756E-2</v>
      </c>
      <c r="I141" s="101">
        <f>IF(ISNUMBER(G141), $B145 * H141, "")</f>
        <v>8484.848484848475</v>
      </c>
      <c r="J141" s="15">
        <v>17.899999999999999</v>
      </c>
      <c r="K141" s="32">
        <f t="shared" ref="K141:K144" si="76">IF(ISNUMBER(J141), (J141 - $B141) / $B141, "")</f>
        <v>8.4848484848484756E-2</v>
      </c>
      <c r="L141" s="18">
        <f>IF(ISNUMBER(J141), $B145 * K141, "")</f>
        <v>8484.848484848475</v>
      </c>
      <c r="M141" s="31">
        <v>17.399999999999999</v>
      </c>
      <c r="N141" s="32">
        <f t="shared" ref="N141:N144" si="77">IF(ISNUMBER(M141), (M141 - $B141) / $B141, "")</f>
        <v>5.454545454545446E-2</v>
      </c>
      <c r="O141" s="18">
        <f>IF(ISNUMBER(M141), $B145 * N141, "")</f>
        <v>5454.5454545454459</v>
      </c>
      <c r="Q141" s="238"/>
      <c r="R141" s="238"/>
      <c r="S141" s="238"/>
    </row>
    <row r="142" spans="1:19" ht="17.25" thickBot="1">
      <c r="A142" s="125" t="s">
        <v>130</v>
      </c>
      <c r="B142" s="126">
        <v>99.2</v>
      </c>
      <c r="C142" s="77">
        <v>2.020202E-3</v>
      </c>
      <c r="D142" s="15">
        <v>104</v>
      </c>
      <c r="E142" s="32">
        <f t="shared" si="74"/>
        <v>4.8387096774193519E-2</v>
      </c>
      <c r="F142" s="18">
        <f>IF(ISNUMBER(D142), $B145 * E142, "")</f>
        <v>4838.7096774193524</v>
      </c>
      <c r="G142" s="31">
        <v>104</v>
      </c>
      <c r="H142" s="32">
        <f t="shared" si="75"/>
        <v>4.8387096774193519E-2</v>
      </c>
      <c r="I142" s="101">
        <f>IF(ISNUMBER(G142), $B145 * H142, "")</f>
        <v>4838.7096774193524</v>
      </c>
      <c r="J142" s="15">
        <v>104</v>
      </c>
      <c r="K142" s="32">
        <f t="shared" si="76"/>
        <v>4.8387096774193519E-2</v>
      </c>
      <c r="L142" s="18">
        <f>IF(ISNUMBER(J142), $B145 * K142, "")</f>
        <v>4838.7096774193524</v>
      </c>
      <c r="M142" s="31">
        <v>102</v>
      </c>
      <c r="N142" s="32">
        <f t="shared" si="77"/>
        <v>2.8225806451612875E-2</v>
      </c>
      <c r="O142" s="18">
        <f>IF(ISNUMBER(M142), $B145 * N142, "")</f>
        <v>2822.5806451612875</v>
      </c>
      <c r="Q142" s="238"/>
      <c r="R142" s="238"/>
      <c r="S142" s="238"/>
    </row>
    <row r="143" spans="1:19">
      <c r="A143" s="125" t="s">
        <v>178</v>
      </c>
      <c r="B143" s="126">
        <v>16.600000000000001</v>
      </c>
      <c r="C143" s="77">
        <v>0</v>
      </c>
      <c r="D143" s="15">
        <v>17</v>
      </c>
      <c r="E143" s="32">
        <f t="shared" si="74"/>
        <v>2.4096385542168586E-2</v>
      </c>
      <c r="F143" s="18">
        <f>IF(ISNUMBER(D143), $B145 * E143, "")</f>
        <v>2409.6385542168587</v>
      </c>
      <c r="G143" s="31">
        <v>17.3</v>
      </c>
      <c r="H143" s="32">
        <f t="shared" si="75"/>
        <v>4.2168674698795136E-2</v>
      </c>
      <c r="I143" s="101">
        <f>IF(ISNUMBER(G143), $B145 * H143, "")</f>
        <v>4216.8674698795139</v>
      </c>
      <c r="J143" s="15">
        <v>17.100000000000001</v>
      </c>
      <c r="K143" s="32">
        <f t="shared" si="76"/>
        <v>3.012048192771084E-2</v>
      </c>
      <c r="L143" s="18">
        <f>IF(ISNUMBER(J143), $B145 * K143, "")</f>
        <v>3012.0481927710839</v>
      </c>
      <c r="M143" s="31">
        <v>17</v>
      </c>
      <c r="N143" s="32">
        <f t="shared" si="77"/>
        <v>2.4096385542168586E-2</v>
      </c>
      <c r="O143" s="18">
        <f>IF(ISNUMBER(M143), $B145 * N143, "")</f>
        <v>2409.6385542168587</v>
      </c>
      <c r="Q143" s="227"/>
      <c r="R143" s="228"/>
      <c r="S143" s="229"/>
    </row>
    <row r="144" spans="1:19" ht="17.25" thickBot="1">
      <c r="A144" s="130" t="s">
        <v>122</v>
      </c>
      <c r="B144" s="131">
        <v>28.4</v>
      </c>
      <c r="C144" s="79">
        <v>0</v>
      </c>
      <c r="D144" s="24">
        <v>29.5</v>
      </c>
      <c r="E144" s="25">
        <f t="shared" si="74"/>
        <v>3.8732394366197236E-2</v>
      </c>
      <c r="F144" s="104">
        <f>IF(ISNUMBER(D144), $B145 * E144, "")</f>
        <v>3873.2394366197236</v>
      </c>
      <c r="G144" s="102">
        <v>29.7</v>
      </c>
      <c r="H144" s="25">
        <f t="shared" si="75"/>
        <v>4.5774647887323973E-2</v>
      </c>
      <c r="I144" s="103">
        <f>IF(ISNUMBER(G144), $B145 * H144, "")</f>
        <v>4577.4647887323972</v>
      </c>
      <c r="J144" s="24">
        <v>29.4</v>
      </c>
      <c r="K144" s="25">
        <f t="shared" si="76"/>
        <v>3.5211267605633804E-2</v>
      </c>
      <c r="L144" s="104">
        <f>IF(ISNUMBER(J144), $B145 * K144, "")</f>
        <v>3521.1267605633802</v>
      </c>
      <c r="M144" s="102">
        <v>29</v>
      </c>
      <c r="N144" s="25">
        <f t="shared" si="77"/>
        <v>2.1126760563380333E-2</v>
      </c>
      <c r="O144" s="104">
        <f>IF(ISNUMBER(M144), $B145 * N144, "")</f>
        <v>2112.6760563380335</v>
      </c>
      <c r="Q144" s="230"/>
      <c r="R144" s="231"/>
      <c r="S144" s="232"/>
    </row>
    <row r="145" spans="1:19" ht="17.25" thickBot="1">
      <c r="A145" s="132" t="s">
        <v>270</v>
      </c>
      <c r="B145" s="291">
        <f>$B$37</f>
        <v>100000</v>
      </c>
      <c r="C145" s="292"/>
      <c r="D145" s="26" t="s">
        <v>271</v>
      </c>
      <c r="E145" s="27">
        <f>IF(COUNT(E125:E144), SUM(E125:E144) / COUNT(E125:E144), 0)</f>
        <v>5.5480640986325956E-2</v>
      </c>
      <c r="F145" s="28">
        <f>SUM(F125:F144)</f>
        <v>110961.28197265191</v>
      </c>
      <c r="G145" s="26" t="s">
        <v>271</v>
      </c>
      <c r="H145" s="27">
        <f>IF(COUNT(H125:H144), SUM(H125:H144) / COUNT(H125:H144), 0)</f>
        <v>7.0931926894207936E-2</v>
      </c>
      <c r="I145" s="28">
        <f>SUM(I125:I144)</f>
        <v>141863.85378841593</v>
      </c>
      <c r="J145" s="26" t="s">
        <v>271</v>
      </c>
      <c r="K145" s="27">
        <f>IF(COUNT(K125:K144), SUM(K125:K144) / COUNT(K125:K144), 0)</f>
        <v>6.7045197558088826E-2</v>
      </c>
      <c r="L145" s="28">
        <f>SUM(L125:L144)</f>
        <v>134090.39511617768</v>
      </c>
      <c r="M145" s="26" t="s">
        <v>271</v>
      </c>
      <c r="N145" s="27">
        <f>IF(COUNT(N125:N144), SUM(N125:N144) / COUNT(N125:N144), 0)</f>
        <v>4.828995607410598E-2</v>
      </c>
      <c r="O145" s="28">
        <f>SUM(O125:O144)</f>
        <v>96579.912148211966</v>
      </c>
      <c r="Q145" s="233"/>
      <c r="R145" s="234"/>
      <c r="S145" s="23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48"/>
      <c r="R148" s="248"/>
      <c r="S148" s="248"/>
    </row>
    <row r="149" spans="1:19" ht="17.25" thickBot="1">
      <c r="A149" s="181" t="s">
        <v>267</v>
      </c>
      <c r="B149" s="249" t="s">
        <v>49</v>
      </c>
      <c r="C149" s="251"/>
      <c r="D149" s="249" t="s">
        <v>58</v>
      </c>
      <c r="E149" s="250"/>
      <c r="F149" s="251"/>
      <c r="G149" s="252">
        <f>_xlfn.IFNA(VLOOKUP(B149, 현재가테이블!$B$2:$D$200, 2, FALSE), "-")</f>
        <v>54440000</v>
      </c>
      <c r="H149" s="253"/>
      <c r="I149" s="254"/>
      <c r="J149" s="249" t="s">
        <v>59</v>
      </c>
      <c r="K149" s="250"/>
      <c r="L149" s="251"/>
      <c r="M149" s="255">
        <f>_xlfn.IFNA(VLOOKUP(B149, 현재가테이블!$B$2:$D$200, 3, FALSE), "-")</f>
        <v>1.07123628E-2</v>
      </c>
      <c r="N149" s="256"/>
      <c r="O149" s="257"/>
      <c r="Q149" s="248"/>
      <c r="R149" s="248"/>
      <c r="S149" s="248"/>
    </row>
    <row r="150" spans="1:19" ht="17.25" thickBot="1">
      <c r="A150" s="293" t="s">
        <v>55</v>
      </c>
      <c r="B150" s="289" t="str">
        <f>TEXT($G$1, "[$-ko-KR]yyyy-mm-dd(ddd) ") &amp; "오전 00:00"</f>
        <v>2021-08-07(토) 오전 00:00</v>
      </c>
      <c r="C150" s="290"/>
      <c r="D150" s="262" t="str">
        <f>TEXT($G$1, "[$-ko-KR]yyyy-mm-dd(ddd) ") &amp; "오후 14:00"</f>
        <v>2021-08-07(토) 오후 14:00</v>
      </c>
      <c r="E150" s="263"/>
      <c r="F150" s="264"/>
      <c r="G150" s="262" t="str">
        <f>TEXT($G$1, "[$-ko-KR]yyyy-mm-dd(ddd) ") &amp; "오후 19:00"</f>
        <v>2021-08-07(토) 오후 19:00</v>
      </c>
      <c r="H150" s="263"/>
      <c r="I150" s="264"/>
      <c r="J150" s="262" t="str">
        <f>TEXT($G$1, "[$-ko-KR]yyyy-mm-dd(ddd) ") &amp; "오후 21:00"</f>
        <v>2021-08-07(토) 오후 21:00</v>
      </c>
      <c r="K150" s="263"/>
      <c r="L150" s="264"/>
      <c r="M150" s="262" t="str">
        <f>TEXT($G$1+1, "[$-ko-KR]yyyy-mm-dd(ddd) ") &amp; "오전 00:00"</f>
        <v>2021-08-08(일) 오전 00:00</v>
      </c>
      <c r="N150" s="263"/>
      <c r="O150" s="264"/>
      <c r="Q150" s="248"/>
      <c r="R150" s="248"/>
      <c r="S150" s="248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2" t="s">
        <v>58</v>
      </c>
      <c r="H151" s="183" t="s">
        <v>268</v>
      </c>
      <c r="I151" s="18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8"/>
      <c r="R151" s="238"/>
      <c r="S151" s="238"/>
    </row>
    <row r="152" spans="1:19" ht="17.25" thickBot="1">
      <c r="A152" s="123" t="s">
        <v>184</v>
      </c>
      <c r="B152" s="124">
        <v>934</v>
      </c>
      <c r="C152" s="76">
        <v>1.0822510800000001E-2</v>
      </c>
      <c r="D152" s="13">
        <v>971</v>
      </c>
      <c r="E152" s="14">
        <f>IF(ISNUMBER(D152), (D152 - $B152) / $B152, "")</f>
        <v>3.961456102783726E-2</v>
      </c>
      <c r="F152" s="16">
        <f>IF(ISNUMBER(D152), $B172 * E152, "")</f>
        <v>3961.4561027837258</v>
      </c>
      <c r="G152" s="29">
        <v>984</v>
      </c>
      <c r="H152" s="14">
        <f>IF(ISNUMBER(G152), (G152 - $B152) / $B152, "")</f>
        <v>5.353319057815846E-2</v>
      </c>
      <c r="I152" s="100">
        <f>IF(ISNUMBER(G152), $B172 * H152, "")</f>
        <v>5353.3190578158456</v>
      </c>
      <c r="J152" s="13">
        <v>988</v>
      </c>
      <c r="K152" s="14">
        <f>IF(ISNUMBER(J152), (J152 - $B152) / $B152, "")</f>
        <v>5.7815845824411134E-2</v>
      </c>
      <c r="L152" s="16">
        <f>IF(ISNUMBER(J152), $B172 * K152, "")</f>
        <v>5781.5845824411135</v>
      </c>
      <c r="M152" s="29">
        <v>970</v>
      </c>
      <c r="N152" s="14">
        <f>IF(ISNUMBER(M152), (M152 - $B152) / $B152, "")</f>
        <v>3.8543897216274089E-2</v>
      </c>
      <c r="O152" s="16">
        <f>IF(ISNUMBER(M152), $B172 * N152, "")</f>
        <v>3854.389721627409</v>
      </c>
      <c r="Q152" s="248"/>
      <c r="R152" s="248"/>
      <c r="S152" s="248"/>
    </row>
    <row r="153" spans="1:19" ht="17.25" thickBot="1">
      <c r="A153" s="125" t="s">
        <v>57</v>
      </c>
      <c r="B153" s="126">
        <v>197</v>
      </c>
      <c r="C153" s="77">
        <v>1.0256410299999999E-2</v>
      </c>
      <c r="D153" s="15">
        <v>206</v>
      </c>
      <c r="E153" s="32">
        <f t="shared" ref="E153:E156" si="78">IF(ISNUMBER(D153), (D153 - $B153) / $B153, "")</f>
        <v>4.5685279187817257E-2</v>
      </c>
      <c r="F153" s="18">
        <f>IF(ISNUMBER(D153), $B172 * E153, "")</f>
        <v>4568.5279187817259</v>
      </c>
      <c r="G153" s="31">
        <v>210</v>
      </c>
      <c r="H153" s="32">
        <f t="shared" ref="H153:H156" si="79">IF(ISNUMBER(G153), (G153 - $B153) / $B153, "")</f>
        <v>6.5989847715736044E-2</v>
      </c>
      <c r="I153" s="101">
        <f>IF(ISNUMBER(G153), $B172 * H153, "")</f>
        <v>6598.9847715736041</v>
      </c>
      <c r="J153" s="15">
        <v>211</v>
      </c>
      <c r="K153" s="32">
        <f t="shared" ref="K153:K156" si="80">IF(ISNUMBER(J153), (J153 - $B153) / $B153, "")</f>
        <v>7.1065989847715741E-2</v>
      </c>
      <c r="L153" s="18">
        <f>IF(ISNUMBER(J153), $B172 * K153, "")</f>
        <v>7106.5989847715737</v>
      </c>
      <c r="M153" s="31">
        <v>208</v>
      </c>
      <c r="N153" s="32">
        <f t="shared" ref="N153:N156" si="81">IF(ISNUMBER(M153), (M153 - $B153) / $B153, "")</f>
        <v>5.5837563451776651E-2</v>
      </c>
      <c r="O153" s="18">
        <f>IF(ISNUMBER(M153), $B172 * N153, "")</f>
        <v>5583.756345177665</v>
      </c>
      <c r="Q153" s="248"/>
      <c r="R153" s="248"/>
      <c r="S153" s="248"/>
    </row>
    <row r="154" spans="1:19" ht="17.25" thickBot="1">
      <c r="A154" s="125" t="s">
        <v>80</v>
      </c>
      <c r="B154" s="126">
        <v>794</v>
      </c>
      <c r="C154" s="77">
        <v>1.0178117E-2</v>
      </c>
      <c r="D154" s="15">
        <v>816</v>
      </c>
      <c r="E154" s="32">
        <f t="shared" si="78"/>
        <v>2.7707808564231738E-2</v>
      </c>
      <c r="F154" s="18">
        <f>IF(ISNUMBER(D154), $B172 * E154, "")</f>
        <v>2770.7808564231736</v>
      </c>
      <c r="G154" s="31">
        <v>835</v>
      </c>
      <c r="H154" s="32">
        <f t="shared" si="79"/>
        <v>5.163727959697733E-2</v>
      </c>
      <c r="I154" s="101">
        <f>IF(ISNUMBER(G154), $B172 * H154, "")</f>
        <v>5163.7279596977332</v>
      </c>
      <c r="J154" s="15">
        <v>837</v>
      </c>
      <c r="K154" s="32">
        <f t="shared" si="80"/>
        <v>5.4156171284634763E-2</v>
      </c>
      <c r="L154" s="18">
        <f>IF(ISNUMBER(J154), $B172 * K154, "")</f>
        <v>5415.6171284634765</v>
      </c>
      <c r="M154" s="31">
        <v>825</v>
      </c>
      <c r="N154" s="32">
        <f t="shared" si="81"/>
        <v>3.9042821158690177E-2</v>
      </c>
      <c r="O154" s="18">
        <f>IF(ISNUMBER(M154), $B172 * N154, "")</f>
        <v>3904.2821158690176</v>
      </c>
      <c r="Q154" s="238"/>
      <c r="R154" s="238"/>
      <c r="S154" s="238"/>
    </row>
    <row r="155" spans="1:19" ht="17.25" thickBot="1">
      <c r="A155" s="125" t="s">
        <v>192</v>
      </c>
      <c r="B155" s="126">
        <v>226</v>
      </c>
      <c r="C155" s="77">
        <v>8.9285713999999999E-3</v>
      </c>
      <c r="D155" s="15">
        <v>235</v>
      </c>
      <c r="E155" s="32">
        <f t="shared" si="78"/>
        <v>3.9823008849557522E-2</v>
      </c>
      <c r="F155" s="18">
        <f>IF(ISNUMBER(D155), $B172 * E155, "")</f>
        <v>3982.3008849557523</v>
      </c>
      <c r="G155" s="31">
        <v>240</v>
      </c>
      <c r="H155" s="32">
        <f t="shared" si="79"/>
        <v>6.1946902654867256E-2</v>
      </c>
      <c r="I155" s="101">
        <f>IF(ISNUMBER(G155), $B172 * H155, "")</f>
        <v>6194.6902654867254</v>
      </c>
      <c r="J155" s="15">
        <v>239</v>
      </c>
      <c r="K155" s="32">
        <f t="shared" si="80"/>
        <v>5.7522123893805309E-2</v>
      </c>
      <c r="L155" s="18">
        <f>IF(ISNUMBER(J155), $B172 * K155, "")</f>
        <v>5752.212389380531</v>
      </c>
      <c r="M155" s="31">
        <v>233</v>
      </c>
      <c r="N155" s="32">
        <f t="shared" si="81"/>
        <v>3.0973451327433628E-2</v>
      </c>
      <c r="O155" s="18">
        <f>IF(ISNUMBER(M155), $B172 * N155, "")</f>
        <v>3097.3451327433627</v>
      </c>
      <c r="Q155" s="238"/>
      <c r="R155" s="238"/>
      <c r="S155" s="238"/>
    </row>
    <row r="156" spans="1:19" ht="17.25" thickBot="1">
      <c r="A156" s="127" t="s">
        <v>90</v>
      </c>
      <c r="B156" s="128">
        <v>852</v>
      </c>
      <c r="C156" s="78">
        <v>8.2840237000000004E-3</v>
      </c>
      <c r="D156" s="20">
        <v>877</v>
      </c>
      <c r="E156" s="21">
        <f t="shared" si="78"/>
        <v>2.9342723004694836E-2</v>
      </c>
      <c r="F156" s="22">
        <f>IF(ISNUMBER(D156), $B172 * E156, "")</f>
        <v>2934.2723004694835</v>
      </c>
      <c r="G156" s="30">
        <v>910</v>
      </c>
      <c r="H156" s="21">
        <f t="shared" si="79"/>
        <v>6.8075117370892016E-2</v>
      </c>
      <c r="I156" s="105">
        <f>IF(ISNUMBER(G156), $B172 * H156, "")</f>
        <v>6807.5117370892012</v>
      </c>
      <c r="J156" s="20">
        <v>907</v>
      </c>
      <c r="K156" s="21">
        <f t="shared" si="80"/>
        <v>6.455399061032864E-2</v>
      </c>
      <c r="L156" s="22">
        <f>IF(ISNUMBER(J156), $B172 * K156, "")</f>
        <v>6455.3990610328638</v>
      </c>
      <c r="M156" s="30">
        <v>910</v>
      </c>
      <c r="N156" s="21">
        <f t="shared" si="81"/>
        <v>6.8075117370892016E-2</v>
      </c>
      <c r="O156" s="22">
        <f>IF(ISNUMBER(M156), $B172 * N156, "")</f>
        <v>6807.5117370892012</v>
      </c>
      <c r="Q156" s="238"/>
      <c r="R156" s="238"/>
      <c r="S156" s="238"/>
    </row>
    <row r="157" spans="1:19" ht="17.25" thickBot="1">
      <c r="A157" s="125" t="s">
        <v>220</v>
      </c>
      <c r="B157" s="129">
        <v>208</v>
      </c>
      <c r="C157" s="80">
        <v>4.8309179000000004E-3</v>
      </c>
      <c r="D157" s="106">
        <v>214</v>
      </c>
      <c r="E157" s="107">
        <f>IF(ISNUMBER(D157), (D157 - $B157) / $B157, "")</f>
        <v>2.8846153846153848E-2</v>
      </c>
      <c r="F157" s="108">
        <f>IF(ISNUMBER(D157), $B172 * E157, "")</f>
        <v>2884.6153846153848</v>
      </c>
      <c r="G157" s="109">
        <v>216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217</v>
      </c>
      <c r="K157" s="107">
        <f>IF(ISNUMBER(J157), (J157 - $B157) / $B157, "")</f>
        <v>4.3269230769230768E-2</v>
      </c>
      <c r="L157" s="108">
        <f>IF(ISNUMBER(J157), $B172 * K157, "")</f>
        <v>4326.9230769230771</v>
      </c>
      <c r="M157" s="109">
        <v>215</v>
      </c>
      <c r="N157" s="107">
        <f>IF(ISNUMBER(M157), (M157 - $B157) / $B157, "")</f>
        <v>3.3653846153846152E-2</v>
      </c>
      <c r="O157" s="108">
        <f>IF(ISNUMBER(M157), $B172 * N157, "")</f>
        <v>3365.3846153846152</v>
      </c>
      <c r="Q157" s="238"/>
      <c r="R157" s="238"/>
      <c r="S157" s="238"/>
    </row>
    <row r="158" spans="1:19" ht="17.25" thickBot="1">
      <c r="A158" s="125" t="s">
        <v>254</v>
      </c>
      <c r="B158" s="126">
        <v>288</v>
      </c>
      <c r="C158" s="77">
        <v>3.4843206000000002E-3</v>
      </c>
      <c r="D158" s="15">
        <v>293</v>
      </c>
      <c r="E158" s="32">
        <f t="shared" ref="E158:E161" si="82">IF(ISNUMBER(D158), (D158 - $B158) / $B158, "")</f>
        <v>1.7361111111111112E-2</v>
      </c>
      <c r="F158" s="18">
        <f>IF(ISNUMBER(D158), $B172 * E158, "")</f>
        <v>1736.1111111111111</v>
      </c>
      <c r="G158" s="31">
        <v>293</v>
      </c>
      <c r="H158" s="32">
        <f t="shared" ref="H158:H161" si="83">IF(ISNUMBER(G158), (G158 - $B158) / $B158, "")</f>
        <v>1.7361111111111112E-2</v>
      </c>
      <c r="I158" s="101">
        <f>IF(ISNUMBER(G158), $B172 * H158, "")</f>
        <v>1736.1111111111111</v>
      </c>
      <c r="J158" s="15">
        <v>292</v>
      </c>
      <c r="K158" s="32">
        <f t="shared" ref="K158:K161" si="84">IF(ISNUMBER(J158), (J158 - $B158) / $B158, "")</f>
        <v>1.3888888888888888E-2</v>
      </c>
      <c r="L158" s="18">
        <f>IF(ISNUMBER(J158), $B172 * K158, "")</f>
        <v>1388.8888888888889</v>
      </c>
      <c r="M158" s="31">
        <v>291</v>
      </c>
      <c r="N158" s="32">
        <f t="shared" ref="N158:N161" si="85">IF(ISNUMBER(M158), (M158 - $B158) / $B158, "")</f>
        <v>1.0416666666666666E-2</v>
      </c>
      <c r="O158" s="18">
        <f>IF(ISNUMBER(M158), $B172 * N158, "")</f>
        <v>1041.6666666666665</v>
      </c>
      <c r="Q158" s="238"/>
      <c r="R158" s="238"/>
      <c r="S158" s="238"/>
    </row>
    <row r="159" spans="1:19" ht="17.25" thickBot="1">
      <c r="A159" s="125" t="s">
        <v>51</v>
      </c>
      <c r="B159" s="126">
        <v>324</v>
      </c>
      <c r="C159" s="77">
        <v>3.0959752E-3</v>
      </c>
      <c r="D159" s="15">
        <v>336</v>
      </c>
      <c r="E159" s="32">
        <f t="shared" si="82"/>
        <v>3.7037037037037035E-2</v>
      </c>
      <c r="F159" s="18">
        <f>IF(ISNUMBER(D159), $B172 * E159, "")</f>
        <v>3703.7037037037035</v>
      </c>
      <c r="G159" s="31">
        <v>342</v>
      </c>
      <c r="H159" s="32">
        <f t="shared" si="83"/>
        <v>5.5555555555555552E-2</v>
      </c>
      <c r="I159" s="101">
        <f>IF(ISNUMBER(G159), $B172 * H159, "")</f>
        <v>5555.5555555555557</v>
      </c>
      <c r="J159" s="15">
        <v>344</v>
      </c>
      <c r="K159" s="32">
        <f t="shared" si="84"/>
        <v>6.1728395061728392E-2</v>
      </c>
      <c r="L159" s="18">
        <f>IF(ISNUMBER(J159), $B172 * K159, "")</f>
        <v>6172.8395061728388</v>
      </c>
      <c r="M159" s="31">
        <v>343</v>
      </c>
      <c r="N159" s="32">
        <f t="shared" si="85"/>
        <v>5.8641975308641972E-2</v>
      </c>
      <c r="O159" s="18">
        <f>IF(ISNUMBER(M159), $B172 * N159, "")</f>
        <v>5864.1975308641968</v>
      </c>
      <c r="Q159" s="238"/>
      <c r="R159" s="238"/>
      <c r="S159" s="238"/>
    </row>
    <row r="160" spans="1:19" ht="17.25" thickBot="1">
      <c r="A160" s="125" t="s">
        <v>114</v>
      </c>
      <c r="B160" s="126">
        <v>738</v>
      </c>
      <c r="C160" s="77">
        <v>2.7173913000000001E-3</v>
      </c>
      <c r="D160" s="15">
        <v>735</v>
      </c>
      <c r="E160" s="32">
        <f t="shared" si="82"/>
        <v>-4.0650406504065045E-3</v>
      </c>
      <c r="F160" s="18">
        <f>IF(ISNUMBER(D160), $B172 * E160, "")</f>
        <v>-406.50406504065046</v>
      </c>
      <c r="G160" s="31">
        <v>740</v>
      </c>
      <c r="H160" s="32">
        <f t="shared" si="83"/>
        <v>2.7100271002710027E-3</v>
      </c>
      <c r="I160" s="101">
        <f>IF(ISNUMBER(G160), $B172 * H160, "")</f>
        <v>271.00271002710025</v>
      </c>
      <c r="J160" s="15">
        <v>741</v>
      </c>
      <c r="K160" s="32">
        <f t="shared" si="84"/>
        <v>4.0650406504065045E-3</v>
      </c>
      <c r="L160" s="18">
        <f>IF(ISNUMBER(J160), $B172 * K160, "")</f>
        <v>406.50406504065046</v>
      </c>
      <c r="M160" s="31">
        <v>725</v>
      </c>
      <c r="N160" s="32">
        <f t="shared" si="85"/>
        <v>-1.7615176151761516E-2</v>
      </c>
      <c r="O160" s="18">
        <f>IF(ISNUMBER(M160), $B172 * N160, "")</f>
        <v>-1761.5176151761516</v>
      </c>
      <c r="Q160" s="33"/>
      <c r="R160" s="33"/>
    </row>
    <row r="161" spans="1:19" ht="17.25" thickBot="1">
      <c r="A161" s="130" t="s">
        <v>206</v>
      </c>
      <c r="B161" s="131">
        <v>314</v>
      </c>
      <c r="C161" s="79">
        <v>0</v>
      </c>
      <c r="D161" s="24">
        <v>326</v>
      </c>
      <c r="E161" s="25">
        <f t="shared" si="82"/>
        <v>3.8216560509554139E-2</v>
      </c>
      <c r="F161" s="104">
        <f>IF(ISNUMBER(D161), $B172 * E161, "")</f>
        <v>3821.6560509554138</v>
      </c>
      <c r="G161" s="102">
        <v>328</v>
      </c>
      <c r="H161" s="25">
        <f t="shared" si="83"/>
        <v>4.4585987261146494E-2</v>
      </c>
      <c r="I161" s="103">
        <f>IF(ISNUMBER(G161), $B172 * H161, "")</f>
        <v>4458.5987261146493</v>
      </c>
      <c r="J161" s="24">
        <v>328</v>
      </c>
      <c r="K161" s="25">
        <f t="shared" si="84"/>
        <v>4.4585987261146494E-2</v>
      </c>
      <c r="L161" s="104">
        <f>IF(ISNUMBER(J161), $B172 * K161, "")</f>
        <v>4458.5987261146493</v>
      </c>
      <c r="M161" s="102">
        <v>325</v>
      </c>
      <c r="N161" s="25">
        <f t="shared" si="85"/>
        <v>3.5031847133757961E-2</v>
      </c>
      <c r="O161" s="104">
        <f>IF(ISNUMBER(M161), $B172 * N161, "")</f>
        <v>3503.184713375796</v>
      </c>
      <c r="Q161" s="239"/>
      <c r="R161" s="240"/>
      <c r="S161" s="241"/>
    </row>
    <row r="162" spans="1:19">
      <c r="A162" s="123" t="s">
        <v>144</v>
      </c>
      <c r="B162" s="124">
        <v>111</v>
      </c>
      <c r="C162" s="76">
        <v>0</v>
      </c>
      <c r="D162" s="13">
        <v>113</v>
      </c>
      <c r="E162" s="14">
        <f>IF(ISNUMBER(D162), (D162 - $B162) / $B162, "")</f>
        <v>1.8018018018018018E-2</v>
      </c>
      <c r="F162" s="16">
        <f>IF(ISNUMBER(D162), $B172 * E162, "")</f>
        <v>1801.8018018018017</v>
      </c>
      <c r="G162" s="29">
        <v>115</v>
      </c>
      <c r="H162" s="14">
        <f>IF(ISNUMBER(G162), (G162 - $B162) / $B162, "")</f>
        <v>3.6036036036036036E-2</v>
      </c>
      <c r="I162" s="100">
        <f>IF(ISNUMBER(G162), $B172 * H162, "")</f>
        <v>3603.6036036036035</v>
      </c>
      <c r="J162" s="13">
        <v>115</v>
      </c>
      <c r="K162" s="14">
        <f>IF(ISNUMBER(J162), (J162 - $B162) / $B162, "")</f>
        <v>3.6036036036036036E-2</v>
      </c>
      <c r="L162" s="16">
        <f>IF(ISNUMBER(J162), $B172 * K162, "")</f>
        <v>3603.6036036036035</v>
      </c>
      <c r="M162" s="29">
        <v>114</v>
      </c>
      <c r="N162" s="14">
        <f>IF(ISNUMBER(M162), (M162 - $B162) / $B162, "")</f>
        <v>2.7027027027027029E-2</v>
      </c>
      <c r="O162" s="16">
        <f>IF(ISNUMBER(M162), $B172 * N162, "")</f>
        <v>2702.7027027027029</v>
      </c>
      <c r="Q162" s="242"/>
      <c r="R162" s="243"/>
      <c r="S162" s="244"/>
    </row>
    <row r="163" spans="1:19" ht="17.25" thickBot="1">
      <c r="A163" s="125" t="s">
        <v>232</v>
      </c>
      <c r="B163" s="126">
        <v>484</v>
      </c>
      <c r="C163" s="77">
        <v>-2.0618556999999998E-3</v>
      </c>
      <c r="D163" s="15">
        <v>496</v>
      </c>
      <c r="E163" s="32">
        <f t="shared" ref="E163:E166" si="86">IF(ISNUMBER(D163), (D163 - $B163) / $B163, "")</f>
        <v>2.4793388429752067E-2</v>
      </c>
      <c r="F163" s="18">
        <f>IF(ISNUMBER(D163), $B172 * E163, "")</f>
        <v>2479.3388429752067</v>
      </c>
      <c r="G163" s="31">
        <v>500</v>
      </c>
      <c r="H163" s="32">
        <f t="shared" ref="H163:H166" si="87">IF(ISNUMBER(G163), (G163 - $B163) / $B163, "")</f>
        <v>3.3057851239669422E-2</v>
      </c>
      <c r="I163" s="101">
        <f>IF(ISNUMBER(G163), $B172 * H163, "")</f>
        <v>3305.7851239669421</v>
      </c>
      <c r="J163" s="15">
        <v>502</v>
      </c>
      <c r="K163" s="32">
        <f t="shared" ref="K163:K166" si="88">IF(ISNUMBER(J163), (J163 - $B163) / $B163, "")</f>
        <v>3.71900826446281E-2</v>
      </c>
      <c r="L163" s="18">
        <f>IF(ISNUMBER(J163), $B172 * K163, "")</f>
        <v>3719.0082644628101</v>
      </c>
      <c r="M163" s="31">
        <v>495</v>
      </c>
      <c r="N163" s="32">
        <f t="shared" ref="N163:N166" si="89">IF(ISNUMBER(M163), (M163 - $B163) / $B163, "")</f>
        <v>2.2727272727272728E-2</v>
      </c>
      <c r="O163" s="18">
        <f>IF(ISNUMBER(M163), $B172 * N163, "")</f>
        <v>2272.727272727273</v>
      </c>
      <c r="Q163" s="245"/>
      <c r="R163" s="246"/>
      <c r="S163" s="247"/>
    </row>
    <row r="164" spans="1:19" ht="17.25" thickBot="1">
      <c r="A164" s="125" t="s">
        <v>230</v>
      </c>
      <c r="B164" s="126">
        <v>200</v>
      </c>
      <c r="C164" s="77">
        <v>-4.9751244000000002E-3</v>
      </c>
      <c r="D164" s="15">
        <v>206</v>
      </c>
      <c r="E164" s="32">
        <f t="shared" si="86"/>
        <v>0.03</v>
      </c>
      <c r="F164" s="18">
        <f>IF(ISNUMBER(D164), $B172 * E164, "")</f>
        <v>3000</v>
      </c>
      <c r="G164" s="31">
        <v>207</v>
      </c>
      <c r="H164" s="32">
        <f t="shared" si="87"/>
        <v>3.5000000000000003E-2</v>
      </c>
      <c r="I164" s="101">
        <f>IF(ISNUMBER(G164), $B172 * H164, "")</f>
        <v>3500.0000000000005</v>
      </c>
      <c r="J164" s="15">
        <v>209</v>
      </c>
      <c r="K164" s="32">
        <f t="shared" si="88"/>
        <v>4.4999999999999998E-2</v>
      </c>
      <c r="L164" s="18">
        <f>IF(ISNUMBER(J164), $B172 * K164, "")</f>
        <v>4500</v>
      </c>
      <c r="M164" s="31">
        <v>206</v>
      </c>
      <c r="N164" s="32">
        <f t="shared" si="89"/>
        <v>0.03</v>
      </c>
      <c r="O164" s="18">
        <f>IF(ISNUMBER(M164), $B172 * N164, "")</f>
        <v>3000</v>
      </c>
      <c r="Q164" s="238"/>
      <c r="R164" s="238"/>
      <c r="S164" s="238"/>
    </row>
    <row r="165" spans="1:19" ht="17.25" thickBot="1">
      <c r="A165" s="125" t="s">
        <v>61</v>
      </c>
      <c r="B165" s="126">
        <v>844</v>
      </c>
      <c r="C165" s="77">
        <v>-5.8892815000000003E-3</v>
      </c>
      <c r="D165" s="15">
        <v>880</v>
      </c>
      <c r="E165" s="32">
        <f t="shared" si="86"/>
        <v>4.2654028436018961E-2</v>
      </c>
      <c r="F165" s="18">
        <f>IF(ISNUMBER(D165), $B172 * E165, "")</f>
        <v>4265.4028436018962</v>
      </c>
      <c r="G165" s="31">
        <v>883</v>
      </c>
      <c r="H165" s="32">
        <f t="shared" si="87"/>
        <v>4.6208530805687202E-2</v>
      </c>
      <c r="I165" s="101">
        <f>IF(ISNUMBER(G165), $B172 * H165, "")</f>
        <v>4620.8530805687205</v>
      </c>
      <c r="J165" s="15">
        <v>888</v>
      </c>
      <c r="K165" s="32">
        <f t="shared" si="88"/>
        <v>5.2132701421800945E-2</v>
      </c>
      <c r="L165" s="18">
        <f>IF(ISNUMBER(J165), $B172 * K165, "")</f>
        <v>5213.2701421800948</v>
      </c>
      <c r="M165" s="31">
        <v>874</v>
      </c>
      <c r="N165" s="32">
        <f t="shared" si="89"/>
        <v>3.5545023696682464E-2</v>
      </c>
      <c r="O165" s="18">
        <f>IF(ISNUMBER(M165), $B172 * N165, "")</f>
        <v>3554.5023696682465</v>
      </c>
      <c r="Q165" s="248"/>
      <c r="R165" s="248"/>
      <c r="S165" s="248"/>
    </row>
    <row r="166" spans="1:19" ht="17.25" thickBot="1">
      <c r="A166" s="127" t="s">
        <v>228</v>
      </c>
      <c r="B166" s="128">
        <v>383</v>
      </c>
      <c r="C166" s="78">
        <v>-7.7720206999999999E-3</v>
      </c>
      <c r="D166" s="20">
        <v>403</v>
      </c>
      <c r="E166" s="21">
        <f t="shared" si="86"/>
        <v>5.2219321148825062E-2</v>
      </c>
      <c r="F166" s="22">
        <f>IF(ISNUMBER(D166), $B172 * E166, "")</f>
        <v>5221.9321148825065</v>
      </c>
      <c r="G166" s="30">
        <v>404</v>
      </c>
      <c r="H166" s="21">
        <f t="shared" si="87"/>
        <v>5.4830287206266322E-2</v>
      </c>
      <c r="I166" s="105">
        <f>IF(ISNUMBER(G166), $B172 * H166, "")</f>
        <v>5483.0287206266321</v>
      </c>
      <c r="J166" s="20">
        <v>401</v>
      </c>
      <c r="K166" s="21">
        <f t="shared" si="88"/>
        <v>4.6997389033942558E-2</v>
      </c>
      <c r="L166" s="22">
        <f>IF(ISNUMBER(J166), $B172 * K166, "")</f>
        <v>4699.7389033942554</v>
      </c>
      <c r="M166" s="30">
        <v>395</v>
      </c>
      <c r="N166" s="21">
        <f t="shared" si="89"/>
        <v>3.1331592689295036E-2</v>
      </c>
      <c r="O166" s="22">
        <f>IF(ISNUMBER(M166), $B172 * N166, "")</f>
        <v>3133.1592689295035</v>
      </c>
      <c r="Q166" s="248"/>
      <c r="R166" s="248"/>
      <c r="S166" s="248"/>
    </row>
    <row r="167" spans="1:19" ht="17.25" thickBot="1">
      <c r="A167" s="125" t="s">
        <v>54</v>
      </c>
      <c r="B167" s="129">
        <v>251</v>
      </c>
      <c r="C167" s="80">
        <v>-7.9051382999999996E-3</v>
      </c>
      <c r="D167" s="106">
        <v>253</v>
      </c>
      <c r="E167" s="107">
        <f>IF(ISNUMBER(D167), (D167 - $B167) / $B167, "")</f>
        <v>7.9681274900398405E-3</v>
      </c>
      <c r="F167" s="108">
        <f>IF(ISNUMBER(D167), $B172 * E167, "")</f>
        <v>796.81274900398409</v>
      </c>
      <c r="G167" s="109">
        <v>258</v>
      </c>
      <c r="H167" s="107">
        <f>IF(ISNUMBER(G167), (G167 - $B167) / $B167, "")</f>
        <v>2.7888446215139442E-2</v>
      </c>
      <c r="I167" s="110">
        <f>IF(ISNUMBER(G167), $B172 * H167, "")</f>
        <v>2788.8446215139443</v>
      </c>
      <c r="J167" s="106">
        <v>258</v>
      </c>
      <c r="K167" s="107">
        <f>IF(ISNUMBER(J167), (J167 - $B167) / $B167, "")</f>
        <v>2.7888446215139442E-2</v>
      </c>
      <c r="L167" s="108">
        <f>IF(ISNUMBER(J167), $B172 * K167, "")</f>
        <v>2788.8446215139443</v>
      </c>
      <c r="M167" s="109">
        <v>255</v>
      </c>
      <c r="N167" s="107">
        <f>IF(ISNUMBER(M167), (M167 - $B167) / $B167, "")</f>
        <v>1.5936254980079681E-2</v>
      </c>
      <c r="O167" s="108">
        <f>IF(ISNUMBER(M167), $B172 * N167, "")</f>
        <v>1593.6254980079682</v>
      </c>
      <c r="Q167" s="238"/>
      <c r="R167" s="238"/>
      <c r="S167" s="238"/>
    </row>
    <row r="168" spans="1:19" ht="17.25" thickBot="1">
      <c r="A168" s="125" t="s">
        <v>164</v>
      </c>
      <c r="B168" s="126">
        <v>314</v>
      </c>
      <c r="C168" s="77">
        <v>-9.4637223999999992E-3</v>
      </c>
      <c r="D168" s="15">
        <v>319</v>
      </c>
      <c r="E168" s="32">
        <f t="shared" ref="E168:E171" si="90">IF(ISNUMBER(D168), (D168 - $B168) / $B168, "")</f>
        <v>1.5923566878980892E-2</v>
      </c>
      <c r="F168" s="18">
        <f>IF(ISNUMBER(D168), $B172 * E168, "")</f>
        <v>1592.3566878980891</v>
      </c>
      <c r="G168" s="31">
        <v>319</v>
      </c>
      <c r="H168" s="32">
        <f t="shared" ref="H168:H171" si="91">IF(ISNUMBER(G168), (G168 - $B168) / $B168, "")</f>
        <v>1.5923566878980892E-2</v>
      </c>
      <c r="I168" s="101">
        <f>IF(ISNUMBER(G168), $B172 * H168, "")</f>
        <v>1592.3566878980891</v>
      </c>
      <c r="J168" s="15">
        <v>322</v>
      </c>
      <c r="K168" s="32">
        <f t="shared" ref="K168:K171" si="92">IF(ISNUMBER(J168), (J168 - $B168) / $B168, "")</f>
        <v>2.5477707006369428E-2</v>
      </c>
      <c r="L168" s="18">
        <f>IF(ISNUMBER(J168), $B172 * K168, "")</f>
        <v>2547.7707006369428</v>
      </c>
      <c r="M168" s="31">
        <v>316</v>
      </c>
      <c r="N168" s="32">
        <f t="shared" ref="N168:N171" si="93">IF(ISNUMBER(M168), (M168 - $B168) / $B168, "")</f>
        <v>6.369426751592357E-3</v>
      </c>
      <c r="O168" s="18">
        <f>IF(ISNUMBER(M168), $B172 * N168, "")</f>
        <v>636.9426751592357</v>
      </c>
      <c r="Q168" s="238"/>
      <c r="R168" s="238"/>
      <c r="S168" s="238"/>
    </row>
    <row r="169" spans="1:19" ht="17.25" thickBot="1">
      <c r="A169" s="125" t="s">
        <v>124</v>
      </c>
      <c r="B169" s="126">
        <v>335</v>
      </c>
      <c r="C169" s="77">
        <v>-1.179941E-2</v>
      </c>
      <c r="D169" s="15">
        <v>343</v>
      </c>
      <c r="E169" s="32">
        <f t="shared" si="90"/>
        <v>2.3880597014925373E-2</v>
      </c>
      <c r="F169" s="18">
        <f>IF(ISNUMBER(D169), $B172 * E169, "")</f>
        <v>2388.0597014925374</v>
      </c>
      <c r="G169" s="31">
        <v>350</v>
      </c>
      <c r="H169" s="32">
        <f t="shared" si="91"/>
        <v>4.4776119402985072E-2</v>
      </c>
      <c r="I169" s="101">
        <f>IF(ISNUMBER(G169), $B172 * H169, "")</f>
        <v>4477.6119402985069</v>
      </c>
      <c r="J169" s="15">
        <v>349</v>
      </c>
      <c r="K169" s="32">
        <f t="shared" si="92"/>
        <v>4.1791044776119404E-2</v>
      </c>
      <c r="L169" s="18">
        <f>IF(ISNUMBER(J169), $B172 * K169, "")</f>
        <v>4179.1044776119406</v>
      </c>
      <c r="M169" s="31">
        <v>343</v>
      </c>
      <c r="N169" s="32">
        <f t="shared" si="93"/>
        <v>2.3880597014925373E-2</v>
      </c>
      <c r="O169" s="18">
        <f>IF(ISNUMBER(M169), $B172 * N169, "")</f>
        <v>2388.0597014925374</v>
      </c>
      <c r="Q169" s="238"/>
      <c r="R169" s="238"/>
      <c r="S169" s="238"/>
    </row>
    <row r="170" spans="1:19">
      <c r="A170" s="125" t="s">
        <v>242</v>
      </c>
      <c r="B170" s="126">
        <v>495</v>
      </c>
      <c r="C170" s="77">
        <v>-1.39442231E-2</v>
      </c>
      <c r="D170" s="15">
        <v>489</v>
      </c>
      <c r="E170" s="32">
        <f t="shared" si="90"/>
        <v>-1.2121212121212121E-2</v>
      </c>
      <c r="F170" s="18">
        <f>IF(ISNUMBER(D170), $B172 * E170, "")</f>
        <v>-1212.121212121212</v>
      </c>
      <c r="G170" s="31">
        <v>492</v>
      </c>
      <c r="H170" s="32">
        <f t="shared" si="91"/>
        <v>-6.0606060606060606E-3</v>
      </c>
      <c r="I170" s="101">
        <f>IF(ISNUMBER(G170), $B172 * H170, "")</f>
        <v>-606.06060606060601</v>
      </c>
      <c r="J170" s="15">
        <v>496</v>
      </c>
      <c r="K170" s="32">
        <f t="shared" si="92"/>
        <v>2.0202020202020202E-3</v>
      </c>
      <c r="L170" s="18">
        <f>IF(ISNUMBER(J170), $B172 * K170, "")</f>
        <v>202.02020202020202</v>
      </c>
      <c r="M170" s="31">
        <v>488</v>
      </c>
      <c r="N170" s="32">
        <f t="shared" si="93"/>
        <v>-1.4141414141414142E-2</v>
      </c>
      <c r="O170" s="18">
        <f>IF(ISNUMBER(M170), $B172 * N170, "")</f>
        <v>-1414.1414141414143</v>
      </c>
      <c r="Q170" s="227"/>
      <c r="R170" s="228"/>
      <c r="S170" s="229"/>
    </row>
    <row r="171" spans="1:19" ht="17.25" thickBot="1">
      <c r="A171" s="130" t="s">
        <v>138</v>
      </c>
      <c r="B171" s="131">
        <v>386</v>
      </c>
      <c r="C171" s="79">
        <v>-1.7811704800000001E-2</v>
      </c>
      <c r="D171" s="24">
        <v>387</v>
      </c>
      <c r="E171" s="25">
        <f t="shared" si="90"/>
        <v>2.5906735751295338E-3</v>
      </c>
      <c r="F171" s="104">
        <f>IF(ISNUMBER(D171), $B172 * E171, "")</f>
        <v>259.06735751295338</v>
      </c>
      <c r="G171" s="102">
        <v>390</v>
      </c>
      <c r="H171" s="25">
        <f t="shared" si="91"/>
        <v>1.0362694300518135E-2</v>
      </c>
      <c r="I171" s="103">
        <f>IF(ISNUMBER(G171), $B172 * H171, "")</f>
        <v>1036.2694300518135</v>
      </c>
      <c r="J171" s="24">
        <v>391</v>
      </c>
      <c r="K171" s="25">
        <f t="shared" si="92"/>
        <v>1.2953367875647668E-2</v>
      </c>
      <c r="L171" s="104">
        <f>IF(ISNUMBER(J171), $B172 * K171, "")</f>
        <v>1295.3367875647668</v>
      </c>
      <c r="M171" s="102">
        <v>388</v>
      </c>
      <c r="N171" s="25">
        <f t="shared" si="93"/>
        <v>5.1813471502590676E-3</v>
      </c>
      <c r="O171" s="104">
        <f>IF(ISNUMBER(M171), $B172 * N171, "")</f>
        <v>518.13471502590676</v>
      </c>
      <c r="Q171" s="230"/>
      <c r="R171" s="231"/>
      <c r="S171" s="232"/>
    </row>
    <row r="172" spans="1:19" ht="17.25" thickBot="1">
      <c r="A172" s="132" t="s">
        <v>270</v>
      </c>
      <c r="B172" s="291">
        <f>$B$37</f>
        <v>100000</v>
      </c>
      <c r="C172" s="292"/>
      <c r="D172" s="26" t="s">
        <v>271</v>
      </c>
      <c r="E172" s="27">
        <f>IF(COUNT(E152:E171), SUM(E152:E171) / COUNT(E152:E171), 0)</f>
        <v>2.5274785567903291E-2</v>
      </c>
      <c r="F172" s="28">
        <f>SUM(F152:F171)</f>
        <v>50549.571135806582</v>
      </c>
      <c r="G172" s="26" t="s">
        <v>271</v>
      </c>
      <c r="H172" s="27">
        <f>IF(COUNT(H152:H171), SUM(H152:H171) / COUNT(H152:H171), 0)</f>
        <v>3.789397417154651E-2</v>
      </c>
      <c r="I172" s="28">
        <f>SUM(I152:I171)</f>
        <v>75787.948343093012</v>
      </c>
      <c r="J172" s="26" t="s">
        <v>271</v>
      </c>
      <c r="K172" s="27">
        <f>IF(COUNT(K152:K171), SUM(K152:K171) / COUNT(K152:K171), 0)</f>
        <v>4.0006932056109119E-2</v>
      </c>
      <c r="L172" s="28">
        <f>SUM(L152:L171)</f>
        <v>80013.864112218216</v>
      </c>
      <c r="M172" s="26" t="s">
        <v>271</v>
      </c>
      <c r="N172" s="27">
        <f>IF(COUNT(N152:N171), SUM(N152:N171) / COUNT(N152:N171), 0)</f>
        <v>2.682295687659687E-2</v>
      </c>
      <c r="O172" s="28">
        <f>SUM(O152:O171)</f>
        <v>53645.913753193738</v>
      </c>
      <c r="Q172" s="233"/>
      <c r="R172" s="234"/>
      <c r="S172" s="23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48"/>
      <c r="R175" s="248"/>
      <c r="S175" s="248"/>
    </row>
    <row r="176" spans="1:19" ht="17.25" thickBot="1">
      <c r="A176" s="181" t="s">
        <v>267</v>
      </c>
      <c r="B176" s="249" t="s">
        <v>49</v>
      </c>
      <c r="C176" s="251"/>
      <c r="D176" s="249" t="s">
        <v>58</v>
      </c>
      <c r="E176" s="250"/>
      <c r="F176" s="251"/>
      <c r="G176" s="252">
        <f>_xlfn.IFNA(VLOOKUP(B176, 현재가테이블!$B$2:$D$200, 2, FALSE), "-")</f>
        <v>54440000</v>
      </c>
      <c r="H176" s="253"/>
      <c r="I176" s="254"/>
      <c r="J176" s="249" t="s">
        <v>59</v>
      </c>
      <c r="K176" s="250"/>
      <c r="L176" s="251"/>
      <c r="M176" s="255">
        <f>_xlfn.IFNA(VLOOKUP(B176, 현재가테이블!$B$2:$D$200, 3, FALSE), "-")</f>
        <v>1.07123628E-2</v>
      </c>
      <c r="N176" s="256"/>
      <c r="O176" s="257"/>
      <c r="Q176" s="248"/>
      <c r="R176" s="248"/>
      <c r="S176" s="248"/>
    </row>
    <row r="177" spans="1:19" ht="17.25" thickBot="1">
      <c r="A177" s="293" t="s">
        <v>55</v>
      </c>
      <c r="B177" s="289" t="str">
        <f>TEXT($G$1, "[$-ko-KR]yyyy-mm-dd(ddd) ") &amp; "오전 00:00"</f>
        <v>2021-08-07(토) 오전 00:00</v>
      </c>
      <c r="C177" s="290"/>
      <c r="D177" s="262" t="str">
        <f>TEXT($G$1, "[$-ko-KR]yyyy-mm-dd(ddd) ") &amp; "오후 14:00"</f>
        <v>2021-08-07(토) 오후 14:00</v>
      </c>
      <c r="E177" s="263"/>
      <c r="F177" s="264"/>
      <c r="G177" s="262" t="str">
        <f>TEXT($G$1, "[$-ko-KR]yyyy-mm-dd(ddd) ") &amp; "오후 19:00"</f>
        <v>2021-08-07(토) 오후 19:00</v>
      </c>
      <c r="H177" s="263"/>
      <c r="I177" s="264"/>
      <c r="J177" s="262" t="str">
        <f>TEXT($G$1, "[$-ko-KR]yyyy-mm-dd(ddd) ") &amp; "오후 21:00"</f>
        <v>2021-08-07(토) 오후 21:00</v>
      </c>
      <c r="K177" s="263"/>
      <c r="L177" s="264"/>
      <c r="M177" s="262" t="str">
        <f>TEXT($G$1+1, "[$-ko-KR]yyyy-mm-dd(ddd) ") &amp; "오전 00:00"</f>
        <v>2021-08-08(일) 오전 00:00</v>
      </c>
      <c r="N177" s="263"/>
      <c r="O177" s="264"/>
      <c r="Q177" s="248"/>
      <c r="R177" s="248"/>
      <c r="S177" s="248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2" t="s">
        <v>58</v>
      </c>
      <c r="H178" s="183" t="s">
        <v>268</v>
      </c>
      <c r="I178" s="18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8"/>
      <c r="R178" s="238"/>
      <c r="S178" s="238"/>
    </row>
    <row r="179" spans="1:19" ht="17.25" thickBot="1">
      <c r="A179" s="123" t="s">
        <v>206</v>
      </c>
      <c r="B179" s="124">
        <v>314</v>
      </c>
      <c r="C179" s="76">
        <v>0</v>
      </c>
      <c r="D179" s="13">
        <v>326</v>
      </c>
      <c r="E179" s="14">
        <f>IF(ISNUMBER(D179), (D179 - $B179) / $B179, "")</f>
        <v>3.8216560509554139E-2</v>
      </c>
      <c r="F179" s="16">
        <f>IF(ISNUMBER(D179), $B199 * E179, "")</f>
        <v>3821.6560509554138</v>
      </c>
      <c r="G179" s="29">
        <v>328</v>
      </c>
      <c r="H179" s="14">
        <f>IF(ISNUMBER(G179), (G179 - $B179) / $B179, "")</f>
        <v>4.4585987261146494E-2</v>
      </c>
      <c r="I179" s="100">
        <f>IF(ISNUMBER(G179), $B199 * H179, "")</f>
        <v>4458.5987261146493</v>
      </c>
      <c r="J179" s="13">
        <v>328</v>
      </c>
      <c r="K179" s="14">
        <f>IF(ISNUMBER(J179), (J179 - $B179) / $B179, "")</f>
        <v>4.4585987261146494E-2</v>
      </c>
      <c r="L179" s="16">
        <f>IF(ISNUMBER(J179), $B199 * K179, "")</f>
        <v>4458.5987261146493</v>
      </c>
      <c r="M179" s="29">
        <v>325</v>
      </c>
      <c r="N179" s="14">
        <f>IF(ISNUMBER(M179), (M179 - $B179) / $B179, "")</f>
        <v>3.5031847133757961E-2</v>
      </c>
      <c r="O179" s="16">
        <f>IF(ISNUMBER(M179), $B199 * N179, "")</f>
        <v>3503.184713375796</v>
      </c>
      <c r="Q179" s="248"/>
      <c r="R179" s="248"/>
      <c r="S179" s="248"/>
    </row>
    <row r="180" spans="1:19" ht="17.25" thickBot="1">
      <c r="A180" s="125" t="s">
        <v>178</v>
      </c>
      <c r="B180" s="126">
        <v>16.600000000000001</v>
      </c>
      <c r="C180" s="77">
        <v>0</v>
      </c>
      <c r="D180" s="15">
        <v>17</v>
      </c>
      <c r="E180" s="32">
        <f t="shared" ref="E180:E183" si="94">IF(ISNUMBER(D180), (D180 - $B180) / $B180, "")</f>
        <v>2.4096385542168586E-2</v>
      </c>
      <c r="F180" s="18">
        <f>IF(ISNUMBER(D180), $B199 * E180, "")</f>
        <v>2409.6385542168587</v>
      </c>
      <c r="G180" s="31">
        <v>17.3</v>
      </c>
      <c r="H180" s="32">
        <f t="shared" ref="H180:H183" si="95">IF(ISNUMBER(G180), (G180 - $B180) / $B180, "")</f>
        <v>4.2168674698795136E-2</v>
      </c>
      <c r="I180" s="101">
        <f>IF(ISNUMBER(G180), $B199 * H180, "")</f>
        <v>4216.8674698795139</v>
      </c>
      <c r="J180" s="15">
        <v>17.100000000000001</v>
      </c>
      <c r="K180" s="32">
        <f t="shared" ref="K180:K183" si="96">IF(ISNUMBER(J180), (J180 - $B180) / $B180, "")</f>
        <v>3.012048192771084E-2</v>
      </c>
      <c r="L180" s="18">
        <f>IF(ISNUMBER(J180), $B199 * K180, "")</f>
        <v>3012.0481927710839</v>
      </c>
      <c r="M180" s="31">
        <v>17</v>
      </c>
      <c r="N180" s="32">
        <f t="shared" ref="N180:N183" si="97">IF(ISNUMBER(M180), (M180 - $B180) / $B180, "")</f>
        <v>2.4096385542168586E-2</v>
      </c>
      <c r="O180" s="18">
        <f>IF(ISNUMBER(M180), $B199 * N180, "")</f>
        <v>2409.6385542168587</v>
      </c>
      <c r="Q180" s="248"/>
      <c r="R180" s="248"/>
      <c r="S180" s="248"/>
    </row>
    <row r="181" spans="1:19" ht="17.25" thickBot="1">
      <c r="A181" s="125" t="s">
        <v>144</v>
      </c>
      <c r="B181" s="126">
        <v>111</v>
      </c>
      <c r="C181" s="77">
        <v>0</v>
      </c>
      <c r="D181" s="15">
        <v>113</v>
      </c>
      <c r="E181" s="32">
        <f t="shared" si="94"/>
        <v>1.8018018018018018E-2</v>
      </c>
      <c r="F181" s="18">
        <f>IF(ISNUMBER(D181), $B199 * E181, "")</f>
        <v>1801.8018018018017</v>
      </c>
      <c r="G181" s="31">
        <v>115</v>
      </c>
      <c r="H181" s="32">
        <f t="shared" si="95"/>
        <v>3.6036036036036036E-2</v>
      </c>
      <c r="I181" s="101">
        <f>IF(ISNUMBER(G181), $B199 * H181, "")</f>
        <v>3603.6036036036035</v>
      </c>
      <c r="J181" s="15">
        <v>115</v>
      </c>
      <c r="K181" s="32">
        <f t="shared" si="96"/>
        <v>3.6036036036036036E-2</v>
      </c>
      <c r="L181" s="18">
        <f>IF(ISNUMBER(J181), $B199 * K181, "")</f>
        <v>3603.6036036036035</v>
      </c>
      <c r="M181" s="31">
        <v>114</v>
      </c>
      <c r="N181" s="32">
        <f t="shared" si="97"/>
        <v>2.7027027027027029E-2</v>
      </c>
      <c r="O181" s="18">
        <f>IF(ISNUMBER(M181), $B199 * N181, "")</f>
        <v>2702.7027027027029</v>
      </c>
      <c r="Q181" s="238"/>
      <c r="R181" s="238"/>
      <c r="S181" s="238"/>
    </row>
    <row r="182" spans="1:19" ht="17.25" thickBot="1">
      <c r="A182" s="125" t="s">
        <v>122</v>
      </c>
      <c r="B182" s="126">
        <v>28.4</v>
      </c>
      <c r="C182" s="77">
        <v>0</v>
      </c>
      <c r="D182" s="15">
        <v>29.5</v>
      </c>
      <c r="E182" s="32">
        <f t="shared" si="94"/>
        <v>3.8732394366197236E-2</v>
      </c>
      <c r="F182" s="18">
        <f>IF(ISNUMBER(D182), $B199 * E182, "")</f>
        <v>3873.2394366197236</v>
      </c>
      <c r="G182" s="31">
        <v>29.7</v>
      </c>
      <c r="H182" s="32">
        <f t="shared" si="95"/>
        <v>4.5774647887323973E-2</v>
      </c>
      <c r="I182" s="101">
        <f>IF(ISNUMBER(G182), $B199 * H182, "")</f>
        <v>4577.4647887323972</v>
      </c>
      <c r="J182" s="15">
        <v>29.4</v>
      </c>
      <c r="K182" s="32">
        <f t="shared" si="96"/>
        <v>3.5211267605633804E-2</v>
      </c>
      <c r="L182" s="18">
        <f>IF(ISNUMBER(J182), $B199 * K182, "")</f>
        <v>3521.1267605633802</v>
      </c>
      <c r="M182" s="31">
        <v>29</v>
      </c>
      <c r="N182" s="32">
        <f t="shared" si="97"/>
        <v>2.1126760563380333E-2</v>
      </c>
      <c r="O182" s="18">
        <f>IF(ISNUMBER(M182), $B199 * N182, "")</f>
        <v>2112.6760563380335</v>
      </c>
      <c r="Q182" s="238"/>
      <c r="R182" s="238"/>
      <c r="S182" s="238"/>
    </row>
    <row r="183" spans="1:19" ht="17.25" thickBot="1">
      <c r="A183" s="127" t="s">
        <v>232</v>
      </c>
      <c r="B183" s="128">
        <v>484</v>
      </c>
      <c r="C183" s="78">
        <v>-2.0618556999999998E-3</v>
      </c>
      <c r="D183" s="20">
        <v>496</v>
      </c>
      <c r="E183" s="21">
        <f t="shared" si="94"/>
        <v>2.4793388429752067E-2</v>
      </c>
      <c r="F183" s="22">
        <f>IF(ISNUMBER(D183), $B199 * E183, "")</f>
        <v>2479.3388429752067</v>
      </c>
      <c r="G183" s="30">
        <v>500</v>
      </c>
      <c r="H183" s="21">
        <f t="shared" si="95"/>
        <v>3.3057851239669422E-2</v>
      </c>
      <c r="I183" s="105">
        <f>IF(ISNUMBER(G183), $B199 * H183, "")</f>
        <v>3305.7851239669421</v>
      </c>
      <c r="J183" s="20">
        <v>502</v>
      </c>
      <c r="K183" s="21">
        <f t="shared" si="96"/>
        <v>3.71900826446281E-2</v>
      </c>
      <c r="L183" s="22">
        <f>IF(ISNUMBER(J183), $B199 * K183, "")</f>
        <v>3719.0082644628101</v>
      </c>
      <c r="M183" s="30">
        <v>495</v>
      </c>
      <c r="N183" s="21">
        <f t="shared" si="97"/>
        <v>2.2727272727272728E-2</v>
      </c>
      <c r="O183" s="22">
        <f>IF(ISNUMBER(M183), $B199 * N183, "")</f>
        <v>2272.727272727273</v>
      </c>
      <c r="Q183" s="238"/>
      <c r="R183" s="238"/>
      <c r="S183" s="238"/>
    </row>
    <row r="184" spans="1:19" ht="17.25" thickBot="1">
      <c r="A184" s="125" t="s">
        <v>94</v>
      </c>
      <c r="B184" s="129">
        <v>3253000</v>
      </c>
      <c r="C184" s="80">
        <v>-2.1472393000000001E-3</v>
      </c>
      <c r="D184" s="106">
        <v>3406000</v>
      </c>
      <c r="E184" s="107">
        <f>IF(ISNUMBER(D184), (D184 - $B184) / $B184, "")</f>
        <v>4.7033507531509373E-2</v>
      </c>
      <c r="F184" s="108">
        <f>IF(ISNUMBER(D184), $B199 * E184, "")</f>
        <v>4703.3507531509376</v>
      </c>
      <c r="G184" s="109">
        <v>3490000</v>
      </c>
      <c r="H184" s="107">
        <f>IF(ISNUMBER(G184), (G184 - $B184) / $B184, "")</f>
        <v>7.2855825391945891E-2</v>
      </c>
      <c r="I184" s="110">
        <f>IF(ISNUMBER(G184), $B199 * H184, "")</f>
        <v>7285.5825391945891</v>
      </c>
      <c r="J184" s="106">
        <v>3563000</v>
      </c>
      <c r="K184" s="107">
        <f>IF(ISNUMBER(J184), (J184 - $B184) / $B184, "")</f>
        <v>9.5296649246849066E-2</v>
      </c>
      <c r="L184" s="108">
        <f>IF(ISNUMBER(J184), $B199 * K184, "")</f>
        <v>9529.6649246849065</v>
      </c>
      <c r="M184" s="109">
        <v>3544000</v>
      </c>
      <c r="N184" s="107">
        <f>IF(ISNUMBER(M184), (M184 - $B184) / $B184, "")</f>
        <v>8.9455886873655091E-2</v>
      </c>
      <c r="O184" s="108">
        <f>IF(ISNUMBER(M184), $B199 * N184, "")</f>
        <v>8945.588687365509</v>
      </c>
      <c r="Q184" s="238"/>
      <c r="R184" s="238"/>
      <c r="S184" s="238"/>
    </row>
    <row r="185" spans="1:19" ht="17.25" thickBot="1">
      <c r="A185" s="125" t="s">
        <v>142</v>
      </c>
      <c r="B185" s="126">
        <v>9540</v>
      </c>
      <c r="C185" s="77">
        <v>-4.6948357000000003E-3</v>
      </c>
      <c r="D185" s="15">
        <v>9895</v>
      </c>
      <c r="E185" s="32">
        <f t="shared" ref="E185:E188" si="98">IF(ISNUMBER(D185), (D185 - $B185) / $B185, "")</f>
        <v>3.7211740041928724E-2</v>
      </c>
      <c r="F185" s="18">
        <f>IF(ISNUMBER(D185), $B199 * E185, "")</f>
        <v>3721.1740041928724</v>
      </c>
      <c r="G185" s="31">
        <v>10030</v>
      </c>
      <c r="H185" s="32">
        <f t="shared" ref="H185:H188" si="99">IF(ISNUMBER(G185), (G185 - $B185) / $B185, "")</f>
        <v>5.1362683438155136E-2</v>
      </c>
      <c r="I185" s="101">
        <f>IF(ISNUMBER(G185), $B199 * H185, "")</f>
        <v>5136.2683438155136</v>
      </c>
      <c r="J185" s="15">
        <v>10100</v>
      </c>
      <c r="K185" s="32">
        <f t="shared" ref="K185:K188" si="100">IF(ISNUMBER(J185), (J185 - $B185) / $B185, "")</f>
        <v>5.8700209643605873E-2</v>
      </c>
      <c r="L185" s="18">
        <f>IF(ISNUMBER(J185), $B199 * K185, "")</f>
        <v>5870.0209643605876</v>
      </c>
      <c r="M185" s="31">
        <v>9900</v>
      </c>
      <c r="N185" s="32">
        <f t="shared" ref="N185:N188" si="101">IF(ISNUMBER(M185), (M185 - $B185) / $B185, "")</f>
        <v>3.7735849056603772E-2</v>
      </c>
      <c r="O185" s="18">
        <f>IF(ISNUMBER(M185), $B199 * N185, "")</f>
        <v>3773.584905660377</v>
      </c>
      <c r="Q185" s="238"/>
      <c r="R185" s="238"/>
      <c r="S185" s="238"/>
    </row>
    <row r="186" spans="1:19" ht="17.25" thickBot="1">
      <c r="A186" s="125" t="s">
        <v>230</v>
      </c>
      <c r="B186" s="126">
        <v>200</v>
      </c>
      <c r="C186" s="77">
        <v>-4.9751244000000002E-3</v>
      </c>
      <c r="D186" s="15">
        <v>206</v>
      </c>
      <c r="E186" s="32">
        <f t="shared" si="98"/>
        <v>0.03</v>
      </c>
      <c r="F186" s="18">
        <f>IF(ISNUMBER(D186), $B199 * E186, "")</f>
        <v>3000</v>
      </c>
      <c r="G186" s="31">
        <v>207</v>
      </c>
      <c r="H186" s="32">
        <f t="shared" si="99"/>
        <v>3.5000000000000003E-2</v>
      </c>
      <c r="I186" s="101">
        <f>IF(ISNUMBER(G186), $B199 * H186, "")</f>
        <v>3500.0000000000005</v>
      </c>
      <c r="J186" s="15">
        <v>209</v>
      </c>
      <c r="K186" s="32">
        <f t="shared" si="100"/>
        <v>4.4999999999999998E-2</v>
      </c>
      <c r="L186" s="18">
        <f>IF(ISNUMBER(J186), $B199 * K186, "")</f>
        <v>4500</v>
      </c>
      <c r="M186" s="31">
        <v>206</v>
      </c>
      <c r="N186" s="32">
        <f t="shared" si="101"/>
        <v>0.03</v>
      </c>
      <c r="O186" s="18">
        <f>IF(ISNUMBER(M186), $B199 * N186, "")</f>
        <v>3000</v>
      </c>
      <c r="Q186" s="238"/>
      <c r="R186" s="238"/>
      <c r="S186" s="238"/>
    </row>
    <row r="187" spans="1:19" ht="17.25" thickBot="1">
      <c r="A187" s="125" t="s">
        <v>61</v>
      </c>
      <c r="B187" s="126">
        <v>844</v>
      </c>
      <c r="C187" s="77">
        <v>-5.8892815000000003E-3</v>
      </c>
      <c r="D187" s="15">
        <v>880</v>
      </c>
      <c r="E187" s="32">
        <f t="shared" si="98"/>
        <v>4.2654028436018961E-2</v>
      </c>
      <c r="F187" s="18">
        <f>IF(ISNUMBER(D187), $B199 * E187, "")</f>
        <v>4265.4028436018962</v>
      </c>
      <c r="G187" s="31">
        <v>883</v>
      </c>
      <c r="H187" s="32">
        <f t="shared" si="99"/>
        <v>4.6208530805687202E-2</v>
      </c>
      <c r="I187" s="101">
        <f>IF(ISNUMBER(G187), $B199 * H187, "")</f>
        <v>4620.8530805687205</v>
      </c>
      <c r="J187" s="15">
        <v>888</v>
      </c>
      <c r="K187" s="32">
        <f t="shared" si="100"/>
        <v>5.2132701421800945E-2</v>
      </c>
      <c r="L187" s="18">
        <f>IF(ISNUMBER(J187), $B199 * K187, "")</f>
        <v>5213.2701421800948</v>
      </c>
      <c r="M187" s="31">
        <v>874</v>
      </c>
      <c r="N187" s="32">
        <f t="shared" si="101"/>
        <v>3.5545023696682464E-2</v>
      </c>
      <c r="O187" s="18">
        <f>IF(ISNUMBER(M187), $B199 * N187, "")</f>
        <v>3554.5023696682465</v>
      </c>
      <c r="Q187" s="33"/>
      <c r="R187" s="33"/>
    </row>
    <row r="188" spans="1:19" ht="17.25" thickBot="1">
      <c r="A188" s="130" t="s">
        <v>182</v>
      </c>
      <c r="B188" s="131">
        <v>58440</v>
      </c>
      <c r="C188" s="79">
        <v>-5.9533933999999997E-3</v>
      </c>
      <c r="D188" s="24">
        <v>59150</v>
      </c>
      <c r="E188" s="25">
        <f t="shared" si="98"/>
        <v>1.21492128678987E-2</v>
      </c>
      <c r="F188" s="104">
        <f>IF(ISNUMBER(D188), $B199 * E188, "")</f>
        <v>1214.92128678987</v>
      </c>
      <c r="G188" s="102">
        <v>60010</v>
      </c>
      <c r="H188" s="25">
        <f t="shared" si="99"/>
        <v>2.6865160848733746E-2</v>
      </c>
      <c r="I188" s="103">
        <f>IF(ISNUMBER(G188), $B199 * H188, "")</f>
        <v>2686.5160848733744</v>
      </c>
      <c r="J188" s="24">
        <v>60190</v>
      </c>
      <c r="K188" s="25">
        <f t="shared" si="100"/>
        <v>2.9945242984257357E-2</v>
      </c>
      <c r="L188" s="104">
        <f>IF(ISNUMBER(J188), $B199 * K188, "")</f>
        <v>2994.5242984257357</v>
      </c>
      <c r="M188" s="102">
        <v>59550</v>
      </c>
      <c r="N188" s="25">
        <f t="shared" si="101"/>
        <v>1.8993839835728953E-2</v>
      </c>
      <c r="O188" s="104">
        <f>IF(ISNUMBER(M188), $B199 * N188, "")</f>
        <v>1899.3839835728954</v>
      </c>
      <c r="Q188" s="239"/>
      <c r="R188" s="240"/>
      <c r="S188" s="241"/>
    </row>
    <row r="189" spans="1:19">
      <c r="A189" s="123" t="s">
        <v>170</v>
      </c>
      <c r="B189" s="124">
        <v>29820</v>
      </c>
      <c r="C189" s="76">
        <v>-6.3312228999999999E-3</v>
      </c>
      <c r="D189" s="13">
        <v>29960</v>
      </c>
      <c r="E189" s="14">
        <f>IF(ISNUMBER(D189), (D189 - $B189) / $B189, "")</f>
        <v>4.6948356807511738E-3</v>
      </c>
      <c r="F189" s="16">
        <f>IF(ISNUMBER(D189), $B199 * E189, "")</f>
        <v>469.48356807511738</v>
      </c>
      <c r="G189" s="29">
        <v>30510</v>
      </c>
      <c r="H189" s="14">
        <f>IF(ISNUMBER(G189), (G189 - $B189) / $B189, "")</f>
        <v>2.3138832997987926E-2</v>
      </c>
      <c r="I189" s="100">
        <f>IF(ISNUMBER(G189), $B199 * H189, "")</f>
        <v>2313.8832997987925</v>
      </c>
      <c r="J189" s="13">
        <v>30380</v>
      </c>
      <c r="K189" s="14">
        <f>IF(ISNUMBER(J189), (J189 - $B189) / $B189, "")</f>
        <v>1.8779342723004695E-2</v>
      </c>
      <c r="L189" s="16">
        <f>IF(ISNUMBER(J189), $B199 * K189, "")</f>
        <v>1877.9342723004695</v>
      </c>
      <c r="M189" s="29">
        <v>30120</v>
      </c>
      <c r="N189" s="14">
        <f>IF(ISNUMBER(M189), (M189 - $B189) / $B189, "")</f>
        <v>1.0060362173038229E-2</v>
      </c>
      <c r="O189" s="16">
        <f>IF(ISNUMBER(M189), $B199 * N189, "")</f>
        <v>1006.0362173038229</v>
      </c>
      <c r="Q189" s="242"/>
      <c r="R189" s="243"/>
      <c r="S189" s="244"/>
    </row>
    <row r="190" spans="1:19" ht="17.25" thickBot="1">
      <c r="A190" s="125" t="s">
        <v>198</v>
      </c>
      <c r="B190" s="126">
        <v>25600</v>
      </c>
      <c r="C190" s="77">
        <v>-7.3671965999999997E-3</v>
      </c>
      <c r="D190" s="15">
        <v>25540</v>
      </c>
      <c r="E190" s="32">
        <f t="shared" ref="E190:E193" si="102">IF(ISNUMBER(D190), (D190 - $B190) / $B190, "")</f>
        <v>-2.3437499999999999E-3</v>
      </c>
      <c r="F190" s="18">
        <f>IF(ISNUMBER(D190), $B199 * E190, "")</f>
        <v>-234.375</v>
      </c>
      <c r="G190" s="31">
        <v>26350</v>
      </c>
      <c r="H190" s="32">
        <f t="shared" ref="H190:H193" si="103">IF(ISNUMBER(G190), (G190 - $B190) / $B190, "")</f>
        <v>2.9296875E-2</v>
      </c>
      <c r="I190" s="101">
        <f>IF(ISNUMBER(G190), $B199 * H190, "")</f>
        <v>2929.6875</v>
      </c>
      <c r="J190" s="15">
        <v>26240</v>
      </c>
      <c r="K190" s="32">
        <f t="shared" ref="K190:K193" si="104">IF(ISNUMBER(J190), (J190 - $B190) / $B190, "")</f>
        <v>2.5000000000000001E-2</v>
      </c>
      <c r="L190" s="18">
        <f>IF(ISNUMBER(J190), $B199 * K190, "")</f>
        <v>2500</v>
      </c>
      <c r="M190" s="31">
        <v>25800</v>
      </c>
      <c r="N190" s="32">
        <f t="shared" ref="N190:N193" si="105">IF(ISNUMBER(M190), (M190 - $B190) / $B190, "")</f>
        <v>7.8125E-3</v>
      </c>
      <c r="O190" s="18">
        <f>IF(ISNUMBER(M190), $B199 * N190, "")</f>
        <v>781.25</v>
      </c>
      <c r="Q190" s="245"/>
      <c r="R190" s="246"/>
      <c r="S190" s="247"/>
    </row>
    <row r="191" spans="1:19" ht="17.25" thickBot="1">
      <c r="A191" s="125" t="s">
        <v>228</v>
      </c>
      <c r="B191" s="126">
        <v>383</v>
      </c>
      <c r="C191" s="77">
        <v>-7.7720206999999999E-3</v>
      </c>
      <c r="D191" s="15">
        <v>403</v>
      </c>
      <c r="E191" s="32">
        <f t="shared" si="102"/>
        <v>5.2219321148825062E-2</v>
      </c>
      <c r="F191" s="18">
        <f>IF(ISNUMBER(D191), $B199 * E191, "")</f>
        <v>5221.9321148825065</v>
      </c>
      <c r="G191" s="31">
        <v>404</v>
      </c>
      <c r="H191" s="32">
        <f t="shared" si="103"/>
        <v>5.4830287206266322E-2</v>
      </c>
      <c r="I191" s="101">
        <f>IF(ISNUMBER(G191), $B199 * H191, "")</f>
        <v>5483.0287206266321</v>
      </c>
      <c r="J191" s="15">
        <v>401</v>
      </c>
      <c r="K191" s="32">
        <f t="shared" si="104"/>
        <v>4.6997389033942558E-2</v>
      </c>
      <c r="L191" s="18">
        <f>IF(ISNUMBER(J191), $B199 * K191, "")</f>
        <v>4699.7389033942554</v>
      </c>
      <c r="M191" s="31">
        <v>395</v>
      </c>
      <c r="N191" s="32">
        <f t="shared" si="105"/>
        <v>3.1331592689295036E-2</v>
      </c>
      <c r="O191" s="18">
        <f>IF(ISNUMBER(M191), $B199 * N191, "")</f>
        <v>3133.1592689295035</v>
      </c>
      <c r="Q191" s="238"/>
      <c r="R191" s="238"/>
      <c r="S191" s="238"/>
    </row>
    <row r="192" spans="1:19" ht="17.25" thickBot="1">
      <c r="A192" s="125" t="s">
        <v>54</v>
      </c>
      <c r="B192" s="126">
        <v>251</v>
      </c>
      <c r="C192" s="77">
        <v>-7.9051382999999996E-3</v>
      </c>
      <c r="D192" s="15">
        <v>253</v>
      </c>
      <c r="E192" s="32">
        <f t="shared" si="102"/>
        <v>7.9681274900398405E-3</v>
      </c>
      <c r="F192" s="18">
        <f>IF(ISNUMBER(D192), $B199 * E192, "")</f>
        <v>796.81274900398409</v>
      </c>
      <c r="G192" s="31">
        <v>258</v>
      </c>
      <c r="H192" s="32">
        <f t="shared" si="103"/>
        <v>2.7888446215139442E-2</v>
      </c>
      <c r="I192" s="101">
        <f>IF(ISNUMBER(G192), $B199 * H192, "")</f>
        <v>2788.8446215139443</v>
      </c>
      <c r="J192" s="15">
        <v>258</v>
      </c>
      <c r="K192" s="32">
        <f t="shared" si="104"/>
        <v>2.7888446215139442E-2</v>
      </c>
      <c r="L192" s="18">
        <f>IF(ISNUMBER(J192), $B199 * K192, "")</f>
        <v>2788.8446215139443</v>
      </c>
      <c r="M192" s="31">
        <v>255</v>
      </c>
      <c r="N192" s="32">
        <f t="shared" si="105"/>
        <v>1.5936254980079681E-2</v>
      </c>
      <c r="O192" s="18">
        <f>IF(ISNUMBER(M192), $B199 * N192, "")</f>
        <v>1593.6254980079682</v>
      </c>
      <c r="Q192" s="248"/>
      <c r="R192" s="248"/>
      <c r="S192" s="248"/>
    </row>
    <row r="193" spans="1:19" ht="17.25" thickBot="1">
      <c r="A193" s="127" t="s">
        <v>164</v>
      </c>
      <c r="B193" s="128">
        <v>314</v>
      </c>
      <c r="C193" s="78">
        <v>-9.4637223999999992E-3</v>
      </c>
      <c r="D193" s="20">
        <v>319</v>
      </c>
      <c r="E193" s="21">
        <f t="shared" si="102"/>
        <v>1.5923566878980892E-2</v>
      </c>
      <c r="F193" s="22">
        <f>IF(ISNUMBER(D193), $B199 * E193, "")</f>
        <v>1592.3566878980891</v>
      </c>
      <c r="G193" s="30">
        <v>319</v>
      </c>
      <c r="H193" s="21">
        <f t="shared" si="103"/>
        <v>1.5923566878980892E-2</v>
      </c>
      <c r="I193" s="105">
        <f>IF(ISNUMBER(G193), $B199 * H193, "")</f>
        <v>1592.3566878980891</v>
      </c>
      <c r="J193" s="20">
        <v>322</v>
      </c>
      <c r="K193" s="21">
        <f t="shared" si="104"/>
        <v>2.5477707006369428E-2</v>
      </c>
      <c r="L193" s="22">
        <f>IF(ISNUMBER(J193), $B199 * K193, "")</f>
        <v>2547.7707006369428</v>
      </c>
      <c r="M193" s="30">
        <v>316</v>
      </c>
      <c r="N193" s="21">
        <f t="shared" si="105"/>
        <v>6.369426751592357E-3</v>
      </c>
      <c r="O193" s="22">
        <f>IF(ISNUMBER(M193), $B199 * N193, "")</f>
        <v>636.9426751592357</v>
      </c>
      <c r="Q193" s="248"/>
      <c r="R193" s="248"/>
      <c r="S193" s="248"/>
    </row>
    <row r="194" spans="1:19" ht="17.25" thickBot="1">
      <c r="A194" s="125" t="s">
        <v>124</v>
      </c>
      <c r="B194" s="129">
        <v>335</v>
      </c>
      <c r="C194" s="80">
        <v>-1.179941E-2</v>
      </c>
      <c r="D194" s="106">
        <v>343</v>
      </c>
      <c r="E194" s="107">
        <f>IF(ISNUMBER(D194), (D194 - $B194) / $B194, "")</f>
        <v>2.3880597014925373E-2</v>
      </c>
      <c r="F194" s="108">
        <f>IF(ISNUMBER(D194), $B199 * E194, "")</f>
        <v>2388.0597014925374</v>
      </c>
      <c r="G194" s="109">
        <v>350</v>
      </c>
      <c r="H194" s="107">
        <f>IF(ISNUMBER(G194), (G194 - $B194) / $B194, "")</f>
        <v>4.4776119402985072E-2</v>
      </c>
      <c r="I194" s="110">
        <f>IF(ISNUMBER(G194), $B199 * H194, "")</f>
        <v>4477.6119402985069</v>
      </c>
      <c r="J194" s="106">
        <v>349</v>
      </c>
      <c r="K194" s="107">
        <f>IF(ISNUMBER(J194), (J194 - $B194) / $B194, "")</f>
        <v>4.1791044776119404E-2</v>
      </c>
      <c r="L194" s="108">
        <f>IF(ISNUMBER(J194), $B199 * K194, "")</f>
        <v>4179.1044776119406</v>
      </c>
      <c r="M194" s="109">
        <v>343</v>
      </c>
      <c r="N194" s="107">
        <f>IF(ISNUMBER(M194), (M194 - $B194) / $B194, "")</f>
        <v>2.3880597014925373E-2</v>
      </c>
      <c r="O194" s="108">
        <f>IF(ISNUMBER(M194), $B199 * N194, "")</f>
        <v>2388.0597014925374</v>
      </c>
      <c r="Q194" s="238"/>
      <c r="R194" s="238"/>
      <c r="S194" s="238"/>
    </row>
    <row r="195" spans="1:19" ht="17.25" thickBot="1">
      <c r="A195" s="125" t="s">
        <v>112</v>
      </c>
      <c r="B195" s="126">
        <v>8130</v>
      </c>
      <c r="C195" s="77">
        <v>-1.2750455399999999E-2</v>
      </c>
      <c r="D195" s="15">
        <v>8005</v>
      </c>
      <c r="E195" s="32">
        <f t="shared" ref="E195:E198" si="106">IF(ISNUMBER(D195), (D195 - $B195) / $B195, "")</f>
        <v>-1.5375153751537515E-2</v>
      </c>
      <c r="F195" s="18">
        <f>IF(ISNUMBER(D195), $B199 * E195, "")</f>
        <v>-1537.5153751537516</v>
      </c>
      <c r="G195" s="31">
        <v>8135</v>
      </c>
      <c r="H195" s="32">
        <f t="shared" ref="H195:H198" si="107">IF(ISNUMBER(G195), (G195 - $B195) / $B195, "")</f>
        <v>6.1500615006150063E-4</v>
      </c>
      <c r="I195" s="101">
        <f>IF(ISNUMBER(G195), $B199 * H195, "")</f>
        <v>61.500615006150063</v>
      </c>
      <c r="J195" s="15">
        <v>8155</v>
      </c>
      <c r="K195" s="32">
        <f t="shared" ref="K195:K198" si="108">IF(ISNUMBER(J195), (J195 - $B195) / $B195, "")</f>
        <v>3.0750307503075031E-3</v>
      </c>
      <c r="L195" s="18">
        <f>IF(ISNUMBER(J195), $B199 * K195, "")</f>
        <v>307.50307503075032</v>
      </c>
      <c r="M195" s="31">
        <v>8070</v>
      </c>
      <c r="N195" s="32">
        <f t="shared" ref="N195:N198" si="109">IF(ISNUMBER(M195), (M195 - $B195) / $B195, "")</f>
        <v>-7.3800738007380072E-3</v>
      </c>
      <c r="O195" s="18">
        <f>IF(ISNUMBER(M195), $B199 * N195, "")</f>
        <v>-738.00738007380073</v>
      </c>
      <c r="Q195" s="238"/>
      <c r="R195" s="238"/>
      <c r="S195" s="238"/>
    </row>
    <row r="196" spans="1:19" ht="17.25" thickBot="1">
      <c r="A196" s="125" t="s">
        <v>242</v>
      </c>
      <c r="B196" s="126">
        <v>495</v>
      </c>
      <c r="C196" s="77">
        <v>-1.39442231E-2</v>
      </c>
      <c r="D196" s="15">
        <v>489</v>
      </c>
      <c r="E196" s="32">
        <f t="shared" si="106"/>
        <v>-1.2121212121212121E-2</v>
      </c>
      <c r="F196" s="18">
        <f>IF(ISNUMBER(D196), $B199 * E196, "")</f>
        <v>-1212.121212121212</v>
      </c>
      <c r="G196" s="31">
        <v>492</v>
      </c>
      <c r="H196" s="32">
        <f t="shared" si="107"/>
        <v>-6.0606060606060606E-3</v>
      </c>
      <c r="I196" s="101">
        <f>IF(ISNUMBER(G196), $B199 * H196, "")</f>
        <v>-606.06060606060601</v>
      </c>
      <c r="J196" s="15">
        <v>496</v>
      </c>
      <c r="K196" s="32">
        <f t="shared" si="108"/>
        <v>2.0202020202020202E-3</v>
      </c>
      <c r="L196" s="18">
        <f>IF(ISNUMBER(J196), $B199 * K196, "")</f>
        <v>202.02020202020202</v>
      </c>
      <c r="M196" s="31">
        <v>488</v>
      </c>
      <c r="N196" s="32">
        <f t="shared" si="109"/>
        <v>-1.4141414141414142E-2</v>
      </c>
      <c r="O196" s="18">
        <f>IF(ISNUMBER(M196), $B199 * N196, "")</f>
        <v>-1414.1414141414143</v>
      </c>
      <c r="Q196" s="238"/>
      <c r="R196" s="238"/>
      <c r="S196" s="238"/>
    </row>
    <row r="197" spans="1:19">
      <c r="A197" s="125" t="s">
        <v>138</v>
      </c>
      <c r="B197" s="126">
        <v>386</v>
      </c>
      <c r="C197" s="77">
        <v>-1.7811704800000001E-2</v>
      </c>
      <c r="D197" s="15">
        <v>387</v>
      </c>
      <c r="E197" s="32">
        <f t="shared" si="106"/>
        <v>2.5906735751295338E-3</v>
      </c>
      <c r="F197" s="18">
        <f>IF(ISNUMBER(D197), $B199 * E197, "")</f>
        <v>259.06735751295338</v>
      </c>
      <c r="G197" s="31">
        <v>390</v>
      </c>
      <c r="H197" s="32">
        <f t="shared" si="107"/>
        <v>1.0362694300518135E-2</v>
      </c>
      <c r="I197" s="101">
        <f>IF(ISNUMBER(G197), $B199 * H197, "")</f>
        <v>1036.2694300518135</v>
      </c>
      <c r="J197" s="15">
        <v>391</v>
      </c>
      <c r="K197" s="32">
        <f t="shared" si="108"/>
        <v>1.2953367875647668E-2</v>
      </c>
      <c r="L197" s="18">
        <f>IF(ISNUMBER(J197), $B199 * K197, "")</f>
        <v>1295.3367875647668</v>
      </c>
      <c r="M197" s="31">
        <v>388</v>
      </c>
      <c r="N197" s="32">
        <f t="shared" si="109"/>
        <v>5.1813471502590676E-3</v>
      </c>
      <c r="O197" s="18">
        <f>IF(ISNUMBER(M197), $B199 * N197, "")</f>
        <v>518.13471502590676</v>
      </c>
      <c r="Q197" s="227"/>
      <c r="R197" s="228"/>
      <c r="S197" s="229"/>
    </row>
    <row r="198" spans="1:19" ht="17.25" thickBot="1">
      <c r="A198" s="130" t="s">
        <v>76</v>
      </c>
      <c r="B198" s="131">
        <v>27230</v>
      </c>
      <c r="C198" s="79">
        <v>-1.9445444700000002E-2</v>
      </c>
      <c r="D198" s="24">
        <v>28040</v>
      </c>
      <c r="E198" s="25">
        <f t="shared" si="106"/>
        <v>2.9746603011384501E-2</v>
      </c>
      <c r="F198" s="104">
        <f>IF(ISNUMBER(D198), $B199 * E198, "")</f>
        <v>2974.66030113845</v>
      </c>
      <c r="G198" s="102">
        <v>28200</v>
      </c>
      <c r="H198" s="25">
        <f t="shared" si="107"/>
        <v>3.5622475211164156E-2</v>
      </c>
      <c r="I198" s="103">
        <f>IF(ISNUMBER(G198), $B199 * H198, "")</f>
        <v>3562.2475211164156</v>
      </c>
      <c r="J198" s="24">
        <v>28430</v>
      </c>
      <c r="K198" s="25">
        <f t="shared" si="108"/>
        <v>4.4069041498347408E-2</v>
      </c>
      <c r="L198" s="104">
        <f>IF(ISNUMBER(J198), $B199 * K198, "")</f>
        <v>4406.9041498347406</v>
      </c>
      <c r="M198" s="102">
        <v>28030</v>
      </c>
      <c r="N198" s="25">
        <f t="shared" si="109"/>
        <v>2.9379360998898273E-2</v>
      </c>
      <c r="O198" s="104">
        <f>IF(ISNUMBER(M198), $B199 * N198, "")</f>
        <v>2937.9360998898273</v>
      </c>
      <c r="Q198" s="230"/>
      <c r="R198" s="231"/>
      <c r="S198" s="232"/>
    </row>
    <row r="199" spans="1:19" ht="17.25" thickBot="1">
      <c r="A199" s="132" t="s">
        <v>270</v>
      </c>
      <c r="B199" s="291">
        <f>$B$37</f>
        <v>100000</v>
      </c>
      <c r="C199" s="292"/>
      <c r="D199" s="26" t="s">
        <v>271</v>
      </c>
      <c r="E199" s="27">
        <f>IF(COUNT(E179:E198), SUM(E179:E198) / COUNT(E179:E198), 0)</f>
        <v>2.1004442233516628E-2</v>
      </c>
      <c r="F199" s="28">
        <f>SUM(F179:F198)</f>
        <v>42008.884467033247</v>
      </c>
      <c r="G199" s="26" t="s">
        <v>271</v>
      </c>
      <c r="H199" s="27">
        <f>IF(COUNT(H179:H198), SUM(H179:H198) / COUNT(H179:H198), 0)</f>
        <v>3.3515454745499516E-2</v>
      </c>
      <c r="I199" s="28">
        <f>SUM(I179:I198)</f>
        <v>67030.909490999038</v>
      </c>
      <c r="J199" s="26" t="s">
        <v>271</v>
      </c>
      <c r="K199" s="27">
        <f>IF(COUNT(K179:K198), SUM(K179:K198) / COUNT(K179:K198), 0)</f>
        <v>3.5613511533537437E-2</v>
      </c>
      <c r="L199" s="28">
        <f>SUM(L179:L198)</f>
        <v>71227.023067074842</v>
      </c>
      <c r="M199" s="26" t="s">
        <v>271</v>
      </c>
      <c r="N199" s="27">
        <f>IF(COUNT(N179:N198), SUM(N179:N198) / COUNT(N179:N198), 0)</f>
        <v>2.2508492313610635E-2</v>
      </c>
      <c r="O199" s="28">
        <f>SUM(O179:O198)</f>
        <v>45016.984627221282</v>
      </c>
      <c r="Q199" s="233"/>
      <c r="R199" s="234"/>
      <c r="S199" s="23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9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9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9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9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9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9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9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8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8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8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86" priority="157">
      <formula>AND($N17 &gt; 0, ISNUMBER($N17))</formula>
    </cfRule>
    <cfRule type="expression" dxfId="1985" priority="158">
      <formula>AND($N17 = 0 * ISNUMBER($N17))</formula>
    </cfRule>
    <cfRule type="expression" dxfId="1984" priority="159">
      <formula>AND($N17 &lt; 0, ISNUMBER($N17))</formula>
    </cfRule>
  </conditionalFormatting>
  <conditionalFormatting sqref="A17:F36">
    <cfRule type="expression" dxfId="1983" priority="166">
      <formula>AND($E17 &gt; 0, ISNUMBER($E17))</formula>
    </cfRule>
    <cfRule type="expression" dxfId="1982" priority="167">
      <formula>AND($E17 = 0 * ISNUMBER($E17))</formula>
    </cfRule>
    <cfRule type="expression" dxfId="1981" priority="168">
      <formula>AND($E17 &lt; 0, ISNUMBER($E17))</formula>
    </cfRule>
  </conditionalFormatting>
  <conditionalFormatting sqref="A17:C36 G17:I36">
    <cfRule type="expression" dxfId="1980" priority="163">
      <formula>AND($H17 &gt; 0, ISNUMBER($H17))</formula>
    </cfRule>
    <cfRule type="expression" dxfId="1979" priority="164">
      <formula>AND($H17 = 0 * ISNUMBER($H17))</formula>
    </cfRule>
    <cfRule type="expression" dxfId="1978" priority="165">
      <formula>AND($H17 &lt; 0, ISNUMBER($H17))</formula>
    </cfRule>
  </conditionalFormatting>
  <conditionalFormatting sqref="A17:C36 J17:L36">
    <cfRule type="expression" dxfId="1977" priority="160">
      <formula>AND($K17 &gt; 0, ISNUMBER($K17))</formula>
    </cfRule>
    <cfRule type="expression" dxfId="1976" priority="161">
      <formula>AND($K17 = 0 * ISNUMBER($K17))</formula>
    </cfRule>
    <cfRule type="expression" dxfId="1975" priority="162">
      <formula>AND($K17 &lt; 0, ISNUMBER($K17))</formula>
    </cfRule>
  </conditionalFormatting>
  <conditionalFormatting sqref="D15:F16 E37:F37">
    <cfRule type="expression" dxfId="1974" priority="154">
      <formula>$E$37 &gt; 0</formula>
    </cfRule>
    <cfRule type="expression" dxfId="1973" priority="155">
      <formula>$E$37 = 0</formula>
    </cfRule>
    <cfRule type="expression" dxfId="1972" priority="156">
      <formula>$E$37 &lt; 0</formula>
    </cfRule>
  </conditionalFormatting>
  <conditionalFormatting sqref="G15:I16 H37:I37">
    <cfRule type="expression" dxfId="1971" priority="151">
      <formula>$H$37 &gt; 0</formula>
    </cfRule>
    <cfRule type="expression" dxfId="1970" priority="152">
      <formula>$H$37 = 0</formula>
    </cfRule>
    <cfRule type="expression" dxfId="1969" priority="153">
      <formula>$H$37 &lt; 0</formula>
    </cfRule>
  </conditionalFormatting>
  <conditionalFormatting sqref="J15:L16 K37:L37">
    <cfRule type="expression" dxfId="1968" priority="148">
      <formula>$K$37 &gt; 0</formula>
    </cfRule>
    <cfRule type="expression" dxfId="1967" priority="149">
      <formula>$K$37 = 0</formula>
    </cfRule>
    <cfRule type="expression" dxfId="1966" priority="150">
      <formula>$K$37 &lt; 0</formula>
    </cfRule>
  </conditionalFormatting>
  <conditionalFormatting sqref="M15:O16 N37:O37">
    <cfRule type="expression" dxfId="1965" priority="145">
      <formula>$N$37 &gt; 0</formula>
    </cfRule>
    <cfRule type="expression" dxfId="1964" priority="146">
      <formula>$N$37 = 0</formula>
    </cfRule>
    <cfRule type="expression" dxfId="1963" priority="147">
      <formula>$N$37 &lt; 0</formula>
    </cfRule>
  </conditionalFormatting>
  <conditionalFormatting sqref="A44:C63 M44:O63">
    <cfRule type="expression" dxfId="1962" priority="133">
      <formula>AND($N44 &gt; 0, ISNUMBER($N44))</formula>
    </cfRule>
    <cfRule type="expression" dxfId="1961" priority="134">
      <formula>AND($N44 = 0 * ISNUMBER($N44))</formula>
    </cfRule>
    <cfRule type="expression" dxfId="1960" priority="135">
      <formula>AND($N44 &lt; 0, ISNUMBER($N44))</formula>
    </cfRule>
  </conditionalFormatting>
  <conditionalFormatting sqref="A44:F63">
    <cfRule type="expression" dxfId="1959" priority="142">
      <formula>AND($E44 &gt; 0, ISNUMBER($E44))</formula>
    </cfRule>
    <cfRule type="expression" dxfId="1958" priority="143">
      <formula>AND($E44 = 0 * ISNUMBER($E44))</formula>
    </cfRule>
    <cfRule type="expression" dxfId="1957" priority="144">
      <formula>AND($E44 &lt; 0, ISNUMBER($E44))</formula>
    </cfRule>
  </conditionalFormatting>
  <conditionalFormatting sqref="A44:C63 G44:I63">
    <cfRule type="expression" dxfId="1956" priority="139">
      <formula>AND($H44 &gt; 0, ISNUMBER($H44))</formula>
    </cfRule>
    <cfRule type="expression" dxfId="1955" priority="140">
      <formula>AND($H44 = 0 * ISNUMBER($H44))</formula>
    </cfRule>
    <cfRule type="expression" dxfId="1954" priority="141">
      <formula>AND($H44 &lt; 0, ISNUMBER($H44))</formula>
    </cfRule>
  </conditionalFormatting>
  <conditionalFormatting sqref="A44:C63 J44:L63">
    <cfRule type="expression" dxfId="1953" priority="136">
      <formula>AND($K44 &gt; 0, ISNUMBER($K44))</formula>
    </cfRule>
    <cfRule type="expression" dxfId="1952" priority="137">
      <formula>AND($K44 = 0 * ISNUMBER($K44))</formula>
    </cfRule>
    <cfRule type="expression" dxfId="1951" priority="138">
      <formula>AND($K44 &lt; 0, ISNUMBER($K44))</formula>
    </cfRule>
  </conditionalFormatting>
  <conditionalFormatting sqref="D42:F43 E64:F64">
    <cfRule type="expression" dxfId="1950" priority="130">
      <formula>$E$64 &gt; 0</formula>
    </cfRule>
    <cfRule type="expression" dxfId="1949" priority="131">
      <formula>$E$64 = 0</formula>
    </cfRule>
    <cfRule type="expression" dxfId="1948" priority="132">
      <formula>$E$64 &lt; 0</formula>
    </cfRule>
  </conditionalFormatting>
  <conditionalFormatting sqref="G42:I43 H64:I64">
    <cfRule type="expression" dxfId="1947" priority="127">
      <formula>$H$64 &gt; 0</formula>
    </cfRule>
    <cfRule type="expression" dxfId="1946" priority="128">
      <formula>$H$64 = 0</formula>
    </cfRule>
    <cfRule type="expression" dxfId="1945" priority="129">
      <formula>$H$64 &lt; 0</formula>
    </cfRule>
  </conditionalFormatting>
  <conditionalFormatting sqref="J42:L43 K64:L64">
    <cfRule type="expression" dxfId="1944" priority="124">
      <formula>$K$64 &gt; 0</formula>
    </cfRule>
    <cfRule type="expression" dxfId="1943" priority="125">
      <formula>$K$64 = 0</formula>
    </cfRule>
    <cfRule type="expression" dxfId="1942" priority="126">
      <formula>$K$64 &lt; 0</formula>
    </cfRule>
  </conditionalFormatting>
  <conditionalFormatting sqref="M42:O43 N64:O64">
    <cfRule type="expression" dxfId="1941" priority="121">
      <formula>$N$64 &gt; 0</formula>
    </cfRule>
    <cfRule type="expression" dxfId="1940" priority="122">
      <formula>$N$64 = 0</formula>
    </cfRule>
    <cfRule type="expression" dxfId="1939" priority="123">
      <formula>$N$64 &lt; 0</formula>
    </cfRule>
  </conditionalFormatting>
  <conditionalFormatting sqref="A71:C90 M71:O90">
    <cfRule type="expression" dxfId="1938" priority="109">
      <formula>AND($N71 &gt; 0, ISNUMBER($N71))</formula>
    </cfRule>
    <cfRule type="expression" dxfId="1937" priority="110">
      <formula>AND($N71 = 0 * ISNUMBER($N71))</formula>
    </cfRule>
    <cfRule type="expression" dxfId="1936" priority="111">
      <formula>AND($N71 &lt; 0, ISNUMBER($N71))</formula>
    </cfRule>
  </conditionalFormatting>
  <conditionalFormatting sqref="A71:F90">
    <cfRule type="expression" dxfId="1935" priority="118">
      <formula>AND($E71 &gt; 0, ISNUMBER($E71))</formula>
    </cfRule>
    <cfRule type="expression" dxfId="1934" priority="119">
      <formula>AND($E71 = 0 * ISNUMBER($E71))</formula>
    </cfRule>
    <cfRule type="expression" dxfId="1933" priority="120">
      <formula>AND($E71 &lt; 0, ISNUMBER($E71))</formula>
    </cfRule>
  </conditionalFormatting>
  <conditionalFormatting sqref="A71:C90 G71:I90">
    <cfRule type="expression" dxfId="1932" priority="115">
      <formula>AND($H71 &gt; 0, ISNUMBER($H71))</formula>
    </cfRule>
    <cfRule type="expression" dxfId="1931" priority="116">
      <formula>AND($H71 = 0 * ISNUMBER($H71))</formula>
    </cfRule>
    <cfRule type="expression" dxfId="1930" priority="117">
      <formula>AND($H71 &lt; 0, ISNUMBER($H71))</formula>
    </cfRule>
  </conditionalFormatting>
  <conditionalFormatting sqref="A71:C90 J71:L90">
    <cfRule type="expression" dxfId="1929" priority="112">
      <formula>AND($K71 &gt; 0, ISNUMBER($K71))</formula>
    </cfRule>
    <cfRule type="expression" dxfId="1928" priority="113">
      <formula>AND($K71 = 0 * ISNUMBER($K71))</formula>
    </cfRule>
    <cfRule type="expression" dxfId="1927" priority="114">
      <formula>AND($K71 &lt; 0, ISNUMBER($K71))</formula>
    </cfRule>
  </conditionalFormatting>
  <conditionalFormatting sqref="D69:F70 E91:F91">
    <cfRule type="expression" dxfId="1926" priority="106">
      <formula>$E$91 &gt; 0</formula>
    </cfRule>
    <cfRule type="expression" dxfId="1925" priority="107">
      <formula>$E$91 = 0</formula>
    </cfRule>
    <cfRule type="expression" dxfId="1924" priority="108">
      <formula>$E$91 &lt; 0</formula>
    </cfRule>
  </conditionalFormatting>
  <conditionalFormatting sqref="G69:I70 H91:I91">
    <cfRule type="expression" dxfId="1923" priority="103">
      <formula>$H$91 &gt; 0</formula>
    </cfRule>
    <cfRule type="expression" dxfId="1922" priority="104">
      <formula>$H$91 = 0</formula>
    </cfRule>
    <cfRule type="expression" dxfId="1921" priority="105">
      <formula>$H$91 &lt; 0</formula>
    </cfRule>
  </conditionalFormatting>
  <conditionalFormatting sqref="J69:L70 K91:L91">
    <cfRule type="expression" dxfId="1920" priority="100">
      <formula>$K$91 &gt; 0</formula>
    </cfRule>
    <cfRule type="expression" dxfId="1919" priority="101">
      <formula>$K$91 = 0</formula>
    </cfRule>
    <cfRule type="expression" dxfId="1918" priority="102">
      <formula>$K$91 &lt; 0</formula>
    </cfRule>
  </conditionalFormatting>
  <conditionalFormatting sqref="M69:O70 N91:O91">
    <cfRule type="expression" dxfId="1917" priority="97">
      <formula>$N$91 &gt; 0</formula>
    </cfRule>
    <cfRule type="expression" dxfId="1916" priority="98">
      <formula>$N$91 = 0</formula>
    </cfRule>
    <cfRule type="expression" dxfId="1915" priority="99">
      <formula>$N$91 &lt; 0</formula>
    </cfRule>
  </conditionalFormatting>
  <conditionalFormatting sqref="A98:C117 M98:O117">
    <cfRule type="expression" dxfId="1914" priority="85">
      <formula>AND($N98 &gt; 0, ISNUMBER($N98))</formula>
    </cfRule>
    <cfRule type="expression" dxfId="1913" priority="86">
      <formula>AND($N98 = 0 * ISNUMBER($N98))</formula>
    </cfRule>
    <cfRule type="expression" dxfId="1912" priority="87">
      <formula>AND($N98 &lt; 0, ISNUMBER($N98))</formula>
    </cfRule>
  </conditionalFormatting>
  <conditionalFormatting sqref="A98:F117">
    <cfRule type="expression" dxfId="1911" priority="94">
      <formula>AND($E98 &gt; 0, ISNUMBER($E98))</formula>
    </cfRule>
    <cfRule type="expression" dxfId="1910" priority="95">
      <formula>AND($E98 = 0 * ISNUMBER($E98))</formula>
    </cfRule>
    <cfRule type="expression" dxfId="1909" priority="96">
      <formula>AND($E98 &lt; 0, ISNUMBER($E98))</formula>
    </cfRule>
  </conditionalFormatting>
  <conditionalFormatting sqref="A98:C117 G98:I117">
    <cfRule type="expression" dxfId="1908" priority="91">
      <formula>AND($H98 &gt; 0, ISNUMBER($H98))</formula>
    </cfRule>
    <cfRule type="expression" dxfId="1907" priority="92">
      <formula>AND($H98 = 0 * ISNUMBER($H98))</formula>
    </cfRule>
    <cfRule type="expression" dxfId="1906" priority="93">
      <formula>AND($H98 &lt; 0, ISNUMBER($H98))</formula>
    </cfRule>
  </conditionalFormatting>
  <conditionalFormatting sqref="A98:C117 J98:L117">
    <cfRule type="expression" dxfId="1905" priority="88">
      <formula>AND($K98 &gt; 0, ISNUMBER($K98))</formula>
    </cfRule>
    <cfRule type="expression" dxfId="1904" priority="89">
      <formula>AND($K98 = 0 * ISNUMBER($K98))</formula>
    </cfRule>
    <cfRule type="expression" dxfId="1903" priority="90">
      <formula>AND($K98 &lt; 0, ISNUMBER($K98))</formula>
    </cfRule>
  </conditionalFormatting>
  <conditionalFormatting sqref="D96:F97 E118:F118">
    <cfRule type="expression" dxfId="1902" priority="82">
      <formula>$E$118 &gt; 0</formula>
    </cfRule>
    <cfRule type="expression" dxfId="1901" priority="83">
      <formula>$E$118 = 0</formula>
    </cfRule>
    <cfRule type="expression" dxfId="1900" priority="84">
      <formula>$E$118 &lt; 0</formula>
    </cfRule>
  </conditionalFormatting>
  <conditionalFormatting sqref="G96:I97 H118:I118">
    <cfRule type="expression" dxfId="1899" priority="79">
      <formula>$H$118 &gt; 0</formula>
    </cfRule>
    <cfRule type="expression" dxfId="1898" priority="80">
      <formula>$H$118 = 0</formula>
    </cfRule>
    <cfRule type="expression" dxfId="1897" priority="81">
      <formula>$H$118 &lt; 0</formula>
    </cfRule>
  </conditionalFormatting>
  <conditionalFormatting sqref="J96:L97 K118:L118">
    <cfRule type="expression" dxfId="1896" priority="76">
      <formula>$K$118 &gt; 0</formula>
    </cfRule>
    <cfRule type="expression" dxfId="1895" priority="77">
      <formula>$K$118 = 0</formula>
    </cfRule>
    <cfRule type="expression" dxfId="1894" priority="78">
      <formula>$K$118 &lt; 0</formula>
    </cfRule>
  </conditionalFormatting>
  <conditionalFormatting sqref="M96:O97 N118:O118">
    <cfRule type="expression" dxfId="1893" priority="73">
      <formula>$N$118 &gt; 0</formula>
    </cfRule>
    <cfRule type="expression" dxfId="1892" priority="74">
      <formula>$N$118 = 0</formula>
    </cfRule>
    <cfRule type="expression" dxfId="1891" priority="75">
      <formula>$N$118 &lt; 0</formula>
    </cfRule>
  </conditionalFormatting>
  <conditionalFormatting sqref="A125:C144 M125:O144">
    <cfRule type="expression" dxfId="1890" priority="61">
      <formula>AND($N125 &gt; 0, ISNUMBER($N125))</formula>
    </cfRule>
    <cfRule type="expression" dxfId="1889" priority="62">
      <formula>AND($N125 = 0 * ISNUMBER($N125))</formula>
    </cfRule>
    <cfRule type="expression" dxfId="1888" priority="63">
      <formula>AND($N125 &lt; 0, ISNUMBER($N125))</formula>
    </cfRule>
  </conditionalFormatting>
  <conditionalFormatting sqref="A125:F144">
    <cfRule type="expression" dxfId="1887" priority="70">
      <formula>AND($E125 &gt; 0, ISNUMBER($E125))</formula>
    </cfRule>
    <cfRule type="expression" dxfId="1886" priority="71">
      <formula>AND($E125 = 0 * ISNUMBER($E125))</formula>
    </cfRule>
    <cfRule type="expression" dxfId="1885" priority="72">
      <formula>AND($E125 &lt; 0, ISNUMBER($E125))</formula>
    </cfRule>
  </conditionalFormatting>
  <conditionalFormatting sqref="A125:C144 G125:I144">
    <cfRule type="expression" dxfId="1884" priority="67">
      <formula>AND($H125 &gt; 0, ISNUMBER($H125))</formula>
    </cfRule>
    <cfRule type="expression" dxfId="1883" priority="68">
      <formula>AND($H125 = 0 * ISNUMBER($H125))</formula>
    </cfRule>
    <cfRule type="expression" dxfId="1882" priority="69">
      <formula>AND($H125 &lt; 0, ISNUMBER($H125))</formula>
    </cfRule>
  </conditionalFormatting>
  <conditionalFormatting sqref="A125:C144 J125:L144">
    <cfRule type="expression" dxfId="1881" priority="64">
      <formula>AND($K125 &gt; 0, ISNUMBER($K125))</formula>
    </cfRule>
    <cfRule type="expression" dxfId="1880" priority="65">
      <formula>AND($K125 = 0 * ISNUMBER($K125))</formula>
    </cfRule>
    <cfRule type="expression" dxfId="1879" priority="66">
      <formula>AND($K125 &lt; 0, ISNUMBER($K125))</formula>
    </cfRule>
  </conditionalFormatting>
  <conditionalFormatting sqref="D123:F124 E145:F145">
    <cfRule type="expression" dxfId="1878" priority="58">
      <formula>$E$145 &gt; 0</formula>
    </cfRule>
    <cfRule type="expression" dxfId="1877" priority="59">
      <formula>$E$145 = 0</formula>
    </cfRule>
    <cfRule type="expression" dxfId="1876" priority="60">
      <formula>$E$145 &lt; 0</formula>
    </cfRule>
  </conditionalFormatting>
  <conditionalFormatting sqref="G123:I124 H145:I145">
    <cfRule type="expression" dxfId="1875" priority="55">
      <formula>$H$145 &gt; 0</formula>
    </cfRule>
    <cfRule type="expression" dxfId="1874" priority="56">
      <formula>$H$145 = 0</formula>
    </cfRule>
    <cfRule type="expression" dxfId="1873" priority="57">
      <formula>$H$145 &lt; 0</formula>
    </cfRule>
  </conditionalFormatting>
  <conditionalFormatting sqref="J123:L124 K145:L145">
    <cfRule type="expression" dxfId="1872" priority="52">
      <formula>$K$145 &gt; 0</formula>
    </cfRule>
    <cfRule type="expression" dxfId="1871" priority="53">
      <formula>$K$145 = 0</formula>
    </cfRule>
    <cfRule type="expression" dxfId="1870" priority="54">
      <formula>$K$145 &lt; 0</formula>
    </cfRule>
  </conditionalFormatting>
  <conditionalFormatting sqref="M123:O124 N145:O145">
    <cfRule type="expression" dxfId="1869" priority="49">
      <formula>$N$145 &gt; 0</formula>
    </cfRule>
    <cfRule type="expression" dxfId="1868" priority="50">
      <formula>$N$145 = 0</formula>
    </cfRule>
    <cfRule type="expression" dxfId="1867" priority="51">
      <formula>$N$145 &lt; 0</formula>
    </cfRule>
  </conditionalFormatting>
  <conditionalFormatting sqref="A152:C171 M152:O171">
    <cfRule type="expression" dxfId="1866" priority="37">
      <formula>AND($N152 &gt; 0, ISNUMBER($N152))</formula>
    </cfRule>
    <cfRule type="expression" dxfId="1865" priority="38">
      <formula>AND($N152 = 0 * ISNUMBER($N152))</formula>
    </cfRule>
    <cfRule type="expression" dxfId="1864" priority="39">
      <formula>AND($N152 &lt; 0, ISNUMBER($N152))</formula>
    </cfRule>
  </conditionalFormatting>
  <conditionalFormatting sqref="A152:F171">
    <cfRule type="expression" dxfId="1863" priority="46">
      <formula>AND($E152 &gt; 0, ISNUMBER($E152))</formula>
    </cfRule>
    <cfRule type="expression" dxfId="1862" priority="47">
      <formula>AND($E152 = 0 * ISNUMBER($E152))</formula>
    </cfRule>
    <cfRule type="expression" dxfId="1861" priority="48">
      <formula>AND($E152 &lt; 0, ISNUMBER($E152))</formula>
    </cfRule>
  </conditionalFormatting>
  <conditionalFormatting sqref="A152:C171 G152:I171">
    <cfRule type="expression" dxfId="1860" priority="43">
      <formula>AND($H152 &gt; 0, ISNUMBER($H152))</formula>
    </cfRule>
    <cfRule type="expression" dxfId="1859" priority="44">
      <formula>AND($H152 = 0 * ISNUMBER($H152))</formula>
    </cfRule>
    <cfRule type="expression" dxfId="1858" priority="45">
      <formula>AND($H152 &lt; 0, ISNUMBER($H152))</formula>
    </cfRule>
  </conditionalFormatting>
  <conditionalFormatting sqref="A152:C171 J152:L171">
    <cfRule type="expression" dxfId="1857" priority="40">
      <formula>AND($K152 &gt; 0, ISNUMBER($K152))</formula>
    </cfRule>
    <cfRule type="expression" dxfId="1856" priority="41">
      <formula>AND($K152 = 0 * ISNUMBER($K152))</formula>
    </cfRule>
    <cfRule type="expression" dxfId="1855" priority="42">
      <formula>AND($K152 &lt; 0, ISNUMBER($K152))</formula>
    </cfRule>
  </conditionalFormatting>
  <conditionalFormatting sqref="D150:F151 E172:F172">
    <cfRule type="expression" dxfId="1854" priority="34">
      <formula>$E$172 &gt; 0</formula>
    </cfRule>
    <cfRule type="expression" dxfId="1853" priority="35">
      <formula>$E$172 = 0</formula>
    </cfRule>
    <cfRule type="expression" dxfId="1852" priority="36">
      <formula>$E$172 &lt; 0</formula>
    </cfRule>
  </conditionalFormatting>
  <conditionalFormatting sqref="G150:I151 H172:I172">
    <cfRule type="expression" dxfId="1851" priority="31">
      <formula>$H$172 &gt; 0</formula>
    </cfRule>
    <cfRule type="expression" dxfId="1850" priority="32">
      <formula>$H$172 = 0</formula>
    </cfRule>
    <cfRule type="expression" dxfId="1849" priority="33">
      <formula>$H$172 &lt; 0</formula>
    </cfRule>
  </conditionalFormatting>
  <conditionalFormatting sqref="J150:L151 K172:L172">
    <cfRule type="expression" dxfId="1848" priority="28">
      <formula>$K$172 &gt; 0</formula>
    </cfRule>
    <cfRule type="expression" dxfId="1847" priority="29">
      <formula>$K$172 = 0</formula>
    </cfRule>
    <cfRule type="expression" dxfId="1846" priority="30">
      <formula>$K$172 &lt; 0</formula>
    </cfRule>
  </conditionalFormatting>
  <conditionalFormatting sqref="M150:O151 N172:O172">
    <cfRule type="expression" dxfId="1845" priority="25">
      <formula>$N$172 &gt; 0</formula>
    </cfRule>
    <cfRule type="expression" dxfId="1844" priority="26">
      <formula>$N$172 = 0</formula>
    </cfRule>
    <cfRule type="expression" dxfId="1843" priority="27">
      <formula>$N$172 &lt; 0</formula>
    </cfRule>
  </conditionalFormatting>
  <conditionalFormatting sqref="A179:C198 M179:O198">
    <cfRule type="expression" dxfId="1842" priority="13">
      <formula>AND($N179 &gt; 0, ISNUMBER($N179))</formula>
    </cfRule>
    <cfRule type="expression" dxfId="1841" priority="14">
      <formula>AND($N179 = 0 * ISNUMBER($N179))</formula>
    </cfRule>
    <cfRule type="expression" dxfId="1840" priority="15">
      <formula>AND($N179 &lt; 0, ISNUMBER($N179))</formula>
    </cfRule>
  </conditionalFormatting>
  <conditionalFormatting sqref="A179:F198">
    <cfRule type="expression" dxfId="1839" priority="22">
      <formula>AND($E179 &gt; 0, ISNUMBER($E179))</formula>
    </cfRule>
    <cfRule type="expression" dxfId="1838" priority="23">
      <formula>AND($E179 = 0 * ISNUMBER($E179))</formula>
    </cfRule>
    <cfRule type="expression" dxfId="1837" priority="24">
      <formula>AND($E179 &lt; 0, ISNUMBER($E179))</formula>
    </cfRule>
  </conditionalFormatting>
  <conditionalFormatting sqref="A179:C198 G179:I198">
    <cfRule type="expression" dxfId="1836" priority="19">
      <formula>AND($H179 &gt; 0, ISNUMBER($H179))</formula>
    </cfRule>
    <cfRule type="expression" dxfId="1835" priority="20">
      <formula>AND($H179 = 0 * ISNUMBER($H179))</formula>
    </cfRule>
    <cfRule type="expression" dxfId="1834" priority="21">
      <formula>AND($H179 &lt; 0, ISNUMBER($H179))</formula>
    </cfRule>
  </conditionalFormatting>
  <conditionalFormatting sqref="A179:C198 J179:L198">
    <cfRule type="expression" dxfId="1833" priority="16">
      <formula>AND($K179 &gt; 0, ISNUMBER($K179))</formula>
    </cfRule>
    <cfRule type="expression" dxfId="1832" priority="17">
      <formula>AND($K179 = 0 * ISNUMBER($K179))</formula>
    </cfRule>
    <cfRule type="expression" dxfId="1831" priority="18">
      <formula>AND($K179 &lt; 0, ISNUMBER($K179))</formula>
    </cfRule>
  </conditionalFormatting>
  <conditionalFormatting sqref="D177:F178 E199:F199">
    <cfRule type="expression" dxfId="1830" priority="10">
      <formula>$E$199 &gt; 0</formula>
    </cfRule>
    <cfRule type="expression" dxfId="1829" priority="11">
      <formula>$E$199 = 0</formula>
    </cfRule>
    <cfRule type="expression" dxfId="1828" priority="12">
      <formula>$E$199 &lt; 0</formula>
    </cfRule>
  </conditionalFormatting>
  <conditionalFormatting sqref="G177:I178 H199:I199">
    <cfRule type="expression" dxfId="1827" priority="7">
      <formula>$H$199 &gt; 0</formula>
    </cfRule>
    <cfRule type="expression" dxfId="1826" priority="8">
      <formula>$H$199 = 0</formula>
    </cfRule>
    <cfRule type="expression" dxfId="1825" priority="9">
      <formula>$H$199 &lt; 0</formula>
    </cfRule>
  </conditionalFormatting>
  <conditionalFormatting sqref="J177:L178 K199:L199">
    <cfRule type="expression" dxfId="1824" priority="4">
      <formula>$K$199 &gt; 0</formula>
    </cfRule>
    <cfRule type="expression" dxfId="1823" priority="5">
      <formula>$K$199 = 0</formula>
    </cfRule>
    <cfRule type="expression" dxfId="1822" priority="6">
      <formula>$K$199 &lt; 0</formula>
    </cfRule>
  </conditionalFormatting>
  <conditionalFormatting sqref="M177:O178 N199:O199">
    <cfRule type="expression" dxfId="1821" priority="1">
      <formula>$N$199 &gt; 0</formula>
    </cfRule>
    <cfRule type="expression" dxfId="1820" priority="2">
      <formula>$N$199 = 0</formula>
    </cfRule>
    <cfRule type="expression" dxfId="181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A4445-F2F5-476F-9DB8-00B5126B9342}">
  <sheetPr codeName="Sheet14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80">
        <v>44416</v>
      </c>
      <c r="H1" s="281"/>
      <c r="I1" s="282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83" t="s">
        <v>8</v>
      </c>
      <c r="C2" s="284"/>
      <c r="D2" s="284"/>
      <c r="E2" s="284"/>
      <c r="F2" s="285"/>
      <c r="G2" s="277" t="s">
        <v>46</v>
      </c>
      <c r="H2" s="278"/>
      <c r="I2" s="279"/>
      <c r="J2" s="1" t="s">
        <v>3</v>
      </c>
      <c r="K2" s="283" t="s">
        <v>320</v>
      </c>
      <c r="L2" s="284"/>
      <c r="M2" s="284"/>
      <c r="N2" s="284"/>
      <c r="O2" s="285"/>
      <c r="Q2" s="2" t="s">
        <v>6</v>
      </c>
      <c r="R2" s="3">
        <v>0.375</v>
      </c>
    </row>
    <row r="3" spans="1:19" ht="17.25" customHeight="1" thickBot="1">
      <c r="A3" s="118" t="s">
        <v>7</v>
      </c>
      <c r="B3" s="274" t="s">
        <v>328</v>
      </c>
      <c r="C3" s="275"/>
      <c r="D3" s="275"/>
      <c r="E3" s="275"/>
      <c r="F3" s="276"/>
      <c r="G3" s="27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-1,852 KRW (-0.09%)</v>
      </c>
      <c r="H3" s="271"/>
      <c r="I3" s="272"/>
      <c r="J3" s="4" t="s">
        <v>7</v>
      </c>
      <c r="K3" s="274" t="s">
        <v>321</v>
      </c>
      <c r="L3" s="275"/>
      <c r="M3" s="275"/>
      <c r="N3" s="275"/>
      <c r="O3" s="27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4" t="s">
        <v>16</v>
      </c>
      <c r="C4" s="275"/>
      <c r="D4" s="275"/>
      <c r="E4" s="275"/>
      <c r="F4" s="276"/>
      <c r="G4" s="277" t="s">
        <v>44</v>
      </c>
      <c r="H4" s="278"/>
      <c r="I4" s="279"/>
      <c r="J4" s="4" t="s">
        <v>11</v>
      </c>
      <c r="K4" s="274" t="s">
        <v>322</v>
      </c>
      <c r="L4" s="275"/>
      <c r="M4" s="275"/>
      <c r="N4" s="275"/>
      <c r="O4" s="27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4" t="s">
        <v>319</v>
      </c>
      <c r="C5" s="275"/>
      <c r="D5" s="275"/>
      <c r="E5" s="275"/>
      <c r="F5" s="276"/>
      <c r="G5" s="27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-4,450 KRW (-0.25%)</v>
      </c>
      <c r="H5" s="271"/>
      <c r="I5" s="272"/>
      <c r="J5" s="4" t="s">
        <v>15</v>
      </c>
      <c r="K5" s="274" t="s">
        <v>323</v>
      </c>
      <c r="L5" s="275"/>
      <c r="M5" s="275"/>
      <c r="N5" s="275"/>
      <c r="O5" s="276"/>
    </row>
    <row r="6" spans="1:19">
      <c r="A6" s="118" t="s">
        <v>18</v>
      </c>
      <c r="B6" s="274"/>
      <c r="C6" s="275"/>
      <c r="D6" s="275"/>
      <c r="E6" s="275"/>
      <c r="F6" s="276"/>
      <c r="G6" s="277" t="s">
        <v>45</v>
      </c>
      <c r="H6" s="278"/>
      <c r="I6" s="279"/>
      <c r="J6" s="4" t="s">
        <v>18</v>
      </c>
      <c r="K6" s="274" t="s">
        <v>324</v>
      </c>
      <c r="L6" s="275"/>
      <c r="M6" s="275"/>
      <c r="N6" s="275"/>
      <c r="O6" s="276"/>
    </row>
    <row r="7" spans="1:19" ht="17.25" thickBot="1">
      <c r="A7" s="118" t="s">
        <v>21</v>
      </c>
      <c r="B7" s="274"/>
      <c r="C7" s="275"/>
      <c r="D7" s="275"/>
      <c r="E7" s="275"/>
      <c r="F7" s="276"/>
      <c r="G7" s="27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-3,377 KRW (-0.17%)</v>
      </c>
      <c r="H7" s="271"/>
      <c r="I7" s="272"/>
      <c r="J7" s="4" t="s">
        <v>21</v>
      </c>
      <c r="K7" s="274" t="s">
        <v>325</v>
      </c>
      <c r="L7" s="275"/>
      <c r="M7" s="275"/>
      <c r="N7" s="275"/>
      <c r="O7" s="276"/>
    </row>
    <row r="8" spans="1:19" ht="17.25" thickBot="1">
      <c r="A8" s="118" t="s">
        <v>24</v>
      </c>
      <c r="B8" s="274"/>
      <c r="C8" s="275"/>
      <c r="D8" s="275"/>
      <c r="E8" s="275"/>
      <c r="F8" s="276"/>
      <c r="G8" s="277" t="s">
        <v>255</v>
      </c>
      <c r="H8" s="278"/>
      <c r="I8" s="279"/>
      <c r="J8" s="4" t="s">
        <v>24</v>
      </c>
      <c r="K8" s="274"/>
      <c r="L8" s="275"/>
      <c r="M8" s="275"/>
      <c r="N8" s="275"/>
      <c r="O8" s="276"/>
      <c r="Q8" s="249" t="s">
        <v>27</v>
      </c>
      <c r="R8" s="251"/>
    </row>
    <row r="9" spans="1:19" ht="17.25" thickBot="1">
      <c r="A9" s="118" t="s">
        <v>28</v>
      </c>
      <c r="B9" s="274"/>
      <c r="C9" s="275"/>
      <c r="D9" s="275"/>
      <c r="E9" s="275"/>
      <c r="F9" s="276"/>
      <c r="G9" s="27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-12,610 KRW (-0.63%)</v>
      </c>
      <c r="H9" s="271"/>
      <c r="I9" s="272"/>
      <c r="J9" s="4" t="s">
        <v>28</v>
      </c>
      <c r="K9" s="274"/>
      <c r="L9" s="275"/>
      <c r="M9" s="275"/>
      <c r="N9" s="275"/>
      <c r="O9" s="276"/>
      <c r="Q9" s="2" t="s">
        <v>29</v>
      </c>
      <c r="R9" s="6">
        <v>10</v>
      </c>
    </row>
    <row r="10" spans="1:19">
      <c r="A10" s="118" t="s">
        <v>30</v>
      </c>
      <c r="B10" s="274"/>
      <c r="C10" s="275"/>
      <c r="D10" s="275"/>
      <c r="E10" s="275"/>
      <c r="F10" s="276"/>
      <c r="G10" s="277" t="s">
        <v>47</v>
      </c>
      <c r="H10" s="278"/>
      <c r="I10" s="279"/>
      <c r="J10" s="4" t="s">
        <v>30</v>
      </c>
      <c r="K10" s="274" t="s">
        <v>326</v>
      </c>
      <c r="L10" s="275"/>
      <c r="M10" s="275"/>
      <c r="N10" s="275"/>
      <c r="O10" s="276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7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1"/>
      <c r="I11" s="272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48"/>
      <c r="R13" s="248"/>
      <c r="S13" s="248"/>
    </row>
    <row r="14" spans="1:19" ht="17.25" customHeight="1" thickBot="1">
      <c r="A14" s="185" t="s">
        <v>35</v>
      </c>
      <c r="B14" s="249" t="s">
        <v>36</v>
      </c>
      <c r="C14" s="251"/>
      <c r="D14" s="249" t="s">
        <v>37</v>
      </c>
      <c r="E14" s="250"/>
      <c r="F14" s="251"/>
      <c r="G14" s="252">
        <f>_xlfn.IFNA(VLOOKUP(B14, 현재가테이블!$B$2:$D$200, 2, FALSE), "-")</f>
        <v>54440000</v>
      </c>
      <c r="H14" s="253"/>
      <c r="I14" s="254"/>
      <c r="J14" s="249" t="s">
        <v>38</v>
      </c>
      <c r="K14" s="250"/>
      <c r="L14" s="251"/>
      <c r="M14" s="255">
        <f>_xlfn.IFNA(VLOOKUP(B14, 현재가테이블!$B$2:$D$200, 3, FALSE), "-")</f>
        <v>1.07123628E-2</v>
      </c>
      <c r="N14" s="256"/>
      <c r="O14" s="257"/>
      <c r="Q14" s="248"/>
      <c r="R14" s="248"/>
      <c r="S14" s="248"/>
    </row>
    <row r="15" spans="1:19" ht="17.25" customHeight="1" thickBot="1">
      <c r="A15" s="286" t="s">
        <v>39</v>
      </c>
      <c r="B15" s="287" t="str">
        <f>TEXT($G$1, "[$-ko-KR]yyyy-mm-dd(ddd) ") &amp; "오전 00:00"</f>
        <v>2021-08-08(일) 오전 00:00</v>
      </c>
      <c r="C15" s="288"/>
      <c r="D15" s="262" t="str">
        <f>TEXT($G$1, "[$-ko-KR]yyyy-mm-dd(ddd) ") &amp; "오후 14:00"</f>
        <v>2021-08-08(일) 오후 14:00</v>
      </c>
      <c r="E15" s="263"/>
      <c r="F15" s="264"/>
      <c r="G15" s="262" t="str">
        <f>TEXT($G$1, "[$-ko-KR]yyyy-mm-dd(ddd) ") &amp; "오후 19:00"</f>
        <v>2021-08-08(일) 오후 19:00</v>
      </c>
      <c r="H15" s="263"/>
      <c r="I15" s="264"/>
      <c r="J15" s="262" t="str">
        <f>TEXT($G$1, "[$-ko-KR]yyyy-mm-dd(ddd) ") &amp; "오후 21:00"</f>
        <v>2021-08-08(일) 오후 21:00</v>
      </c>
      <c r="K15" s="263"/>
      <c r="L15" s="264"/>
      <c r="M15" s="262" t="str">
        <f>TEXT($G$1+1, "[$-ko-KR]yyyy-mm-dd(ddd) ") &amp; "오전 00:00"</f>
        <v>2021-08-09(월) 오전 00:00</v>
      </c>
      <c r="N15" s="263"/>
      <c r="O15" s="264"/>
      <c r="Q15" s="248"/>
      <c r="R15" s="248"/>
      <c r="S15" s="248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8"/>
      <c r="R17" s="248"/>
      <c r="S17" s="24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8"/>
      <c r="R18" s="248"/>
      <c r="S18" s="24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8"/>
      <c r="R19" s="238"/>
      <c r="S19" s="23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8"/>
      <c r="R20" s="238"/>
      <c r="S20" s="23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8"/>
      <c r="R21" s="238"/>
      <c r="S21" s="23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8"/>
      <c r="R22" s="238"/>
      <c r="S22" s="23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8"/>
      <c r="R23" s="238"/>
      <c r="S23" s="23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8"/>
      <c r="R24" s="238"/>
      <c r="S24" s="23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9"/>
      <c r="R26" s="240"/>
      <c r="S26" s="24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2"/>
      <c r="R27" s="243"/>
      <c r="S27" s="24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5"/>
      <c r="R28" s="246"/>
      <c r="S28" s="24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8"/>
      <c r="R29" s="238"/>
      <c r="S29" s="23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8"/>
      <c r="R30" s="248"/>
      <c r="S30" s="24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8"/>
      <c r="R31" s="248"/>
      <c r="S31" s="24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8"/>
      <c r="R32" s="238"/>
      <c r="S32" s="23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7"/>
      <c r="R35" s="228"/>
      <c r="S35" s="22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0"/>
      <c r="R36" s="231"/>
      <c r="S36" s="232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3"/>
      <c r="R37" s="234"/>
      <c r="S37" s="23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48"/>
      <c r="R40" s="248"/>
      <c r="S40" s="248"/>
    </row>
    <row r="41" spans="1:19" ht="17.25" customHeight="1" thickBot="1">
      <c r="A41" s="185" t="s">
        <v>267</v>
      </c>
      <c r="B41" s="249" t="s">
        <v>49</v>
      </c>
      <c r="C41" s="251"/>
      <c r="D41" s="249" t="s">
        <v>58</v>
      </c>
      <c r="E41" s="250"/>
      <c r="F41" s="251"/>
      <c r="G41" s="252">
        <f>_xlfn.IFNA(VLOOKUP(B41, 현재가테이블!$B$2:$D$200, 2, FALSE), "-")</f>
        <v>54440000</v>
      </c>
      <c r="H41" s="253"/>
      <c r="I41" s="254"/>
      <c r="J41" s="249" t="s">
        <v>59</v>
      </c>
      <c r="K41" s="250"/>
      <c r="L41" s="251"/>
      <c r="M41" s="255">
        <f>_xlfn.IFNA(VLOOKUP(B41, 현재가테이블!$B$2:$D$200, 3, FALSE), "-")</f>
        <v>1.07123628E-2</v>
      </c>
      <c r="N41" s="256"/>
      <c r="O41" s="257"/>
      <c r="Q41" s="248"/>
      <c r="R41" s="248"/>
      <c r="S41" s="248"/>
    </row>
    <row r="42" spans="1:19" ht="17.25" customHeight="1" thickBot="1">
      <c r="A42" s="293" t="s">
        <v>55</v>
      </c>
      <c r="B42" s="289" t="str">
        <f>TEXT($G$1, "[$-ko-KR]yyyy-mm-dd(ddd) ") &amp; "오전 00:00"</f>
        <v>2021-08-08(일) 오전 00:00</v>
      </c>
      <c r="C42" s="290"/>
      <c r="D42" s="262" t="str">
        <f>TEXT($G$1, "[$-ko-KR]yyyy-mm-dd(ddd) ") &amp; "오후 14:00"</f>
        <v>2021-08-08(일) 오후 14:00</v>
      </c>
      <c r="E42" s="263"/>
      <c r="F42" s="264"/>
      <c r="G42" s="262" t="str">
        <f>TEXT($G$1, "[$-ko-KR]yyyy-mm-dd(ddd) ") &amp; "오후 19:00"</f>
        <v>2021-08-08(일) 오후 19:00</v>
      </c>
      <c r="H42" s="263"/>
      <c r="I42" s="264"/>
      <c r="J42" s="262" t="str">
        <f>TEXT($G$1, "[$-ko-KR]yyyy-mm-dd(ddd) ") &amp; "오후 21:00"</f>
        <v>2021-08-08(일) 오후 21:00</v>
      </c>
      <c r="K42" s="263"/>
      <c r="L42" s="264"/>
      <c r="M42" s="262" t="str">
        <f>TEXT($G$1+1, "[$-ko-KR]yyyy-mm-dd(ddd) ") &amp; "오전 00:00"</f>
        <v>2021-08-09(월) 오전 00:00</v>
      </c>
      <c r="N42" s="263"/>
      <c r="O42" s="264"/>
      <c r="Q42" s="248"/>
      <c r="R42" s="248"/>
      <c r="S42" s="248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6" t="s">
        <v>58</v>
      </c>
      <c r="H43" s="187" t="s">
        <v>268</v>
      </c>
      <c r="I43" s="18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8"/>
      <c r="R43" s="238"/>
      <c r="S43" s="238"/>
    </row>
    <row r="44" spans="1:19" ht="17.25" customHeight="1" thickBot="1">
      <c r="A44" s="123" t="s">
        <v>208</v>
      </c>
      <c r="B44" s="124">
        <v>13.7</v>
      </c>
      <c r="C44" s="76">
        <v>0.15126050420000001</v>
      </c>
      <c r="D44" s="13">
        <v>13.7</v>
      </c>
      <c r="E44" s="14">
        <f>IF(ISNUMBER(D44), (D44 - $B44) / $B44, "")</f>
        <v>0</v>
      </c>
      <c r="F44" s="16">
        <f>IF(ISNUMBER(D44), $B64 * E44, "")</f>
        <v>0</v>
      </c>
      <c r="G44" s="29">
        <v>13.9</v>
      </c>
      <c r="H44" s="14">
        <f>IF(ISNUMBER(G44), (G44 - $B44) / $B44, "")</f>
        <v>1.4598540145985481E-2</v>
      </c>
      <c r="I44" s="100">
        <f>IF(ISNUMBER(G44), $B64 * H44, "")</f>
        <v>1459.854014598548</v>
      </c>
      <c r="J44" s="13">
        <v>13.9</v>
      </c>
      <c r="K44" s="14">
        <f>IF(ISNUMBER(J44), (J44 - $B44) / $B44, "")</f>
        <v>1.4598540145985481E-2</v>
      </c>
      <c r="L44" s="16">
        <f>IF(ISNUMBER(J44), $B64 * K44, "")</f>
        <v>1459.854014598548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8"/>
      <c r="R44" s="248"/>
      <c r="S44" s="248"/>
    </row>
    <row r="45" spans="1:19" ht="17.25" customHeight="1" thickBot="1">
      <c r="A45" s="125" t="s">
        <v>202</v>
      </c>
      <c r="B45" s="126">
        <v>83.4</v>
      </c>
      <c r="C45" s="77">
        <v>8.7353324600000004E-2</v>
      </c>
      <c r="D45" s="15">
        <v>81.900000000000006</v>
      </c>
      <c r="E45" s="32">
        <f t="shared" ref="E45:E48" si="14">IF(ISNUMBER(D45), (D45 - $B45) / $B45, "")</f>
        <v>-1.7985611510791366E-2</v>
      </c>
      <c r="F45" s="18">
        <f>IF(ISNUMBER(D45), $B64 * E45, "")</f>
        <v>-1798.5611510791366</v>
      </c>
      <c r="G45" s="31">
        <v>81.900000000000006</v>
      </c>
      <c r="H45" s="32">
        <f t="shared" ref="H45:H48" si="15">IF(ISNUMBER(G45), (G45 - $B45) / $B45, "")</f>
        <v>-1.7985611510791366E-2</v>
      </c>
      <c r="I45" s="101">
        <f>IF(ISNUMBER(G45), $B64 * H45, "")</f>
        <v>-1798.5611510791366</v>
      </c>
      <c r="J45" s="15">
        <v>81.5</v>
      </c>
      <c r="K45" s="32">
        <f t="shared" ref="K45:K48" si="16">IF(ISNUMBER(J45), (J45 - $B45) / $B45, "")</f>
        <v>-2.2781774580335798E-2</v>
      </c>
      <c r="L45" s="18">
        <f>IF(ISNUMBER(J45), $B64 * K45, "")</f>
        <v>-2278.1774580335796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8"/>
      <c r="R45" s="248"/>
      <c r="S45" s="248"/>
    </row>
    <row r="46" spans="1:19" ht="17.25" customHeight="1" thickBot="1">
      <c r="A46" s="125" t="s">
        <v>234</v>
      </c>
      <c r="B46" s="126">
        <v>71.8</v>
      </c>
      <c r="C46" s="77">
        <v>4.6647230300000002E-2</v>
      </c>
      <c r="D46" s="15">
        <v>70.3</v>
      </c>
      <c r="E46" s="32">
        <f t="shared" si="14"/>
        <v>-2.0891364902506964E-2</v>
      </c>
      <c r="F46" s="18">
        <f>IF(ISNUMBER(D46), $B64 * E46, "")</f>
        <v>-2089.1364902506966</v>
      </c>
      <c r="G46" s="31">
        <v>70.7</v>
      </c>
      <c r="H46" s="32">
        <f t="shared" si="15"/>
        <v>-1.5320334261838361E-2</v>
      </c>
      <c r="I46" s="101">
        <f>IF(ISNUMBER(G46), $B64 * H46, "")</f>
        <v>-1532.0334261838361</v>
      </c>
      <c r="J46" s="15">
        <v>70.400000000000006</v>
      </c>
      <c r="K46" s="32">
        <f t="shared" si="16"/>
        <v>-1.9498607242339715E-2</v>
      </c>
      <c r="L46" s="18">
        <f>IF(ISNUMBER(J46), $B64 * K46, "")</f>
        <v>-1949.8607242339715</v>
      </c>
      <c r="M46" s="31"/>
      <c r="N46" s="32" t="str">
        <f t="shared" si="17"/>
        <v/>
      </c>
      <c r="O46" s="18" t="str">
        <f>IF(ISNUMBER(M46), $B64 * N46, "")</f>
        <v/>
      </c>
      <c r="Q46" s="238"/>
      <c r="R46" s="238"/>
      <c r="S46" s="238"/>
    </row>
    <row r="47" spans="1:19" ht="17.25" customHeight="1" thickBot="1">
      <c r="A47" s="125" t="s">
        <v>152</v>
      </c>
      <c r="B47" s="126">
        <v>86.1</v>
      </c>
      <c r="C47" s="77">
        <v>3.9855072499999998E-2</v>
      </c>
      <c r="D47" s="15">
        <v>84.7</v>
      </c>
      <c r="E47" s="32">
        <f t="shared" si="14"/>
        <v>-1.6260162601625917E-2</v>
      </c>
      <c r="F47" s="18">
        <f>IF(ISNUMBER(D47), $B64 * E47, "")</f>
        <v>-1626.0162601625918</v>
      </c>
      <c r="G47" s="31">
        <v>85.8</v>
      </c>
      <c r="H47" s="32">
        <f t="shared" si="15"/>
        <v>-3.4843205574912562E-3</v>
      </c>
      <c r="I47" s="101">
        <f>IF(ISNUMBER(G47), $B64 * H47, "")</f>
        <v>-348.4320557491256</v>
      </c>
      <c r="J47" s="15">
        <v>85.9</v>
      </c>
      <c r="K47" s="32">
        <f t="shared" si="16"/>
        <v>-2.3228803716607276E-3</v>
      </c>
      <c r="L47" s="18">
        <f>IF(ISNUMBER(J47), $B64 * K47, "")</f>
        <v>-232.28803716607277</v>
      </c>
      <c r="M47" s="31"/>
      <c r="N47" s="32" t="str">
        <f t="shared" si="17"/>
        <v/>
      </c>
      <c r="O47" s="18" t="str">
        <f>IF(ISNUMBER(M47), $B64 * N47, "")</f>
        <v/>
      </c>
      <c r="Q47" s="238"/>
      <c r="R47" s="238"/>
      <c r="S47" s="238"/>
    </row>
    <row r="48" spans="1:19" ht="17.25" customHeight="1" thickBot="1">
      <c r="A48" s="127" t="s">
        <v>250</v>
      </c>
      <c r="B48" s="128">
        <v>69.5</v>
      </c>
      <c r="C48" s="78">
        <v>3.2689450199999998E-2</v>
      </c>
      <c r="D48" s="20">
        <v>67.7</v>
      </c>
      <c r="E48" s="21">
        <f t="shared" si="14"/>
        <v>-2.5899280575539526E-2</v>
      </c>
      <c r="F48" s="22">
        <f>IF(ISNUMBER(D48), $B64 * E48, "")</f>
        <v>-2589.9280575539524</v>
      </c>
      <c r="G48" s="30">
        <v>68.400000000000006</v>
      </c>
      <c r="H48" s="21">
        <f t="shared" si="15"/>
        <v>-1.582733812949632E-2</v>
      </c>
      <c r="I48" s="105">
        <f>IF(ISNUMBER(G48), $B64 * H48, "")</f>
        <v>-1582.733812949632</v>
      </c>
      <c r="J48" s="20">
        <v>68.099999999999994</v>
      </c>
      <c r="K48" s="21">
        <f t="shared" si="16"/>
        <v>-2.0143884892086412E-2</v>
      </c>
      <c r="L48" s="22">
        <f>IF(ISNUMBER(J48), $B64 * K48, "")</f>
        <v>-2014.3884892086412</v>
      </c>
      <c r="M48" s="30"/>
      <c r="N48" s="21" t="str">
        <f t="shared" si="17"/>
        <v/>
      </c>
      <c r="O48" s="22" t="str">
        <f>IF(ISNUMBER(M48), $B64 * N48, "")</f>
        <v/>
      </c>
      <c r="Q48" s="238"/>
      <c r="R48" s="238"/>
      <c r="S48" s="238"/>
    </row>
    <row r="49" spans="1:19" ht="17.25" customHeight="1" thickBot="1">
      <c r="A49" s="125" t="s">
        <v>204</v>
      </c>
      <c r="B49" s="129">
        <v>14.2</v>
      </c>
      <c r="C49" s="80">
        <v>2.15827338E-2</v>
      </c>
      <c r="D49" s="106">
        <v>13.9</v>
      </c>
      <c r="E49" s="107">
        <f>IF(ISNUMBER(D49), (D49 - $B49) / $B49, "")</f>
        <v>-2.1126760563380208E-2</v>
      </c>
      <c r="F49" s="108">
        <f>IF(ISNUMBER(D49), $B64 * E49, "")</f>
        <v>-2112.6760563380208</v>
      </c>
      <c r="G49" s="109">
        <v>14</v>
      </c>
      <c r="H49" s="107">
        <f>IF(ISNUMBER(G49), (G49 - $B49) / $B49, "")</f>
        <v>-1.4084507042253471E-2</v>
      </c>
      <c r="I49" s="110">
        <f>IF(ISNUMBER(G49), $B64 * H49, "")</f>
        <v>-1408.4507042253472</v>
      </c>
      <c r="J49" s="106">
        <v>13.9</v>
      </c>
      <c r="K49" s="107">
        <f>IF(ISNUMBER(J49), (J49 - $B49) / $B49, "")</f>
        <v>-2.1126760563380208E-2</v>
      </c>
      <c r="L49" s="108">
        <f>IF(ISNUMBER(J49), $B64 * K49, "")</f>
        <v>-2112.6760563380208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8"/>
      <c r="R49" s="238"/>
      <c r="S49" s="238"/>
    </row>
    <row r="50" spans="1:19" ht="17.25" customHeight="1" thickBot="1">
      <c r="A50" s="125" t="s">
        <v>216</v>
      </c>
      <c r="B50" s="126">
        <v>10.5</v>
      </c>
      <c r="C50" s="77">
        <v>1.9417475699999999E-2</v>
      </c>
      <c r="D50" s="15">
        <v>10.6</v>
      </c>
      <c r="E50" s="32">
        <f t="shared" ref="E50:E53" si="18">IF(ISNUMBER(D50), (D50 - $B50) / $B50, "")</f>
        <v>9.52380952380949E-3</v>
      </c>
      <c r="F50" s="18">
        <f>IF(ISNUMBER(D50), $B64 * E50, "")</f>
        <v>952.380952380949</v>
      </c>
      <c r="G50" s="31">
        <v>10.8</v>
      </c>
      <c r="H50" s="32">
        <f t="shared" ref="H50:H53" si="19">IF(ISNUMBER(G50), (G50 - $B50) / $B50, "")</f>
        <v>2.857142857142864E-2</v>
      </c>
      <c r="I50" s="101">
        <f>IF(ISNUMBER(G50), $B64 * H50, "")</f>
        <v>2857.1428571428642</v>
      </c>
      <c r="J50" s="15">
        <v>10.8</v>
      </c>
      <c r="K50" s="32">
        <f t="shared" ref="K50:K53" si="20">IF(ISNUMBER(J50), (J50 - $B50) / $B50, "")</f>
        <v>2.857142857142864E-2</v>
      </c>
      <c r="L50" s="18">
        <f>IF(ISNUMBER(J50), $B64 * K50, "")</f>
        <v>2857.1428571428642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8"/>
      <c r="R50" s="238"/>
      <c r="S50" s="238"/>
    </row>
    <row r="51" spans="1:19" ht="17.25" customHeight="1" thickBot="1">
      <c r="A51" s="125" t="s">
        <v>190</v>
      </c>
      <c r="B51" s="126">
        <v>17.399999999999999</v>
      </c>
      <c r="C51" s="77">
        <v>1.75438596E-2</v>
      </c>
      <c r="D51" s="15">
        <v>17.3</v>
      </c>
      <c r="E51" s="32">
        <f t="shared" si="18"/>
        <v>-5.7471264367814868E-3</v>
      </c>
      <c r="F51" s="18">
        <f>IF(ISNUMBER(D51), $B64 * E51, "")</f>
        <v>-574.71264367814865</v>
      </c>
      <c r="G51" s="31">
        <v>17.399999999999999</v>
      </c>
      <c r="H51" s="32">
        <f t="shared" si="19"/>
        <v>0</v>
      </c>
      <c r="I51" s="101">
        <f>IF(ISNUMBER(G51), $B64 * H51, "")</f>
        <v>0</v>
      </c>
      <c r="J51" s="15">
        <v>17.3</v>
      </c>
      <c r="K51" s="32">
        <f t="shared" si="20"/>
        <v>-5.7471264367814868E-3</v>
      </c>
      <c r="L51" s="18">
        <f>IF(ISNUMBER(J51), $B64 * K51, "")</f>
        <v>-574.71264367814865</v>
      </c>
      <c r="M51" s="31"/>
      <c r="N51" s="32" t="str">
        <f t="shared" si="21"/>
        <v/>
      </c>
      <c r="O51" s="18" t="str">
        <f>IF(ISNUMBER(M51), $B64 * N51, "")</f>
        <v/>
      </c>
      <c r="Q51" s="238"/>
      <c r="R51" s="238"/>
      <c r="S51" s="238"/>
    </row>
    <row r="52" spans="1:19" ht="17.25" customHeight="1" thickBot="1">
      <c r="A52" s="125" t="s">
        <v>210</v>
      </c>
      <c r="B52" s="126">
        <v>11.7</v>
      </c>
      <c r="C52" s="77">
        <v>1.73913043E-2</v>
      </c>
      <c r="D52" s="15">
        <v>11.5</v>
      </c>
      <c r="E52" s="32">
        <f t="shared" si="18"/>
        <v>-1.7094017094017033E-2</v>
      </c>
      <c r="F52" s="18">
        <f>IF(ISNUMBER(D52), $B64 * E52, "")</f>
        <v>-1709.4017094017033</v>
      </c>
      <c r="G52" s="31">
        <v>11.7</v>
      </c>
      <c r="H52" s="32">
        <f t="shared" si="19"/>
        <v>0</v>
      </c>
      <c r="I52" s="101">
        <f>IF(ISNUMBER(G52), $B64 * H52, "")</f>
        <v>0</v>
      </c>
      <c r="J52" s="15">
        <v>11.7</v>
      </c>
      <c r="K52" s="32">
        <f t="shared" si="20"/>
        <v>0</v>
      </c>
      <c r="L52" s="18">
        <f>IF(ISNUMBER(J52), $B64 * K52, "")</f>
        <v>0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188</v>
      </c>
      <c r="B53" s="131">
        <v>12.6</v>
      </c>
      <c r="C53" s="79">
        <v>1.6129032299999999E-2</v>
      </c>
      <c r="D53" s="24">
        <v>12.1</v>
      </c>
      <c r="E53" s="25">
        <f t="shared" si="18"/>
        <v>-3.968253968253968E-2</v>
      </c>
      <c r="F53" s="104">
        <f>IF(ISNUMBER(D53), $B64 * E53, "")</f>
        <v>-3968.2539682539682</v>
      </c>
      <c r="G53" s="102">
        <v>12.2</v>
      </c>
      <c r="H53" s="25">
        <f t="shared" si="19"/>
        <v>-3.1746031746031772E-2</v>
      </c>
      <c r="I53" s="103">
        <f>IF(ISNUMBER(G53), $B64 * H53, "")</f>
        <v>-3174.6031746031772</v>
      </c>
      <c r="J53" s="24">
        <v>12.2</v>
      </c>
      <c r="K53" s="25">
        <f t="shared" si="20"/>
        <v>-3.1746031746031772E-2</v>
      </c>
      <c r="L53" s="104">
        <f>IF(ISNUMBER(J53), $B64 * K53, "")</f>
        <v>-3174.6031746031772</v>
      </c>
      <c r="M53" s="102"/>
      <c r="N53" s="25" t="str">
        <f t="shared" si="21"/>
        <v/>
      </c>
      <c r="O53" s="104" t="str">
        <f>IF(ISNUMBER(M53), $B64 * N53, "")</f>
        <v/>
      </c>
      <c r="Q53" s="239"/>
      <c r="R53" s="240"/>
      <c r="S53" s="241"/>
    </row>
    <row r="54" spans="1:19" ht="17.25" customHeight="1">
      <c r="A54" s="123" t="s">
        <v>65</v>
      </c>
      <c r="B54" s="124">
        <v>32.5</v>
      </c>
      <c r="C54" s="76">
        <v>1.2461059199999999E-2</v>
      </c>
      <c r="D54" s="13">
        <v>32.200000000000003</v>
      </c>
      <c r="E54" s="14">
        <f>IF(ISNUMBER(D54), (D54 - $B54) / $B54, "")</f>
        <v>-9.2307692307691432E-3</v>
      </c>
      <c r="F54" s="16">
        <f>IF(ISNUMBER(D54), $B64 * E54, "")</f>
        <v>-923.07692307691434</v>
      </c>
      <c r="G54" s="29">
        <v>32.1</v>
      </c>
      <c r="H54" s="14">
        <f>IF(ISNUMBER(G54), (G54 - $B54) / $B54, "")</f>
        <v>-1.2307692307692264E-2</v>
      </c>
      <c r="I54" s="100">
        <f>IF(ISNUMBER(G54), $B64 * H54, "")</f>
        <v>-1230.7692307692264</v>
      </c>
      <c r="J54" s="13">
        <v>32.1</v>
      </c>
      <c r="K54" s="14">
        <f>IF(ISNUMBER(J54), (J54 - $B54) / $B54, "")</f>
        <v>-1.2307692307692264E-2</v>
      </c>
      <c r="L54" s="16">
        <f>IF(ISNUMBER(J54), $B64 * K54, "")</f>
        <v>-1230.7692307692264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2"/>
      <c r="R54" s="243"/>
      <c r="S54" s="244"/>
    </row>
    <row r="55" spans="1:19" ht="17.25" customHeight="1" thickBot="1">
      <c r="A55" s="125" t="s">
        <v>178</v>
      </c>
      <c r="B55" s="126">
        <v>17</v>
      </c>
      <c r="C55" s="77">
        <v>1.19047619E-2</v>
      </c>
      <c r="D55" s="15">
        <v>17.100000000000001</v>
      </c>
      <c r="E55" s="32">
        <f t="shared" ref="E55:E58" si="22">IF(ISNUMBER(D55), (D55 - $B55) / $B55, "")</f>
        <v>5.8823529411765538E-3</v>
      </c>
      <c r="F55" s="18">
        <f>IF(ISNUMBER(D55), $B64 * E55, "")</f>
        <v>588.23529411765537</v>
      </c>
      <c r="G55" s="31">
        <v>17.399999999999999</v>
      </c>
      <c r="H55" s="32">
        <f t="shared" ref="H55:H58" si="23">IF(ISNUMBER(G55), (G55 - $B55) / $B55, "")</f>
        <v>2.3529411764705799E-2</v>
      </c>
      <c r="I55" s="101">
        <f>IF(ISNUMBER(G55), $B64 * H55, "")</f>
        <v>2352.9411764705801</v>
      </c>
      <c r="J55" s="15">
        <v>17.3</v>
      </c>
      <c r="K55" s="32">
        <f t="shared" ref="K55:K58" si="24">IF(ISNUMBER(J55), (J55 - $B55) / $B55, "")</f>
        <v>1.7647058823529453E-2</v>
      </c>
      <c r="L55" s="18">
        <f>IF(ISNUMBER(J55), $B64 * K55, "")</f>
        <v>1764.7058823529453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5"/>
      <c r="R55" s="246"/>
      <c r="S55" s="247"/>
    </row>
    <row r="56" spans="1:19" ht="17.25" customHeight="1" thickBot="1">
      <c r="A56" s="125" t="s">
        <v>72</v>
      </c>
      <c r="B56" s="126">
        <v>22.3</v>
      </c>
      <c r="C56" s="77">
        <v>9.0497738000000008E-3</v>
      </c>
      <c r="D56" s="15">
        <v>22.2</v>
      </c>
      <c r="E56" s="32">
        <f t="shared" si="22"/>
        <v>-4.4843049327354893E-3</v>
      </c>
      <c r="F56" s="18">
        <f>IF(ISNUMBER(D56), $B64 * E56, "")</f>
        <v>-448.4304932735489</v>
      </c>
      <c r="G56" s="31">
        <v>22.4</v>
      </c>
      <c r="H56" s="32">
        <f t="shared" si="23"/>
        <v>4.4843049327353305E-3</v>
      </c>
      <c r="I56" s="101">
        <f>IF(ISNUMBER(G56), $B64 * H56, "")</f>
        <v>448.43049327353305</v>
      </c>
      <c r="J56" s="15">
        <v>22.2</v>
      </c>
      <c r="K56" s="32">
        <f t="shared" si="24"/>
        <v>-4.4843049327354893E-3</v>
      </c>
      <c r="L56" s="18">
        <f>IF(ISNUMBER(J56), $B64 * K56, "")</f>
        <v>-448.4304932735489</v>
      </c>
      <c r="M56" s="31"/>
      <c r="N56" s="32" t="str">
        <f t="shared" si="25"/>
        <v/>
      </c>
      <c r="O56" s="18" t="str">
        <f>IF(ISNUMBER(M56), $B64 * N56, "")</f>
        <v/>
      </c>
      <c r="Q56" s="238"/>
      <c r="R56" s="238"/>
      <c r="S56" s="238"/>
    </row>
    <row r="57" spans="1:19" ht="17.25" customHeight="1" thickBot="1">
      <c r="A57" s="125" t="s">
        <v>148</v>
      </c>
      <c r="B57" s="126">
        <v>19.8</v>
      </c>
      <c r="C57" s="77">
        <v>5.0761421000000001E-3</v>
      </c>
      <c r="D57" s="15">
        <v>19.399999999999999</v>
      </c>
      <c r="E57" s="32">
        <f t="shared" si="22"/>
        <v>-2.0202020202020308E-2</v>
      </c>
      <c r="F57" s="18">
        <f>IF(ISNUMBER(D57), $B64 * E57, "")</f>
        <v>-2020.2020202020308</v>
      </c>
      <c r="G57" s="31">
        <v>19.600000000000001</v>
      </c>
      <c r="H57" s="32">
        <f t="shared" si="23"/>
        <v>-1.0101010101010065E-2</v>
      </c>
      <c r="I57" s="101">
        <f>IF(ISNUMBER(G57), $B64 * H57, "")</f>
        <v>-1010.1010101010065</v>
      </c>
      <c r="J57" s="15">
        <v>19.5</v>
      </c>
      <c r="K57" s="32">
        <f t="shared" si="24"/>
        <v>-1.5151515151515187E-2</v>
      </c>
      <c r="L57" s="18">
        <f>IF(ISNUMBER(J57), $B64 * K57, "")</f>
        <v>-1515.1515151515187</v>
      </c>
      <c r="M57" s="31"/>
      <c r="N57" s="32" t="str">
        <f t="shared" si="25"/>
        <v/>
      </c>
      <c r="O57" s="18" t="str">
        <f>IF(ISNUMBER(M57), $B64 * N57, "")</f>
        <v/>
      </c>
      <c r="Q57" s="248"/>
      <c r="R57" s="248"/>
      <c r="S57" s="248"/>
    </row>
    <row r="58" spans="1:19" ht="17.25" customHeight="1" thickBot="1">
      <c r="A58" s="127" t="s">
        <v>98</v>
      </c>
      <c r="B58" s="128">
        <v>4.43</v>
      </c>
      <c r="C58" s="78">
        <v>2.2624434E-3</v>
      </c>
      <c r="D58" s="20">
        <v>4.28</v>
      </c>
      <c r="E58" s="21">
        <f t="shared" si="22"/>
        <v>-3.3860045146726747E-2</v>
      </c>
      <c r="F58" s="22">
        <f>IF(ISNUMBER(D58), $B64 * E58, "")</f>
        <v>-3386.0045146726748</v>
      </c>
      <c r="G58" s="30">
        <v>4.4800000000000004</v>
      </c>
      <c r="H58" s="21">
        <f t="shared" si="23"/>
        <v>1.1286681715575782E-2</v>
      </c>
      <c r="I58" s="105">
        <f>IF(ISNUMBER(G58), $B64 * H58, "")</f>
        <v>1128.6681715575783</v>
      </c>
      <c r="J58" s="20">
        <v>4.45</v>
      </c>
      <c r="K58" s="21">
        <f t="shared" si="24"/>
        <v>4.5146726862303529E-3</v>
      </c>
      <c r="L58" s="22">
        <f>IF(ISNUMBER(J58), $B64 * K58, "")</f>
        <v>451.4672686230353</v>
      </c>
      <c r="M58" s="30"/>
      <c r="N58" s="21" t="str">
        <f t="shared" si="25"/>
        <v/>
      </c>
      <c r="O58" s="22" t="str">
        <f>IF(ISNUMBER(M58), $B64 * N58, "")</f>
        <v/>
      </c>
      <c r="Q58" s="248"/>
      <c r="R58" s="248"/>
      <c r="S58" s="248"/>
    </row>
    <row r="59" spans="1:19" ht="17.25" customHeight="1" thickBot="1">
      <c r="A59" s="125" t="s">
        <v>240</v>
      </c>
      <c r="B59" s="129">
        <v>64.099999999999994</v>
      </c>
      <c r="C59" s="80">
        <v>0</v>
      </c>
      <c r="D59" s="106">
        <v>66.099999999999994</v>
      </c>
      <c r="E59" s="107">
        <f>IF(ISNUMBER(D59), (D59 - $B59) / $B59, "")</f>
        <v>3.1201248049921998E-2</v>
      </c>
      <c r="F59" s="108">
        <f>IF(ISNUMBER(D59), $B64 * E59, "")</f>
        <v>3120.1248049921996</v>
      </c>
      <c r="G59" s="109">
        <v>65.8</v>
      </c>
      <c r="H59" s="107">
        <f>IF(ISNUMBER(G59), (G59 - $B59) / $B59, "")</f>
        <v>2.6521060842433743E-2</v>
      </c>
      <c r="I59" s="110">
        <f>IF(ISNUMBER(G59), $B64 * H59, "")</f>
        <v>2652.1060842433744</v>
      </c>
      <c r="J59" s="106">
        <v>65.400000000000006</v>
      </c>
      <c r="K59" s="107">
        <f>IF(ISNUMBER(J59), (J59 - $B59) / $B59, "")</f>
        <v>2.0280811232449476E-2</v>
      </c>
      <c r="L59" s="108">
        <f>IF(ISNUMBER(J59), $B64 * K59, "")</f>
        <v>2028.0811232449475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8"/>
      <c r="R59" s="238"/>
      <c r="S59" s="238"/>
    </row>
    <row r="60" spans="1:19" ht="17.25" customHeight="1" thickBot="1">
      <c r="A60" s="125" t="s">
        <v>122</v>
      </c>
      <c r="B60" s="126">
        <v>29</v>
      </c>
      <c r="C60" s="77">
        <v>0</v>
      </c>
      <c r="D60" s="15">
        <v>30.6</v>
      </c>
      <c r="E60" s="32">
        <f t="shared" ref="E60:E63" si="26">IF(ISNUMBER(D60), (D60 - $B60) / $B60, "")</f>
        <v>5.5172413793103496E-2</v>
      </c>
      <c r="F60" s="18">
        <f>IF(ISNUMBER(D60), $B64 * E60, "")</f>
        <v>5517.2413793103497</v>
      </c>
      <c r="G60" s="31">
        <v>31.3</v>
      </c>
      <c r="H60" s="32">
        <f t="shared" ref="H60:H63" si="27">IF(ISNUMBER(G60), (G60 - $B60) / $B60, "")</f>
        <v>7.9310344827586227E-2</v>
      </c>
      <c r="I60" s="101">
        <f>IF(ISNUMBER(G60), $B64 * H60, "")</f>
        <v>7931.0344827586223</v>
      </c>
      <c r="J60" s="15">
        <v>30.4</v>
      </c>
      <c r="K60" s="32">
        <f t="shared" ref="K60:K63" si="28">IF(ISNUMBER(J60), (J60 - $B60) / $B60, "")</f>
        <v>4.8275862068965468E-2</v>
      </c>
      <c r="L60" s="18">
        <f>IF(ISNUMBER(J60), $B64 * K60, "")</f>
        <v>4827.5862068965471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8"/>
      <c r="R60" s="238"/>
      <c r="S60" s="238"/>
    </row>
    <row r="61" spans="1:19" ht="17.25" customHeight="1" thickBot="1">
      <c r="A61" s="125" t="s">
        <v>150</v>
      </c>
      <c r="B61" s="126">
        <v>13</v>
      </c>
      <c r="C61" s="77">
        <v>-7.6335878000000001E-3</v>
      </c>
      <c r="D61" s="15">
        <v>12.6</v>
      </c>
      <c r="E61" s="32">
        <f t="shared" si="26"/>
        <v>-3.0769230769230795E-2</v>
      </c>
      <c r="F61" s="18">
        <f>IF(ISNUMBER(D61), $B64 * E61, "")</f>
        <v>-3076.9230769230794</v>
      </c>
      <c r="G61" s="31">
        <v>12.7</v>
      </c>
      <c r="H61" s="32">
        <f t="shared" si="27"/>
        <v>-2.307692307692313E-2</v>
      </c>
      <c r="I61" s="101">
        <f>IF(ISNUMBER(G61), $B64 * H61, "")</f>
        <v>-2307.6923076923131</v>
      </c>
      <c r="J61" s="15">
        <v>12.7</v>
      </c>
      <c r="K61" s="32">
        <f t="shared" si="28"/>
        <v>-2.307692307692313E-2</v>
      </c>
      <c r="L61" s="18">
        <f>IF(ISNUMBER(J61), $B64 * K61, "")</f>
        <v>-2307.6923076923131</v>
      </c>
      <c r="M61" s="31"/>
      <c r="N61" s="32" t="str">
        <f t="shared" si="29"/>
        <v/>
      </c>
      <c r="O61" s="18" t="str">
        <f>IF(ISNUMBER(M61), $B64 * N61, "")</f>
        <v/>
      </c>
      <c r="Q61" s="238"/>
      <c r="R61" s="238"/>
      <c r="S61" s="238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7"/>
      <c r="R62" s="228"/>
      <c r="S62" s="22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0"/>
      <c r="R63" s="231"/>
      <c r="S63" s="232"/>
    </row>
    <row r="64" spans="1:19" ht="17.25" customHeight="1" thickBot="1">
      <c r="A64" s="132" t="s">
        <v>270</v>
      </c>
      <c r="B64" s="291">
        <f>$B$37</f>
        <v>100000</v>
      </c>
      <c r="C64" s="292"/>
      <c r="D64" s="26" t="s">
        <v>271</v>
      </c>
      <c r="E64" s="27">
        <f>IF(COUNT(E44:E63), SUM(E44:E63) / COUNT(E44:E63), 0)</f>
        <v>-8.969633852258508E-3</v>
      </c>
      <c r="F64" s="28">
        <f>SUM(F44:F63)</f>
        <v>-16145.340934065312</v>
      </c>
      <c r="G64" s="26" t="s">
        <v>271</v>
      </c>
      <c r="H64" s="27">
        <f>IF(COUNT(H44:H63), SUM(H44:H63) / COUNT(H44:H63), 0)</f>
        <v>2.4648891148290547E-3</v>
      </c>
      <c r="I64" s="28">
        <f>SUM(I44:I63)</f>
        <v>4436.8004066922995</v>
      </c>
      <c r="J64" s="26" t="s">
        <v>271</v>
      </c>
      <c r="K64" s="27">
        <f>IF(COUNT(K44:K63), SUM(K44:K63) / COUNT(K44:K63), 0)</f>
        <v>-2.4721737651607414E-3</v>
      </c>
      <c r="L64" s="28">
        <f>SUM(L44:L63)</f>
        <v>-4449.9127772893316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33"/>
      <c r="R64" s="234"/>
      <c r="S64" s="23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48"/>
      <c r="R67" s="248"/>
      <c r="S67" s="248"/>
    </row>
    <row r="68" spans="1:19" ht="17.25" thickBot="1">
      <c r="A68" s="185" t="s">
        <v>267</v>
      </c>
      <c r="B68" s="249" t="s">
        <v>49</v>
      </c>
      <c r="C68" s="251"/>
      <c r="D68" s="249" t="s">
        <v>58</v>
      </c>
      <c r="E68" s="250"/>
      <c r="F68" s="251"/>
      <c r="G68" s="252">
        <f>_xlfn.IFNA(VLOOKUP(B68, 현재가테이블!$B$2:$D$200, 2, FALSE), "-")</f>
        <v>54440000</v>
      </c>
      <c r="H68" s="253"/>
      <c r="I68" s="254"/>
      <c r="J68" s="249" t="s">
        <v>59</v>
      </c>
      <c r="K68" s="250"/>
      <c r="L68" s="251"/>
      <c r="M68" s="255">
        <f>_xlfn.IFNA(VLOOKUP(B68, 현재가테이블!$B$2:$D$200, 3, FALSE), "-")</f>
        <v>1.07123628E-2</v>
      </c>
      <c r="N68" s="256"/>
      <c r="O68" s="257"/>
      <c r="Q68" s="248"/>
      <c r="R68" s="248"/>
      <c r="S68" s="248"/>
    </row>
    <row r="69" spans="1:19" ht="17.25" thickBot="1">
      <c r="A69" s="293" t="s">
        <v>55</v>
      </c>
      <c r="B69" s="289" t="str">
        <f>TEXT($G$1, "[$-ko-KR]yyyy-mm-dd(ddd) ") &amp; "오전 00:00"</f>
        <v>2021-08-08(일) 오전 00:00</v>
      </c>
      <c r="C69" s="290"/>
      <c r="D69" s="262" t="str">
        <f>TEXT($G$1, "[$-ko-KR]yyyy-mm-dd(ddd) ") &amp; "오후 14:00"</f>
        <v>2021-08-08(일) 오후 14:00</v>
      </c>
      <c r="E69" s="263"/>
      <c r="F69" s="264"/>
      <c r="G69" s="262" t="str">
        <f>TEXT($G$1, "[$-ko-KR]yyyy-mm-dd(ddd) ") &amp; "오후 19:00"</f>
        <v>2021-08-08(일) 오후 19:00</v>
      </c>
      <c r="H69" s="263"/>
      <c r="I69" s="264"/>
      <c r="J69" s="262" t="str">
        <f>TEXT($G$1, "[$-ko-KR]yyyy-mm-dd(ddd) ") &amp; "오후 21:00"</f>
        <v>2021-08-08(일) 오후 21:00</v>
      </c>
      <c r="K69" s="263"/>
      <c r="L69" s="264"/>
      <c r="M69" s="262" t="str">
        <f>TEXT($G$1+1, "[$-ko-KR]yyyy-mm-dd(ddd) ") &amp; "오전 00:00"</f>
        <v>2021-08-09(월) 오전 00:00</v>
      </c>
      <c r="N69" s="263"/>
      <c r="O69" s="264"/>
      <c r="Q69" s="248"/>
      <c r="R69" s="248"/>
      <c r="S69" s="248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6" t="s">
        <v>58</v>
      </c>
      <c r="H70" s="187" t="s">
        <v>268</v>
      </c>
      <c r="I70" s="18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8"/>
      <c r="R70" s="238"/>
      <c r="S70" s="238"/>
    </row>
    <row r="71" spans="1:19" ht="17.25" thickBot="1">
      <c r="A71" s="123" t="s">
        <v>110</v>
      </c>
      <c r="B71" s="124">
        <v>191</v>
      </c>
      <c r="C71" s="76">
        <v>0.17901234569999999</v>
      </c>
      <c r="D71" s="13">
        <v>174</v>
      </c>
      <c r="E71" s="14">
        <f>IF(ISNUMBER(D71), (D71 - $B71) / $B71, "")</f>
        <v>-8.9005235602094238E-2</v>
      </c>
      <c r="F71" s="16">
        <f>IF(ISNUMBER(D71), $B91 * E71, "")</f>
        <v>-8900.5235602094235</v>
      </c>
      <c r="G71" s="29">
        <v>186</v>
      </c>
      <c r="H71" s="14">
        <f>IF(ISNUMBER(G71), (G71 - $B71) / $B71, "")</f>
        <v>-2.6178010471204188E-2</v>
      </c>
      <c r="I71" s="100">
        <f>IF(ISNUMBER(G71), $B91 * H71, "")</f>
        <v>-2617.8010471204188</v>
      </c>
      <c r="J71" s="13">
        <v>192</v>
      </c>
      <c r="K71" s="14">
        <f>IF(ISNUMBER(J71), (J71 - $B71) / $B71, "")</f>
        <v>5.235602094240838E-3</v>
      </c>
      <c r="L71" s="16">
        <f>IF(ISNUMBER(J71), $B91 * K71, "")</f>
        <v>523.56020942408384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8"/>
      <c r="R71" s="248"/>
      <c r="S71" s="248"/>
    </row>
    <row r="72" spans="1:19" ht="17.25" thickBot="1">
      <c r="A72" s="125" t="s">
        <v>266</v>
      </c>
      <c r="B72" s="126">
        <v>278</v>
      </c>
      <c r="C72" s="77">
        <v>0.17796610169999999</v>
      </c>
      <c r="D72" s="15">
        <v>295</v>
      </c>
      <c r="E72" s="32">
        <f t="shared" ref="E72:E75" si="30">IF(ISNUMBER(D72), (D72 - $B72) / $B72, "")</f>
        <v>6.1151079136690649E-2</v>
      </c>
      <c r="F72" s="18">
        <f>IF(ISNUMBER(D72), $B91 * E72, "")</f>
        <v>6115.1079136690651</v>
      </c>
      <c r="G72" s="31">
        <v>303</v>
      </c>
      <c r="H72" s="32">
        <f t="shared" ref="H72:H75" si="31">IF(ISNUMBER(G72), (G72 - $B72) / $B72, "")</f>
        <v>8.9928057553956831E-2</v>
      </c>
      <c r="I72" s="101">
        <f>IF(ISNUMBER(G72), $B91 * H72, "")</f>
        <v>8992.8057553956824</v>
      </c>
      <c r="J72" s="15">
        <v>299</v>
      </c>
      <c r="K72" s="32">
        <f t="shared" ref="K72:K75" si="32">IF(ISNUMBER(J72), (J72 - $B72) / $B72, "")</f>
        <v>7.5539568345323743E-2</v>
      </c>
      <c r="L72" s="18">
        <f>IF(ISNUMBER(J72), $B91 * K72, "")</f>
        <v>7553.9568345323742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8"/>
      <c r="R72" s="248"/>
      <c r="S72" s="248"/>
    </row>
    <row r="73" spans="1:19" ht="17.25" thickBot="1">
      <c r="A73" s="125" t="s">
        <v>128</v>
      </c>
      <c r="B73" s="126">
        <v>121</v>
      </c>
      <c r="C73" s="77">
        <v>9.0090090100000006E-2</v>
      </c>
      <c r="D73" s="15">
        <v>121</v>
      </c>
      <c r="E73" s="32">
        <f t="shared" si="30"/>
        <v>0</v>
      </c>
      <c r="F73" s="18">
        <f>IF(ISNUMBER(D73), $B91 * E73, "")</f>
        <v>0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121</v>
      </c>
      <c r="K73" s="32">
        <f t="shared" si="32"/>
        <v>0</v>
      </c>
      <c r="L73" s="18">
        <f>IF(ISNUMBER(J73), $B91 * K73, "")</f>
        <v>0</v>
      </c>
      <c r="M73" s="31"/>
      <c r="N73" s="32" t="str">
        <f t="shared" si="33"/>
        <v/>
      </c>
      <c r="O73" s="18" t="str">
        <f>IF(ISNUMBER(M73), $B91 * N73, "")</f>
        <v/>
      </c>
      <c r="Q73" s="238"/>
      <c r="R73" s="238"/>
      <c r="S73" s="238"/>
    </row>
    <row r="74" spans="1:19" ht="17.25" thickBot="1">
      <c r="A74" s="125" t="s">
        <v>162</v>
      </c>
      <c r="B74" s="126">
        <v>103</v>
      </c>
      <c r="C74" s="77">
        <v>7.0686070700000006E-2</v>
      </c>
      <c r="D74" s="15">
        <v>101</v>
      </c>
      <c r="E74" s="32">
        <f t="shared" si="30"/>
        <v>-1.9417475728155338E-2</v>
      </c>
      <c r="F74" s="18">
        <f>IF(ISNUMBER(D74), $B91 * E74, "")</f>
        <v>-1941.7475728155339</v>
      </c>
      <c r="G74" s="31">
        <v>101</v>
      </c>
      <c r="H74" s="32">
        <f t="shared" si="31"/>
        <v>-1.9417475728155338E-2</v>
      </c>
      <c r="I74" s="101">
        <f>IF(ISNUMBER(G74), $B91 * H74, "")</f>
        <v>-1941.7475728155339</v>
      </c>
      <c r="J74" s="15">
        <v>101</v>
      </c>
      <c r="K74" s="32">
        <f t="shared" si="32"/>
        <v>-1.9417475728155338E-2</v>
      </c>
      <c r="L74" s="18">
        <f>IF(ISNUMBER(J74), $B91 * K74, "")</f>
        <v>-1941.7475728155339</v>
      </c>
      <c r="M74" s="31"/>
      <c r="N74" s="32" t="str">
        <f t="shared" si="33"/>
        <v/>
      </c>
      <c r="O74" s="18" t="str">
        <f>IF(ISNUMBER(M74), $B91 * N74, "")</f>
        <v/>
      </c>
      <c r="Q74" s="238"/>
      <c r="R74" s="238"/>
      <c r="S74" s="238"/>
    </row>
    <row r="75" spans="1:19" ht="17.25" thickBot="1">
      <c r="A75" s="127" t="s">
        <v>218</v>
      </c>
      <c r="B75" s="128">
        <v>131</v>
      </c>
      <c r="C75" s="78">
        <v>6.5040650399999997E-2</v>
      </c>
      <c r="D75" s="20">
        <v>130</v>
      </c>
      <c r="E75" s="21">
        <f t="shared" si="30"/>
        <v>-7.6335877862595417E-3</v>
      </c>
      <c r="F75" s="22">
        <f>IF(ISNUMBER(D75), $B91 * E75, "")</f>
        <v>-763.35877862595419</v>
      </c>
      <c r="G75" s="30">
        <v>130</v>
      </c>
      <c r="H75" s="21">
        <f t="shared" si="31"/>
        <v>-7.6335877862595417E-3</v>
      </c>
      <c r="I75" s="105">
        <f>IF(ISNUMBER(G75), $B91 * H75, "")</f>
        <v>-763.35877862595419</v>
      </c>
      <c r="J75" s="20">
        <v>134</v>
      </c>
      <c r="K75" s="21">
        <f t="shared" si="32"/>
        <v>2.2900763358778626E-2</v>
      </c>
      <c r="L75" s="22">
        <f>IF(ISNUMBER(J75), $B91 * K75, "")</f>
        <v>2290.0763358778627</v>
      </c>
      <c r="M75" s="30"/>
      <c r="N75" s="21" t="str">
        <f t="shared" si="33"/>
        <v/>
      </c>
      <c r="O75" s="22" t="str">
        <f>IF(ISNUMBER(M75), $B91 * N75, "")</f>
        <v/>
      </c>
      <c r="Q75" s="238"/>
      <c r="R75" s="238"/>
      <c r="S75" s="238"/>
    </row>
    <row r="76" spans="1:19" ht="17.25" thickBot="1">
      <c r="A76" s="125" t="s">
        <v>90</v>
      </c>
      <c r="B76" s="129">
        <v>910</v>
      </c>
      <c r="C76" s="80">
        <v>5.6910569100000002E-2</v>
      </c>
      <c r="D76" s="106">
        <v>928</v>
      </c>
      <c r="E76" s="107">
        <f>IF(ISNUMBER(D76), (D76 - $B76) / $B76, "")</f>
        <v>1.9780219780219779E-2</v>
      </c>
      <c r="F76" s="108">
        <f>IF(ISNUMBER(D76), $B91 * E76, "")</f>
        <v>1978.0219780219779</v>
      </c>
      <c r="G76" s="109">
        <v>931</v>
      </c>
      <c r="H76" s="107">
        <f>IF(ISNUMBER(G76), (G76 - $B76) / $B76, "")</f>
        <v>2.3076923076923078E-2</v>
      </c>
      <c r="I76" s="110">
        <f>IF(ISNUMBER(G76), $B91 * H76, "")</f>
        <v>2307.6923076923076</v>
      </c>
      <c r="J76" s="106">
        <v>922</v>
      </c>
      <c r="K76" s="107">
        <f>IF(ISNUMBER(J76), (J76 - $B76) / $B76, "")</f>
        <v>1.3186813186813187E-2</v>
      </c>
      <c r="L76" s="108">
        <f>IF(ISNUMBER(J76), $B91 * K76, "")</f>
        <v>1318.6813186813188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8"/>
      <c r="R76" s="238"/>
      <c r="S76" s="238"/>
    </row>
    <row r="77" spans="1:19" ht="17.25" thickBot="1">
      <c r="A77" s="125" t="s">
        <v>51</v>
      </c>
      <c r="B77" s="126">
        <v>343</v>
      </c>
      <c r="C77" s="77">
        <v>4.57317073E-2</v>
      </c>
      <c r="D77" s="15">
        <v>345</v>
      </c>
      <c r="E77" s="32">
        <f t="shared" ref="E77:E80" si="34">IF(ISNUMBER(D77), (D77 - $B77) / $B77, "")</f>
        <v>5.8309037900874635E-3</v>
      </c>
      <c r="F77" s="18">
        <f>IF(ISNUMBER(D77), $B91 * E77, "")</f>
        <v>583.09037900874637</v>
      </c>
      <c r="G77" s="31">
        <v>346</v>
      </c>
      <c r="H77" s="32">
        <f t="shared" ref="H77:H80" si="35">IF(ISNUMBER(G77), (G77 - $B77) / $B77, "")</f>
        <v>8.7463556851311956E-3</v>
      </c>
      <c r="I77" s="101">
        <f>IF(ISNUMBER(G77), $B91 * H77, "")</f>
        <v>874.63556851311955</v>
      </c>
      <c r="J77" s="15">
        <v>346</v>
      </c>
      <c r="K77" s="32">
        <f t="shared" ref="K77:K80" si="36">IF(ISNUMBER(J77), (J77 - $B77) / $B77, "")</f>
        <v>8.7463556851311956E-3</v>
      </c>
      <c r="L77" s="18">
        <f>IF(ISNUMBER(J77), $B91 * K77, "")</f>
        <v>874.63556851311955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8"/>
      <c r="R77" s="238"/>
      <c r="S77" s="238"/>
    </row>
    <row r="78" spans="1:19" ht="17.25" thickBot="1">
      <c r="A78" s="125" t="s">
        <v>57</v>
      </c>
      <c r="B78" s="126">
        <v>208</v>
      </c>
      <c r="C78" s="77">
        <v>4.5226130699999999E-2</v>
      </c>
      <c r="D78" s="15">
        <v>209</v>
      </c>
      <c r="E78" s="32">
        <f t="shared" si="34"/>
        <v>4.807692307692308E-3</v>
      </c>
      <c r="F78" s="18">
        <f>IF(ISNUMBER(D78), $B91 * E78, "")</f>
        <v>480.76923076923077</v>
      </c>
      <c r="G78" s="31">
        <v>210</v>
      </c>
      <c r="H78" s="32">
        <f t="shared" si="35"/>
        <v>9.6153846153846159E-3</v>
      </c>
      <c r="I78" s="101">
        <f>IF(ISNUMBER(G78), $B91 * H78, "")</f>
        <v>961.53846153846155</v>
      </c>
      <c r="J78" s="15">
        <v>207</v>
      </c>
      <c r="K78" s="32">
        <f t="shared" si="36"/>
        <v>-4.807692307692308E-3</v>
      </c>
      <c r="L78" s="18">
        <f>IF(ISNUMBER(J78), $B91 * K78, "")</f>
        <v>-480.76923076923077</v>
      </c>
      <c r="M78" s="31"/>
      <c r="N78" s="32" t="str">
        <f t="shared" si="37"/>
        <v/>
      </c>
      <c r="O78" s="18" t="str">
        <f>IF(ISNUMBER(M78), $B91 * N78, "")</f>
        <v/>
      </c>
      <c r="Q78" s="238"/>
      <c r="R78" s="238"/>
      <c r="S78" s="238"/>
    </row>
    <row r="79" spans="1:19" ht="17.25" thickBot="1">
      <c r="A79" s="125" t="s">
        <v>118</v>
      </c>
      <c r="B79" s="126">
        <v>157</v>
      </c>
      <c r="C79" s="77">
        <v>3.2894736799999998E-2</v>
      </c>
      <c r="D79" s="15">
        <v>158</v>
      </c>
      <c r="E79" s="32">
        <f t="shared" si="34"/>
        <v>6.369426751592357E-3</v>
      </c>
      <c r="F79" s="18">
        <f>IF(ISNUMBER(D79), $B91 * E79, "")</f>
        <v>636.9426751592357</v>
      </c>
      <c r="G79" s="31">
        <v>159</v>
      </c>
      <c r="H79" s="32">
        <f t="shared" si="35"/>
        <v>1.2738853503184714E-2</v>
      </c>
      <c r="I79" s="101">
        <f>IF(ISNUMBER(G79), $B91 * H79, "")</f>
        <v>1273.8853503184714</v>
      </c>
      <c r="J79" s="15">
        <v>159</v>
      </c>
      <c r="K79" s="32">
        <f t="shared" si="36"/>
        <v>1.2738853503184714E-2</v>
      </c>
      <c r="L79" s="18">
        <f>IF(ISNUMBER(J79), $B91 * K79, "")</f>
        <v>1273.8853503184714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166</v>
      </c>
      <c r="B80" s="131">
        <v>271</v>
      </c>
      <c r="C80" s="79">
        <v>3.0418251E-2</v>
      </c>
      <c r="D80" s="24">
        <v>253</v>
      </c>
      <c r="E80" s="25">
        <f t="shared" si="34"/>
        <v>-6.6420664206642069E-2</v>
      </c>
      <c r="F80" s="104">
        <f>IF(ISNUMBER(D80), $B91 * E80, "")</f>
        <v>-6642.0664206642068</v>
      </c>
      <c r="G80" s="102">
        <v>266</v>
      </c>
      <c r="H80" s="25">
        <f t="shared" si="35"/>
        <v>-1.8450184501845018E-2</v>
      </c>
      <c r="I80" s="103">
        <f>IF(ISNUMBER(G80), $B91 * H80, "")</f>
        <v>-1845.0184501845019</v>
      </c>
      <c r="J80" s="24">
        <v>265</v>
      </c>
      <c r="K80" s="25">
        <f t="shared" si="36"/>
        <v>-2.2140221402214021E-2</v>
      </c>
      <c r="L80" s="104">
        <f>IF(ISNUMBER(J80), $B91 * K80, "")</f>
        <v>-2214.022140221402</v>
      </c>
      <c r="M80" s="102"/>
      <c r="N80" s="25" t="str">
        <f t="shared" si="37"/>
        <v/>
      </c>
      <c r="O80" s="104" t="str">
        <f>IF(ISNUMBER(M80), $B91 * N80, "")</f>
        <v/>
      </c>
      <c r="Q80" s="239"/>
      <c r="R80" s="240"/>
      <c r="S80" s="241"/>
    </row>
    <row r="81" spans="1:19">
      <c r="A81" s="123" t="s">
        <v>80</v>
      </c>
      <c r="B81" s="124">
        <v>825</v>
      </c>
      <c r="C81" s="76">
        <v>2.8678304200000001E-2</v>
      </c>
      <c r="D81" s="13">
        <v>807</v>
      </c>
      <c r="E81" s="14">
        <f>IF(ISNUMBER(D81), (D81 - $B81) / $B81, "")</f>
        <v>-2.181818181818182E-2</v>
      </c>
      <c r="F81" s="16">
        <f>IF(ISNUMBER(D81), $B91 * E81, "")</f>
        <v>-2181.818181818182</v>
      </c>
      <c r="G81" s="29">
        <v>811</v>
      </c>
      <c r="H81" s="14">
        <f>IF(ISNUMBER(G81), (G81 - $B81) / $B81, "")</f>
        <v>-1.6969696969696971E-2</v>
      </c>
      <c r="I81" s="100">
        <f>IF(ISNUMBER(G81), $B91 * H81, "")</f>
        <v>-1696.9696969696972</v>
      </c>
      <c r="J81" s="13">
        <v>806</v>
      </c>
      <c r="K81" s="14">
        <f>IF(ISNUMBER(J81), (J81 - $B81) / $B81, "")</f>
        <v>-2.3030303030303029E-2</v>
      </c>
      <c r="L81" s="16">
        <f>IF(ISNUMBER(J81), $B91 * K81, "")</f>
        <v>-2303.030303030303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2"/>
      <c r="R81" s="243"/>
      <c r="S81" s="244"/>
    </row>
    <row r="82" spans="1:19" ht="17.25" thickBot="1">
      <c r="A82" s="125" t="s">
        <v>220</v>
      </c>
      <c r="B82" s="126">
        <v>215</v>
      </c>
      <c r="C82" s="77">
        <v>2.3809523799999999E-2</v>
      </c>
      <c r="D82" s="15">
        <v>211</v>
      </c>
      <c r="E82" s="32">
        <f t="shared" ref="E82:E85" si="38">IF(ISNUMBER(D82), (D82 - $B82) / $B82, "")</f>
        <v>-1.8604651162790697E-2</v>
      </c>
      <c r="F82" s="18">
        <f>IF(ISNUMBER(D82), $B91 * E82, "")</f>
        <v>-1860.4651162790697</v>
      </c>
      <c r="G82" s="31">
        <v>213</v>
      </c>
      <c r="H82" s="32">
        <f t="shared" ref="H82:H85" si="39">IF(ISNUMBER(G82), (G82 - $B82) / $B82, "")</f>
        <v>-9.3023255813953487E-3</v>
      </c>
      <c r="I82" s="101">
        <f>IF(ISNUMBER(G82), $B91 * H82, "")</f>
        <v>-930.23255813953483</v>
      </c>
      <c r="J82" s="15">
        <v>212</v>
      </c>
      <c r="K82" s="32">
        <f t="shared" ref="K82:K85" si="40">IF(ISNUMBER(J82), (J82 - $B82) / $B82, "")</f>
        <v>-1.3953488372093023E-2</v>
      </c>
      <c r="L82" s="18">
        <f>IF(ISNUMBER(J82), $B91 * K82, "")</f>
        <v>-1395.3488372093022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5"/>
      <c r="R82" s="246"/>
      <c r="S82" s="247"/>
    </row>
    <row r="83" spans="1:19" ht="17.25" thickBot="1">
      <c r="A83" s="125" t="s">
        <v>192</v>
      </c>
      <c r="B83" s="126">
        <v>233</v>
      </c>
      <c r="C83" s="77">
        <v>2.1929824600000002E-2</v>
      </c>
      <c r="D83" s="15">
        <v>229</v>
      </c>
      <c r="E83" s="32">
        <f t="shared" si="38"/>
        <v>-1.7167381974248927E-2</v>
      </c>
      <c r="F83" s="18">
        <f>IF(ISNUMBER(D83), $B91 * E83, "")</f>
        <v>-1716.7381974248926</v>
      </c>
      <c r="G83" s="31">
        <v>231</v>
      </c>
      <c r="H83" s="32">
        <f t="shared" si="39"/>
        <v>-8.5836909871244635E-3</v>
      </c>
      <c r="I83" s="101">
        <f>IF(ISNUMBER(G83), $B91 * H83, "")</f>
        <v>-858.36909871244632</v>
      </c>
      <c r="J83" s="15">
        <v>230</v>
      </c>
      <c r="K83" s="32">
        <f t="shared" si="40"/>
        <v>-1.2875536480686695E-2</v>
      </c>
      <c r="L83" s="18">
        <f>IF(ISNUMBER(J83), $B91 * K83, "")</f>
        <v>-1287.5536480686694</v>
      </c>
      <c r="M83" s="31"/>
      <c r="N83" s="32" t="str">
        <f t="shared" si="41"/>
        <v/>
      </c>
      <c r="O83" s="18" t="str">
        <f>IF(ISNUMBER(M83), $B91 * N83, "")</f>
        <v/>
      </c>
      <c r="Q83" s="238"/>
      <c r="R83" s="238"/>
      <c r="S83" s="238"/>
    </row>
    <row r="84" spans="1:19" ht="17.25" thickBot="1">
      <c r="A84" s="125" t="s">
        <v>144</v>
      </c>
      <c r="B84" s="126">
        <v>114</v>
      </c>
      <c r="C84" s="77">
        <v>1.7857142900000001E-2</v>
      </c>
      <c r="D84" s="15">
        <v>112</v>
      </c>
      <c r="E84" s="32">
        <f t="shared" si="38"/>
        <v>-1.7543859649122806E-2</v>
      </c>
      <c r="F84" s="18">
        <f>IF(ISNUMBER(D84), $B91 * E84, "")</f>
        <v>-1754.3859649122805</v>
      </c>
      <c r="G84" s="31">
        <v>112</v>
      </c>
      <c r="H84" s="32">
        <f t="shared" si="39"/>
        <v>-1.7543859649122806E-2</v>
      </c>
      <c r="I84" s="101">
        <f>IF(ISNUMBER(G84), $B91 * H84, "")</f>
        <v>-1754.3859649122805</v>
      </c>
      <c r="J84" s="15">
        <v>111</v>
      </c>
      <c r="K84" s="32">
        <f t="shared" si="40"/>
        <v>-2.6315789473684209E-2</v>
      </c>
      <c r="L84" s="18">
        <f>IF(ISNUMBER(J84), $B91 * K84, "")</f>
        <v>-2631.5789473684208</v>
      </c>
      <c r="M84" s="31"/>
      <c r="N84" s="32" t="str">
        <f t="shared" si="41"/>
        <v/>
      </c>
      <c r="O84" s="18" t="str">
        <f>IF(ISNUMBER(M84), $B91 * N84, "")</f>
        <v/>
      </c>
      <c r="Q84" s="248"/>
      <c r="R84" s="248"/>
      <c r="S84" s="248"/>
    </row>
    <row r="85" spans="1:19" ht="17.25" thickBot="1">
      <c r="A85" s="127" t="s">
        <v>236</v>
      </c>
      <c r="B85" s="128">
        <v>607</v>
      </c>
      <c r="C85" s="78">
        <v>1.5050167200000001E-2</v>
      </c>
      <c r="D85" s="20">
        <v>615</v>
      </c>
      <c r="E85" s="21">
        <f t="shared" si="38"/>
        <v>1.3179571663920923E-2</v>
      </c>
      <c r="F85" s="22">
        <f>IF(ISNUMBER(D85), $B91 * E85, "")</f>
        <v>1317.9571663920922</v>
      </c>
      <c r="G85" s="30">
        <v>615</v>
      </c>
      <c r="H85" s="21">
        <f t="shared" si="39"/>
        <v>1.3179571663920923E-2</v>
      </c>
      <c r="I85" s="105">
        <f>IF(ISNUMBER(G85), $B91 * H85, "")</f>
        <v>1317.9571663920922</v>
      </c>
      <c r="J85" s="20">
        <v>610</v>
      </c>
      <c r="K85" s="21">
        <f t="shared" si="40"/>
        <v>4.9423393739703456E-3</v>
      </c>
      <c r="L85" s="22">
        <f>IF(ISNUMBER(J85), $B91 * K85, "")</f>
        <v>494.23393739703454</v>
      </c>
      <c r="M85" s="30"/>
      <c r="N85" s="21" t="str">
        <f t="shared" si="41"/>
        <v/>
      </c>
      <c r="O85" s="22" t="str">
        <f>IF(ISNUMBER(M85), $B91 * N85, "")</f>
        <v/>
      </c>
      <c r="Q85" s="248"/>
      <c r="R85" s="248"/>
      <c r="S85" s="248"/>
    </row>
    <row r="86" spans="1:19" ht="17.25" thickBot="1">
      <c r="A86" s="125" t="s">
        <v>61</v>
      </c>
      <c r="B86" s="129">
        <v>874</v>
      </c>
      <c r="C86" s="80">
        <v>1.27462341E-2</v>
      </c>
      <c r="D86" s="106">
        <v>863</v>
      </c>
      <c r="E86" s="107">
        <f>IF(ISNUMBER(D86), (D86 - $B86) / $B86, "")</f>
        <v>-1.2585812356979404E-2</v>
      </c>
      <c r="F86" s="108">
        <f>IF(ISNUMBER(D86), $B91 * E86, "")</f>
        <v>-1258.5812356979404</v>
      </c>
      <c r="G86" s="109">
        <v>861</v>
      </c>
      <c r="H86" s="107">
        <f>IF(ISNUMBER(G86), (G86 - $B86) / $B86, "")</f>
        <v>-1.4874141876430207E-2</v>
      </c>
      <c r="I86" s="110">
        <f>IF(ISNUMBER(G86), $B91 * H86, "")</f>
        <v>-1487.4141876430206</v>
      </c>
      <c r="J86" s="106">
        <v>860</v>
      </c>
      <c r="K86" s="107">
        <f>IF(ISNUMBER(J86), (J86 - $B86) / $B86, "")</f>
        <v>-1.6018306636155607E-2</v>
      </c>
      <c r="L86" s="108">
        <f>IF(ISNUMBER(J86), $B91 * K86, "")</f>
        <v>-1601.8306636155608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8"/>
      <c r="R86" s="238"/>
      <c r="S86" s="238"/>
    </row>
    <row r="87" spans="1:19" ht="17.25" thickBot="1">
      <c r="A87" s="125" t="s">
        <v>54</v>
      </c>
      <c r="B87" s="126">
        <v>255</v>
      </c>
      <c r="C87" s="77">
        <v>1.19047619E-2</v>
      </c>
      <c r="D87" s="15">
        <v>254</v>
      </c>
      <c r="E87" s="32">
        <f t="shared" ref="E87:E90" si="42">IF(ISNUMBER(D87), (D87 - $B87) / $B87, "")</f>
        <v>-3.9215686274509803E-3</v>
      </c>
      <c r="F87" s="18">
        <f>IF(ISNUMBER(D87), $B91 * E87, "")</f>
        <v>-392.15686274509801</v>
      </c>
      <c r="G87" s="31">
        <v>255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253</v>
      </c>
      <c r="K87" s="32">
        <f t="shared" ref="K87:K90" si="44">IF(ISNUMBER(J87), (J87 - $B87) / $B87, "")</f>
        <v>-7.8431372549019607E-3</v>
      </c>
      <c r="L87" s="18">
        <f>IF(ISNUMBER(J87), $B91 * K87, "")</f>
        <v>-784.31372549019602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8"/>
      <c r="R87" s="238"/>
      <c r="S87" s="238"/>
    </row>
    <row r="88" spans="1:19" ht="17.25" thickBot="1">
      <c r="A88" s="125" t="s">
        <v>184</v>
      </c>
      <c r="B88" s="126">
        <v>970</v>
      </c>
      <c r="C88" s="77">
        <v>1.14702815E-2</v>
      </c>
      <c r="D88" s="15">
        <v>999</v>
      </c>
      <c r="E88" s="32">
        <f t="shared" si="42"/>
        <v>2.9896907216494847E-2</v>
      </c>
      <c r="F88" s="18">
        <f>IF(ISNUMBER(D88), $B91 * E88, "")</f>
        <v>2989.6907216494847</v>
      </c>
      <c r="G88" s="31">
        <v>1000</v>
      </c>
      <c r="H88" s="32">
        <f t="shared" si="43"/>
        <v>3.0927835051546393E-2</v>
      </c>
      <c r="I88" s="101">
        <f>IF(ISNUMBER(G88), $B91 * H88, "")</f>
        <v>3092.7835051546394</v>
      </c>
      <c r="J88" s="15">
        <v>995</v>
      </c>
      <c r="K88" s="32">
        <f t="shared" si="44"/>
        <v>2.5773195876288658E-2</v>
      </c>
      <c r="L88" s="18">
        <f>IF(ISNUMBER(J88), $B91 * K88, "")</f>
        <v>2577.319587628866</v>
      </c>
      <c r="M88" s="31"/>
      <c r="N88" s="32" t="str">
        <f t="shared" si="45"/>
        <v/>
      </c>
      <c r="O88" s="18" t="str">
        <f>IF(ISNUMBER(M88), $B91 * N88, "")</f>
        <v/>
      </c>
      <c r="Q88" s="238"/>
      <c r="R88" s="238"/>
      <c r="S88" s="238"/>
    </row>
    <row r="89" spans="1:19">
      <c r="A89" s="125" t="s">
        <v>238</v>
      </c>
      <c r="B89" s="126">
        <v>105</v>
      </c>
      <c r="C89" s="77">
        <v>9.6153846000000005E-3</v>
      </c>
      <c r="D89" s="15">
        <v>102</v>
      </c>
      <c r="E89" s="32">
        <f t="shared" si="42"/>
        <v>-2.8571428571428571E-2</v>
      </c>
      <c r="F89" s="18">
        <f>IF(ISNUMBER(D89), $B91 * E89, "")</f>
        <v>-2857.1428571428569</v>
      </c>
      <c r="G89" s="31">
        <v>103</v>
      </c>
      <c r="H89" s="32">
        <f t="shared" si="43"/>
        <v>-1.9047619047619049E-2</v>
      </c>
      <c r="I89" s="101">
        <f>IF(ISNUMBER(G89), $B91 * H89, "")</f>
        <v>-1904.761904761905</v>
      </c>
      <c r="J89" s="15">
        <v>103</v>
      </c>
      <c r="K89" s="32">
        <f t="shared" si="44"/>
        <v>-1.9047619047619049E-2</v>
      </c>
      <c r="L89" s="18">
        <f>IF(ISNUMBER(J89), $B91 * K89, "")</f>
        <v>-1904.761904761905</v>
      </c>
      <c r="M89" s="31"/>
      <c r="N89" s="32" t="str">
        <f t="shared" si="45"/>
        <v/>
      </c>
      <c r="O89" s="18" t="str">
        <f>IF(ISNUMBER(M89), $B91 * N89, "")</f>
        <v/>
      </c>
      <c r="Q89" s="227"/>
      <c r="R89" s="228"/>
      <c r="S89" s="229"/>
    </row>
    <row r="90" spans="1:19" ht="17.25" thickBot="1">
      <c r="A90" s="130" t="s">
        <v>132</v>
      </c>
      <c r="B90" s="131">
        <v>107</v>
      </c>
      <c r="C90" s="79">
        <v>9.4339622999999994E-3</v>
      </c>
      <c r="D90" s="24">
        <v>105</v>
      </c>
      <c r="E90" s="25">
        <f t="shared" si="42"/>
        <v>-1.8691588785046728E-2</v>
      </c>
      <c r="F90" s="104">
        <f>IF(ISNUMBER(D90), $B91 * E90, "")</f>
        <v>-1869.1588785046727</v>
      </c>
      <c r="G90" s="102">
        <v>105</v>
      </c>
      <c r="H90" s="25">
        <f t="shared" si="43"/>
        <v>-1.8691588785046728E-2</v>
      </c>
      <c r="I90" s="103">
        <f>IF(ISNUMBER(G90), $B91 * H90, "")</f>
        <v>-1869.1588785046727</v>
      </c>
      <c r="J90" s="24">
        <v>103</v>
      </c>
      <c r="K90" s="25">
        <f t="shared" si="44"/>
        <v>-3.7383177570093455E-2</v>
      </c>
      <c r="L90" s="104">
        <f>IF(ISNUMBER(J90), $B91 * K90, "")</f>
        <v>-3738.3177570093453</v>
      </c>
      <c r="M90" s="102"/>
      <c r="N90" s="25" t="str">
        <f t="shared" si="45"/>
        <v/>
      </c>
      <c r="O90" s="104" t="str">
        <f>IF(ISNUMBER(M90), $B91 * N90, "")</f>
        <v/>
      </c>
      <c r="Q90" s="230"/>
      <c r="R90" s="231"/>
      <c r="S90" s="232"/>
    </row>
    <row r="91" spans="1:19" ht="17.25" thickBot="1">
      <c r="A91" s="132" t="s">
        <v>270</v>
      </c>
      <c r="B91" s="291">
        <f>$B$37</f>
        <v>100000</v>
      </c>
      <c r="C91" s="292"/>
      <c r="D91" s="26" t="s">
        <v>271</v>
      </c>
      <c r="E91" s="27">
        <f>IF(COUNT(E71:E90), SUM(E71:E90) / COUNT(E71:E90), 0)</f>
        <v>-9.0182817810851405E-3</v>
      </c>
      <c r="F91" s="28">
        <f>SUM(F71:F90)</f>
        <v>-18036.563562170279</v>
      </c>
      <c r="G91" s="26" t="s">
        <v>271</v>
      </c>
      <c r="H91" s="27">
        <f>IF(COUNT(H71:H90), SUM(H71:H90) / COUNT(H71:H90), 0)</f>
        <v>9.8926312880327273E-4</v>
      </c>
      <c r="I91" s="28">
        <f>SUM(I71:I90)</f>
        <v>1978.5262576065436</v>
      </c>
      <c r="J91" s="26" t="s">
        <v>271</v>
      </c>
      <c r="K91" s="27">
        <f>IF(COUNT(K71:K90), SUM(K71:K90) / COUNT(K71:K90), 0)</f>
        <v>-1.6884627939933693E-3</v>
      </c>
      <c r="L91" s="28">
        <f>SUM(L71:L90)</f>
        <v>-3376.9255879867405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33"/>
      <c r="R91" s="234"/>
      <c r="S91" s="23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48"/>
      <c r="R94" s="248"/>
      <c r="S94" s="248"/>
    </row>
    <row r="95" spans="1:19" ht="17.25" thickBot="1">
      <c r="A95" s="185" t="s">
        <v>267</v>
      </c>
      <c r="B95" s="249" t="s">
        <v>49</v>
      </c>
      <c r="C95" s="251"/>
      <c r="D95" s="249" t="s">
        <v>58</v>
      </c>
      <c r="E95" s="250"/>
      <c r="F95" s="251"/>
      <c r="G95" s="252">
        <f>_xlfn.IFNA(VLOOKUP(B95, 현재가테이블!$B$2:$D$200, 2, FALSE), "-")</f>
        <v>54440000</v>
      </c>
      <c r="H95" s="253"/>
      <c r="I95" s="254"/>
      <c r="J95" s="249" t="s">
        <v>59</v>
      </c>
      <c r="K95" s="250"/>
      <c r="L95" s="251"/>
      <c r="M95" s="255">
        <f>_xlfn.IFNA(VLOOKUP(B95, 현재가테이블!$B$2:$D$200, 3, FALSE), "-")</f>
        <v>1.07123628E-2</v>
      </c>
      <c r="N95" s="256"/>
      <c r="O95" s="257"/>
      <c r="Q95" s="248"/>
      <c r="R95" s="248"/>
      <c r="S95" s="248"/>
    </row>
    <row r="96" spans="1:19" ht="17.25" thickBot="1">
      <c r="A96" s="293" t="s">
        <v>55</v>
      </c>
      <c r="B96" s="289" t="str">
        <f>TEXT($G$1, "[$-ko-KR]yyyy-mm-dd(ddd) ") &amp; "오전 00:00"</f>
        <v>2021-08-08(일) 오전 00:00</v>
      </c>
      <c r="C96" s="290"/>
      <c r="D96" s="262" t="str">
        <f>TEXT($G$1, "[$-ko-KR]yyyy-mm-dd(ddd) ") &amp; "오후 14:00"</f>
        <v>2021-08-08(일) 오후 14:00</v>
      </c>
      <c r="E96" s="263"/>
      <c r="F96" s="264"/>
      <c r="G96" s="262" t="str">
        <f>TEXT($G$1, "[$-ko-KR]yyyy-mm-dd(ddd) ") &amp; "오후 19:00"</f>
        <v>2021-08-08(일) 오후 19:00</v>
      </c>
      <c r="H96" s="263"/>
      <c r="I96" s="264"/>
      <c r="J96" s="262" t="str">
        <f>TEXT($G$1, "[$-ko-KR]yyyy-mm-dd(ddd) ") &amp; "오후 21:00"</f>
        <v>2021-08-08(일) 오후 21:00</v>
      </c>
      <c r="K96" s="263"/>
      <c r="L96" s="264"/>
      <c r="M96" s="262" t="str">
        <f>TEXT($G$1+1, "[$-ko-KR]yyyy-mm-dd(ddd) ") &amp; "오전 00:00"</f>
        <v>2021-08-09(월) 오전 00:00</v>
      </c>
      <c r="N96" s="263"/>
      <c r="O96" s="264"/>
      <c r="Q96" s="248"/>
      <c r="R96" s="248"/>
      <c r="S96" s="248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6" t="s">
        <v>58</v>
      </c>
      <c r="H97" s="187" t="s">
        <v>268</v>
      </c>
      <c r="I97" s="18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8"/>
      <c r="R97" s="238"/>
      <c r="S97" s="238"/>
    </row>
    <row r="98" spans="1:19" ht="17.25" thickBot="1">
      <c r="A98" s="123" t="s">
        <v>180</v>
      </c>
      <c r="B98" s="124">
        <v>12220</v>
      </c>
      <c r="C98" s="76">
        <v>0.21471172960000001</v>
      </c>
      <c r="D98" s="13">
        <v>11890</v>
      </c>
      <c r="E98" s="14">
        <f>IF(ISNUMBER(D98), (D98 - $B98) / $B98, "")</f>
        <v>-2.7004909983633387E-2</v>
      </c>
      <c r="F98" s="16">
        <f>IF(ISNUMBER(D98), $B118 * E98, "")</f>
        <v>-2700.4909983633388</v>
      </c>
      <c r="G98" s="29">
        <v>12260</v>
      </c>
      <c r="H98" s="14">
        <f>IF(ISNUMBER(G98), (G98 - $B98) / $B98, "")</f>
        <v>3.2733224222585926E-3</v>
      </c>
      <c r="I98" s="100">
        <f>IF(ISNUMBER(G98), $B118 * H98, "")</f>
        <v>327.33224222585926</v>
      </c>
      <c r="J98" s="13">
        <v>12110</v>
      </c>
      <c r="K98" s="14">
        <f>IF(ISNUMBER(J98), (J98 - $B98) / $B98, "")</f>
        <v>-9.0016366612111296E-3</v>
      </c>
      <c r="L98" s="16">
        <f>IF(ISNUMBER(J98), $B118 * K98, "")</f>
        <v>-900.16366612111301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8"/>
      <c r="R98" s="248"/>
      <c r="S98" s="248"/>
    </row>
    <row r="99" spans="1:19" ht="17.25" thickBot="1">
      <c r="A99" s="125" t="s">
        <v>110</v>
      </c>
      <c r="B99" s="126">
        <v>191</v>
      </c>
      <c r="C99" s="77">
        <v>0.17901234569999999</v>
      </c>
      <c r="D99" s="15">
        <v>174</v>
      </c>
      <c r="E99" s="32">
        <f t="shared" ref="E99:E102" si="46">IF(ISNUMBER(D99), (D99 - $B99) / $B99, "")</f>
        <v>-8.9005235602094238E-2</v>
      </c>
      <c r="F99" s="18">
        <f>IF(ISNUMBER(D99), $B118 * E99, "")</f>
        <v>-8900.5235602094235</v>
      </c>
      <c r="G99" s="31">
        <v>186</v>
      </c>
      <c r="H99" s="32">
        <f t="shared" ref="H99:H102" si="47">IF(ISNUMBER(G99), (G99 - $B99) / $B99, "")</f>
        <v>-2.6178010471204188E-2</v>
      </c>
      <c r="I99" s="101">
        <f>IF(ISNUMBER(G99), $B118 * H99, "")</f>
        <v>-2617.8010471204188</v>
      </c>
      <c r="J99" s="15">
        <v>192</v>
      </c>
      <c r="K99" s="32">
        <f t="shared" ref="K99:K102" si="48">IF(ISNUMBER(J99), (J99 - $B99) / $B99, "")</f>
        <v>5.235602094240838E-3</v>
      </c>
      <c r="L99" s="18">
        <f>IF(ISNUMBER(J99), $B118 * K99, "")</f>
        <v>523.56020942408384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8"/>
      <c r="R99" s="248"/>
      <c r="S99" s="248"/>
    </row>
    <row r="100" spans="1:19" ht="17.25" thickBot="1">
      <c r="A100" s="125" t="s">
        <v>266</v>
      </c>
      <c r="B100" s="126">
        <v>278</v>
      </c>
      <c r="C100" s="77">
        <v>0.17796610169999999</v>
      </c>
      <c r="D100" s="15">
        <v>295</v>
      </c>
      <c r="E100" s="32">
        <f t="shared" si="46"/>
        <v>6.1151079136690649E-2</v>
      </c>
      <c r="F100" s="18">
        <f>IF(ISNUMBER(D100), $B118 * E100, "")</f>
        <v>6115.1079136690651</v>
      </c>
      <c r="G100" s="31">
        <v>303</v>
      </c>
      <c r="H100" s="32">
        <f t="shared" si="47"/>
        <v>8.9928057553956831E-2</v>
      </c>
      <c r="I100" s="101">
        <f>IF(ISNUMBER(G100), $B118 * H100, "")</f>
        <v>8992.8057553956824</v>
      </c>
      <c r="J100" s="15">
        <v>299</v>
      </c>
      <c r="K100" s="32">
        <f t="shared" si="48"/>
        <v>7.5539568345323743E-2</v>
      </c>
      <c r="L100" s="18">
        <f>IF(ISNUMBER(J100), $B118 * K100, "")</f>
        <v>7553.9568345323742</v>
      </c>
      <c r="M100" s="31"/>
      <c r="N100" s="32" t="str">
        <f t="shared" si="49"/>
        <v/>
      </c>
      <c r="O100" s="18" t="str">
        <f>IF(ISNUMBER(M100), $B118 * N100, "")</f>
        <v/>
      </c>
      <c r="Q100" s="238"/>
      <c r="R100" s="238"/>
      <c r="S100" s="238"/>
    </row>
    <row r="101" spans="1:19" ht="17.25" thickBot="1">
      <c r="A101" s="125" t="s">
        <v>208</v>
      </c>
      <c r="B101" s="126">
        <v>13.7</v>
      </c>
      <c r="C101" s="77">
        <v>0.15126050420000001</v>
      </c>
      <c r="D101" s="15">
        <v>13.7</v>
      </c>
      <c r="E101" s="32">
        <f t="shared" si="46"/>
        <v>0</v>
      </c>
      <c r="F101" s="18">
        <f>IF(ISNUMBER(D101), $B118 * E101, "")</f>
        <v>0</v>
      </c>
      <c r="G101" s="31">
        <v>13.9</v>
      </c>
      <c r="H101" s="32">
        <f t="shared" si="47"/>
        <v>1.4598540145985481E-2</v>
      </c>
      <c r="I101" s="101">
        <f>IF(ISNUMBER(G101), $B118 * H101, "")</f>
        <v>1459.854014598548</v>
      </c>
      <c r="J101" s="15">
        <v>13.9</v>
      </c>
      <c r="K101" s="32">
        <f t="shared" si="48"/>
        <v>1.4598540145985481E-2</v>
      </c>
      <c r="L101" s="18">
        <f>IF(ISNUMBER(J101), $B118 * K101, "")</f>
        <v>1459.854014598548</v>
      </c>
      <c r="M101" s="31"/>
      <c r="N101" s="32" t="str">
        <f t="shared" si="49"/>
        <v/>
      </c>
      <c r="O101" s="18" t="str">
        <f>IF(ISNUMBER(M101), $B118 * N101, "")</f>
        <v/>
      </c>
      <c r="Q101" s="238"/>
      <c r="R101" s="238"/>
      <c r="S101" s="238"/>
    </row>
    <row r="102" spans="1:19" ht="17.25" thickBot="1">
      <c r="A102" s="127" t="s">
        <v>100</v>
      </c>
      <c r="B102" s="128">
        <v>67120</v>
      </c>
      <c r="C102" s="78">
        <v>9.7987894699999994E-2</v>
      </c>
      <c r="D102" s="20">
        <v>69530</v>
      </c>
      <c r="E102" s="21">
        <f t="shared" si="46"/>
        <v>3.5905840286054827E-2</v>
      </c>
      <c r="F102" s="22">
        <f>IF(ISNUMBER(D102), $B118 * E102, "")</f>
        <v>3590.5840286054827</v>
      </c>
      <c r="G102" s="30">
        <v>69990</v>
      </c>
      <c r="H102" s="21">
        <f t="shared" si="47"/>
        <v>4.2759237187127534E-2</v>
      </c>
      <c r="I102" s="105">
        <f>IF(ISNUMBER(G102), $B118 * H102, "")</f>
        <v>4275.9237187127537</v>
      </c>
      <c r="J102" s="20">
        <v>69480</v>
      </c>
      <c r="K102" s="21">
        <f t="shared" si="48"/>
        <v>3.5160905840286055E-2</v>
      </c>
      <c r="L102" s="22">
        <f>IF(ISNUMBER(J102), $B118 * K102, "")</f>
        <v>3516.0905840286055</v>
      </c>
      <c r="M102" s="30"/>
      <c r="N102" s="21" t="str">
        <f t="shared" si="49"/>
        <v/>
      </c>
      <c r="O102" s="22" t="str">
        <f>IF(ISNUMBER(M102), $B118 * N102, "")</f>
        <v/>
      </c>
      <c r="Q102" s="238"/>
      <c r="R102" s="238"/>
      <c r="S102" s="238"/>
    </row>
    <row r="103" spans="1:19" ht="17.25" thickBot="1">
      <c r="A103" s="125" t="s">
        <v>128</v>
      </c>
      <c r="B103" s="129">
        <v>121</v>
      </c>
      <c r="C103" s="80">
        <v>9.0090090100000006E-2</v>
      </c>
      <c r="D103" s="106">
        <v>121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122</v>
      </c>
      <c r="H103" s="107">
        <f>IF(ISNUMBER(G103), (G103 - $B103) / $B103, "")</f>
        <v>8.2644628099173556E-3</v>
      </c>
      <c r="I103" s="110">
        <f>IF(ISNUMBER(G103), $B118 * H103, "")</f>
        <v>826.44628099173553</v>
      </c>
      <c r="J103" s="106">
        <v>121</v>
      </c>
      <c r="K103" s="107">
        <f>IF(ISNUMBER(J103), (J103 - $B103) / $B103, "")</f>
        <v>0</v>
      </c>
      <c r="L103" s="108">
        <f>IF(ISNUMBER(J103), $B118 * K103, "")</f>
        <v>0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8"/>
      <c r="R103" s="238"/>
      <c r="S103" s="238"/>
    </row>
    <row r="104" spans="1:19" ht="17.25" thickBot="1">
      <c r="A104" s="125" t="s">
        <v>202</v>
      </c>
      <c r="B104" s="126">
        <v>83.4</v>
      </c>
      <c r="C104" s="77">
        <v>8.7353324600000004E-2</v>
      </c>
      <c r="D104" s="15">
        <v>81.900000000000006</v>
      </c>
      <c r="E104" s="32">
        <f t="shared" ref="E104:E107" si="50">IF(ISNUMBER(D104), (D104 - $B104) / $B104, "")</f>
        <v>-1.7985611510791366E-2</v>
      </c>
      <c r="F104" s="18">
        <f>IF(ISNUMBER(D104), $B118 * E104, "")</f>
        <v>-1798.5611510791366</v>
      </c>
      <c r="G104" s="31">
        <v>81.900000000000006</v>
      </c>
      <c r="H104" s="32">
        <f t="shared" ref="H104:H107" si="51">IF(ISNUMBER(G104), (G104 - $B104) / $B104, "")</f>
        <v>-1.7985611510791366E-2</v>
      </c>
      <c r="I104" s="101">
        <f>IF(ISNUMBER(G104), $B118 * H104, "")</f>
        <v>-1798.5611510791366</v>
      </c>
      <c r="J104" s="15">
        <v>81.5</v>
      </c>
      <c r="K104" s="32">
        <f t="shared" ref="K104:K107" si="52">IF(ISNUMBER(J104), (J104 - $B104) / $B104, "")</f>
        <v>-2.2781774580335798E-2</v>
      </c>
      <c r="L104" s="18">
        <f>IF(ISNUMBER(J104), $B118 * K104, "")</f>
        <v>-2278.1774580335796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8"/>
      <c r="R104" s="238"/>
      <c r="S104" s="238"/>
    </row>
    <row r="105" spans="1:19" ht="17.25" thickBot="1">
      <c r="A105" s="125" t="s">
        <v>140</v>
      </c>
      <c r="B105" s="126">
        <v>5875</v>
      </c>
      <c r="C105" s="77">
        <v>7.8971533499999996E-2</v>
      </c>
      <c r="D105" s="15">
        <v>5650</v>
      </c>
      <c r="E105" s="32">
        <f t="shared" si="50"/>
        <v>-3.8297872340425532E-2</v>
      </c>
      <c r="F105" s="18">
        <f>IF(ISNUMBER(D105), $B118 * E105, "")</f>
        <v>-3829.7872340425533</v>
      </c>
      <c r="G105" s="31">
        <v>5690</v>
      </c>
      <c r="H105" s="32">
        <f t="shared" si="51"/>
        <v>-3.1489361702127662E-2</v>
      </c>
      <c r="I105" s="101">
        <f>IF(ISNUMBER(G105), $B118 * H105, "")</f>
        <v>-3148.9361702127662</v>
      </c>
      <c r="J105" s="15">
        <v>5680</v>
      </c>
      <c r="K105" s="32">
        <f t="shared" si="52"/>
        <v>-3.3191489361702124E-2</v>
      </c>
      <c r="L105" s="18">
        <f>IF(ISNUMBER(J105), $B118 * K105, "")</f>
        <v>-3319.1489361702124</v>
      </c>
      <c r="M105" s="31"/>
      <c r="N105" s="32" t="str">
        <f t="shared" si="53"/>
        <v/>
      </c>
      <c r="O105" s="18" t="str">
        <f>IF(ISNUMBER(M105), $B118 * N105, "")</f>
        <v/>
      </c>
      <c r="Q105" s="238"/>
      <c r="R105" s="238"/>
      <c r="S105" s="238"/>
    </row>
    <row r="106" spans="1:19" ht="17.25" thickBot="1">
      <c r="A106" s="125" t="s">
        <v>162</v>
      </c>
      <c r="B106" s="126">
        <v>103</v>
      </c>
      <c r="C106" s="77">
        <v>7.0686070700000006E-2</v>
      </c>
      <c r="D106" s="15">
        <v>101</v>
      </c>
      <c r="E106" s="32">
        <f t="shared" si="50"/>
        <v>-1.9417475728155338E-2</v>
      </c>
      <c r="F106" s="18">
        <f>IF(ISNUMBER(D106), $B118 * E106, "")</f>
        <v>-1941.7475728155339</v>
      </c>
      <c r="G106" s="31">
        <v>101</v>
      </c>
      <c r="H106" s="32">
        <f t="shared" si="51"/>
        <v>-1.9417475728155338E-2</v>
      </c>
      <c r="I106" s="101">
        <f>IF(ISNUMBER(G106), $B118 * H106, "")</f>
        <v>-1941.7475728155339</v>
      </c>
      <c r="J106" s="15">
        <v>101</v>
      </c>
      <c r="K106" s="32">
        <f t="shared" si="52"/>
        <v>-1.9417475728155338E-2</v>
      </c>
      <c r="L106" s="18">
        <f>IF(ISNUMBER(J106), $B118 * K106, "")</f>
        <v>-1941.7475728155339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94</v>
      </c>
      <c r="B107" s="131">
        <v>3544000</v>
      </c>
      <c r="C107" s="79">
        <v>6.5544197200000001E-2</v>
      </c>
      <c r="D107" s="24">
        <v>3544000</v>
      </c>
      <c r="E107" s="25">
        <f t="shared" si="50"/>
        <v>0</v>
      </c>
      <c r="F107" s="104">
        <f>IF(ISNUMBER(D107), $B118 * E107, "")</f>
        <v>0</v>
      </c>
      <c r="G107" s="102">
        <v>3593000</v>
      </c>
      <c r="H107" s="25">
        <f t="shared" si="51"/>
        <v>1.3826185101580136E-2</v>
      </c>
      <c r="I107" s="103">
        <f>IF(ISNUMBER(G107), $B118 * H107, "")</f>
        <v>1382.6185101580136</v>
      </c>
      <c r="J107" s="24">
        <v>3573000</v>
      </c>
      <c r="K107" s="25">
        <f t="shared" si="52"/>
        <v>8.1828442437923248E-3</v>
      </c>
      <c r="L107" s="104">
        <f>IF(ISNUMBER(J107), $B118 * K107, "")</f>
        <v>818.28442437923252</v>
      </c>
      <c r="M107" s="102"/>
      <c r="N107" s="25" t="str">
        <f t="shared" si="53"/>
        <v/>
      </c>
      <c r="O107" s="104" t="str">
        <f>IF(ISNUMBER(M107), $B118 * N107, "")</f>
        <v/>
      </c>
      <c r="Q107" s="239"/>
      <c r="R107" s="240"/>
      <c r="S107" s="241"/>
    </row>
    <row r="108" spans="1:19">
      <c r="A108" s="123" t="s">
        <v>218</v>
      </c>
      <c r="B108" s="124">
        <v>131</v>
      </c>
      <c r="C108" s="76">
        <v>6.5040650399999997E-2</v>
      </c>
      <c r="D108" s="13">
        <v>130</v>
      </c>
      <c r="E108" s="14">
        <f>IF(ISNUMBER(D108), (D108 - $B108) / $B108, "")</f>
        <v>-7.6335877862595417E-3</v>
      </c>
      <c r="F108" s="16">
        <f>IF(ISNUMBER(D108), $B118 * E108, "")</f>
        <v>-763.35877862595419</v>
      </c>
      <c r="G108" s="29">
        <v>130</v>
      </c>
      <c r="H108" s="14">
        <f>IF(ISNUMBER(G108), (G108 - $B108) / $B108, "")</f>
        <v>-7.6335877862595417E-3</v>
      </c>
      <c r="I108" s="100">
        <f>IF(ISNUMBER(G108), $B118 * H108, "")</f>
        <v>-763.35877862595419</v>
      </c>
      <c r="J108" s="13">
        <v>134</v>
      </c>
      <c r="K108" s="14">
        <f>IF(ISNUMBER(J108), (J108 - $B108) / $B108, "")</f>
        <v>2.2900763358778626E-2</v>
      </c>
      <c r="L108" s="16">
        <f>IF(ISNUMBER(J108), $B118 * K108, "")</f>
        <v>2290.0763358778627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2"/>
      <c r="R108" s="243"/>
      <c r="S108" s="244"/>
    </row>
    <row r="109" spans="1:19" ht="17.25" thickBot="1">
      <c r="A109" s="125" t="s">
        <v>90</v>
      </c>
      <c r="B109" s="126">
        <v>910</v>
      </c>
      <c r="C109" s="77">
        <v>5.6910569100000002E-2</v>
      </c>
      <c r="D109" s="15">
        <v>928</v>
      </c>
      <c r="E109" s="32">
        <f t="shared" ref="E109:E112" si="54">IF(ISNUMBER(D109), (D109 - $B109) / $B109, "")</f>
        <v>1.9780219780219779E-2</v>
      </c>
      <c r="F109" s="18">
        <f>IF(ISNUMBER(D109), $B118 * E109, "")</f>
        <v>1978.0219780219779</v>
      </c>
      <c r="G109" s="31">
        <v>931</v>
      </c>
      <c r="H109" s="32">
        <f t="shared" ref="H109:H112" si="55">IF(ISNUMBER(G109), (G109 - $B109) / $B109, "")</f>
        <v>2.3076923076923078E-2</v>
      </c>
      <c r="I109" s="101">
        <f>IF(ISNUMBER(G109), $B118 * H109, "")</f>
        <v>2307.6923076923076</v>
      </c>
      <c r="J109" s="15">
        <v>922</v>
      </c>
      <c r="K109" s="32">
        <f t="shared" ref="K109:K112" si="56">IF(ISNUMBER(J109), (J109 - $B109) / $B109, "")</f>
        <v>1.3186813186813187E-2</v>
      </c>
      <c r="L109" s="18">
        <f>IF(ISNUMBER(J109), $B118 * K109, "")</f>
        <v>1318.6813186813188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5"/>
      <c r="R109" s="246"/>
      <c r="S109" s="247"/>
    </row>
    <row r="110" spans="1:19" ht="17.25" thickBot="1">
      <c r="A110" s="125" t="s">
        <v>63</v>
      </c>
      <c r="B110" s="126">
        <v>54140</v>
      </c>
      <c r="C110" s="77">
        <v>5.6596409100000002E-2</v>
      </c>
      <c r="D110" s="15">
        <v>52840</v>
      </c>
      <c r="E110" s="32">
        <f t="shared" si="54"/>
        <v>-2.4011821204285185E-2</v>
      </c>
      <c r="F110" s="18">
        <f>IF(ISNUMBER(D110), $B118 * E110, "")</f>
        <v>-2401.1821204285184</v>
      </c>
      <c r="G110" s="31">
        <v>53160</v>
      </c>
      <c r="H110" s="32">
        <f t="shared" si="55"/>
        <v>-1.810121906169191E-2</v>
      </c>
      <c r="I110" s="101">
        <f>IF(ISNUMBER(G110), $B118 * H110, "")</f>
        <v>-1810.1219061691911</v>
      </c>
      <c r="J110" s="15">
        <v>53010</v>
      </c>
      <c r="K110" s="32">
        <f t="shared" si="56"/>
        <v>-2.0871813816032508E-2</v>
      </c>
      <c r="L110" s="18">
        <f>IF(ISNUMBER(J110), $B118 * K110, "")</f>
        <v>-2087.1813816032509</v>
      </c>
      <c r="M110" s="31"/>
      <c r="N110" s="32" t="str">
        <f t="shared" si="57"/>
        <v/>
      </c>
      <c r="O110" s="18" t="str">
        <f>IF(ISNUMBER(M110), $B118 * N110, "")</f>
        <v/>
      </c>
      <c r="Q110" s="238"/>
      <c r="R110" s="238"/>
      <c r="S110" s="238"/>
    </row>
    <row r="111" spans="1:19" ht="17.25" thickBot="1">
      <c r="A111" s="125" t="s">
        <v>84</v>
      </c>
      <c r="B111" s="126">
        <v>5210</v>
      </c>
      <c r="C111" s="77">
        <v>4.7236180900000001E-2</v>
      </c>
      <c r="D111" s="15">
        <v>5130</v>
      </c>
      <c r="E111" s="32">
        <f t="shared" si="54"/>
        <v>-1.5355086372360844E-2</v>
      </c>
      <c r="F111" s="18">
        <f>IF(ISNUMBER(D111), $B118 * E111, "")</f>
        <v>-1535.5086372360845</v>
      </c>
      <c r="G111" s="31">
        <v>5160</v>
      </c>
      <c r="H111" s="32">
        <f t="shared" si="55"/>
        <v>-9.5969289827255271E-3</v>
      </c>
      <c r="I111" s="101">
        <f>IF(ISNUMBER(G111), $B118 * H111, "")</f>
        <v>-959.69289827255272</v>
      </c>
      <c r="J111" s="15">
        <v>5135</v>
      </c>
      <c r="K111" s="32">
        <f t="shared" si="56"/>
        <v>-1.4395393474088292E-2</v>
      </c>
      <c r="L111" s="18">
        <f>IF(ISNUMBER(J111), $B118 * K111, "")</f>
        <v>-1439.5393474088291</v>
      </c>
      <c r="M111" s="31"/>
      <c r="N111" s="32" t="str">
        <f t="shared" si="57"/>
        <v/>
      </c>
      <c r="O111" s="18" t="str">
        <f>IF(ISNUMBER(M111), $B118 * N111, "")</f>
        <v/>
      </c>
      <c r="Q111" s="248"/>
      <c r="R111" s="248"/>
      <c r="S111" s="248"/>
    </row>
    <row r="112" spans="1:19" ht="17.25" thickBot="1">
      <c r="A112" s="127" t="s">
        <v>234</v>
      </c>
      <c r="B112" s="128">
        <v>71.8</v>
      </c>
      <c r="C112" s="78">
        <v>4.6647230300000002E-2</v>
      </c>
      <c r="D112" s="20">
        <v>70.3</v>
      </c>
      <c r="E112" s="21">
        <f t="shared" si="54"/>
        <v>-2.0891364902506964E-2</v>
      </c>
      <c r="F112" s="22">
        <f>IF(ISNUMBER(D112), $B118 * E112, "")</f>
        <v>-2089.1364902506966</v>
      </c>
      <c r="G112" s="30">
        <v>70.7</v>
      </c>
      <c r="H112" s="21">
        <f t="shared" si="55"/>
        <v>-1.5320334261838361E-2</v>
      </c>
      <c r="I112" s="105">
        <f>IF(ISNUMBER(G112), $B118 * H112, "")</f>
        <v>-1532.0334261838361</v>
      </c>
      <c r="J112" s="20">
        <v>70.400000000000006</v>
      </c>
      <c r="K112" s="21">
        <f t="shared" si="56"/>
        <v>-1.9498607242339715E-2</v>
      </c>
      <c r="L112" s="22">
        <f>IF(ISNUMBER(J112), $B118 * K112, "")</f>
        <v>-1949.8607242339715</v>
      </c>
      <c r="M112" s="30"/>
      <c r="N112" s="21" t="str">
        <f t="shared" si="57"/>
        <v/>
      </c>
      <c r="O112" s="22" t="str">
        <f>IF(ISNUMBER(M112), $B118 * N112, "")</f>
        <v/>
      </c>
      <c r="Q112" s="248"/>
      <c r="R112" s="248"/>
      <c r="S112" s="248"/>
    </row>
    <row r="113" spans="1:19" ht="17.25" thickBot="1">
      <c r="A113" s="125" t="s">
        <v>82</v>
      </c>
      <c r="B113" s="129">
        <v>1690</v>
      </c>
      <c r="C113" s="80">
        <v>4.6439628500000003E-2</v>
      </c>
      <c r="D113" s="106">
        <v>1660</v>
      </c>
      <c r="E113" s="107">
        <f>IF(ISNUMBER(D113), (D113 - $B113) / $B113, "")</f>
        <v>-1.7751479289940829E-2</v>
      </c>
      <c r="F113" s="108">
        <f>IF(ISNUMBER(D113), $B118 * E113, "")</f>
        <v>-1775.1479289940828</v>
      </c>
      <c r="G113" s="109">
        <v>1685</v>
      </c>
      <c r="H113" s="107">
        <f>IF(ISNUMBER(G113), (G113 - $B113) / $B113, "")</f>
        <v>-2.9585798816568047E-3</v>
      </c>
      <c r="I113" s="110">
        <f>IF(ISNUMBER(G113), $B118 * H113, "")</f>
        <v>-295.85798816568047</v>
      </c>
      <c r="J113" s="106">
        <v>1685</v>
      </c>
      <c r="K113" s="107">
        <f>IF(ISNUMBER(J113), (J113 - $B113) / $B113, "")</f>
        <v>-2.9585798816568047E-3</v>
      </c>
      <c r="L113" s="108">
        <f>IF(ISNUMBER(J113), $B118 * K113, "")</f>
        <v>-295.85798816568047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8"/>
      <c r="R113" s="238"/>
      <c r="S113" s="238"/>
    </row>
    <row r="114" spans="1:19" ht="17.25" thickBot="1">
      <c r="A114" s="125" t="s">
        <v>51</v>
      </c>
      <c r="B114" s="126">
        <v>343</v>
      </c>
      <c r="C114" s="77">
        <v>4.57317073E-2</v>
      </c>
      <c r="D114" s="15">
        <v>345</v>
      </c>
      <c r="E114" s="32">
        <f t="shared" ref="E114:E117" si="58">IF(ISNUMBER(D114), (D114 - $B114) / $B114, "")</f>
        <v>5.8309037900874635E-3</v>
      </c>
      <c r="F114" s="18">
        <f>IF(ISNUMBER(D114), $B118 * E114, "")</f>
        <v>583.09037900874637</v>
      </c>
      <c r="G114" s="31">
        <v>346</v>
      </c>
      <c r="H114" s="32">
        <f t="shared" ref="H114:H117" si="59">IF(ISNUMBER(G114), (G114 - $B114) / $B114, "")</f>
        <v>8.7463556851311956E-3</v>
      </c>
      <c r="I114" s="101">
        <f>IF(ISNUMBER(G114), $B118 * H114, "")</f>
        <v>874.63556851311955</v>
      </c>
      <c r="J114" s="15">
        <v>346</v>
      </c>
      <c r="K114" s="32">
        <f t="shared" ref="K114:K117" si="60">IF(ISNUMBER(J114), (J114 - $B114) / $B114, "")</f>
        <v>8.7463556851311956E-3</v>
      </c>
      <c r="L114" s="18">
        <f>IF(ISNUMBER(J114), $B118 * K114, "")</f>
        <v>874.63556851311955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8"/>
      <c r="R114" s="238"/>
      <c r="S114" s="238"/>
    </row>
    <row r="115" spans="1:19" ht="17.25" thickBot="1">
      <c r="A115" s="125" t="s">
        <v>57</v>
      </c>
      <c r="B115" s="126">
        <v>208</v>
      </c>
      <c r="C115" s="77">
        <v>4.5226130699999999E-2</v>
      </c>
      <c r="D115" s="15">
        <v>209</v>
      </c>
      <c r="E115" s="32">
        <f t="shared" si="58"/>
        <v>4.807692307692308E-3</v>
      </c>
      <c r="F115" s="18">
        <f>IF(ISNUMBER(D115), $B118 * E115, "")</f>
        <v>480.76923076923077</v>
      </c>
      <c r="G115" s="31">
        <v>210</v>
      </c>
      <c r="H115" s="32">
        <f t="shared" si="59"/>
        <v>9.6153846153846159E-3</v>
      </c>
      <c r="I115" s="101">
        <f>IF(ISNUMBER(G115), $B118 * H115, "")</f>
        <v>961.53846153846155</v>
      </c>
      <c r="J115" s="15">
        <v>207</v>
      </c>
      <c r="K115" s="32">
        <f t="shared" si="60"/>
        <v>-4.807692307692308E-3</v>
      </c>
      <c r="L115" s="18">
        <f>IF(ISNUMBER(J115), $B118 * K115, "")</f>
        <v>-480.76923076923077</v>
      </c>
      <c r="M115" s="31"/>
      <c r="N115" s="32" t="str">
        <f t="shared" si="61"/>
        <v/>
      </c>
      <c r="O115" s="18" t="str">
        <f>IF(ISNUMBER(M115), $B118 * N115, "")</f>
        <v/>
      </c>
      <c r="Q115" s="238"/>
      <c r="R115" s="238"/>
      <c r="S115" s="238"/>
    </row>
    <row r="116" spans="1:19">
      <c r="A116" s="125" t="s">
        <v>186</v>
      </c>
      <c r="B116" s="126">
        <v>9045</v>
      </c>
      <c r="C116" s="77">
        <v>4.3854587399999999E-2</v>
      </c>
      <c r="D116" s="15">
        <v>8830</v>
      </c>
      <c r="E116" s="32">
        <f t="shared" si="58"/>
        <v>-2.3770038695411829E-2</v>
      </c>
      <c r="F116" s="18">
        <f>IF(ISNUMBER(D116), $B118 * E116, "")</f>
        <v>-2377.0038695411831</v>
      </c>
      <c r="G116" s="31">
        <v>8760</v>
      </c>
      <c r="H116" s="32">
        <f t="shared" si="59"/>
        <v>-3.150912106135987E-2</v>
      </c>
      <c r="I116" s="101">
        <f>IF(ISNUMBER(G116), $B118 * H116, "")</f>
        <v>-3150.912106135987</v>
      </c>
      <c r="J116" s="15">
        <v>8770</v>
      </c>
      <c r="K116" s="32">
        <f t="shared" si="60"/>
        <v>-3.0403537866224434E-2</v>
      </c>
      <c r="L116" s="18">
        <f>IF(ISNUMBER(J116), $B118 * K116, "")</f>
        <v>-3040.3537866224433</v>
      </c>
      <c r="M116" s="31"/>
      <c r="N116" s="32" t="str">
        <f t="shared" si="61"/>
        <v/>
      </c>
      <c r="O116" s="18" t="str">
        <f>IF(ISNUMBER(M116), $B118 * N116, "")</f>
        <v/>
      </c>
      <c r="Q116" s="227"/>
      <c r="R116" s="228"/>
      <c r="S116" s="229"/>
    </row>
    <row r="117" spans="1:19" ht="17.25" thickBot="1">
      <c r="A117" s="130" t="s">
        <v>248</v>
      </c>
      <c r="B117" s="131">
        <v>2425</v>
      </c>
      <c r="C117" s="79">
        <v>4.3010752700000002E-2</v>
      </c>
      <c r="D117" s="24">
        <v>2375</v>
      </c>
      <c r="E117" s="25">
        <f t="shared" si="58"/>
        <v>-2.0618556701030927E-2</v>
      </c>
      <c r="F117" s="104">
        <f>IF(ISNUMBER(D117), $B118 * E117, "")</f>
        <v>-2061.855670103093</v>
      </c>
      <c r="G117" s="102">
        <v>2380</v>
      </c>
      <c r="H117" s="25">
        <f t="shared" si="59"/>
        <v>-1.8556701030927835E-2</v>
      </c>
      <c r="I117" s="103">
        <f>IF(ISNUMBER(G117), $B118 * H117, "")</f>
        <v>-1855.6701030927834</v>
      </c>
      <c r="J117" s="24">
        <v>2365</v>
      </c>
      <c r="K117" s="25">
        <f t="shared" si="60"/>
        <v>-2.4742268041237112E-2</v>
      </c>
      <c r="L117" s="104">
        <f>IF(ISNUMBER(J117), $B118 * K117, "")</f>
        <v>-2474.2268041237112</v>
      </c>
      <c r="M117" s="102"/>
      <c r="N117" s="25" t="str">
        <f t="shared" si="61"/>
        <v/>
      </c>
      <c r="O117" s="104" t="str">
        <f>IF(ISNUMBER(M117), $B118 * N117, "")</f>
        <v/>
      </c>
      <c r="Q117" s="230"/>
      <c r="R117" s="231"/>
      <c r="S117" s="232"/>
    </row>
    <row r="118" spans="1:19" ht="17.25" thickBot="1">
      <c r="A118" s="132" t="s">
        <v>270</v>
      </c>
      <c r="B118" s="291">
        <f>$B$37</f>
        <v>100000</v>
      </c>
      <c r="C118" s="292"/>
      <c r="D118" s="26" t="s">
        <v>271</v>
      </c>
      <c r="E118" s="27">
        <f>IF(COUNT(E98:E117), SUM(E98:E117) / COUNT(E98:E117), 0)</f>
        <v>-9.7133652408075474E-3</v>
      </c>
      <c r="F118" s="28">
        <f>SUM(F98:F117)</f>
        <v>-19426.730481615097</v>
      </c>
      <c r="G118" s="26" t="s">
        <v>271</v>
      </c>
      <c r="H118" s="27">
        <f>IF(COUNT(H98:H117), SUM(H98:H117) / COUNT(H98:H117), 0)</f>
        <v>7.6707685597632075E-4</v>
      </c>
      <c r="I118" s="28">
        <f>SUM(I98:I117)</f>
        <v>1534.1537119526397</v>
      </c>
      <c r="J118" s="26" t="s">
        <v>271</v>
      </c>
      <c r="K118" s="27">
        <f>IF(COUNT(K98:K117), SUM(K98:K117) / COUNT(K98:K117), 0)</f>
        <v>-9.2594380301620565E-4</v>
      </c>
      <c r="L118" s="28">
        <f>SUM(L98:L117)</f>
        <v>-1851.8876060324142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33"/>
      <c r="R118" s="234"/>
      <c r="S118" s="23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48"/>
      <c r="R121" s="248"/>
      <c r="S121" s="248"/>
    </row>
    <row r="122" spans="1:19" ht="17.25" thickBot="1">
      <c r="A122" s="185" t="s">
        <v>267</v>
      </c>
      <c r="B122" s="249" t="s">
        <v>49</v>
      </c>
      <c r="C122" s="251"/>
      <c r="D122" s="249" t="s">
        <v>58</v>
      </c>
      <c r="E122" s="250"/>
      <c r="F122" s="251"/>
      <c r="G122" s="252">
        <f>_xlfn.IFNA(VLOOKUP(B122, 현재가테이블!$B$2:$D$200, 2, FALSE), "-")</f>
        <v>54440000</v>
      </c>
      <c r="H122" s="253"/>
      <c r="I122" s="254"/>
      <c r="J122" s="249" t="s">
        <v>59</v>
      </c>
      <c r="K122" s="250"/>
      <c r="L122" s="251"/>
      <c r="M122" s="255">
        <f>_xlfn.IFNA(VLOOKUP(B122, 현재가테이블!$B$2:$D$200, 3, FALSE), "-")</f>
        <v>1.07123628E-2</v>
      </c>
      <c r="N122" s="256"/>
      <c r="O122" s="257"/>
      <c r="Q122" s="248"/>
      <c r="R122" s="248"/>
      <c r="S122" s="248"/>
    </row>
    <row r="123" spans="1:19" ht="17.25" thickBot="1">
      <c r="A123" s="293" t="s">
        <v>55</v>
      </c>
      <c r="B123" s="289" t="str">
        <f>TEXT($G$1, "[$-ko-KR]yyyy-mm-dd(ddd) ") &amp; "오전 00:00"</f>
        <v>2021-08-08(일) 오전 00:00</v>
      </c>
      <c r="C123" s="290"/>
      <c r="D123" s="262" t="str">
        <f>TEXT($G$1, "[$-ko-KR]yyyy-mm-dd(ddd) ") &amp; "오후 14:00"</f>
        <v>2021-08-08(일) 오후 14:00</v>
      </c>
      <c r="E123" s="263"/>
      <c r="F123" s="264"/>
      <c r="G123" s="262" t="str">
        <f>TEXT($G$1, "[$-ko-KR]yyyy-mm-dd(ddd) ") &amp; "오후 19:00"</f>
        <v>2021-08-08(일) 오후 19:00</v>
      </c>
      <c r="H123" s="263"/>
      <c r="I123" s="264"/>
      <c r="J123" s="262" t="str">
        <f>TEXT($G$1, "[$-ko-KR]yyyy-mm-dd(ddd) ") &amp; "오후 21:00"</f>
        <v>2021-08-08(일) 오후 21:00</v>
      </c>
      <c r="K123" s="263"/>
      <c r="L123" s="264"/>
      <c r="M123" s="262" t="str">
        <f>TEXT($G$1+1, "[$-ko-KR]yyyy-mm-dd(ddd) ") &amp; "오전 00:00"</f>
        <v>2021-08-09(월) 오전 00:00</v>
      </c>
      <c r="N123" s="263"/>
      <c r="O123" s="264"/>
      <c r="Q123" s="248"/>
      <c r="R123" s="248"/>
      <c r="S123" s="248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6" t="s">
        <v>58</v>
      </c>
      <c r="H124" s="187" t="s">
        <v>268</v>
      </c>
      <c r="I124" s="18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8"/>
      <c r="R124" s="238"/>
      <c r="S124" s="238"/>
    </row>
    <row r="125" spans="1:19" ht="17.25" thickBot="1">
      <c r="A125" s="123" t="s">
        <v>208</v>
      </c>
      <c r="B125" s="124">
        <v>13.7</v>
      </c>
      <c r="C125" s="76">
        <v>0.15126050420000001</v>
      </c>
      <c r="D125" s="13">
        <v>13.7</v>
      </c>
      <c r="E125" s="14">
        <f>IF(ISNUMBER(D125), (D125 - $B125) / $B125, "")</f>
        <v>0</v>
      </c>
      <c r="F125" s="16">
        <f>IF(ISNUMBER(D125), $B145 * E125, "")</f>
        <v>0</v>
      </c>
      <c r="G125" s="29">
        <v>13.9</v>
      </c>
      <c r="H125" s="14">
        <f>IF(ISNUMBER(G125), (G125 - $B125) / $B125, "")</f>
        <v>1.4598540145985481E-2</v>
      </c>
      <c r="I125" s="100">
        <f>IF(ISNUMBER(G125), $B145 * H125, "")</f>
        <v>1459.854014598548</v>
      </c>
      <c r="J125" s="13">
        <v>13.9</v>
      </c>
      <c r="K125" s="14">
        <f>IF(ISNUMBER(J125), (J125 - $B125) / $B125, "")</f>
        <v>1.4598540145985481E-2</v>
      </c>
      <c r="L125" s="16">
        <f>IF(ISNUMBER(J125), $B145 * K125, "")</f>
        <v>1459.854014598548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8"/>
      <c r="R125" s="248"/>
      <c r="S125" s="248"/>
    </row>
    <row r="126" spans="1:19" ht="17.25" thickBot="1">
      <c r="A126" s="125" t="s">
        <v>202</v>
      </c>
      <c r="B126" s="126">
        <v>83.4</v>
      </c>
      <c r="C126" s="77">
        <v>8.7353324600000004E-2</v>
      </c>
      <c r="D126" s="15">
        <v>81.900000000000006</v>
      </c>
      <c r="E126" s="32">
        <f t="shared" ref="E126:E129" si="62">IF(ISNUMBER(D126), (D126 - $B126) / $B126, "")</f>
        <v>-1.7985611510791366E-2</v>
      </c>
      <c r="F126" s="18">
        <f>IF(ISNUMBER(D126), $B145 * E126, "")</f>
        <v>-1798.5611510791366</v>
      </c>
      <c r="G126" s="31">
        <v>81.900000000000006</v>
      </c>
      <c r="H126" s="32">
        <f t="shared" ref="H126:H129" si="63">IF(ISNUMBER(G126), (G126 - $B126) / $B126, "")</f>
        <v>-1.7985611510791366E-2</v>
      </c>
      <c r="I126" s="101">
        <f>IF(ISNUMBER(G126), $B145 * H126, "")</f>
        <v>-1798.5611510791366</v>
      </c>
      <c r="J126" s="15">
        <v>81.5</v>
      </c>
      <c r="K126" s="32">
        <f t="shared" ref="K126:K129" si="64">IF(ISNUMBER(J126), (J126 - $B126) / $B126, "")</f>
        <v>-2.2781774580335798E-2</v>
      </c>
      <c r="L126" s="18">
        <f>IF(ISNUMBER(J126), $B145 * K126, "")</f>
        <v>-2278.1774580335796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8"/>
      <c r="R126" s="248"/>
      <c r="S126" s="248"/>
    </row>
    <row r="127" spans="1:19" ht="17.25" thickBot="1">
      <c r="A127" s="125" t="s">
        <v>234</v>
      </c>
      <c r="B127" s="126">
        <v>71.8</v>
      </c>
      <c r="C127" s="77">
        <v>4.6647230300000002E-2</v>
      </c>
      <c r="D127" s="15">
        <v>70.3</v>
      </c>
      <c r="E127" s="32">
        <f t="shared" si="62"/>
        <v>-2.0891364902506964E-2</v>
      </c>
      <c r="F127" s="18">
        <f>IF(ISNUMBER(D127), $B145 * E127, "")</f>
        <v>-2089.1364902506966</v>
      </c>
      <c r="G127" s="31">
        <v>70.7</v>
      </c>
      <c r="H127" s="32">
        <f t="shared" si="63"/>
        <v>-1.5320334261838361E-2</v>
      </c>
      <c r="I127" s="101">
        <f>IF(ISNUMBER(G127), $B145 * H127, "")</f>
        <v>-1532.0334261838361</v>
      </c>
      <c r="J127" s="15">
        <v>70.400000000000006</v>
      </c>
      <c r="K127" s="32">
        <f t="shared" si="64"/>
        <v>-1.9498607242339715E-2</v>
      </c>
      <c r="L127" s="18">
        <f>IF(ISNUMBER(J127), $B145 * K127, "")</f>
        <v>-1949.8607242339715</v>
      </c>
      <c r="M127" s="31"/>
      <c r="N127" s="32" t="str">
        <f t="shared" si="65"/>
        <v/>
      </c>
      <c r="O127" s="18" t="str">
        <f>IF(ISNUMBER(M127), $B145 * N127, "")</f>
        <v/>
      </c>
      <c r="Q127" s="238"/>
      <c r="R127" s="238"/>
      <c r="S127" s="238"/>
    </row>
    <row r="128" spans="1:19" ht="17.25" thickBot="1">
      <c r="A128" s="125" t="s">
        <v>152</v>
      </c>
      <c r="B128" s="126">
        <v>86.1</v>
      </c>
      <c r="C128" s="77">
        <v>3.9855072499999998E-2</v>
      </c>
      <c r="D128" s="15">
        <v>84.7</v>
      </c>
      <c r="E128" s="32">
        <f t="shared" si="62"/>
        <v>-1.6260162601625917E-2</v>
      </c>
      <c r="F128" s="18">
        <f>IF(ISNUMBER(D128), $B145 * E128, "")</f>
        <v>-1626.0162601625918</v>
      </c>
      <c r="G128" s="31">
        <v>85.8</v>
      </c>
      <c r="H128" s="32">
        <f t="shared" si="63"/>
        <v>-3.4843205574912562E-3</v>
      </c>
      <c r="I128" s="101">
        <f>IF(ISNUMBER(G128), $B145 * H128, "")</f>
        <v>-348.4320557491256</v>
      </c>
      <c r="J128" s="15">
        <v>85.9</v>
      </c>
      <c r="K128" s="32">
        <f t="shared" si="64"/>
        <v>-2.3228803716607276E-3</v>
      </c>
      <c r="L128" s="18">
        <f>IF(ISNUMBER(J128), $B145 * K128, "")</f>
        <v>-232.28803716607277</v>
      </c>
      <c r="M128" s="31"/>
      <c r="N128" s="32" t="str">
        <f t="shared" si="65"/>
        <v/>
      </c>
      <c r="O128" s="18" t="str">
        <f>IF(ISNUMBER(M128), $B145 * N128, "")</f>
        <v/>
      </c>
      <c r="Q128" s="238"/>
      <c r="R128" s="238"/>
      <c r="S128" s="238"/>
    </row>
    <row r="129" spans="1:19" ht="17.25" thickBot="1">
      <c r="A129" s="127" t="s">
        <v>250</v>
      </c>
      <c r="B129" s="128">
        <v>69.5</v>
      </c>
      <c r="C129" s="78">
        <v>3.2689450199999998E-2</v>
      </c>
      <c r="D129" s="20">
        <v>67.7</v>
      </c>
      <c r="E129" s="21">
        <f t="shared" si="62"/>
        <v>-2.5899280575539526E-2</v>
      </c>
      <c r="F129" s="22">
        <f>IF(ISNUMBER(D129), $B145 * E129, "")</f>
        <v>-2589.9280575539524</v>
      </c>
      <c r="G129" s="30">
        <v>68.400000000000006</v>
      </c>
      <c r="H129" s="21">
        <f t="shared" si="63"/>
        <v>-1.582733812949632E-2</v>
      </c>
      <c r="I129" s="105">
        <f>IF(ISNUMBER(G129), $B145 * H129, "")</f>
        <v>-1582.733812949632</v>
      </c>
      <c r="J129" s="20">
        <v>68.099999999999994</v>
      </c>
      <c r="K129" s="21">
        <f t="shared" si="64"/>
        <v>-2.0143884892086412E-2</v>
      </c>
      <c r="L129" s="22">
        <f>IF(ISNUMBER(J129), $B145 * K129, "")</f>
        <v>-2014.3884892086412</v>
      </c>
      <c r="M129" s="30"/>
      <c r="N129" s="21" t="str">
        <f t="shared" si="65"/>
        <v/>
      </c>
      <c r="O129" s="22" t="str">
        <f>IF(ISNUMBER(M129), $B145 * N129, "")</f>
        <v/>
      </c>
      <c r="Q129" s="238"/>
      <c r="R129" s="238"/>
      <c r="S129" s="238"/>
    </row>
    <row r="130" spans="1:19" ht="17.25" thickBot="1">
      <c r="A130" s="125" t="s">
        <v>204</v>
      </c>
      <c r="B130" s="129">
        <v>14.2</v>
      </c>
      <c r="C130" s="80">
        <v>2.15827338E-2</v>
      </c>
      <c r="D130" s="106">
        <v>13.9</v>
      </c>
      <c r="E130" s="107">
        <f>IF(ISNUMBER(D130), (D130 - $B130) / $B130, "")</f>
        <v>-2.1126760563380208E-2</v>
      </c>
      <c r="F130" s="108">
        <f>IF(ISNUMBER(D130), $B145 * E130, "")</f>
        <v>-2112.6760563380208</v>
      </c>
      <c r="G130" s="109">
        <v>14</v>
      </c>
      <c r="H130" s="107">
        <f>IF(ISNUMBER(G130), (G130 - $B130) / $B130, "")</f>
        <v>-1.4084507042253471E-2</v>
      </c>
      <c r="I130" s="110">
        <f>IF(ISNUMBER(G130), $B145 * H130, "")</f>
        <v>-1408.4507042253472</v>
      </c>
      <c r="J130" s="106">
        <v>13.9</v>
      </c>
      <c r="K130" s="107">
        <f>IF(ISNUMBER(J130), (J130 - $B130) / $B130, "")</f>
        <v>-2.1126760563380208E-2</v>
      </c>
      <c r="L130" s="108">
        <f>IF(ISNUMBER(J130), $B145 * K130, "")</f>
        <v>-2112.6760563380208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8"/>
      <c r="R130" s="238"/>
      <c r="S130" s="238"/>
    </row>
    <row r="131" spans="1:19" ht="17.25" thickBot="1">
      <c r="A131" s="125" t="s">
        <v>216</v>
      </c>
      <c r="B131" s="126">
        <v>10.5</v>
      </c>
      <c r="C131" s="77">
        <v>1.9417475699999999E-2</v>
      </c>
      <c r="D131" s="15">
        <v>10.6</v>
      </c>
      <c r="E131" s="32">
        <f t="shared" ref="E131:E134" si="66">IF(ISNUMBER(D131), (D131 - $B131) / $B131, "")</f>
        <v>9.52380952380949E-3</v>
      </c>
      <c r="F131" s="18">
        <f>IF(ISNUMBER(D131), $B145 * E131, "")</f>
        <v>952.380952380949</v>
      </c>
      <c r="G131" s="31">
        <v>10.8</v>
      </c>
      <c r="H131" s="32">
        <f t="shared" ref="H131:H134" si="67">IF(ISNUMBER(G131), (G131 - $B131) / $B131, "")</f>
        <v>2.857142857142864E-2</v>
      </c>
      <c r="I131" s="101">
        <f>IF(ISNUMBER(G131), $B145 * H131, "")</f>
        <v>2857.1428571428642</v>
      </c>
      <c r="J131" s="15">
        <v>10.8</v>
      </c>
      <c r="K131" s="32">
        <f t="shared" ref="K131:K134" si="68">IF(ISNUMBER(J131), (J131 - $B131) / $B131, "")</f>
        <v>2.857142857142864E-2</v>
      </c>
      <c r="L131" s="18">
        <f>IF(ISNUMBER(J131), $B145 * K131, "")</f>
        <v>2857.1428571428642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8"/>
      <c r="R131" s="238"/>
      <c r="S131" s="238"/>
    </row>
    <row r="132" spans="1:19" ht="17.25" thickBot="1">
      <c r="A132" s="125" t="s">
        <v>190</v>
      </c>
      <c r="B132" s="126">
        <v>17.399999999999999</v>
      </c>
      <c r="C132" s="77">
        <v>1.75438596E-2</v>
      </c>
      <c r="D132" s="15">
        <v>17.3</v>
      </c>
      <c r="E132" s="32">
        <f t="shared" si="66"/>
        <v>-5.7471264367814868E-3</v>
      </c>
      <c r="F132" s="18">
        <f>IF(ISNUMBER(D132), $B145 * E132, "")</f>
        <v>-574.71264367814865</v>
      </c>
      <c r="G132" s="31">
        <v>17.399999999999999</v>
      </c>
      <c r="H132" s="32">
        <f t="shared" si="67"/>
        <v>0</v>
      </c>
      <c r="I132" s="101">
        <f>IF(ISNUMBER(G132), $B145 * H132, "")</f>
        <v>0</v>
      </c>
      <c r="J132" s="15">
        <v>17.3</v>
      </c>
      <c r="K132" s="32">
        <f t="shared" si="68"/>
        <v>-5.7471264367814868E-3</v>
      </c>
      <c r="L132" s="18">
        <f>IF(ISNUMBER(J132), $B145 * K132, "")</f>
        <v>-574.71264367814865</v>
      </c>
      <c r="M132" s="31"/>
      <c r="N132" s="32" t="str">
        <f t="shared" si="69"/>
        <v/>
      </c>
      <c r="O132" s="18" t="str">
        <f>IF(ISNUMBER(M132), $B145 * N132, "")</f>
        <v/>
      </c>
      <c r="Q132" s="238"/>
      <c r="R132" s="238"/>
      <c r="S132" s="238"/>
    </row>
    <row r="133" spans="1:19" ht="17.25" thickBot="1">
      <c r="A133" s="125" t="s">
        <v>210</v>
      </c>
      <c r="B133" s="126">
        <v>11.7</v>
      </c>
      <c r="C133" s="77">
        <v>1.73913043E-2</v>
      </c>
      <c r="D133" s="15">
        <v>11.5</v>
      </c>
      <c r="E133" s="32">
        <f t="shared" si="66"/>
        <v>-1.7094017094017033E-2</v>
      </c>
      <c r="F133" s="18">
        <f>IF(ISNUMBER(D133), $B145 * E133, "")</f>
        <v>-1709.4017094017033</v>
      </c>
      <c r="G133" s="31">
        <v>11.7</v>
      </c>
      <c r="H133" s="32">
        <f t="shared" si="67"/>
        <v>0</v>
      </c>
      <c r="I133" s="101">
        <f>IF(ISNUMBER(G133), $B145 * H133, "")</f>
        <v>0</v>
      </c>
      <c r="J133" s="15">
        <v>11.7</v>
      </c>
      <c r="K133" s="32">
        <f t="shared" si="68"/>
        <v>0</v>
      </c>
      <c r="L133" s="18">
        <f>IF(ISNUMBER(J133), $B145 * K133, "")</f>
        <v>0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188</v>
      </c>
      <c r="B134" s="131">
        <v>12.6</v>
      </c>
      <c r="C134" s="79">
        <v>1.6129032299999999E-2</v>
      </c>
      <c r="D134" s="24">
        <v>12.1</v>
      </c>
      <c r="E134" s="25">
        <f t="shared" si="66"/>
        <v>-3.968253968253968E-2</v>
      </c>
      <c r="F134" s="104">
        <f>IF(ISNUMBER(D134), $B145 * E134, "")</f>
        <v>-3968.2539682539682</v>
      </c>
      <c r="G134" s="102">
        <v>12.2</v>
      </c>
      <c r="H134" s="25">
        <f t="shared" si="67"/>
        <v>-3.1746031746031772E-2</v>
      </c>
      <c r="I134" s="103">
        <f>IF(ISNUMBER(G134), $B145 * H134, "")</f>
        <v>-3174.6031746031772</v>
      </c>
      <c r="J134" s="24">
        <v>12.2</v>
      </c>
      <c r="K134" s="25">
        <f t="shared" si="68"/>
        <v>-3.1746031746031772E-2</v>
      </c>
      <c r="L134" s="104">
        <f>IF(ISNUMBER(J134), $B145 * K134, "")</f>
        <v>-3174.6031746031772</v>
      </c>
      <c r="M134" s="102"/>
      <c r="N134" s="25" t="str">
        <f t="shared" si="69"/>
        <v/>
      </c>
      <c r="O134" s="104" t="str">
        <f>IF(ISNUMBER(M134), $B145 * N134, "")</f>
        <v/>
      </c>
      <c r="Q134" s="239"/>
      <c r="R134" s="240"/>
      <c r="S134" s="241"/>
    </row>
    <row r="135" spans="1:19">
      <c r="A135" s="123" t="s">
        <v>65</v>
      </c>
      <c r="B135" s="124">
        <v>32.5</v>
      </c>
      <c r="C135" s="76">
        <v>1.2461059199999999E-2</v>
      </c>
      <c r="D135" s="13">
        <v>32.200000000000003</v>
      </c>
      <c r="E135" s="14">
        <f>IF(ISNUMBER(D135), (D135 - $B135) / $B135, "")</f>
        <v>-9.2307692307691432E-3</v>
      </c>
      <c r="F135" s="16">
        <f>IF(ISNUMBER(D135), $B145 * E135, "")</f>
        <v>-923.07692307691434</v>
      </c>
      <c r="G135" s="29">
        <v>32.1</v>
      </c>
      <c r="H135" s="14">
        <f>IF(ISNUMBER(G135), (G135 - $B135) / $B135, "")</f>
        <v>-1.2307692307692264E-2</v>
      </c>
      <c r="I135" s="100">
        <f>IF(ISNUMBER(G135), $B145 * H135, "")</f>
        <v>-1230.7692307692264</v>
      </c>
      <c r="J135" s="13">
        <v>32.1</v>
      </c>
      <c r="K135" s="14">
        <f>IF(ISNUMBER(J135), (J135 - $B135) / $B135, "")</f>
        <v>-1.2307692307692264E-2</v>
      </c>
      <c r="L135" s="16">
        <f>IF(ISNUMBER(J135), $B145 * K135, "")</f>
        <v>-1230.7692307692264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2"/>
      <c r="R135" s="243"/>
      <c r="S135" s="244"/>
    </row>
    <row r="136" spans="1:19" ht="17.25" thickBot="1">
      <c r="A136" s="125" t="s">
        <v>178</v>
      </c>
      <c r="B136" s="126">
        <v>17</v>
      </c>
      <c r="C136" s="77">
        <v>1.19047619E-2</v>
      </c>
      <c r="D136" s="15">
        <v>17.100000000000001</v>
      </c>
      <c r="E136" s="32">
        <f t="shared" ref="E136:E139" si="70">IF(ISNUMBER(D136), (D136 - $B136) / $B136, "")</f>
        <v>5.8823529411765538E-3</v>
      </c>
      <c r="F136" s="18">
        <f>IF(ISNUMBER(D136), $B145 * E136, "")</f>
        <v>588.23529411765537</v>
      </c>
      <c r="G136" s="31">
        <v>17.399999999999999</v>
      </c>
      <c r="H136" s="32">
        <f t="shared" ref="H136:H139" si="71">IF(ISNUMBER(G136), (G136 - $B136) / $B136, "")</f>
        <v>2.3529411764705799E-2</v>
      </c>
      <c r="I136" s="101">
        <f>IF(ISNUMBER(G136), $B145 * H136, "")</f>
        <v>2352.9411764705801</v>
      </c>
      <c r="J136" s="15">
        <v>17.3</v>
      </c>
      <c r="K136" s="32">
        <f t="shared" ref="K136:K139" si="72">IF(ISNUMBER(J136), (J136 - $B136) / $B136, "")</f>
        <v>1.7647058823529453E-2</v>
      </c>
      <c r="L136" s="18">
        <f>IF(ISNUMBER(J136), $B145 * K136, "")</f>
        <v>1764.7058823529453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5"/>
      <c r="R136" s="246"/>
      <c r="S136" s="247"/>
    </row>
    <row r="137" spans="1:19" ht="17.25" thickBot="1">
      <c r="A137" s="125" t="s">
        <v>72</v>
      </c>
      <c r="B137" s="126">
        <v>22.3</v>
      </c>
      <c r="C137" s="77">
        <v>9.0497738000000008E-3</v>
      </c>
      <c r="D137" s="15">
        <v>22.2</v>
      </c>
      <c r="E137" s="32">
        <f t="shared" si="70"/>
        <v>-4.4843049327354893E-3</v>
      </c>
      <c r="F137" s="18">
        <f>IF(ISNUMBER(D137), $B145 * E137, "")</f>
        <v>-448.4304932735489</v>
      </c>
      <c r="G137" s="31">
        <v>22.4</v>
      </c>
      <c r="H137" s="32">
        <f t="shared" si="71"/>
        <v>4.4843049327353305E-3</v>
      </c>
      <c r="I137" s="101">
        <f>IF(ISNUMBER(G137), $B145 * H137, "")</f>
        <v>448.43049327353305</v>
      </c>
      <c r="J137" s="15">
        <v>22.2</v>
      </c>
      <c r="K137" s="32">
        <f t="shared" si="72"/>
        <v>-4.4843049327354893E-3</v>
      </c>
      <c r="L137" s="18">
        <f>IF(ISNUMBER(J137), $B145 * K137, "")</f>
        <v>-448.4304932735489</v>
      </c>
      <c r="M137" s="31"/>
      <c r="N137" s="32" t="str">
        <f t="shared" si="73"/>
        <v/>
      </c>
      <c r="O137" s="18" t="str">
        <f>IF(ISNUMBER(M137), $B145 * N137, "")</f>
        <v/>
      </c>
      <c r="Q137" s="238"/>
      <c r="R137" s="238"/>
      <c r="S137" s="238"/>
    </row>
    <row r="138" spans="1:19" ht="17.25" thickBot="1">
      <c r="A138" s="125" t="s">
        <v>148</v>
      </c>
      <c r="B138" s="126">
        <v>19.8</v>
      </c>
      <c r="C138" s="77">
        <v>5.0761421000000001E-3</v>
      </c>
      <c r="D138" s="15">
        <v>19.399999999999999</v>
      </c>
      <c r="E138" s="32">
        <f t="shared" si="70"/>
        <v>-2.0202020202020308E-2</v>
      </c>
      <c r="F138" s="18">
        <f>IF(ISNUMBER(D138), $B145 * E138, "")</f>
        <v>-2020.2020202020308</v>
      </c>
      <c r="G138" s="31">
        <v>19.600000000000001</v>
      </c>
      <c r="H138" s="32">
        <f t="shared" si="71"/>
        <v>-1.0101010101010065E-2</v>
      </c>
      <c r="I138" s="101">
        <f>IF(ISNUMBER(G138), $B145 * H138, "")</f>
        <v>-1010.1010101010065</v>
      </c>
      <c r="J138" s="15">
        <v>19.5</v>
      </c>
      <c r="K138" s="32">
        <f t="shared" si="72"/>
        <v>-1.5151515151515187E-2</v>
      </c>
      <c r="L138" s="18">
        <f>IF(ISNUMBER(J138), $B145 * K138, "")</f>
        <v>-1515.1515151515187</v>
      </c>
      <c r="M138" s="31"/>
      <c r="N138" s="32" t="str">
        <f t="shared" si="73"/>
        <v/>
      </c>
      <c r="O138" s="18" t="str">
        <f>IF(ISNUMBER(M138), $B145 * N138, "")</f>
        <v/>
      </c>
      <c r="Q138" s="248"/>
      <c r="R138" s="248"/>
      <c r="S138" s="248"/>
    </row>
    <row r="139" spans="1:19" ht="17.25" thickBot="1">
      <c r="A139" s="127" t="s">
        <v>98</v>
      </c>
      <c r="B139" s="128">
        <v>4.43</v>
      </c>
      <c r="C139" s="78">
        <v>2.2624434E-3</v>
      </c>
      <c r="D139" s="20">
        <v>4.28</v>
      </c>
      <c r="E139" s="21">
        <f t="shared" si="70"/>
        <v>-3.3860045146726747E-2</v>
      </c>
      <c r="F139" s="22">
        <f>IF(ISNUMBER(D139), $B145 * E139, "")</f>
        <v>-3386.0045146726748</v>
      </c>
      <c r="G139" s="30">
        <v>4.4800000000000004</v>
      </c>
      <c r="H139" s="21">
        <f t="shared" si="71"/>
        <v>1.1286681715575782E-2</v>
      </c>
      <c r="I139" s="105">
        <f>IF(ISNUMBER(G139), $B145 * H139, "")</f>
        <v>1128.6681715575783</v>
      </c>
      <c r="J139" s="20">
        <v>4.45</v>
      </c>
      <c r="K139" s="21">
        <f t="shared" si="72"/>
        <v>4.5146726862303529E-3</v>
      </c>
      <c r="L139" s="22">
        <f>IF(ISNUMBER(J139), $B145 * K139, "")</f>
        <v>451.4672686230353</v>
      </c>
      <c r="M139" s="30"/>
      <c r="N139" s="21" t="str">
        <f t="shared" si="73"/>
        <v/>
      </c>
      <c r="O139" s="22" t="str">
        <f>IF(ISNUMBER(M139), $B145 * N139, "")</f>
        <v/>
      </c>
      <c r="Q139" s="248"/>
      <c r="R139" s="248"/>
      <c r="S139" s="248"/>
    </row>
    <row r="140" spans="1:19" ht="17.25" thickBot="1">
      <c r="A140" s="125" t="s">
        <v>240</v>
      </c>
      <c r="B140" s="129">
        <v>64.099999999999994</v>
      </c>
      <c r="C140" s="80">
        <v>0</v>
      </c>
      <c r="D140" s="106">
        <v>66.099999999999994</v>
      </c>
      <c r="E140" s="107">
        <f>IF(ISNUMBER(D140), (D140 - $B140) / $B140, "")</f>
        <v>3.1201248049921998E-2</v>
      </c>
      <c r="F140" s="108">
        <f>IF(ISNUMBER(D140), $B145 * E140, "")</f>
        <v>3120.1248049921996</v>
      </c>
      <c r="G140" s="109">
        <v>65.8</v>
      </c>
      <c r="H140" s="107">
        <f>IF(ISNUMBER(G140), (G140 - $B140) / $B140, "")</f>
        <v>2.6521060842433743E-2</v>
      </c>
      <c r="I140" s="110">
        <f>IF(ISNUMBER(G140), $B145 * H140, "")</f>
        <v>2652.1060842433744</v>
      </c>
      <c r="J140" s="106">
        <v>65.400000000000006</v>
      </c>
      <c r="K140" s="107">
        <f>IF(ISNUMBER(J140), (J140 - $B140) / $B140, "")</f>
        <v>2.0280811232449476E-2</v>
      </c>
      <c r="L140" s="108">
        <f>IF(ISNUMBER(J140), $B145 * K140, "")</f>
        <v>2028.0811232449475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8"/>
      <c r="R140" s="238"/>
      <c r="S140" s="238"/>
    </row>
    <row r="141" spans="1:19" ht="17.25" thickBot="1">
      <c r="A141" s="125" t="s">
        <v>122</v>
      </c>
      <c r="B141" s="126">
        <v>29</v>
      </c>
      <c r="C141" s="77">
        <v>0</v>
      </c>
      <c r="D141" s="15">
        <v>30.6</v>
      </c>
      <c r="E141" s="32">
        <f t="shared" ref="E141:E144" si="74">IF(ISNUMBER(D141), (D141 - $B141) / $B141, "")</f>
        <v>5.5172413793103496E-2</v>
      </c>
      <c r="F141" s="18">
        <f>IF(ISNUMBER(D141), $B145 * E141, "")</f>
        <v>5517.2413793103497</v>
      </c>
      <c r="G141" s="31">
        <v>31.3</v>
      </c>
      <c r="H141" s="32">
        <f t="shared" ref="H141:H144" si="75">IF(ISNUMBER(G141), (G141 - $B141) / $B141, "")</f>
        <v>7.9310344827586227E-2</v>
      </c>
      <c r="I141" s="101">
        <f>IF(ISNUMBER(G141), $B145 * H141, "")</f>
        <v>7931.0344827586223</v>
      </c>
      <c r="J141" s="15">
        <v>30.4</v>
      </c>
      <c r="K141" s="32">
        <f t="shared" ref="K141:K144" si="76">IF(ISNUMBER(J141), (J141 - $B141) / $B141, "")</f>
        <v>4.8275862068965468E-2</v>
      </c>
      <c r="L141" s="18">
        <f>IF(ISNUMBER(J141), $B145 * K141, "")</f>
        <v>4827.5862068965471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8"/>
      <c r="R141" s="238"/>
      <c r="S141" s="238"/>
    </row>
    <row r="142" spans="1:19" ht="17.25" thickBot="1">
      <c r="A142" s="125" t="s">
        <v>150</v>
      </c>
      <c r="B142" s="126">
        <v>13</v>
      </c>
      <c r="C142" s="77">
        <v>-7.6335878000000001E-3</v>
      </c>
      <c r="D142" s="15">
        <v>12.6</v>
      </c>
      <c r="E142" s="32">
        <f t="shared" si="74"/>
        <v>-3.0769230769230795E-2</v>
      </c>
      <c r="F142" s="18">
        <f>IF(ISNUMBER(D142), $B145 * E142, "")</f>
        <v>-3076.9230769230794</v>
      </c>
      <c r="G142" s="31">
        <v>12.7</v>
      </c>
      <c r="H142" s="32">
        <f t="shared" si="75"/>
        <v>-2.307692307692313E-2</v>
      </c>
      <c r="I142" s="101">
        <f>IF(ISNUMBER(G142), $B145 * H142, "")</f>
        <v>-2307.6923076923131</v>
      </c>
      <c r="J142" s="15">
        <v>12.7</v>
      </c>
      <c r="K142" s="32">
        <f t="shared" si="76"/>
        <v>-2.307692307692313E-2</v>
      </c>
      <c r="L142" s="18">
        <f>IF(ISNUMBER(J142), $B145 * K142, "")</f>
        <v>-2307.6923076923131</v>
      </c>
      <c r="M142" s="31"/>
      <c r="N142" s="32" t="str">
        <f t="shared" si="77"/>
        <v/>
      </c>
      <c r="O142" s="18" t="str">
        <f>IF(ISNUMBER(M142), $B145 * N142, "")</f>
        <v/>
      </c>
      <c r="Q142" s="238"/>
      <c r="R142" s="238"/>
      <c r="S142" s="238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7"/>
      <c r="R143" s="228"/>
      <c r="S143" s="22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0"/>
      <c r="R144" s="231"/>
      <c r="S144" s="232"/>
    </row>
    <row r="145" spans="1:19" ht="17.25" thickBot="1">
      <c r="A145" s="132" t="s">
        <v>270</v>
      </c>
      <c r="B145" s="291">
        <f>$B$37</f>
        <v>100000</v>
      </c>
      <c r="C145" s="292"/>
      <c r="D145" s="26" t="s">
        <v>271</v>
      </c>
      <c r="E145" s="27">
        <f>IF(COUNT(E125:E144), SUM(E125:E144) / COUNT(E125:E144), 0)</f>
        <v>-8.969633852258508E-3</v>
      </c>
      <c r="F145" s="28">
        <f>SUM(F125:F144)</f>
        <v>-16145.340934065312</v>
      </c>
      <c r="G145" s="26" t="s">
        <v>271</v>
      </c>
      <c r="H145" s="27">
        <f>IF(COUNT(H125:H144), SUM(H125:H144) / COUNT(H125:H144), 0)</f>
        <v>2.4648891148290547E-3</v>
      </c>
      <c r="I145" s="28">
        <f>SUM(I125:I144)</f>
        <v>4436.8004066922995</v>
      </c>
      <c r="J145" s="26" t="s">
        <v>271</v>
      </c>
      <c r="K145" s="27">
        <f>IF(COUNT(K125:K144), SUM(K125:K144) / COUNT(K125:K144), 0)</f>
        <v>-2.4721737651607414E-3</v>
      </c>
      <c r="L145" s="28">
        <f>SUM(L125:L144)</f>
        <v>-4449.9127772893316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33"/>
      <c r="R145" s="234"/>
      <c r="S145" s="23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48"/>
      <c r="R148" s="248"/>
      <c r="S148" s="248"/>
    </row>
    <row r="149" spans="1:19" ht="17.25" thickBot="1">
      <c r="A149" s="185" t="s">
        <v>267</v>
      </c>
      <c r="B149" s="249" t="s">
        <v>49</v>
      </c>
      <c r="C149" s="251"/>
      <c r="D149" s="249" t="s">
        <v>58</v>
      </c>
      <c r="E149" s="250"/>
      <c r="F149" s="251"/>
      <c r="G149" s="252">
        <f>_xlfn.IFNA(VLOOKUP(B149, 현재가테이블!$B$2:$D$200, 2, FALSE), "-")</f>
        <v>54440000</v>
      </c>
      <c r="H149" s="253"/>
      <c r="I149" s="254"/>
      <c r="J149" s="249" t="s">
        <v>59</v>
      </c>
      <c r="K149" s="250"/>
      <c r="L149" s="251"/>
      <c r="M149" s="255">
        <f>_xlfn.IFNA(VLOOKUP(B149, 현재가테이블!$B$2:$D$200, 3, FALSE), "-")</f>
        <v>1.07123628E-2</v>
      </c>
      <c r="N149" s="256"/>
      <c r="O149" s="257"/>
      <c r="Q149" s="248"/>
      <c r="R149" s="248"/>
      <c r="S149" s="248"/>
    </row>
    <row r="150" spans="1:19" ht="17.25" thickBot="1">
      <c r="A150" s="293" t="s">
        <v>55</v>
      </c>
      <c r="B150" s="289" t="str">
        <f>TEXT($G$1, "[$-ko-KR]yyyy-mm-dd(ddd) ") &amp; "오전 00:00"</f>
        <v>2021-08-08(일) 오전 00:00</v>
      </c>
      <c r="C150" s="290"/>
      <c r="D150" s="262" t="str">
        <f>TEXT($G$1, "[$-ko-KR]yyyy-mm-dd(ddd) ") &amp; "오후 14:00"</f>
        <v>2021-08-08(일) 오후 14:00</v>
      </c>
      <c r="E150" s="263"/>
      <c r="F150" s="264"/>
      <c r="G150" s="262" t="str">
        <f>TEXT($G$1, "[$-ko-KR]yyyy-mm-dd(ddd) ") &amp; "오후 19:00"</f>
        <v>2021-08-08(일) 오후 19:00</v>
      </c>
      <c r="H150" s="263"/>
      <c r="I150" s="264"/>
      <c r="J150" s="262" t="str">
        <f>TEXT($G$1, "[$-ko-KR]yyyy-mm-dd(ddd) ") &amp; "오후 21:00"</f>
        <v>2021-08-08(일) 오후 21:00</v>
      </c>
      <c r="K150" s="263"/>
      <c r="L150" s="264"/>
      <c r="M150" s="262" t="str">
        <f>TEXT($G$1+1, "[$-ko-KR]yyyy-mm-dd(ddd) ") &amp; "오전 00:00"</f>
        <v>2021-08-09(월) 오전 00:00</v>
      </c>
      <c r="N150" s="263"/>
      <c r="O150" s="264"/>
      <c r="Q150" s="248"/>
      <c r="R150" s="248"/>
      <c r="S150" s="248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6" t="s">
        <v>58</v>
      </c>
      <c r="H151" s="187" t="s">
        <v>268</v>
      </c>
      <c r="I151" s="18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8"/>
      <c r="R151" s="238"/>
      <c r="S151" s="238"/>
    </row>
    <row r="152" spans="1:19" ht="17.25" thickBot="1">
      <c r="A152" s="123" t="s">
        <v>184</v>
      </c>
      <c r="B152" s="124">
        <v>970</v>
      </c>
      <c r="C152" s="76">
        <v>1.14702815E-2</v>
      </c>
      <c r="D152" s="13">
        <v>999</v>
      </c>
      <c r="E152" s="14">
        <f>IF(ISNUMBER(D152), (D152 - $B152) / $B152, "")</f>
        <v>2.9896907216494847E-2</v>
      </c>
      <c r="F152" s="16">
        <f>IF(ISNUMBER(D152), $B172 * E152, "")</f>
        <v>2989.6907216494847</v>
      </c>
      <c r="G152" s="29">
        <v>1000</v>
      </c>
      <c r="H152" s="14">
        <f>IF(ISNUMBER(G152), (G152 - $B152) / $B152, "")</f>
        <v>3.0927835051546393E-2</v>
      </c>
      <c r="I152" s="100">
        <f>IF(ISNUMBER(G152), $B172 * H152, "")</f>
        <v>3092.7835051546394</v>
      </c>
      <c r="J152" s="13">
        <v>995</v>
      </c>
      <c r="K152" s="14">
        <f>IF(ISNUMBER(J152), (J152 - $B152) / $B152, "")</f>
        <v>2.5773195876288658E-2</v>
      </c>
      <c r="L152" s="16">
        <f>IF(ISNUMBER(J152), $B172 * K152, "")</f>
        <v>2577.319587628866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8"/>
      <c r="R152" s="248"/>
      <c r="S152" s="248"/>
    </row>
    <row r="153" spans="1:19" ht="17.25" thickBot="1">
      <c r="A153" s="125" t="s">
        <v>238</v>
      </c>
      <c r="B153" s="126">
        <v>105</v>
      </c>
      <c r="C153" s="77">
        <v>9.6153846000000005E-3</v>
      </c>
      <c r="D153" s="15">
        <v>102</v>
      </c>
      <c r="E153" s="32">
        <f t="shared" ref="E153:E156" si="78">IF(ISNUMBER(D153), (D153 - $B153) / $B153, "")</f>
        <v>-2.8571428571428571E-2</v>
      </c>
      <c r="F153" s="18">
        <f>IF(ISNUMBER(D153), $B172 * E153, "")</f>
        <v>-2857.1428571428569</v>
      </c>
      <c r="G153" s="31">
        <v>103</v>
      </c>
      <c r="H153" s="32">
        <f t="shared" ref="H153:H156" si="79">IF(ISNUMBER(G153), (G153 - $B153) / $B153, "")</f>
        <v>-1.9047619047619049E-2</v>
      </c>
      <c r="I153" s="101">
        <f>IF(ISNUMBER(G153), $B172 * H153, "")</f>
        <v>-1904.761904761905</v>
      </c>
      <c r="J153" s="15">
        <v>103</v>
      </c>
      <c r="K153" s="32">
        <f t="shared" ref="K153:K156" si="80">IF(ISNUMBER(J153), (J153 - $B153) / $B153, "")</f>
        <v>-1.9047619047619049E-2</v>
      </c>
      <c r="L153" s="18">
        <f>IF(ISNUMBER(J153), $B172 * K153, "")</f>
        <v>-1904.761904761905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8"/>
      <c r="R153" s="248"/>
      <c r="S153" s="248"/>
    </row>
    <row r="154" spans="1:19" ht="17.25" thickBot="1">
      <c r="A154" s="125" t="s">
        <v>132</v>
      </c>
      <c r="B154" s="126">
        <v>107</v>
      </c>
      <c r="C154" s="77">
        <v>9.4339622999999994E-3</v>
      </c>
      <c r="D154" s="15">
        <v>105</v>
      </c>
      <c r="E154" s="32">
        <f t="shared" si="78"/>
        <v>-1.8691588785046728E-2</v>
      </c>
      <c r="F154" s="18">
        <f>IF(ISNUMBER(D154), $B172 * E154, "")</f>
        <v>-1869.1588785046727</v>
      </c>
      <c r="G154" s="31">
        <v>105</v>
      </c>
      <c r="H154" s="32">
        <f t="shared" si="79"/>
        <v>-1.8691588785046728E-2</v>
      </c>
      <c r="I154" s="101">
        <f>IF(ISNUMBER(G154), $B172 * H154, "")</f>
        <v>-1869.1588785046727</v>
      </c>
      <c r="J154" s="15">
        <v>103</v>
      </c>
      <c r="K154" s="32">
        <f t="shared" si="80"/>
        <v>-3.7383177570093455E-2</v>
      </c>
      <c r="L154" s="18">
        <f>IF(ISNUMBER(J154), $B172 * K154, "")</f>
        <v>-3738.3177570093453</v>
      </c>
      <c r="M154" s="31"/>
      <c r="N154" s="32" t="str">
        <f t="shared" si="81"/>
        <v/>
      </c>
      <c r="O154" s="18" t="str">
        <f>IF(ISNUMBER(M154), $B172 * N154, "")</f>
        <v/>
      </c>
      <c r="Q154" s="238"/>
      <c r="R154" s="238"/>
      <c r="S154" s="238"/>
    </row>
    <row r="155" spans="1:19" ht="17.25" thickBot="1">
      <c r="A155" s="125" t="s">
        <v>222</v>
      </c>
      <c r="B155" s="126">
        <v>136</v>
      </c>
      <c r="C155" s="77">
        <v>7.4074073999999997E-3</v>
      </c>
      <c r="D155" s="15">
        <v>146</v>
      </c>
      <c r="E155" s="32">
        <f t="shared" si="78"/>
        <v>7.3529411764705885E-2</v>
      </c>
      <c r="F155" s="18">
        <f>IF(ISNUMBER(D155), $B172 * E155, "")</f>
        <v>7352.9411764705883</v>
      </c>
      <c r="G155" s="31">
        <v>150</v>
      </c>
      <c r="H155" s="32">
        <f t="shared" si="79"/>
        <v>0.10294117647058823</v>
      </c>
      <c r="I155" s="101">
        <f>IF(ISNUMBER(G155), $B172 * H155, "")</f>
        <v>10294.117647058823</v>
      </c>
      <c r="J155" s="15">
        <v>150</v>
      </c>
      <c r="K155" s="32">
        <f t="shared" si="80"/>
        <v>0.10294117647058823</v>
      </c>
      <c r="L155" s="18">
        <f>IF(ISNUMBER(J155), $B172 * K155, "")</f>
        <v>10294.117647058823</v>
      </c>
      <c r="M155" s="31"/>
      <c r="N155" s="32" t="str">
        <f t="shared" si="81"/>
        <v/>
      </c>
      <c r="O155" s="18" t="str">
        <f>IF(ISNUMBER(M155), $B172 * N155, "")</f>
        <v/>
      </c>
      <c r="Q155" s="238"/>
      <c r="R155" s="238"/>
      <c r="S155" s="238"/>
    </row>
    <row r="156" spans="1:19" ht="17.25" thickBot="1">
      <c r="A156" s="127" t="s">
        <v>200</v>
      </c>
      <c r="B156" s="128">
        <v>140</v>
      </c>
      <c r="C156" s="78">
        <v>7.1942446E-3</v>
      </c>
      <c r="D156" s="20">
        <v>139</v>
      </c>
      <c r="E156" s="21">
        <f t="shared" si="78"/>
        <v>-7.1428571428571426E-3</v>
      </c>
      <c r="F156" s="22">
        <f>IF(ISNUMBER(D156), $B172 * E156, "")</f>
        <v>-714.28571428571422</v>
      </c>
      <c r="G156" s="30">
        <v>139</v>
      </c>
      <c r="H156" s="21">
        <f t="shared" si="79"/>
        <v>-7.1428571428571426E-3</v>
      </c>
      <c r="I156" s="105">
        <f>IF(ISNUMBER(G156), $B172 * H156, "")</f>
        <v>-714.28571428571422</v>
      </c>
      <c r="J156" s="20">
        <v>140</v>
      </c>
      <c r="K156" s="21">
        <f t="shared" si="80"/>
        <v>0</v>
      </c>
      <c r="L156" s="22">
        <f>IF(ISNUMBER(J156), $B172 * K156, "")</f>
        <v>0</v>
      </c>
      <c r="M156" s="30"/>
      <c r="N156" s="21" t="str">
        <f t="shared" si="81"/>
        <v/>
      </c>
      <c r="O156" s="22" t="str">
        <f>IF(ISNUMBER(M156), $B172 * N156, "")</f>
        <v/>
      </c>
      <c r="Q156" s="238"/>
      <c r="R156" s="238"/>
      <c r="S156" s="238"/>
    </row>
    <row r="157" spans="1:19" ht="17.25" thickBot="1">
      <c r="A157" s="125" t="s">
        <v>194</v>
      </c>
      <c r="B157" s="129">
        <v>148</v>
      </c>
      <c r="C157" s="80">
        <v>6.8027210999999999E-3</v>
      </c>
      <c r="D157" s="106">
        <v>143</v>
      </c>
      <c r="E157" s="107">
        <f>IF(ISNUMBER(D157), (D157 - $B157) / $B157, "")</f>
        <v>-3.3783783783783786E-2</v>
      </c>
      <c r="F157" s="108">
        <f>IF(ISNUMBER(D157), $B172 * E157, "")</f>
        <v>-3378.3783783783788</v>
      </c>
      <c r="G157" s="109">
        <v>145</v>
      </c>
      <c r="H157" s="107">
        <f>IF(ISNUMBER(G157), (G157 - $B157) / $B157, "")</f>
        <v>-2.0270270270270271E-2</v>
      </c>
      <c r="I157" s="110">
        <f>IF(ISNUMBER(G157), $B172 * H157, "")</f>
        <v>-2027.0270270270271</v>
      </c>
      <c r="J157" s="106">
        <v>143</v>
      </c>
      <c r="K157" s="107">
        <f>IF(ISNUMBER(J157), (J157 - $B157) / $B157, "")</f>
        <v>-3.3783783783783786E-2</v>
      </c>
      <c r="L157" s="108">
        <f>IF(ISNUMBER(J157), $B172 * K157, "")</f>
        <v>-3378.3783783783788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8"/>
      <c r="R157" s="238"/>
      <c r="S157" s="238"/>
    </row>
    <row r="158" spans="1:19" ht="17.25" thickBot="1">
      <c r="A158" s="125" t="s">
        <v>232</v>
      </c>
      <c r="B158" s="126">
        <v>495</v>
      </c>
      <c r="C158" s="77">
        <v>6.0975609999999996E-3</v>
      </c>
      <c r="D158" s="15">
        <v>518</v>
      </c>
      <c r="E158" s="32">
        <f t="shared" ref="E158:E161" si="82">IF(ISNUMBER(D158), (D158 - $B158) / $B158, "")</f>
        <v>4.6464646464646465E-2</v>
      </c>
      <c r="F158" s="18">
        <f>IF(ISNUMBER(D158), $B172 * E158, "")</f>
        <v>4646.4646464646466</v>
      </c>
      <c r="G158" s="31">
        <v>525</v>
      </c>
      <c r="H158" s="32">
        <f t="shared" ref="H158:H161" si="83">IF(ISNUMBER(G158), (G158 - $B158) / $B158, "")</f>
        <v>6.0606060606060608E-2</v>
      </c>
      <c r="I158" s="101">
        <f>IF(ISNUMBER(G158), $B172 * H158, "")</f>
        <v>6060.606060606061</v>
      </c>
      <c r="J158" s="15">
        <v>529</v>
      </c>
      <c r="K158" s="32">
        <f t="shared" ref="K158:K161" si="84">IF(ISNUMBER(J158), (J158 - $B158) / $B158, "")</f>
        <v>6.8686868686868685E-2</v>
      </c>
      <c r="L158" s="18">
        <f>IF(ISNUMBER(J158), $B172 * K158, "")</f>
        <v>6868.6868686868684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8"/>
      <c r="R158" s="238"/>
      <c r="S158" s="238"/>
    </row>
    <row r="159" spans="1:19" ht="17.25" thickBot="1">
      <c r="A159" s="125" t="s">
        <v>228</v>
      </c>
      <c r="B159" s="126">
        <v>395</v>
      </c>
      <c r="C159" s="77">
        <v>5.0890585000000002E-3</v>
      </c>
      <c r="D159" s="15">
        <v>400</v>
      </c>
      <c r="E159" s="32">
        <f t="shared" si="82"/>
        <v>1.2658227848101266E-2</v>
      </c>
      <c r="F159" s="18">
        <f>IF(ISNUMBER(D159), $B172 * E159, "")</f>
        <v>1265.8227848101264</v>
      </c>
      <c r="G159" s="31">
        <v>401</v>
      </c>
      <c r="H159" s="32">
        <f t="shared" si="83"/>
        <v>1.5189873417721518E-2</v>
      </c>
      <c r="I159" s="101">
        <f>IF(ISNUMBER(G159), $B172 * H159, "")</f>
        <v>1518.9873417721519</v>
      </c>
      <c r="J159" s="15">
        <v>399</v>
      </c>
      <c r="K159" s="32">
        <f t="shared" si="84"/>
        <v>1.0126582278481013E-2</v>
      </c>
      <c r="L159" s="18">
        <f>IF(ISNUMBER(J159), $B172 * K159, "")</f>
        <v>1012.6582278481013</v>
      </c>
      <c r="M159" s="31"/>
      <c r="N159" s="32" t="str">
        <f t="shared" si="85"/>
        <v/>
      </c>
      <c r="O159" s="18" t="str">
        <f>IF(ISNUMBER(M159), $B172 * N159, "")</f>
        <v/>
      </c>
      <c r="Q159" s="238"/>
      <c r="R159" s="238"/>
      <c r="S159" s="238"/>
    </row>
    <row r="160" spans="1:19" ht="17.25" thickBot="1">
      <c r="A160" s="125" t="s">
        <v>230</v>
      </c>
      <c r="B160" s="126">
        <v>206</v>
      </c>
      <c r="C160" s="77">
        <v>4.8780487999999997E-3</v>
      </c>
      <c r="D160" s="15">
        <v>207</v>
      </c>
      <c r="E160" s="32">
        <f t="shared" si="82"/>
        <v>4.8543689320388345E-3</v>
      </c>
      <c r="F160" s="18">
        <f>IF(ISNUMBER(D160), $B172 * E160, "")</f>
        <v>485.43689320388347</v>
      </c>
      <c r="G160" s="31">
        <v>207</v>
      </c>
      <c r="H160" s="32">
        <f t="shared" si="83"/>
        <v>4.8543689320388345E-3</v>
      </c>
      <c r="I160" s="101">
        <f>IF(ISNUMBER(G160), $B172 * H160, "")</f>
        <v>485.43689320388347</v>
      </c>
      <c r="J160" s="15">
        <v>206</v>
      </c>
      <c r="K160" s="32">
        <f t="shared" si="84"/>
        <v>0</v>
      </c>
      <c r="L160" s="18">
        <f>IF(ISNUMBER(J160), $B172 * K160, "")</f>
        <v>0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206</v>
      </c>
      <c r="B161" s="131">
        <v>325</v>
      </c>
      <c r="C161" s="79">
        <v>3.0864197999999998E-3</v>
      </c>
      <c r="D161" s="24">
        <v>321</v>
      </c>
      <c r="E161" s="25">
        <f t="shared" si="82"/>
        <v>-1.2307692307692308E-2</v>
      </c>
      <c r="F161" s="104">
        <f>IF(ISNUMBER(D161), $B172 * E161, "")</f>
        <v>-1230.7692307692307</v>
      </c>
      <c r="G161" s="102">
        <v>325</v>
      </c>
      <c r="H161" s="25">
        <f t="shared" si="83"/>
        <v>0</v>
      </c>
      <c r="I161" s="103">
        <f>IF(ISNUMBER(G161), $B172 * H161, "")</f>
        <v>0</v>
      </c>
      <c r="J161" s="24">
        <v>323</v>
      </c>
      <c r="K161" s="25">
        <f t="shared" si="84"/>
        <v>-6.1538461538461538E-3</v>
      </c>
      <c r="L161" s="104">
        <f>IF(ISNUMBER(J161), $B172 * K161, "")</f>
        <v>-615.38461538461536</v>
      </c>
      <c r="M161" s="102"/>
      <c r="N161" s="25" t="str">
        <f t="shared" si="85"/>
        <v/>
      </c>
      <c r="O161" s="104" t="str">
        <f>IF(ISNUMBER(M161), $B172 * N161, "")</f>
        <v/>
      </c>
      <c r="Q161" s="239"/>
      <c r="R161" s="240"/>
      <c r="S161" s="241"/>
    </row>
    <row r="162" spans="1:19">
      <c r="A162" s="123" t="s">
        <v>124</v>
      </c>
      <c r="B162" s="124">
        <v>343</v>
      </c>
      <c r="C162" s="76">
        <v>2.9239766000000002E-3</v>
      </c>
      <c r="D162" s="13">
        <v>338</v>
      </c>
      <c r="E162" s="14">
        <f>IF(ISNUMBER(D162), (D162 - $B162) / $B162, "")</f>
        <v>-1.4577259475218658E-2</v>
      </c>
      <c r="F162" s="16">
        <f>IF(ISNUMBER(D162), $B172 * E162, "")</f>
        <v>-1457.7259475218659</v>
      </c>
      <c r="G162" s="29">
        <v>341</v>
      </c>
      <c r="H162" s="14">
        <f>IF(ISNUMBER(G162), (G162 - $B162) / $B162, "")</f>
        <v>-5.8309037900874635E-3</v>
      </c>
      <c r="I162" s="100">
        <f>IF(ISNUMBER(G162), $B172 * H162, "")</f>
        <v>-583.09037900874637</v>
      </c>
      <c r="J162" s="13">
        <v>342</v>
      </c>
      <c r="K162" s="14">
        <f>IF(ISNUMBER(J162), (J162 - $B162) / $B162, "")</f>
        <v>-2.9154518950437317E-3</v>
      </c>
      <c r="L162" s="16">
        <f>IF(ISNUMBER(J162), $B172 * K162, "")</f>
        <v>-291.54518950437318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2"/>
      <c r="R162" s="243"/>
      <c r="S162" s="244"/>
    </row>
    <row r="163" spans="1:19" ht="17.25" thickBot="1">
      <c r="A163" s="125" t="s">
        <v>254</v>
      </c>
      <c r="B163" s="126">
        <v>291</v>
      </c>
      <c r="C163" s="77">
        <v>0</v>
      </c>
      <c r="D163" s="15">
        <v>287</v>
      </c>
      <c r="E163" s="32">
        <f t="shared" ref="E163:E166" si="86">IF(ISNUMBER(D163), (D163 - $B163) / $B163, "")</f>
        <v>-1.3745704467353952E-2</v>
      </c>
      <c r="F163" s="18">
        <f>IF(ISNUMBER(D163), $B172 * E163, "")</f>
        <v>-1374.5704467353951</v>
      </c>
      <c r="G163" s="31">
        <v>288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288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5"/>
      <c r="R163" s="246"/>
      <c r="S163" s="247"/>
    </row>
    <row r="164" spans="1:19" ht="17.25" thickBot="1">
      <c r="A164" s="125" t="s">
        <v>138</v>
      </c>
      <c r="B164" s="126">
        <v>388</v>
      </c>
      <c r="C164" s="77">
        <v>0</v>
      </c>
      <c r="D164" s="15">
        <v>387</v>
      </c>
      <c r="E164" s="32">
        <f t="shared" si="86"/>
        <v>-2.5773195876288659E-3</v>
      </c>
      <c r="F164" s="18">
        <f>IF(ISNUMBER(D164), $B172 * E164, "")</f>
        <v>-257.73195876288662</v>
      </c>
      <c r="G164" s="31">
        <v>387</v>
      </c>
      <c r="H164" s="32">
        <f t="shared" si="87"/>
        <v>-2.5773195876288659E-3</v>
      </c>
      <c r="I164" s="101">
        <f>IF(ISNUMBER(G164), $B172 * H164, "")</f>
        <v>-257.73195876288662</v>
      </c>
      <c r="J164" s="15">
        <v>385</v>
      </c>
      <c r="K164" s="32">
        <f t="shared" si="88"/>
        <v>-7.7319587628865982E-3</v>
      </c>
      <c r="L164" s="18">
        <f>IF(ISNUMBER(J164), $B172 * K164, "")</f>
        <v>-773.19587628865986</v>
      </c>
      <c r="M164" s="31"/>
      <c r="N164" s="32" t="str">
        <f t="shared" si="89"/>
        <v/>
      </c>
      <c r="O164" s="18" t="str">
        <f>IF(ISNUMBER(M164), $B172 * N164, "")</f>
        <v/>
      </c>
      <c r="Q164" s="238"/>
      <c r="R164" s="238"/>
      <c r="S164" s="238"/>
    </row>
    <row r="165" spans="1:19" ht="17.25" thickBot="1">
      <c r="A165" s="125" t="s">
        <v>130</v>
      </c>
      <c r="B165" s="126">
        <v>102</v>
      </c>
      <c r="C165" s="77">
        <v>0</v>
      </c>
      <c r="D165" s="15">
        <v>101</v>
      </c>
      <c r="E165" s="32">
        <f t="shared" si="86"/>
        <v>-9.8039215686274508E-3</v>
      </c>
      <c r="F165" s="18">
        <f>IF(ISNUMBER(D165), $B172 * E165, "")</f>
        <v>-980.39215686274508</v>
      </c>
      <c r="G165" s="31">
        <v>101</v>
      </c>
      <c r="H165" s="32">
        <f t="shared" si="87"/>
        <v>-9.8039215686274508E-3</v>
      </c>
      <c r="I165" s="101">
        <f>IF(ISNUMBER(G165), $B172 * H165, "")</f>
        <v>-980.39215686274508</v>
      </c>
      <c r="J165" s="15">
        <v>102</v>
      </c>
      <c r="K165" s="32">
        <f t="shared" si="88"/>
        <v>0</v>
      </c>
      <c r="L165" s="18">
        <f>IF(ISNUMBER(J165), $B172 * K165, "")</f>
        <v>0</v>
      </c>
      <c r="M165" s="31"/>
      <c r="N165" s="32" t="str">
        <f t="shared" si="89"/>
        <v/>
      </c>
      <c r="O165" s="18" t="str">
        <f>IF(ISNUMBER(M165), $B172 * N165, "")</f>
        <v/>
      </c>
      <c r="Q165" s="248"/>
      <c r="R165" s="248"/>
      <c r="S165" s="248"/>
    </row>
    <row r="166" spans="1:19" ht="17.25" thickBot="1">
      <c r="A166" s="127" t="s">
        <v>86</v>
      </c>
      <c r="B166" s="128">
        <v>334</v>
      </c>
      <c r="C166" s="78">
        <v>0</v>
      </c>
      <c r="D166" s="20">
        <v>328</v>
      </c>
      <c r="E166" s="21">
        <f t="shared" si="86"/>
        <v>-1.7964071856287425E-2</v>
      </c>
      <c r="F166" s="22">
        <f>IF(ISNUMBER(D166), $B172 * E166, "")</f>
        <v>-1796.4071856287424</v>
      </c>
      <c r="G166" s="30">
        <v>329</v>
      </c>
      <c r="H166" s="21">
        <f t="shared" si="87"/>
        <v>-1.4970059880239521E-2</v>
      </c>
      <c r="I166" s="105">
        <f>IF(ISNUMBER(G166), $B172 * H166, "")</f>
        <v>-1497.0059880239521</v>
      </c>
      <c r="J166" s="20">
        <v>329</v>
      </c>
      <c r="K166" s="21">
        <f t="shared" si="88"/>
        <v>-1.4970059880239521E-2</v>
      </c>
      <c r="L166" s="22">
        <f>IF(ISNUMBER(J166), $B172 * K166, "")</f>
        <v>-1497.0059880239521</v>
      </c>
      <c r="M166" s="30"/>
      <c r="N166" s="21" t="str">
        <f t="shared" si="89"/>
        <v/>
      </c>
      <c r="O166" s="22" t="str">
        <f>IF(ISNUMBER(M166), $B172 * N166, "")</f>
        <v/>
      </c>
      <c r="Q166" s="248"/>
      <c r="R166" s="248"/>
      <c r="S166" s="248"/>
    </row>
    <row r="167" spans="1:19" ht="17.25" thickBot="1">
      <c r="A167" s="125" t="s">
        <v>164</v>
      </c>
      <c r="B167" s="129">
        <v>316</v>
      </c>
      <c r="C167" s="80">
        <v>-3.1545740999999999E-3</v>
      </c>
      <c r="D167" s="106">
        <v>312</v>
      </c>
      <c r="E167" s="107">
        <f>IF(ISNUMBER(D167), (D167 - $B167) / $B167, "")</f>
        <v>-1.2658227848101266E-2</v>
      </c>
      <c r="F167" s="108">
        <f>IF(ISNUMBER(D167), $B172 * E167, "")</f>
        <v>-1265.8227848101264</v>
      </c>
      <c r="G167" s="109">
        <v>311</v>
      </c>
      <c r="H167" s="107">
        <f>IF(ISNUMBER(G167), (G167 - $B167) / $B167, "")</f>
        <v>-1.5822784810126583E-2</v>
      </c>
      <c r="I167" s="110">
        <f>IF(ISNUMBER(G167), $B172 * H167, "")</f>
        <v>-1582.2784810126584</v>
      </c>
      <c r="J167" s="106">
        <v>311</v>
      </c>
      <c r="K167" s="107">
        <f>IF(ISNUMBER(J167), (J167 - $B167) / $B167, "")</f>
        <v>-1.5822784810126583E-2</v>
      </c>
      <c r="L167" s="108">
        <f>IF(ISNUMBER(J167), $B172 * K167, "")</f>
        <v>-1582.2784810126584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8"/>
      <c r="R167" s="238"/>
      <c r="S167" s="238"/>
    </row>
    <row r="168" spans="1:19" ht="17.25" thickBot="1">
      <c r="A168" s="125" t="s">
        <v>242</v>
      </c>
      <c r="B168" s="126">
        <v>488</v>
      </c>
      <c r="C168" s="77">
        <v>-6.1099796E-3</v>
      </c>
      <c r="D168" s="15">
        <v>484</v>
      </c>
      <c r="E168" s="32">
        <f t="shared" ref="E168:E171" si="90">IF(ISNUMBER(D168), (D168 - $B168) / $B168, "")</f>
        <v>-8.1967213114754103E-3</v>
      </c>
      <c r="F168" s="18">
        <f>IF(ISNUMBER(D168), $B172 * E168, "")</f>
        <v>-819.67213114754099</v>
      </c>
      <c r="G168" s="31">
        <v>487</v>
      </c>
      <c r="H168" s="32">
        <f t="shared" ref="H168:H171" si="91">IF(ISNUMBER(G168), (G168 - $B168) / $B168, "")</f>
        <v>-2.0491803278688526E-3</v>
      </c>
      <c r="I168" s="101">
        <f>IF(ISNUMBER(G168), $B172 * H168, "")</f>
        <v>-204.91803278688525</v>
      </c>
      <c r="J168" s="15">
        <v>485</v>
      </c>
      <c r="K168" s="32">
        <f t="shared" ref="K168:K171" si="92">IF(ISNUMBER(J168), (J168 - $B168) / $B168, "")</f>
        <v>-6.1475409836065573E-3</v>
      </c>
      <c r="L168" s="18">
        <f>IF(ISNUMBER(J168), $B172 * K168, "")</f>
        <v>-614.75409836065569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8"/>
      <c r="R168" s="238"/>
      <c r="S168" s="238"/>
    </row>
    <row r="169" spans="1:19" ht="17.25" thickBot="1">
      <c r="A169" s="125" t="s">
        <v>252</v>
      </c>
      <c r="B169" s="126">
        <v>975</v>
      </c>
      <c r="C169" s="77">
        <v>-1.11561866E-2</v>
      </c>
      <c r="D169" s="15">
        <v>967</v>
      </c>
      <c r="E169" s="32">
        <f t="shared" si="90"/>
        <v>-8.2051282051282051E-3</v>
      </c>
      <c r="F169" s="18">
        <f>IF(ISNUMBER(D169), $B172 * E169, "")</f>
        <v>-820.51282051282055</v>
      </c>
      <c r="G169" s="31">
        <v>968</v>
      </c>
      <c r="H169" s="32">
        <f t="shared" si="91"/>
        <v>-7.1794871794871795E-3</v>
      </c>
      <c r="I169" s="101">
        <f>IF(ISNUMBER(G169), $B172 * H169, "")</f>
        <v>-717.9487179487179</v>
      </c>
      <c r="J169" s="15">
        <v>965</v>
      </c>
      <c r="K169" s="32">
        <f t="shared" si="92"/>
        <v>-1.0256410256410256E-2</v>
      </c>
      <c r="L169" s="18">
        <f>IF(ISNUMBER(J169), $B172 * K169, "")</f>
        <v>-1025.6410256410256</v>
      </c>
      <c r="M169" s="31"/>
      <c r="N169" s="32" t="str">
        <f t="shared" si="93"/>
        <v/>
      </c>
      <c r="O169" s="18" t="str">
        <f>IF(ISNUMBER(M169), $B172 * N169, "")</f>
        <v/>
      </c>
      <c r="Q169" s="238"/>
      <c r="R169" s="238"/>
      <c r="S169" s="238"/>
    </row>
    <row r="170" spans="1:19">
      <c r="A170" s="125" t="s">
        <v>114</v>
      </c>
      <c r="B170" s="126">
        <v>725</v>
      </c>
      <c r="C170" s="77">
        <v>-1.2261580399999999E-2</v>
      </c>
      <c r="D170" s="15">
        <v>736</v>
      </c>
      <c r="E170" s="32">
        <f t="shared" si="90"/>
        <v>1.5172413793103448E-2</v>
      </c>
      <c r="F170" s="18">
        <f>IF(ISNUMBER(D170), $B172 * E170, "")</f>
        <v>1517.2413793103449</v>
      </c>
      <c r="G170" s="31">
        <v>735</v>
      </c>
      <c r="H170" s="32">
        <f t="shared" si="91"/>
        <v>1.3793103448275862E-2</v>
      </c>
      <c r="I170" s="101">
        <f>IF(ISNUMBER(G170), $B172 * H170, "")</f>
        <v>1379.3103448275863</v>
      </c>
      <c r="J170" s="15">
        <v>727</v>
      </c>
      <c r="K170" s="32">
        <f t="shared" si="92"/>
        <v>2.7586206896551722E-3</v>
      </c>
      <c r="L170" s="18">
        <f>IF(ISNUMBER(J170), $B172 * K170, "")</f>
        <v>275.86206896551721</v>
      </c>
      <c r="M170" s="31"/>
      <c r="N170" s="32" t="str">
        <f t="shared" si="93"/>
        <v/>
      </c>
      <c r="O170" s="18" t="str">
        <f>IF(ISNUMBER(M170), $B172 * N170, "")</f>
        <v/>
      </c>
      <c r="Q170" s="227"/>
      <c r="R170" s="228"/>
      <c r="S170" s="229"/>
    </row>
    <row r="171" spans="1:19" ht="17.25" thickBot="1">
      <c r="A171" s="130" t="s">
        <v>174</v>
      </c>
      <c r="B171" s="131">
        <v>355</v>
      </c>
      <c r="C171" s="79">
        <v>-1.6620498599999999E-2</v>
      </c>
      <c r="D171" s="24">
        <v>348</v>
      </c>
      <c r="E171" s="25">
        <f t="shared" si="90"/>
        <v>-1.9718309859154931E-2</v>
      </c>
      <c r="F171" s="104">
        <f>IF(ISNUMBER(D171), $B172 * E171, "")</f>
        <v>-1971.8309859154931</v>
      </c>
      <c r="G171" s="102">
        <v>348</v>
      </c>
      <c r="H171" s="25">
        <f t="shared" si="91"/>
        <v>-1.9718309859154931E-2</v>
      </c>
      <c r="I171" s="103">
        <f>IF(ISNUMBER(G171), $B172 * H171, "")</f>
        <v>-1971.8309859154931</v>
      </c>
      <c r="J171" s="24">
        <v>347</v>
      </c>
      <c r="K171" s="25">
        <f t="shared" si="92"/>
        <v>-2.2535211267605635E-2</v>
      </c>
      <c r="L171" s="104">
        <f>IF(ISNUMBER(J171), $B172 * K171, "")</f>
        <v>-2253.5211267605637</v>
      </c>
      <c r="M171" s="102"/>
      <c r="N171" s="25" t="str">
        <f t="shared" si="93"/>
        <v/>
      </c>
      <c r="O171" s="104" t="str">
        <f>IF(ISNUMBER(M171), $B172 * N171, "")</f>
        <v/>
      </c>
      <c r="Q171" s="230"/>
      <c r="R171" s="231"/>
      <c r="S171" s="232"/>
    </row>
    <row r="172" spans="1:19" ht="17.25" thickBot="1">
      <c r="A172" s="132" t="s">
        <v>270</v>
      </c>
      <c r="B172" s="291">
        <f>$B$37</f>
        <v>100000</v>
      </c>
      <c r="C172" s="292"/>
      <c r="D172" s="26" t="s">
        <v>271</v>
      </c>
      <c r="E172" s="27">
        <f>IF(COUNT(E152:E171), SUM(E152:E171) / COUNT(E152:E171), 0)</f>
        <v>-1.2684019375346974E-3</v>
      </c>
      <c r="F172" s="28">
        <f>SUM(F152:F171)</f>
        <v>-2536.803875069395</v>
      </c>
      <c r="G172" s="26" t="s">
        <v>271</v>
      </c>
      <c r="H172" s="27">
        <f>IF(COUNT(H152:H171), SUM(H152:H171) / COUNT(H152:H171), 0)</f>
        <v>3.7449418663350977E-3</v>
      </c>
      <c r="I172" s="28">
        <f>SUM(I152:I171)</f>
        <v>7489.8837326701969</v>
      </c>
      <c r="J172" s="26" t="s">
        <v>271</v>
      </c>
      <c r="K172" s="27">
        <f>IF(COUNT(K152:K171), SUM(K152:K171) / COUNT(K152:K171), 0)</f>
        <v>1.1614660620052485E-3</v>
      </c>
      <c r="L172" s="28">
        <f>SUM(L152:L171)</f>
        <v>2322.9321240104946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33"/>
      <c r="R172" s="234"/>
      <c r="S172" s="23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48"/>
      <c r="R175" s="248"/>
      <c r="S175" s="248"/>
    </row>
    <row r="176" spans="1:19" ht="17.25" thickBot="1">
      <c r="A176" s="185" t="s">
        <v>267</v>
      </c>
      <c r="B176" s="249" t="s">
        <v>49</v>
      </c>
      <c r="C176" s="251"/>
      <c r="D176" s="249" t="s">
        <v>58</v>
      </c>
      <c r="E176" s="250"/>
      <c r="F176" s="251"/>
      <c r="G176" s="252">
        <f>_xlfn.IFNA(VLOOKUP(B176, 현재가테이블!$B$2:$D$200, 2, FALSE), "-")</f>
        <v>54440000</v>
      </c>
      <c r="H176" s="253"/>
      <c r="I176" s="254"/>
      <c r="J176" s="249" t="s">
        <v>59</v>
      </c>
      <c r="K176" s="250"/>
      <c r="L176" s="251"/>
      <c r="M176" s="255">
        <f>_xlfn.IFNA(VLOOKUP(B176, 현재가테이블!$B$2:$D$200, 3, FALSE), "-")</f>
        <v>1.07123628E-2</v>
      </c>
      <c r="N176" s="256"/>
      <c r="O176" s="257"/>
      <c r="Q176" s="248"/>
      <c r="R176" s="248"/>
      <c r="S176" s="248"/>
    </row>
    <row r="177" spans="1:19" ht="17.25" thickBot="1">
      <c r="A177" s="293" t="s">
        <v>55</v>
      </c>
      <c r="B177" s="289" t="str">
        <f>TEXT($G$1, "[$-ko-KR]yyyy-mm-dd(ddd) ") &amp; "오전 00:00"</f>
        <v>2021-08-08(일) 오전 00:00</v>
      </c>
      <c r="C177" s="290"/>
      <c r="D177" s="262" t="str">
        <f>TEXT($G$1, "[$-ko-KR]yyyy-mm-dd(ddd) ") &amp; "오후 14:00"</f>
        <v>2021-08-08(일) 오후 14:00</v>
      </c>
      <c r="E177" s="263"/>
      <c r="F177" s="264"/>
      <c r="G177" s="262" t="str">
        <f>TEXT($G$1, "[$-ko-KR]yyyy-mm-dd(ddd) ") &amp; "오후 19:00"</f>
        <v>2021-08-08(일) 오후 19:00</v>
      </c>
      <c r="H177" s="263"/>
      <c r="I177" s="264"/>
      <c r="J177" s="262" t="str">
        <f>TEXT($G$1, "[$-ko-KR]yyyy-mm-dd(ddd) ") &amp; "오후 21:00"</f>
        <v>2021-08-08(일) 오후 21:00</v>
      </c>
      <c r="K177" s="263"/>
      <c r="L177" s="264"/>
      <c r="M177" s="262" t="str">
        <f>TEXT($G$1+1, "[$-ko-KR]yyyy-mm-dd(ddd) ") &amp; "오전 00:00"</f>
        <v>2021-08-09(월) 오전 00:00</v>
      </c>
      <c r="N177" s="263"/>
      <c r="O177" s="264"/>
      <c r="Q177" s="248"/>
      <c r="R177" s="248"/>
      <c r="S177" s="248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6" t="s">
        <v>58</v>
      </c>
      <c r="H178" s="187" t="s">
        <v>268</v>
      </c>
      <c r="I178" s="18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8"/>
      <c r="R178" s="238"/>
      <c r="S178" s="238"/>
    </row>
    <row r="179" spans="1:19" ht="17.25" thickBot="1">
      <c r="A179" s="123" t="s">
        <v>240</v>
      </c>
      <c r="B179" s="124">
        <v>64.099999999999994</v>
      </c>
      <c r="C179" s="76">
        <v>0</v>
      </c>
      <c r="D179" s="13">
        <v>66.099999999999994</v>
      </c>
      <c r="E179" s="14">
        <f>IF(ISNUMBER(D179), (D179 - $B179) / $B179, "")</f>
        <v>3.1201248049921998E-2</v>
      </c>
      <c r="F179" s="16">
        <f>IF(ISNUMBER(D179), $B199 * E179, "")</f>
        <v>3120.1248049921996</v>
      </c>
      <c r="G179" s="29">
        <v>65.8</v>
      </c>
      <c r="H179" s="14">
        <f>IF(ISNUMBER(G179), (G179 - $B179) / $B179, "")</f>
        <v>2.6521060842433743E-2</v>
      </c>
      <c r="I179" s="100">
        <f>IF(ISNUMBER(G179), $B199 * H179, "")</f>
        <v>2652.1060842433744</v>
      </c>
      <c r="J179" s="13">
        <v>65.400000000000006</v>
      </c>
      <c r="K179" s="14">
        <f>IF(ISNUMBER(J179), (J179 - $B179) / $B179, "")</f>
        <v>2.0280811232449476E-2</v>
      </c>
      <c r="L179" s="16">
        <f>IF(ISNUMBER(J179), $B199 * K179, "")</f>
        <v>2028.0811232449475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8"/>
      <c r="R179" s="248"/>
      <c r="S179" s="248"/>
    </row>
    <row r="180" spans="1:19" ht="17.25" thickBot="1">
      <c r="A180" s="125" t="s">
        <v>130</v>
      </c>
      <c r="B180" s="126">
        <v>102</v>
      </c>
      <c r="C180" s="77">
        <v>0</v>
      </c>
      <c r="D180" s="15">
        <v>101</v>
      </c>
      <c r="E180" s="32">
        <f t="shared" ref="E180:E183" si="94">IF(ISNUMBER(D180), (D180 - $B180) / $B180, "")</f>
        <v>-9.8039215686274508E-3</v>
      </c>
      <c r="F180" s="18">
        <f>IF(ISNUMBER(D180), $B199 * E180, "")</f>
        <v>-980.39215686274508</v>
      </c>
      <c r="G180" s="31">
        <v>101</v>
      </c>
      <c r="H180" s="32">
        <f t="shared" ref="H180:H183" si="95">IF(ISNUMBER(G180), (G180 - $B180) / $B180, "")</f>
        <v>-9.8039215686274508E-3</v>
      </c>
      <c r="I180" s="101">
        <f>IF(ISNUMBER(G180), $B199 * H180, "")</f>
        <v>-980.39215686274508</v>
      </c>
      <c r="J180" s="15">
        <v>102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8"/>
      <c r="R180" s="248"/>
      <c r="S180" s="248"/>
    </row>
    <row r="181" spans="1:19" ht="17.25" thickBot="1">
      <c r="A181" s="125" t="s">
        <v>86</v>
      </c>
      <c r="B181" s="126">
        <v>334</v>
      </c>
      <c r="C181" s="77">
        <v>0</v>
      </c>
      <c r="D181" s="15">
        <v>328</v>
      </c>
      <c r="E181" s="32">
        <f t="shared" si="94"/>
        <v>-1.7964071856287425E-2</v>
      </c>
      <c r="F181" s="18">
        <f>IF(ISNUMBER(D181), $B199 * E181, "")</f>
        <v>-1796.4071856287424</v>
      </c>
      <c r="G181" s="31">
        <v>329</v>
      </c>
      <c r="H181" s="32">
        <f t="shared" si="95"/>
        <v>-1.4970059880239521E-2</v>
      </c>
      <c r="I181" s="101">
        <f>IF(ISNUMBER(G181), $B199 * H181, "")</f>
        <v>-1497.0059880239521</v>
      </c>
      <c r="J181" s="15">
        <v>329</v>
      </c>
      <c r="K181" s="32">
        <f t="shared" si="96"/>
        <v>-1.4970059880239521E-2</v>
      </c>
      <c r="L181" s="18">
        <f>IF(ISNUMBER(J181), $B199 * K181, "")</f>
        <v>-1497.0059880239521</v>
      </c>
      <c r="M181" s="31"/>
      <c r="N181" s="32" t="str">
        <f t="shared" si="97"/>
        <v/>
      </c>
      <c r="O181" s="18" t="str">
        <f>IF(ISNUMBER(M181), $B199 * N181, "")</f>
        <v/>
      </c>
      <c r="Q181" s="238"/>
      <c r="R181" s="238"/>
      <c r="S181" s="238"/>
    </row>
    <row r="182" spans="1:19" ht="17.25" thickBot="1">
      <c r="A182" s="125" t="s">
        <v>122</v>
      </c>
      <c r="B182" s="126">
        <v>29</v>
      </c>
      <c r="C182" s="77">
        <v>0</v>
      </c>
      <c r="D182" s="15">
        <v>30.6</v>
      </c>
      <c r="E182" s="32">
        <f t="shared" si="94"/>
        <v>5.5172413793103496E-2</v>
      </c>
      <c r="F182" s="18">
        <f>IF(ISNUMBER(D182), $B199 * E182, "")</f>
        <v>5517.2413793103497</v>
      </c>
      <c r="G182" s="31">
        <v>31.3</v>
      </c>
      <c r="H182" s="32">
        <f t="shared" si="95"/>
        <v>7.9310344827586227E-2</v>
      </c>
      <c r="I182" s="101">
        <f>IF(ISNUMBER(G182), $B199 * H182, "")</f>
        <v>7931.0344827586223</v>
      </c>
      <c r="J182" s="15">
        <v>30.4</v>
      </c>
      <c r="K182" s="32">
        <f t="shared" si="96"/>
        <v>4.8275862068965468E-2</v>
      </c>
      <c r="L182" s="18">
        <f>IF(ISNUMBER(J182), $B199 * K182, "")</f>
        <v>4827.5862068965471</v>
      </c>
      <c r="M182" s="31"/>
      <c r="N182" s="32" t="str">
        <f t="shared" si="97"/>
        <v/>
      </c>
      <c r="O182" s="18" t="str">
        <f>IF(ISNUMBER(M182), $B199 * N182, "")</f>
        <v/>
      </c>
      <c r="Q182" s="238"/>
      <c r="R182" s="238"/>
      <c r="S182" s="238"/>
    </row>
    <row r="183" spans="1:19" ht="17.25" thickBot="1">
      <c r="A183" s="127" t="s">
        <v>226</v>
      </c>
      <c r="B183" s="128">
        <v>1860</v>
      </c>
      <c r="C183" s="78">
        <v>0</v>
      </c>
      <c r="D183" s="20">
        <v>1840</v>
      </c>
      <c r="E183" s="21">
        <f t="shared" si="94"/>
        <v>-1.0752688172043012E-2</v>
      </c>
      <c r="F183" s="22">
        <f>IF(ISNUMBER(D183), $B199 * E183, "")</f>
        <v>-1075.2688172043011</v>
      </c>
      <c r="G183" s="30">
        <v>1860</v>
      </c>
      <c r="H183" s="21">
        <f t="shared" si="95"/>
        <v>0</v>
      </c>
      <c r="I183" s="105">
        <f>IF(ISNUMBER(G183), $B199 * H183, "")</f>
        <v>0</v>
      </c>
      <c r="J183" s="20">
        <v>1855</v>
      </c>
      <c r="K183" s="21">
        <f t="shared" si="96"/>
        <v>-2.6881720430107529E-3</v>
      </c>
      <c r="L183" s="22">
        <f>IF(ISNUMBER(J183), $B199 * K183, "")</f>
        <v>-268.81720430107526</v>
      </c>
      <c r="M183" s="30"/>
      <c r="N183" s="21" t="str">
        <f t="shared" si="97"/>
        <v/>
      </c>
      <c r="O183" s="22" t="str">
        <f>IF(ISNUMBER(M183), $B199 * N183, "")</f>
        <v/>
      </c>
      <c r="Q183" s="238"/>
      <c r="R183" s="238"/>
      <c r="S183" s="238"/>
    </row>
    <row r="184" spans="1:19" ht="17.25" thickBot="1">
      <c r="A184" s="125" t="s">
        <v>146</v>
      </c>
      <c r="B184" s="129">
        <v>2960</v>
      </c>
      <c r="C184" s="80">
        <v>-1.6863405999999999E-3</v>
      </c>
      <c r="D184" s="106">
        <v>2940</v>
      </c>
      <c r="E184" s="107">
        <f>IF(ISNUMBER(D184), (D184 - $B184) / $B184, "")</f>
        <v>-6.7567567567567571E-3</v>
      </c>
      <c r="F184" s="108">
        <f>IF(ISNUMBER(D184), $B199 * E184, "")</f>
        <v>-675.67567567567573</v>
      </c>
      <c r="G184" s="109">
        <v>2975</v>
      </c>
      <c r="H184" s="107">
        <f>IF(ISNUMBER(G184), (G184 - $B184) / $B184, "")</f>
        <v>5.0675675675675678E-3</v>
      </c>
      <c r="I184" s="110">
        <f>IF(ISNUMBER(G184), $B199 * H184, "")</f>
        <v>506.75675675675677</v>
      </c>
      <c r="J184" s="106">
        <v>2950</v>
      </c>
      <c r="K184" s="107">
        <f>IF(ISNUMBER(J184), (J184 - $B184) / $B184, "")</f>
        <v>-3.3783783783783786E-3</v>
      </c>
      <c r="L184" s="108">
        <f>IF(ISNUMBER(J184), $B199 * K184, "")</f>
        <v>-337.83783783783787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8"/>
      <c r="R184" s="238"/>
      <c r="S184" s="238"/>
    </row>
    <row r="185" spans="1:19" ht="17.25" thickBot="1">
      <c r="A185" s="125" t="s">
        <v>198</v>
      </c>
      <c r="B185" s="126">
        <v>25800</v>
      </c>
      <c r="C185" s="77">
        <v>-2.7058369E-3</v>
      </c>
      <c r="D185" s="15">
        <v>25720</v>
      </c>
      <c r="E185" s="32">
        <f t="shared" ref="E185:E188" si="98">IF(ISNUMBER(D185), (D185 - $B185) / $B185, "")</f>
        <v>-3.1007751937984496E-3</v>
      </c>
      <c r="F185" s="18">
        <f>IF(ISNUMBER(D185), $B199 * E185, "")</f>
        <v>-310.07751937984494</v>
      </c>
      <c r="G185" s="31">
        <v>25700</v>
      </c>
      <c r="H185" s="32">
        <f t="shared" ref="H185:H188" si="99">IF(ISNUMBER(G185), (G185 - $B185) / $B185, "")</f>
        <v>-3.875968992248062E-3</v>
      </c>
      <c r="I185" s="101">
        <f>IF(ISNUMBER(G185), $B199 * H185, "")</f>
        <v>-387.59689922480618</v>
      </c>
      <c r="J185" s="15">
        <v>25660</v>
      </c>
      <c r="K185" s="32">
        <f t="shared" ref="K185:K188" si="100">IF(ISNUMBER(J185), (J185 - $B185) / $B185, "")</f>
        <v>-5.4263565891472867E-3</v>
      </c>
      <c r="L185" s="18">
        <f>IF(ISNUMBER(J185), $B199 * K185, "")</f>
        <v>-542.63565891472865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8"/>
      <c r="R185" s="238"/>
      <c r="S185" s="238"/>
    </row>
    <row r="186" spans="1:19" ht="17.25" thickBot="1">
      <c r="A186" s="125" t="s">
        <v>164</v>
      </c>
      <c r="B186" s="126">
        <v>316</v>
      </c>
      <c r="C186" s="77">
        <v>-3.1545740999999999E-3</v>
      </c>
      <c r="D186" s="15">
        <v>312</v>
      </c>
      <c r="E186" s="32">
        <f t="shared" si="98"/>
        <v>-1.2658227848101266E-2</v>
      </c>
      <c r="F186" s="18">
        <f>IF(ISNUMBER(D186), $B199 * E186, "")</f>
        <v>-1265.8227848101264</v>
      </c>
      <c r="G186" s="31">
        <v>311</v>
      </c>
      <c r="H186" s="32">
        <f t="shared" si="99"/>
        <v>-1.5822784810126583E-2</v>
      </c>
      <c r="I186" s="101">
        <f>IF(ISNUMBER(G186), $B199 * H186, "")</f>
        <v>-1582.2784810126584</v>
      </c>
      <c r="J186" s="15">
        <v>311</v>
      </c>
      <c r="K186" s="32">
        <f t="shared" si="100"/>
        <v>-1.5822784810126583E-2</v>
      </c>
      <c r="L186" s="18">
        <f>IF(ISNUMBER(J186), $B199 * K186, "")</f>
        <v>-1582.2784810126584</v>
      </c>
      <c r="M186" s="31"/>
      <c r="N186" s="32" t="str">
        <f t="shared" si="101"/>
        <v/>
      </c>
      <c r="O186" s="18" t="str">
        <f>IF(ISNUMBER(M186), $B199 * N186, "")</f>
        <v/>
      </c>
      <c r="Q186" s="238"/>
      <c r="R186" s="238"/>
      <c r="S186" s="238"/>
    </row>
    <row r="187" spans="1:19" ht="17.25" thickBot="1">
      <c r="A187" s="125" t="s">
        <v>136</v>
      </c>
      <c r="B187" s="126">
        <v>2015</v>
      </c>
      <c r="C187" s="77">
        <v>-4.9382716000000004E-3</v>
      </c>
      <c r="D187" s="15">
        <v>2015</v>
      </c>
      <c r="E187" s="32">
        <f t="shared" si="98"/>
        <v>0</v>
      </c>
      <c r="F187" s="18">
        <f>IF(ISNUMBER(D187), $B199 * E187, "")</f>
        <v>0</v>
      </c>
      <c r="G187" s="31">
        <v>2000</v>
      </c>
      <c r="H187" s="32">
        <f t="shared" si="99"/>
        <v>-7.4441687344913151E-3</v>
      </c>
      <c r="I187" s="101">
        <f>IF(ISNUMBER(G187), $B199 * H187, "")</f>
        <v>-744.41687344913146</v>
      </c>
      <c r="J187" s="15">
        <v>1985</v>
      </c>
      <c r="K187" s="32">
        <f t="shared" si="100"/>
        <v>-1.488833746898263E-2</v>
      </c>
      <c r="L187" s="18">
        <f>IF(ISNUMBER(J187), $B199 * K187, "")</f>
        <v>-1488.8337468982629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242</v>
      </c>
      <c r="B188" s="131">
        <v>488</v>
      </c>
      <c r="C188" s="79">
        <v>-6.1099796E-3</v>
      </c>
      <c r="D188" s="24">
        <v>484</v>
      </c>
      <c r="E188" s="25">
        <f t="shared" si="98"/>
        <v>-8.1967213114754103E-3</v>
      </c>
      <c r="F188" s="104">
        <f>IF(ISNUMBER(D188), $B199 * E188, "")</f>
        <v>-819.67213114754099</v>
      </c>
      <c r="G188" s="102">
        <v>487</v>
      </c>
      <c r="H188" s="25">
        <f t="shared" si="99"/>
        <v>-2.0491803278688526E-3</v>
      </c>
      <c r="I188" s="103">
        <f>IF(ISNUMBER(G188), $B199 * H188, "")</f>
        <v>-204.91803278688525</v>
      </c>
      <c r="J188" s="24">
        <v>485</v>
      </c>
      <c r="K188" s="25">
        <f t="shared" si="100"/>
        <v>-6.1475409836065573E-3</v>
      </c>
      <c r="L188" s="104">
        <f>IF(ISNUMBER(J188), $B199 * K188, "")</f>
        <v>-614.75409836065569</v>
      </c>
      <c r="M188" s="102"/>
      <c r="N188" s="25" t="str">
        <f t="shared" si="101"/>
        <v/>
      </c>
      <c r="O188" s="104" t="str">
        <f>IF(ISNUMBER(M188), $B199 * N188, "")</f>
        <v/>
      </c>
      <c r="Q188" s="239"/>
      <c r="R188" s="240"/>
      <c r="S188" s="241"/>
    </row>
    <row r="189" spans="1:19">
      <c r="A189" s="123" t="s">
        <v>150</v>
      </c>
      <c r="B189" s="124">
        <v>13</v>
      </c>
      <c r="C189" s="76">
        <v>-7.6335878000000001E-3</v>
      </c>
      <c r="D189" s="13">
        <v>12.6</v>
      </c>
      <c r="E189" s="14">
        <f>IF(ISNUMBER(D189), (D189 - $B189) / $B189, "")</f>
        <v>-3.0769230769230795E-2</v>
      </c>
      <c r="F189" s="16">
        <f>IF(ISNUMBER(D189), $B199 * E189, "")</f>
        <v>-3076.9230769230794</v>
      </c>
      <c r="G189" s="29">
        <v>12.7</v>
      </c>
      <c r="H189" s="14">
        <f>IF(ISNUMBER(G189), (G189 - $B189) / $B189, "")</f>
        <v>-2.307692307692313E-2</v>
      </c>
      <c r="I189" s="100">
        <f>IF(ISNUMBER(G189), $B199 * H189, "")</f>
        <v>-2307.6923076923131</v>
      </c>
      <c r="J189" s="13">
        <v>12.7</v>
      </c>
      <c r="K189" s="14">
        <f>IF(ISNUMBER(J189), (J189 - $B189) / $B189, "")</f>
        <v>-2.307692307692313E-2</v>
      </c>
      <c r="L189" s="16">
        <f>IF(ISNUMBER(J189), $B199 * K189, "")</f>
        <v>-2307.6923076923131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2"/>
      <c r="R189" s="243"/>
      <c r="S189" s="244"/>
    </row>
    <row r="190" spans="1:19" ht="17.25" thickBot="1">
      <c r="A190" s="125" t="s">
        <v>116</v>
      </c>
      <c r="B190" s="126">
        <v>6990</v>
      </c>
      <c r="C190" s="77">
        <v>-9.9150142000000007E-3</v>
      </c>
      <c r="D190" s="15">
        <v>6850</v>
      </c>
      <c r="E190" s="32">
        <f t="shared" ref="E190:E193" si="102">IF(ISNUMBER(D190), (D190 - $B190) / $B190, "")</f>
        <v>-2.0028612303290415E-2</v>
      </c>
      <c r="F190" s="18">
        <f>IF(ISNUMBER(D190), $B199 * E190, "")</f>
        <v>-2002.8612303290415</v>
      </c>
      <c r="G190" s="31">
        <v>6965</v>
      </c>
      <c r="H190" s="32">
        <f t="shared" ref="H190:H193" si="103">IF(ISNUMBER(G190), (G190 - $B190) / $B190, "")</f>
        <v>-3.5765379113018598E-3</v>
      </c>
      <c r="I190" s="101">
        <f>IF(ISNUMBER(G190), $B199 * H190, "")</f>
        <v>-357.65379113018599</v>
      </c>
      <c r="J190" s="15">
        <v>6875</v>
      </c>
      <c r="K190" s="32">
        <f t="shared" ref="K190:K193" si="104">IF(ISNUMBER(J190), (J190 - $B190) / $B190, "")</f>
        <v>-1.6452074391988557E-2</v>
      </c>
      <c r="L190" s="18">
        <f>IF(ISNUMBER(J190), $B199 * K190, "")</f>
        <v>-1645.2074391988556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5"/>
      <c r="R190" s="246"/>
      <c r="S190" s="247"/>
    </row>
    <row r="191" spans="1:19" ht="17.25" thickBot="1">
      <c r="A191" s="125" t="s">
        <v>252</v>
      </c>
      <c r="B191" s="126">
        <v>975</v>
      </c>
      <c r="C191" s="77">
        <v>-1.11561866E-2</v>
      </c>
      <c r="D191" s="15">
        <v>967</v>
      </c>
      <c r="E191" s="32">
        <f t="shared" si="102"/>
        <v>-8.2051282051282051E-3</v>
      </c>
      <c r="F191" s="18">
        <f>IF(ISNUMBER(D191), $B199 * E191, "")</f>
        <v>-820.51282051282055</v>
      </c>
      <c r="G191" s="31">
        <v>968</v>
      </c>
      <c r="H191" s="32">
        <f t="shared" si="103"/>
        <v>-7.1794871794871795E-3</v>
      </c>
      <c r="I191" s="101">
        <f>IF(ISNUMBER(G191), $B199 * H191, "")</f>
        <v>-717.9487179487179</v>
      </c>
      <c r="J191" s="15">
        <v>965</v>
      </c>
      <c r="K191" s="32">
        <f t="shared" si="104"/>
        <v>-1.0256410256410256E-2</v>
      </c>
      <c r="L191" s="18">
        <f>IF(ISNUMBER(J191), $B199 * K191, "")</f>
        <v>-1025.6410256410256</v>
      </c>
      <c r="M191" s="31"/>
      <c r="N191" s="32" t="str">
        <f t="shared" si="105"/>
        <v/>
      </c>
      <c r="O191" s="18" t="str">
        <f>IF(ISNUMBER(M191), $B199 * N191, "")</f>
        <v/>
      </c>
      <c r="Q191" s="238"/>
      <c r="R191" s="238"/>
      <c r="S191" s="238"/>
    </row>
    <row r="192" spans="1:19" ht="17.25" thickBot="1">
      <c r="A192" s="125" t="s">
        <v>120</v>
      </c>
      <c r="B192" s="126">
        <v>4425</v>
      </c>
      <c r="C192" s="77">
        <v>-1.1173184399999999E-2</v>
      </c>
      <c r="D192" s="15">
        <v>4345</v>
      </c>
      <c r="E192" s="32">
        <f t="shared" si="102"/>
        <v>-1.8079096045197741E-2</v>
      </c>
      <c r="F192" s="18">
        <f>IF(ISNUMBER(D192), $B199 * E192, "")</f>
        <v>-1807.9096045197741</v>
      </c>
      <c r="G192" s="31">
        <v>4360</v>
      </c>
      <c r="H192" s="32">
        <f t="shared" si="103"/>
        <v>-1.4689265536723164E-2</v>
      </c>
      <c r="I192" s="101">
        <f>IF(ISNUMBER(G192), $B199 * H192, "")</f>
        <v>-1468.9265536723165</v>
      </c>
      <c r="J192" s="15">
        <v>4325</v>
      </c>
      <c r="K192" s="32">
        <f t="shared" si="104"/>
        <v>-2.2598870056497175E-2</v>
      </c>
      <c r="L192" s="18">
        <f>IF(ISNUMBER(J192), $B199 * K192, "")</f>
        <v>-2259.8870056497176</v>
      </c>
      <c r="M192" s="31"/>
      <c r="N192" s="32" t="str">
        <f t="shared" si="105"/>
        <v/>
      </c>
      <c r="O192" s="18" t="str">
        <f>IF(ISNUMBER(M192), $B199 * N192, "")</f>
        <v/>
      </c>
      <c r="Q192" s="248"/>
      <c r="R192" s="248"/>
      <c r="S192" s="248"/>
    </row>
    <row r="193" spans="1:19" ht="17.25" thickBot="1">
      <c r="A193" s="127" t="s">
        <v>114</v>
      </c>
      <c r="B193" s="128">
        <v>725</v>
      </c>
      <c r="C193" s="78">
        <v>-1.2261580399999999E-2</v>
      </c>
      <c r="D193" s="20">
        <v>736</v>
      </c>
      <c r="E193" s="21">
        <f t="shared" si="102"/>
        <v>1.5172413793103448E-2</v>
      </c>
      <c r="F193" s="22">
        <f>IF(ISNUMBER(D193), $B199 * E193, "")</f>
        <v>1517.2413793103449</v>
      </c>
      <c r="G193" s="30">
        <v>735</v>
      </c>
      <c r="H193" s="21">
        <f t="shared" si="103"/>
        <v>1.3793103448275862E-2</v>
      </c>
      <c r="I193" s="105">
        <f>IF(ISNUMBER(G193), $B199 * H193, "")</f>
        <v>1379.3103448275863</v>
      </c>
      <c r="J193" s="20">
        <v>727</v>
      </c>
      <c r="K193" s="21">
        <f t="shared" si="104"/>
        <v>2.7586206896551722E-3</v>
      </c>
      <c r="L193" s="22">
        <f>IF(ISNUMBER(J193), $B199 * K193, "")</f>
        <v>275.86206896551721</v>
      </c>
      <c r="M193" s="30"/>
      <c r="N193" s="21" t="str">
        <f t="shared" si="105"/>
        <v/>
      </c>
      <c r="O193" s="22" t="str">
        <f>IF(ISNUMBER(M193), $B199 * N193, "")</f>
        <v/>
      </c>
      <c r="Q193" s="248"/>
      <c r="R193" s="248"/>
      <c r="S193" s="248"/>
    </row>
    <row r="194" spans="1:19" ht="17.25" thickBot="1">
      <c r="A194" s="125" t="s">
        <v>174</v>
      </c>
      <c r="B194" s="129">
        <v>355</v>
      </c>
      <c r="C194" s="80">
        <v>-1.6620498599999999E-2</v>
      </c>
      <c r="D194" s="106">
        <v>348</v>
      </c>
      <c r="E194" s="107">
        <f>IF(ISNUMBER(D194), (D194 - $B194) / $B194, "")</f>
        <v>-1.9718309859154931E-2</v>
      </c>
      <c r="F194" s="108">
        <f>IF(ISNUMBER(D194), $B199 * E194, "")</f>
        <v>-1971.8309859154931</v>
      </c>
      <c r="G194" s="109">
        <v>348</v>
      </c>
      <c r="H194" s="107">
        <f>IF(ISNUMBER(G194), (G194 - $B194) / $B194, "")</f>
        <v>-1.9718309859154931E-2</v>
      </c>
      <c r="I194" s="110">
        <f>IF(ISNUMBER(G194), $B199 * H194, "")</f>
        <v>-1971.8309859154931</v>
      </c>
      <c r="J194" s="106">
        <v>347</v>
      </c>
      <c r="K194" s="107">
        <f>IF(ISNUMBER(J194), (J194 - $B194) / $B194, "")</f>
        <v>-2.2535211267605635E-2</v>
      </c>
      <c r="L194" s="108">
        <f>IF(ISNUMBER(J194), $B199 * K194, "")</f>
        <v>-2253.5211267605637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8"/>
      <c r="R194" s="238"/>
      <c r="S194" s="238"/>
    </row>
    <row r="195" spans="1:19" ht="17.25" thickBot="1">
      <c r="A195" s="125" t="s">
        <v>154</v>
      </c>
      <c r="B195" s="126">
        <v>48040</v>
      </c>
      <c r="C195" s="77">
        <v>-2.3180154500000001E-2</v>
      </c>
      <c r="D195" s="15">
        <v>51970</v>
      </c>
      <c r="E195" s="32">
        <f t="shared" ref="E195:E198" si="106">IF(ISNUMBER(D195), (D195 - $B195) / $B195, "")</f>
        <v>8.1806827643630314E-2</v>
      </c>
      <c r="F195" s="18">
        <f>IF(ISNUMBER(D195), $B199 * E195, "")</f>
        <v>8180.6827643630313</v>
      </c>
      <c r="G195" s="31">
        <v>51420</v>
      </c>
      <c r="H195" s="32">
        <f t="shared" ref="H195:H198" si="107">IF(ISNUMBER(G195), (G195 - $B195) / $B195, "")</f>
        <v>7.0358034970857616E-2</v>
      </c>
      <c r="I195" s="101">
        <f>IF(ISNUMBER(G195), $B199 * H195, "")</f>
        <v>7035.8034970857616</v>
      </c>
      <c r="J195" s="15">
        <v>51140</v>
      </c>
      <c r="K195" s="32">
        <f t="shared" ref="K195:K198" si="108">IF(ISNUMBER(J195), (J195 - $B195) / $B195, "")</f>
        <v>6.4529558701082429E-2</v>
      </c>
      <c r="L195" s="18">
        <f>IF(ISNUMBER(J195), $B199 * K195, "")</f>
        <v>6452.9558701082433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8"/>
      <c r="R195" s="238"/>
      <c r="S195" s="238"/>
    </row>
    <row r="196" spans="1:19" ht="17.25" thickBot="1">
      <c r="A196" s="125" t="s">
        <v>224</v>
      </c>
      <c r="B196" s="126">
        <v>4550</v>
      </c>
      <c r="C196" s="77">
        <v>-2.3605150200000001E-2</v>
      </c>
      <c r="D196" s="15">
        <v>4415</v>
      </c>
      <c r="E196" s="32">
        <f t="shared" si="106"/>
        <v>-2.9670329670329669E-2</v>
      </c>
      <c r="F196" s="18">
        <f>IF(ISNUMBER(D196), $B199 * E196, "")</f>
        <v>-2967.032967032967</v>
      </c>
      <c r="G196" s="31">
        <v>4430</v>
      </c>
      <c r="H196" s="32">
        <f t="shared" si="107"/>
        <v>-2.6373626373626374E-2</v>
      </c>
      <c r="I196" s="101">
        <f>IF(ISNUMBER(G196), $B199 * H196, "")</f>
        <v>-2637.3626373626375</v>
      </c>
      <c r="J196" s="15">
        <v>4415</v>
      </c>
      <c r="K196" s="32">
        <f t="shared" si="108"/>
        <v>-2.9670329670329669E-2</v>
      </c>
      <c r="L196" s="18">
        <f>IF(ISNUMBER(J196), $B199 * K196, "")</f>
        <v>-2967.032967032967</v>
      </c>
      <c r="M196" s="31"/>
      <c r="N196" s="32" t="str">
        <f t="shared" si="109"/>
        <v/>
      </c>
      <c r="O196" s="18" t="str">
        <f>IF(ISNUMBER(M196), $B199 * N196, "")</f>
        <v/>
      </c>
      <c r="Q196" s="238"/>
      <c r="R196" s="238"/>
      <c r="S196" s="238"/>
    </row>
    <row r="197" spans="1:19">
      <c r="A197" s="125" t="s">
        <v>214</v>
      </c>
      <c r="B197" s="126">
        <v>1195</v>
      </c>
      <c r="C197" s="77">
        <v>-3.2388663999999998E-2</v>
      </c>
      <c r="D197" s="15">
        <v>1155</v>
      </c>
      <c r="E197" s="32">
        <f t="shared" si="106"/>
        <v>-3.3472803347280332E-2</v>
      </c>
      <c r="F197" s="18">
        <f>IF(ISNUMBER(D197), $B199 * E197, "")</f>
        <v>-3347.2803347280333</v>
      </c>
      <c r="G197" s="31">
        <v>1150</v>
      </c>
      <c r="H197" s="32">
        <f t="shared" si="107"/>
        <v>-3.7656903765690378E-2</v>
      </c>
      <c r="I197" s="101">
        <f>IF(ISNUMBER(G197), $B199 * H197, "")</f>
        <v>-3765.6903765690377</v>
      </c>
      <c r="J197" s="15">
        <v>1145</v>
      </c>
      <c r="K197" s="32">
        <f t="shared" si="108"/>
        <v>-4.1841004184100417E-2</v>
      </c>
      <c r="L197" s="18">
        <f>IF(ISNUMBER(J197), $B199 * K197, "")</f>
        <v>-4184.100418410042</v>
      </c>
      <c r="M197" s="31"/>
      <c r="N197" s="32" t="str">
        <f t="shared" si="109"/>
        <v/>
      </c>
      <c r="O197" s="18" t="str">
        <f>IF(ISNUMBER(M197), $B199 * N197, "")</f>
        <v/>
      </c>
      <c r="Q197" s="227"/>
      <c r="R197" s="228"/>
      <c r="S197" s="229"/>
    </row>
    <row r="198" spans="1:19" ht="17.25" thickBot="1">
      <c r="A198" s="130" t="s">
        <v>106</v>
      </c>
      <c r="B198" s="131">
        <v>69270</v>
      </c>
      <c r="C198" s="79">
        <v>-5.5366153000000001E-2</v>
      </c>
      <c r="D198" s="24">
        <v>66740</v>
      </c>
      <c r="E198" s="25">
        <f t="shared" si="106"/>
        <v>-3.6523747654107118E-2</v>
      </c>
      <c r="F198" s="104">
        <f>IF(ISNUMBER(D198), $B199 * E198, "")</f>
        <v>-3652.3747654107119</v>
      </c>
      <c r="G198" s="102">
        <v>67200</v>
      </c>
      <c r="H198" s="25">
        <f t="shared" si="107"/>
        <v>-2.9883066262451279E-2</v>
      </c>
      <c r="I198" s="103">
        <f>IF(ISNUMBER(G198), $B199 * H198, "")</f>
        <v>-2988.306626245128</v>
      </c>
      <c r="J198" s="24">
        <v>67040</v>
      </c>
      <c r="K198" s="25">
        <f t="shared" si="108"/>
        <v>-3.219286848563592E-2</v>
      </c>
      <c r="L198" s="104">
        <f>IF(ISNUMBER(J198), $B199 * K198, "")</f>
        <v>-3219.2868485635918</v>
      </c>
      <c r="M198" s="102"/>
      <c r="N198" s="25" t="str">
        <f t="shared" si="109"/>
        <v/>
      </c>
      <c r="O198" s="104" t="str">
        <f>IF(ISNUMBER(M198), $B199 * N198, "")</f>
        <v/>
      </c>
      <c r="Q198" s="230"/>
      <c r="R198" s="231"/>
      <c r="S198" s="232"/>
    </row>
    <row r="199" spans="1:19" ht="17.25" thickBot="1">
      <c r="A199" s="132" t="s">
        <v>270</v>
      </c>
      <c r="B199" s="291">
        <f>$B$37</f>
        <v>100000</v>
      </c>
      <c r="C199" s="292"/>
      <c r="D199" s="26" t="s">
        <v>271</v>
      </c>
      <c r="E199" s="27">
        <f>IF(COUNT(E179:E198), SUM(E179:E198) / COUNT(E179:E198), 0)</f>
        <v>-4.1173758640524862E-3</v>
      </c>
      <c r="F199" s="28">
        <f>SUM(F179:F198)</f>
        <v>-8234.7517281049713</v>
      </c>
      <c r="G199" s="26" t="s">
        <v>271</v>
      </c>
      <c r="H199" s="27">
        <f>IF(COUNT(H179:H198), SUM(H179:H198) / COUNT(H179:H198), 0)</f>
        <v>-1.0535046311119537E-3</v>
      </c>
      <c r="I199" s="28">
        <f>SUM(I179:I198)</f>
        <v>-2107.0092622239067</v>
      </c>
      <c r="J199" s="26" t="s">
        <v>271</v>
      </c>
      <c r="K199" s="27">
        <f>IF(COUNT(K179:K198), SUM(K179:K198) / COUNT(K179:K198), 0)</f>
        <v>-6.3050234425414964E-3</v>
      </c>
      <c r="L199" s="28">
        <f>SUM(L179:L198)</f>
        <v>-12610.046885082993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33"/>
      <c r="R199" s="234"/>
      <c r="S199" s="23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81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1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1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1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1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1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1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1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1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0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808" priority="157">
      <formula>AND($N17 &gt; 0, ISNUMBER($N17))</formula>
    </cfRule>
    <cfRule type="expression" dxfId="1807" priority="158">
      <formula>AND($N17 = 0 * ISNUMBER($N17))</formula>
    </cfRule>
    <cfRule type="expression" dxfId="1806" priority="159">
      <formula>AND($N17 &lt; 0, ISNUMBER($N17))</formula>
    </cfRule>
  </conditionalFormatting>
  <conditionalFormatting sqref="A17:F36">
    <cfRule type="expression" dxfId="1805" priority="166">
      <formula>AND($E17 &gt; 0, ISNUMBER($E17))</formula>
    </cfRule>
    <cfRule type="expression" dxfId="1804" priority="167">
      <formula>AND($E17 = 0 * ISNUMBER($E17))</formula>
    </cfRule>
    <cfRule type="expression" dxfId="1803" priority="168">
      <formula>AND($E17 &lt; 0, ISNUMBER($E17))</formula>
    </cfRule>
  </conditionalFormatting>
  <conditionalFormatting sqref="A17:C36 G17:I36">
    <cfRule type="expression" dxfId="1802" priority="163">
      <formula>AND($H17 &gt; 0, ISNUMBER($H17))</formula>
    </cfRule>
    <cfRule type="expression" dxfId="1801" priority="164">
      <formula>AND($H17 = 0 * ISNUMBER($H17))</formula>
    </cfRule>
    <cfRule type="expression" dxfId="1800" priority="165">
      <formula>AND($H17 &lt; 0, ISNUMBER($H17))</formula>
    </cfRule>
  </conditionalFormatting>
  <conditionalFormatting sqref="A17:C36 J17:L36">
    <cfRule type="expression" dxfId="1799" priority="160">
      <formula>AND($K17 &gt; 0, ISNUMBER($K17))</formula>
    </cfRule>
    <cfRule type="expression" dxfId="1798" priority="161">
      <formula>AND($K17 = 0 * ISNUMBER($K17))</formula>
    </cfRule>
    <cfRule type="expression" dxfId="1797" priority="162">
      <formula>AND($K17 &lt; 0, ISNUMBER($K17))</formula>
    </cfRule>
  </conditionalFormatting>
  <conditionalFormatting sqref="D15:F16 E37:F37">
    <cfRule type="expression" dxfId="1796" priority="154">
      <formula>$E$37 &gt; 0</formula>
    </cfRule>
    <cfRule type="expression" dxfId="1795" priority="155">
      <formula>$E$37 = 0</formula>
    </cfRule>
    <cfRule type="expression" dxfId="1794" priority="156">
      <formula>$E$37 &lt; 0</formula>
    </cfRule>
  </conditionalFormatting>
  <conditionalFormatting sqref="G15:I16 H37:I37">
    <cfRule type="expression" dxfId="1793" priority="151">
      <formula>$H$37 &gt; 0</formula>
    </cfRule>
    <cfRule type="expression" dxfId="1792" priority="152">
      <formula>$H$37 = 0</formula>
    </cfRule>
    <cfRule type="expression" dxfId="1791" priority="153">
      <formula>$H$37 &lt; 0</formula>
    </cfRule>
  </conditionalFormatting>
  <conditionalFormatting sqref="J15:L16 K37:L37">
    <cfRule type="expression" dxfId="1790" priority="148">
      <formula>$K$37 &gt; 0</formula>
    </cfRule>
    <cfRule type="expression" dxfId="1789" priority="149">
      <formula>$K$37 = 0</formula>
    </cfRule>
    <cfRule type="expression" dxfId="1788" priority="150">
      <formula>$K$37 &lt; 0</formula>
    </cfRule>
  </conditionalFormatting>
  <conditionalFormatting sqref="M15:O16 N37:O37">
    <cfRule type="expression" dxfId="1787" priority="145">
      <formula>$N$37 &gt; 0</formula>
    </cfRule>
    <cfRule type="expression" dxfId="1786" priority="146">
      <formula>$N$37 = 0</formula>
    </cfRule>
    <cfRule type="expression" dxfId="1785" priority="147">
      <formula>$N$37 &lt; 0</formula>
    </cfRule>
  </conditionalFormatting>
  <conditionalFormatting sqref="A44:C63 M44:O63">
    <cfRule type="expression" dxfId="1784" priority="133">
      <formula>AND($N44 &gt; 0, ISNUMBER($N44))</formula>
    </cfRule>
    <cfRule type="expression" dxfId="1783" priority="134">
      <formula>AND($N44 = 0 * ISNUMBER($N44))</formula>
    </cfRule>
    <cfRule type="expression" dxfId="1782" priority="135">
      <formula>AND($N44 &lt; 0, ISNUMBER($N44))</formula>
    </cfRule>
  </conditionalFormatting>
  <conditionalFormatting sqref="A44:F63">
    <cfRule type="expression" dxfId="1781" priority="142">
      <formula>AND($E44 &gt; 0, ISNUMBER($E44))</formula>
    </cfRule>
    <cfRule type="expression" dxfId="1780" priority="143">
      <formula>AND($E44 = 0 * ISNUMBER($E44))</formula>
    </cfRule>
    <cfRule type="expression" dxfId="1779" priority="144">
      <formula>AND($E44 &lt; 0, ISNUMBER($E44))</formula>
    </cfRule>
  </conditionalFormatting>
  <conditionalFormatting sqref="A44:C63 G44:I63">
    <cfRule type="expression" dxfId="1778" priority="139">
      <formula>AND($H44 &gt; 0, ISNUMBER($H44))</formula>
    </cfRule>
    <cfRule type="expression" dxfId="1777" priority="140">
      <formula>AND($H44 = 0 * ISNUMBER($H44))</formula>
    </cfRule>
    <cfRule type="expression" dxfId="1776" priority="141">
      <formula>AND($H44 &lt; 0, ISNUMBER($H44))</formula>
    </cfRule>
  </conditionalFormatting>
  <conditionalFormatting sqref="A44:C63 J44:L63">
    <cfRule type="expression" dxfId="1775" priority="136">
      <formula>AND($K44 &gt; 0, ISNUMBER($K44))</formula>
    </cfRule>
    <cfRule type="expression" dxfId="1774" priority="137">
      <formula>AND($K44 = 0 * ISNUMBER($K44))</formula>
    </cfRule>
    <cfRule type="expression" dxfId="1773" priority="138">
      <formula>AND($K44 &lt; 0, ISNUMBER($K44))</formula>
    </cfRule>
  </conditionalFormatting>
  <conditionalFormatting sqref="D42:F43 E64:F64">
    <cfRule type="expression" dxfId="1772" priority="130">
      <formula>$E$64 &gt; 0</formula>
    </cfRule>
    <cfRule type="expression" dxfId="1771" priority="131">
      <formula>$E$64 = 0</formula>
    </cfRule>
    <cfRule type="expression" dxfId="1770" priority="132">
      <formula>$E$64 &lt; 0</formula>
    </cfRule>
  </conditionalFormatting>
  <conditionalFormatting sqref="G42:I43 H64:I64">
    <cfRule type="expression" dxfId="1769" priority="127">
      <formula>$H$64 &gt; 0</formula>
    </cfRule>
    <cfRule type="expression" dxfId="1768" priority="128">
      <formula>$H$64 = 0</formula>
    </cfRule>
    <cfRule type="expression" dxfId="1767" priority="129">
      <formula>$H$64 &lt; 0</formula>
    </cfRule>
  </conditionalFormatting>
  <conditionalFormatting sqref="J42:L43 K64:L64">
    <cfRule type="expression" dxfId="1766" priority="124">
      <formula>$K$64 &gt; 0</formula>
    </cfRule>
    <cfRule type="expression" dxfId="1765" priority="125">
      <formula>$K$64 = 0</formula>
    </cfRule>
    <cfRule type="expression" dxfId="1764" priority="126">
      <formula>$K$64 &lt; 0</formula>
    </cfRule>
  </conditionalFormatting>
  <conditionalFormatting sqref="M42:O43 N64:O64">
    <cfRule type="expression" dxfId="1763" priority="121">
      <formula>$N$64 &gt; 0</formula>
    </cfRule>
    <cfRule type="expression" dxfId="1762" priority="122">
      <formula>$N$64 = 0</formula>
    </cfRule>
    <cfRule type="expression" dxfId="1761" priority="123">
      <formula>$N$64 &lt; 0</formula>
    </cfRule>
  </conditionalFormatting>
  <conditionalFormatting sqref="A71:C90 M71:O90">
    <cfRule type="expression" dxfId="1760" priority="109">
      <formula>AND($N71 &gt; 0, ISNUMBER($N71))</formula>
    </cfRule>
    <cfRule type="expression" dxfId="1759" priority="110">
      <formula>AND($N71 = 0 * ISNUMBER($N71))</formula>
    </cfRule>
    <cfRule type="expression" dxfId="1758" priority="111">
      <formula>AND($N71 &lt; 0, ISNUMBER($N71))</formula>
    </cfRule>
  </conditionalFormatting>
  <conditionalFormatting sqref="A71:F90">
    <cfRule type="expression" dxfId="1757" priority="118">
      <formula>AND($E71 &gt; 0, ISNUMBER($E71))</formula>
    </cfRule>
    <cfRule type="expression" dxfId="1756" priority="119">
      <formula>AND($E71 = 0 * ISNUMBER($E71))</formula>
    </cfRule>
    <cfRule type="expression" dxfId="1755" priority="120">
      <formula>AND($E71 &lt; 0, ISNUMBER($E71))</formula>
    </cfRule>
  </conditionalFormatting>
  <conditionalFormatting sqref="A71:C90 G71:I90">
    <cfRule type="expression" dxfId="1754" priority="115">
      <formula>AND($H71 &gt; 0, ISNUMBER($H71))</formula>
    </cfRule>
    <cfRule type="expression" dxfId="1753" priority="116">
      <formula>AND($H71 = 0 * ISNUMBER($H71))</formula>
    </cfRule>
    <cfRule type="expression" dxfId="1752" priority="117">
      <formula>AND($H71 &lt; 0, ISNUMBER($H71))</formula>
    </cfRule>
  </conditionalFormatting>
  <conditionalFormatting sqref="A71:C90 J71:L90">
    <cfRule type="expression" dxfId="1751" priority="112">
      <formula>AND($K71 &gt; 0, ISNUMBER($K71))</formula>
    </cfRule>
    <cfRule type="expression" dxfId="1750" priority="113">
      <formula>AND($K71 = 0 * ISNUMBER($K71))</formula>
    </cfRule>
    <cfRule type="expression" dxfId="1749" priority="114">
      <formula>AND($K71 &lt; 0, ISNUMBER($K71))</formula>
    </cfRule>
  </conditionalFormatting>
  <conditionalFormatting sqref="D69:F70 E91:F91">
    <cfRule type="expression" dxfId="1748" priority="106">
      <formula>$E$91 &gt; 0</formula>
    </cfRule>
    <cfRule type="expression" dxfId="1747" priority="107">
      <formula>$E$91 = 0</formula>
    </cfRule>
    <cfRule type="expression" dxfId="1746" priority="108">
      <formula>$E$91 &lt; 0</formula>
    </cfRule>
  </conditionalFormatting>
  <conditionalFormatting sqref="G69:I70 H91:I91">
    <cfRule type="expression" dxfId="1745" priority="103">
      <formula>$H$91 &gt; 0</formula>
    </cfRule>
    <cfRule type="expression" dxfId="1744" priority="104">
      <formula>$H$91 = 0</formula>
    </cfRule>
    <cfRule type="expression" dxfId="1743" priority="105">
      <formula>$H$91 &lt; 0</formula>
    </cfRule>
  </conditionalFormatting>
  <conditionalFormatting sqref="J69:L70 K91:L91">
    <cfRule type="expression" dxfId="1742" priority="100">
      <formula>$K$91 &gt; 0</formula>
    </cfRule>
    <cfRule type="expression" dxfId="1741" priority="101">
      <formula>$K$91 = 0</formula>
    </cfRule>
    <cfRule type="expression" dxfId="1740" priority="102">
      <formula>$K$91 &lt; 0</formula>
    </cfRule>
  </conditionalFormatting>
  <conditionalFormatting sqref="M69:O70 N91:O91">
    <cfRule type="expression" dxfId="1739" priority="97">
      <formula>$N$91 &gt; 0</formula>
    </cfRule>
    <cfRule type="expression" dxfId="1738" priority="98">
      <formula>$N$91 = 0</formula>
    </cfRule>
    <cfRule type="expression" dxfId="1737" priority="99">
      <formula>$N$91 &lt; 0</formula>
    </cfRule>
  </conditionalFormatting>
  <conditionalFormatting sqref="A98:C117 M98:O117">
    <cfRule type="expression" dxfId="1736" priority="85">
      <formula>AND($N98 &gt; 0, ISNUMBER($N98))</formula>
    </cfRule>
    <cfRule type="expression" dxfId="1735" priority="86">
      <formula>AND($N98 = 0 * ISNUMBER($N98))</formula>
    </cfRule>
    <cfRule type="expression" dxfId="1734" priority="87">
      <formula>AND($N98 &lt; 0, ISNUMBER($N98))</formula>
    </cfRule>
  </conditionalFormatting>
  <conditionalFormatting sqref="A98:F117">
    <cfRule type="expression" dxfId="1733" priority="94">
      <formula>AND($E98 &gt; 0, ISNUMBER($E98))</formula>
    </cfRule>
    <cfRule type="expression" dxfId="1732" priority="95">
      <formula>AND($E98 = 0 * ISNUMBER($E98))</formula>
    </cfRule>
    <cfRule type="expression" dxfId="1731" priority="96">
      <formula>AND($E98 &lt; 0, ISNUMBER($E98))</formula>
    </cfRule>
  </conditionalFormatting>
  <conditionalFormatting sqref="A98:C117 G98:I117">
    <cfRule type="expression" dxfId="1730" priority="91">
      <formula>AND($H98 &gt; 0, ISNUMBER($H98))</formula>
    </cfRule>
    <cfRule type="expression" dxfId="1729" priority="92">
      <formula>AND($H98 = 0 * ISNUMBER($H98))</formula>
    </cfRule>
    <cfRule type="expression" dxfId="1728" priority="93">
      <formula>AND($H98 &lt; 0, ISNUMBER($H98))</formula>
    </cfRule>
  </conditionalFormatting>
  <conditionalFormatting sqref="A98:C117 J98:L117">
    <cfRule type="expression" dxfId="1727" priority="88">
      <formula>AND($K98 &gt; 0, ISNUMBER($K98))</formula>
    </cfRule>
    <cfRule type="expression" dxfId="1726" priority="89">
      <formula>AND($K98 = 0 * ISNUMBER($K98))</formula>
    </cfRule>
    <cfRule type="expression" dxfId="1725" priority="90">
      <formula>AND($K98 &lt; 0, ISNUMBER($K98))</formula>
    </cfRule>
  </conditionalFormatting>
  <conditionalFormatting sqref="D96:F97 E118:F118">
    <cfRule type="expression" dxfId="1724" priority="82">
      <formula>$E$118 &gt; 0</formula>
    </cfRule>
    <cfRule type="expression" dxfId="1723" priority="83">
      <formula>$E$118 = 0</formula>
    </cfRule>
    <cfRule type="expression" dxfId="1722" priority="84">
      <formula>$E$118 &lt; 0</formula>
    </cfRule>
  </conditionalFormatting>
  <conditionalFormatting sqref="G96:I97 H118:I118">
    <cfRule type="expression" dxfId="1721" priority="79">
      <formula>$H$118 &gt; 0</formula>
    </cfRule>
    <cfRule type="expression" dxfId="1720" priority="80">
      <formula>$H$118 = 0</formula>
    </cfRule>
    <cfRule type="expression" dxfId="1719" priority="81">
      <formula>$H$118 &lt; 0</formula>
    </cfRule>
  </conditionalFormatting>
  <conditionalFormatting sqref="J96:L97 K118:L118">
    <cfRule type="expression" dxfId="1718" priority="76">
      <formula>$K$118 &gt; 0</formula>
    </cfRule>
    <cfRule type="expression" dxfId="1717" priority="77">
      <formula>$K$118 = 0</formula>
    </cfRule>
    <cfRule type="expression" dxfId="1716" priority="78">
      <formula>$K$118 &lt; 0</formula>
    </cfRule>
  </conditionalFormatting>
  <conditionalFormatting sqref="M96:O97 N118:O118">
    <cfRule type="expression" dxfId="1715" priority="73">
      <formula>$N$118 &gt; 0</formula>
    </cfRule>
    <cfRule type="expression" dxfId="1714" priority="74">
      <formula>$N$118 = 0</formula>
    </cfRule>
    <cfRule type="expression" dxfId="1713" priority="75">
      <formula>$N$118 &lt; 0</formula>
    </cfRule>
  </conditionalFormatting>
  <conditionalFormatting sqref="A125:C144 M125:O144">
    <cfRule type="expression" dxfId="1712" priority="61">
      <formula>AND($N125 &gt; 0, ISNUMBER($N125))</formula>
    </cfRule>
    <cfRule type="expression" dxfId="1711" priority="62">
      <formula>AND($N125 = 0 * ISNUMBER($N125))</formula>
    </cfRule>
    <cfRule type="expression" dxfId="1710" priority="63">
      <formula>AND($N125 &lt; 0, ISNUMBER($N125))</formula>
    </cfRule>
  </conditionalFormatting>
  <conditionalFormatting sqref="A125:F144">
    <cfRule type="expression" dxfId="1709" priority="70">
      <formula>AND($E125 &gt; 0, ISNUMBER($E125))</formula>
    </cfRule>
    <cfRule type="expression" dxfId="1708" priority="71">
      <formula>AND($E125 = 0 * ISNUMBER($E125))</formula>
    </cfRule>
    <cfRule type="expression" dxfId="1707" priority="72">
      <formula>AND($E125 &lt; 0, ISNUMBER($E125))</formula>
    </cfRule>
  </conditionalFormatting>
  <conditionalFormatting sqref="A125:C144 G125:I144">
    <cfRule type="expression" dxfId="1706" priority="67">
      <formula>AND($H125 &gt; 0, ISNUMBER($H125))</formula>
    </cfRule>
    <cfRule type="expression" dxfId="1705" priority="68">
      <formula>AND($H125 = 0 * ISNUMBER($H125))</formula>
    </cfRule>
    <cfRule type="expression" dxfId="1704" priority="69">
      <formula>AND($H125 &lt; 0, ISNUMBER($H125))</formula>
    </cfRule>
  </conditionalFormatting>
  <conditionalFormatting sqref="A125:C144 J125:L144">
    <cfRule type="expression" dxfId="1703" priority="64">
      <formula>AND($K125 &gt; 0, ISNUMBER($K125))</formula>
    </cfRule>
    <cfRule type="expression" dxfId="1702" priority="65">
      <formula>AND($K125 = 0 * ISNUMBER($K125))</formula>
    </cfRule>
    <cfRule type="expression" dxfId="1701" priority="66">
      <formula>AND($K125 &lt; 0, ISNUMBER($K125))</formula>
    </cfRule>
  </conditionalFormatting>
  <conditionalFormatting sqref="D123:F124 E145:F145">
    <cfRule type="expression" dxfId="1700" priority="58">
      <formula>$E$145 &gt; 0</formula>
    </cfRule>
    <cfRule type="expression" dxfId="1699" priority="59">
      <formula>$E$145 = 0</formula>
    </cfRule>
    <cfRule type="expression" dxfId="1698" priority="60">
      <formula>$E$145 &lt; 0</formula>
    </cfRule>
  </conditionalFormatting>
  <conditionalFormatting sqref="G123:I124 H145:I145">
    <cfRule type="expression" dxfId="1697" priority="55">
      <formula>$H$145 &gt; 0</formula>
    </cfRule>
    <cfRule type="expression" dxfId="1696" priority="56">
      <formula>$H$145 = 0</formula>
    </cfRule>
    <cfRule type="expression" dxfId="1695" priority="57">
      <formula>$H$145 &lt; 0</formula>
    </cfRule>
  </conditionalFormatting>
  <conditionalFormatting sqref="J123:L124 K145:L145">
    <cfRule type="expression" dxfId="1694" priority="52">
      <formula>$K$145 &gt; 0</formula>
    </cfRule>
    <cfRule type="expression" dxfId="1693" priority="53">
      <formula>$K$145 = 0</formula>
    </cfRule>
    <cfRule type="expression" dxfId="1692" priority="54">
      <formula>$K$145 &lt; 0</formula>
    </cfRule>
  </conditionalFormatting>
  <conditionalFormatting sqref="M123:O124 N145:O145">
    <cfRule type="expression" dxfId="1691" priority="49">
      <formula>$N$145 &gt; 0</formula>
    </cfRule>
    <cfRule type="expression" dxfId="1690" priority="50">
      <formula>$N$145 = 0</formula>
    </cfRule>
    <cfRule type="expression" dxfId="1689" priority="51">
      <formula>$N$145 &lt; 0</formula>
    </cfRule>
  </conditionalFormatting>
  <conditionalFormatting sqref="A152:C171 M152:O171">
    <cfRule type="expression" dxfId="1688" priority="37">
      <formula>AND($N152 &gt; 0, ISNUMBER($N152))</formula>
    </cfRule>
    <cfRule type="expression" dxfId="1687" priority="38">
      <formula>AND($N152 = 0 * ISNUMBER($N152))</formula>
    </cfRule>
    <cfRule type="expression" dxfId="1686" priority="39">
      <formula>AND($N152 &lt; 0, ISNUMBER($N152))</formula>
    </cfRule>
  </conditionalFormatting>
  <conditionalFormatting sqref="A152:F171">
    <cfRule type="expression" dxfId="1685" priority="46">
      <formula>AND($E152 &gt; 0, ISNUMBER($E152))</formula>
    </cfRule>
    <cfRule type="expression" dxfId="1684" priority="47">
      <formula>AND($E152 = 0 * ISNUMBER($E152))</formula>
    </cfRule>
    <cfRule type="expression" dxfId="1683" priority="48">
      <formula>AND($E152 &lt; 0, ISNUMBER($E152))</formula>
    </cfRule>
  </conditionalFormatting>
  <conditionalFormatting sqref="A152:C171 G152:I171">
    <cfRule type="expression" dxfId="1682" priority="43">
      <formula>AND($H152 &gt; 0, ISNUMBER($H152))</formula>
    </cfRule>
    <cfRule type="expression" dxfId="1681" priority="44">
      <formula>AND($H152 = 0 * ISNUMBER($H152))</formula>
    </cfRule>
    <cfRule type="expression" dxfId="1680" priority="45">
      <formula>AND($H152 &lt; 0, ISNUMBER($H152))</formula>
    </cfRule>
  </conditionalFormatting>
  <conditionalFormatting sqref="A152:C171 J152:L171">
    <cfRule type="expression" dxfId="1679" priority="40">
      <formula>AND($K152 &gt; 0, ISNUMBER($K152))</formula>
    </cfRule>
    <cfRule type="expression" dxfId="1678" priority="41">
      <formula>AND($K152 = 0 * ISNUMBER($K152))</formula>
    </cfRule>
    <cfRule type="expression" dxfId="1677" priority="42">
      <formula>AND($K152 &lt; 0, ISNUMBER($K152))</formula>
    </cfRule>
  </conditionalFormatting>
  <conditionalFormatting sqref="D150:F151 E172:F172">
    <cfRule type="expression" dxfId="1676" priority="34">
      <formula>$E$172 &gt; 0</formula>
    </cfRule>
    <cfRule type="expression" dxfId="1675" priority="35">
      <formula>$E$172 = 0</formula>
    </cfRule>
    <cfRule type="expression" dxfId="1674" priority="36">
      <formula>$E$172 &lt; 0</formula>
    </cfRule>
  </conditionalFormatting>
  <conditionalFormatting sqref="G150:I151 H172:I172">
    <cfRule type="expression" dxfId="1673" priority="31">
      <formula>$H$172 &gt; 0</formula>
    </cfRule>
    <cfRule type="expression" dxfId="1672" priority="32">
      <formula>$H$172 = 0</formula>
    </cfRule>
    <cfRule type="expression" dxfId="1671" priority="33">
      <formula>$H$172 &lt; 0</formula>
    </cfRule>
  </conditionalFormatting>
  <conditionalFormatting sqref="J150:L151 K172:L172">
    <cfRule type="expression" dxfId="1670" priority="28">
      <formula>$K$172 &gt; 0</formula>
    </cfRule>
    <cfRule type="expression" dxfId="1669" priority="29">
      <formula>$K$172 = 0</formula>
    </cfRule>
    <cfRule type="expression" dxfId="1668" priority="30">
      <formula>$K$172 &lt; 0</formula>
    </cfRule>
  </conditionalFormatting>
  <conditionalFormatting sqref="M150:O151 N172:O172">
    <cfRule type="expression" dxfId="1667" priority="25">
      <formula>$N$172 &gt; 0</formula>
    </cfRule>
    <cfRule type="expression" dxfId="1666" priority="26">
      <formula>$N$172 = 0</formula>
    </cfRule>
    <cfRule type="expression" dxfId="1665" priority="27">
      <formula>$N$172 &lt; 0</formula>
    </cfRule>
  </conditionalFormatting>
  <conditionalFormatting sqref="A179:C198 M179:O198">
    <cfRule type="expression" dxfId="1664" priority="13">
      <formula>AND($N179 &gt; 0, ISNUMBER($N179))</formula>
    </cfRule>
    <cfRule type="expression" dxfId="1663" priority="14">
      <formula>AND($N179 = 0 * ISNUMBER($N179))</formula>
    </cfRule>
    <cfRule type="expression" dxfId="1662" priority="15">
      <formula>AND($N179 &lt; 0, ISNUMBER($N179))</formula>
    </cfRule>
  </conditionalFormatting>
  <conditionalFormatting sqref="A179:F198">
    <cfRule type="expression" dxfId="1661" priority="22">
      <formula>AND($E179 &gt; 0, ISNUMBER($E179))</formula>
    </cfRule>
    <cfRule type="expression" dxfId="1660" priority="23">
      <formula>AND($E179 = 0 * ISNUMBER($E179))</formula>
    </cfRule>
    <cfRule type="expression" dxfId="1659" priority="24">
      <formula>AND($E179 &lt; 0, ISNUMBER($E179))</formula>
    </cfRule>
  </conditionalFormatting>
  <conditionalFormatting sqref="A179:C198 G179:I198">
    <cfRule type="expression" dxfId="1658" priority="19">
      <formula>AND($H179 &gt; 0, ISNUMBER($H179))</formula>
    </cfRule>
    <cfRule type="expression" dxfId="1657" priority="20">
      <formula>AND($H179 = 0 * ISNUMBER($H179))</formula>
    </cfRule>
    <cfRule type="expression" dxfId="1656" priority="21">
      <formula>AND($H179 &lt; 0, ISNUMBER($H179))</formula>
    </cfRule>
  </conditionalFormatting>
  <conditionalFormatting sqref="A179:C198 J179:L198">
    <cfRule type="expression" dxfId="1655" priority="16">
      <formula>AND($K179 &gt; 0, ISNUMBER($K179))</formula>
    </cfRule>
    <cfRule type="expression" dxfId="1654" priority="17">
      <formula>AND($K179 = 0 * ISNUMBER($K179))</formula>
    </cfRule>
    <cfRule type="expression" dxfId="1653" priority="18">
      <formula>AND($K179 &lt; 0, ISNUMBER($K179))</formula>
    </cfRule>
  </conditionalFormatting>
  <conditionalFormatting sqref="D177:F178 E199:F199">
    <cfRule type="expression" dxfId="1652" priority="10">
      <formula>$E$199 &gt; 0</formula>
    </cfRule>
    <cfRule type="expression" dxfId="1651" priority="11">
      <formula>$E$199 = 0</formula>
    </cfRule>
    <cfRule type="expression" dxfId="1650" priority="12">
      <formula>$E$199 &lt; 0</formula>
    </cfRule>
  </conditionalFormatting>
  <conditionalFormatting sqref="G177:I178 H199:I199">
    <cfRule type="expression" dxfId="1649" priority="7">
      <formula>$H$199 &gt; 0</formula>
    </cfRule>
    <cfRule type="expression" dxfId="1648" priority="8">
      <formula>$H$199 = 0</formula>
    </cfRule>
    <cfRule type="expression" dxfId="1647" priority="9">
      <formula>$H$199 &lt; 0</formula>
    </cfRule>
  </conditionalFormatting>
  <conditionalFormatting sqref="J177:L178 K199:L199">
    <cfRule type="expression" dxfId="1646" priority="4">
      <formula>$K$199 &gt; 0</formula>
    </cfRule>
    <cfRule type="expression" dxfId="1645" priority="5">
      <formula>$K$199 = 0</formula>
    </cfRule>
    <cfRule type="expression" dxfId="1644" priority="6">
      <formula>$K$199 &lt; 0</formula>
    </cfRule>
  </conditionalFormatting>
  <conditionalFormatting sqref="M177:O178 N199:O199">
    <cfRule type="expression" dxfId="1643" priority="1">
      <formula>$N$199 &gt; 0</formula>
    </cfRule>
    <cfRule type="expression" dxfId="1642" priority="2">
      <formula>$N$199 = 0</formula>
    </cfRule>
    <cfRule type="expression" dxfId="164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FF221-5AE6-4942-889C-2DBF830D1B35}">
  <sheetPr codeName="Sheet15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80">
        <v>44417</v>
      </c>
      <c r="H1" s="281"/>
      <c r="I1" s="282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83" t="s">
        <v>8</v>
      </c>
      <c r="C2" s="284"/>
      <c r="D2" s="284"/>
      <c r="E2" s="284"/>
      <c r="F2" s="285"/>
      <c r="G2" s="277" t="s">
        <v>46</v>
      </c>
      <c r="H2" s="278"/>
      <c r="I2" s="279"/>
      <c r="J2" s="1" t="s">
        <v>3</v>
      </c>
      <c r="K2" s="283" t="s">
        <v>320</v>
      </c>
      <c r="L2" s="284"/>
      <c r="M2" s="284"/>
      <c r="N2" s="284"/>
      <c r="O2" s="285"/>
      <c r="Q2" s="2" t="s">
        <v>6</v>
      </c>
      <c r="R2" s="3">
        <v>0.375</v>
      </c>
    </row>
    <row r="3" spans="1:19" ht="17.25" customHeight="1" thickBot="1">
      <c r="A3" s="118" t="s">
        <v>7</v>
      </c>
      <c r="B3" s="274" t="s">
        <v>328</v>
      </c>
      <c r="C3" s="275"/>
      <c r="D3" s="275"/>
      <c r="E3" s="275"/>
      <c r="F3" s="276"/>
      <c r="G3" s="27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71,387 KRW (3.57%)</v>
      </c>
      <c r="H3" s="271"/>
      <c r="I3" s="272"/>
      <c r="J3" s="4" t="s">
        <v>7</v>
      </c>
      <c r="K3" s="274" t="s">
        <v>321</v>
      </c>
      <c r="L3" s="275"/>
      <c r="M3" s="275"/>
      <c r="N3" s="275"/>
      <c r="O3" s="27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4" t="s">
        <v>16</v>
      </c>
      <c r="C4" s="275"/>
      <c r="D4" s="275"/>
      <c r="E4" s="275"/>
      <c r="F4" s="276"/>
      <c r="G4" s="277" t="s">
        <v>44</v>
      </c>
      <c r="H4" s="278"/>
      <c r="I4" s="279"/>
      <c r="J4" s="4" t="s">
        <v>11</v>
      </c>
      <c r="K4" s="274" t="s">
        <v>322</v>
      </c>
      <c r="L4" s="275"/>
      <c r="M4" s="275"/>
      <c r="N4" s="275"/>
      <c r="O4" s="27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4" t="s">
        <v>319</v>
      </c>
      <c r="C5" s="275"/>
      <c r="D5" s="275"/>
      <c r="E5" s="275"/>
      <c r="F5" s="276"/>
      <c r="G5" s="27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55,805 KRW (2.79%)</v>
      </c>
      <c r="H5" s="271"/>
      <c r="I5" s="272"/>
      <c r="J5" s="4" t="s">
        <v>15</v>
      </c>
      <c r="K5" s="274" t="s">
        <v>323</v>
      </c>
      <c r="L5" s="275"/>
      <c r="M5" s="275"/>
      <c r="N5" s="275"/>
      <c r="O5" s="276"/>
    </row>
    <row r="6" spans="1:19">
      <c r="A6" s="118" t="s">
        <v>18</v>
      </c>
      <c r="B6" s="274"/>
      <c r="C6" s="275"/>
      <c r="D6" s="275"/>
      <c r="E6" s="275"/>
      <c r="F6" s="276"/>
      <c r="G6" s="277" t="s">
        <v>45</v>
      </c>
      <c r="H6" s="278"/>
      <c r="I6" s="279"/>
      <c r="J6" s="4" t="s">
        <v>18</v>
      </c>
      <c r="K6" s="274" t="s">
        <v>324</v>
      </c>
      <c r="L6" s="275"/>
      <c r="M6" s="275"/>
      <c r="N6" s="275"/>
      <c r="O6" s="276"/>
    </row>
    <row r="7" spans="1:19" ht="17.25" thickBot="1">
      <c r="A7" s="118" t="s">
        <v>21</v>
      </c>
      <c r="B7" s="274"/>
      <c r="C7" s="275"/>
      <c r="D7" s="275"/>
      <c r="E7" s="275"/>
      <c r="F7" s="276"/>
      <c r="G7" s="27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60,246 KRW (3.01%)</v>
      </c>
      <c r="H7" s="271"/>
      <c r="I7" s="272"/>
      <c r="J7" s="4" t="s">
        <v>21</v>
      </c>
      <c r="K7" s="274" t="s">
        <v>325</v>
      </c>
      <c r="L7" s="275"/>
      <c r="M7" s="275"/>
      <c r="N7" s="275"/>
      <c r="O7" s="276"/>
    </row>
    <row r="8" spans="1:19" ht="17.25" thickBot="1">
      <c r="A8" s="118" t="s">
        <v>24</v>
      </c>
      <c r="B8" s="274"/>
      <c r="C8" s="275"/>
      <c r="D8" s="275"/>
      <c r="E8" s="275"/>
      <c r="F8" s="276"/>
      <c r="G8" s="277" t="s">
        <v>255</v>
      </c>
      <c r="H8" s="278"/>
      <c r="I8" s="279"/>
      <c r="J8" s="4" t="s">
        <v>24</v>
      </c>
      <c r="K8" s="274"/>
      <c r="L8" s="275"/>
      <c r="M8" s="275"/>
      <c r="N8" s="275"/>
      <c r="O8" s="276"/>
      <c r="Q8" s="249" t="s">
        <v>27</v>
      </c>
      <c r="R8" s="251"/>
    </row>
    <row r="9" spans="1:19" ht="17.25" thickBot="1">
      <c r="A9" s="118" t="s">
        <v>28</v>
      </c>
      <c r="B9" s="274"/>
      <c r="C9" s="275"/>
      <c r="D9" s="275"/>
      <c r="E9" s="275"/>
      <c r="F9" s="276"/>
      <c r="G9" s="27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58,889 KRW (2.94%)</v>
      </c>
      <c r="H9" s="271"/>
      <c r="I9" s="272"/>
      <c r="J9" s="4" t="s">
        <v>28</v>
      </c>
      <c r="K9" s="274"/>
      <c r="L9" s="275"/>
      <c r="M9" s="275"/>
      <c r="N9" s="275"/>
      <c r="O9" s="276"/>
      <c r="Q9" s="2" t="s">
        <v>29</v>
      </c>
      <c r="R9" s="6">
        <v>10</v>
      </c>
    </row>
    <row r="10" spans="1:19">
      <c r="A10" s="118" t="s">
        <v>30</v>
      </c>
      <c r="B10" s="274"/>
      <c r="C10" s="275"/>
      <c r="D10" s="275"/>
      <c r="E10" s="275"/>
      <c r="F10" s="276"/>
      <c r="G10" s="277" t="s">
        <v>47</v>
      </c>
      <c r="H10" s="278"/>
      <c r="I10" s="279"/>
      <c r="J10" s="4" t="s">
        <v>30</v>
      </c>
      <c r="K10" s="274" t="s">
        <v>326</v>
      </c>
      <c r="L10" s="275"/>
      <c r="M10" s="275"/>
      <c r="N10" s="275"/>
      <c r="O10" s="276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7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1"/>
      <c r="I11" s="272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48"/>
      <c r="R13" s="248"/>
      <c r="S13" s="248"/>
    </row>
    <row r="14" spans="1:19" ht="17.25" customHeight="1" thickBot="1">
      <c r="A14" s="189" t="s">
        <v>35</v>
      </c>
      <c r="B14" s="249" t="s">
        <v>36</v>
      </c>
      <c r="C14" s="251"/>
      <c r="D14" s="249" t="s">
        <v>37</v>
      </c>
      <c r="E14" s="250"/>
      <c r="F14" s="251"/>
      <c r="G14" s="252">
        <f>_xlfn.IFNA(VLOOKUP(B14, 현재가테이블!$B$2:$D$200, 2, FALSE), "-")</f>
        <v>54440000</v>
      </c>
      <c r="H14" s="253"/>
      <c r="I14" s="254"/>
      <c r="J14" s="249" t="s">
        <v>38</v>
      </c>
      <c r="K14" s="250"/>
      <c r="L14" s="251"/>
      <c r="M14" s="255">
        <f>_xlfn.IFNA(VLOOKUP(B14, 현재가테이블!$B$2:$D$200, 3, FALSE), "-")</f>
        <v>1.07123628E-2</v>
      </c>
      <c r="N14" s="256"/>
      <c r="O14" s="257"/>
      <c r="Q14" s="248"/>
      <c r="R14" s="248"/>
      <c r="S14" s="248"/>
    </row>
    <row r="15" spans="1:19" ht="17.25" customHeight="1" thickBot="1">
      <c r="A15" s="286" t="s">
        <v>39</v>
      </c>
      <c r="B15" s="287" t="str">
        <f>TEXT($G$1, "[$-ko-KR]yyyy-mm-dd(ddd) ") &amp; "오전 00:00"</f>
        <v>2021-08-09(월) 오전 00:00</v>
      </c>
      <c r="C15" s="288"/>
      <c r="D15" s="262" t="str">
        <f>TEXT($G$1, "[$-ko-KR]yyyy-mm-dd(ddd) ") &amp; "오후 14:00"</f>
        <v>2021-08-09(월) 오후 14:00</v>
      </c>
      <c r="E15" s="263"/>
      <c r="F15" s="264"/>
      <c r="G15" s="262" t="str">
        <f>TEXT($G$1, "[$-ko-KR]yyyy-mm-dd(ddd) ") &amp; "오후 19:00"</f>
        <v>2021-08-09(월) 오후 19:00</v>
      </c>
      <c r="H15" s="263"/>
      <c r="I15" s="264"/>
      <c r="J15" s="262" t="str">
        <f>TEXT($G$1, "[$-ko-KR]yyyy-mm-dd(ddd) ") &amp; "오후 21:00"</f>
        <v>2021-08-09(월) 오후 21:00</v>
      </c>
      <c r="K15" s="263"/>
      <c r="L15" s="264"/>
      <c r="M15" s="262" t="str">
        <f>TEXT($G$1+1, "[$-ko-KR]yyyy-mm-dd(ddd) ") &amp; "오전 00:00"</f>
        <v>2021-08-10(화) 오전 00:00</v>
      </c>
      <c r="N15" s="263"/>
      <c r="O15" s="264"/>
      <c r="Q15" s="248"/>
      <c r="R15" s="248"/>
      <c r="S15" s="248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8"/>
      <c r="R17" s="248"/>
      <c r="S17" s="24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8"/>
      <c r="R18" s="248"/>
      <c r="S18" s="24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8"/>
      <c r="R19" s="238"/>
      <c r="S19" s="23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8"/>
      <c r="R20" s="238"/>
      <c r="S20" s="23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8"/>
      <c r="R21" s="238"/>
      <c r="S21" s="23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8"/>
      <c r="R22" s="238"/>
      <c r="S22" s="23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8"/>
      <c r="R23" s="238"/>
      <c r="S23" s="23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8"/>
      <c r="R24" s="238"/>
      <c r="S24" s="23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9"/>
      <c r="R26" s="240"/>
      <c r="S26" s="24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2"/>
      <c r="R27" s="243"/>
      <c r="S27" s="24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5"/>
      <c r="R28" s="246"/>
      <c r="S28" s="24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8"/>
      <c r="R29" s="238"/>
      <c r="S29" s="23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8"/>
      <c r="R30" s="248"/>
      <c r="S30" s="24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8"/>
      <c r="R31" s="248"/>
      <c r="S31" s="24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8"/>
      <c r="R32" s="238"/>
      <c r="S32" s="23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7"/>
      <c r="R35" s="228"/>
      <c r="S35" s="22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0"/>
      <c r="R36" s="231"/>
      <c r="S36" s="232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3"/>
      <c r="R37" s="234"/>
      <c r="S37" s="23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48"/>
      <c r="R40" s="248"/>
      <c r="S40" s="248"/>
    </row>
    <row r="41" spans="1:19" ht="17.25" customHeight="1" thickBot="1">
      <c r="A41" s="189" t="s">
        <v>267</v>
      </c>
      <c r="B41" s="249" t="s">
        <v>49</v>
      </c>
      <c r="C41" s="251"/>
      <c r="D41" s="249" t="s">
        <v>58</v>
      </c>
      <c r="E41" s="250"/>
      <c r="F41" s="251"/>
      <c r="G41" s="252">
        <f>_xlfn.IFNA(VLOOKUP(B41, 현재가테이블!$B$2:$D$200, 2, FALSE), "-")</f>
        <v>54440000</v>
      </c>
      <c r="H41" s="253"/>
      <c r="I41" s="254"/>
      <c r="J41" s="249" t="s">
        <v>59</v>
      </c>
      <c r="K41" s="250"/>
      <c r="L41" s="251"/>
      <c r="M41" s="255">
        <f>_xlfn.IFNA(VLOOKUP(B41, 현재가테이블!$B$2:$D$200, 3, FALSE), "-")</f>
        <v>1.07123628E-2</v>
      </c>
      <c r="N41" s="256"/>
      <c r="O41" s="257"/>
      <c r="Q41" s="248"/>
      <c r="R41" s="248"/>
      <c r="S41" s="248"/>
    </row>
    <row r="42" spans="1:19" ht="17.25" customHeight="1" thickBot="1">
      <c r="A42" s="293" t="s">
        <v>55</v>
      </c>
      <c r="B42" s="289" t="str">
        <f>TEXT($G$1, "[$-ko-KR]yyyy-mm-dd(ddd) ") &amp; "오전 00:00"</f>
        <v>2021-08-09(월) 오전 00:00</v>
      </c>
      <c r="C42" s="290"/>
      <c r="D42" s="262" t="str">
        <f>TEXT($G$1, "[$-ko-KR]yyyy-mm-dd(ddd) ") &amp; "오후 14:00"</f>
        <v>2021-08-09(월) 오후 14:00</v>
      </c>
      <c r="E42" s="263"/>
      <c r="F42" s="264"/>
      <c r="G42" s="262" t="str">
        <f>TEXT($G$1, "[$-ko-KR]yyyy-mm-dd(ddd) ") &amp; "오후 19:00"</f>
        <v>2021-08-09(월) 오후 19:00</v>
      </c>
      <c r="H42" s="263"/>
      <c r="I42" s="264"/>
      <c r="J42" s="262" t="str">
        <f>TEXT($G$1, "[$-ko-KR]yyyy-mm-dd(ddd) ") &amp; "오후 21:00"</f>
        <v>2021-08-09(월) 오후 21:00</v>
      </c>
      <c r="K42" s="263"/>
      <c r="L42" s="264"/>
      <c r="M42" s="262" t="str">
        <f>TEXT($G$1+1, "[$-ko-KR]yyyy-mm-dd(ddd) ") &amp; "오전 00:00"</f>
        <v>2021-08-10(화) 오전 00:00</v>
      </c>
      <c r="N42" s="263"/>
      <c r="O42" s="264"/>
      <c r="Q42" s="248"/>
      <c r="R42" s="248"/>
      <c r="S42" s="248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0" t="s">
        <v>58</v>
      </c>
      <c r="H43" s="191" t="s">
        <v>268</v>
      </c>
      <c r="I43" s="19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8"/>
      <c r="R43" s="238"/>
      <c r="S43" s="238"/>
    </row>
    <row r="44" spans="1:19" ht="17.25" customHeight="1" thickBot="1">
      <c r="A44" s="123" t="s">
        <v>240</v>
      </c>
      <c r="B44" s="124">
        <v>67.3</v>
      </c>
      <c r="C44" s="76">
        <v>6.6561014299999999E-2</v>
      </c>
      <c r="D44" s="13">
        <v>68</v>
      </c>
      <c r="E44" s="14">
        <f>IF(ISNUMBER(D44), (D44 - $B44) / $B44, "")</f>
        <v>1.0401188707280875E-2</v>
      </c>
      <c r="F44" s="16">
        <f>IF(ISNUMBER(D44), $B64 * E44, "")</f>
        <v>1040.1188707280876</v>
      </c>
      <c r="G44" s="29">
        <v>68.7</v>
      </c>
      <c r="H44" s="14">
        <f>IF(ISNUMBER(G44), (G44 - $B44) / $B44, "")</f>
        <v>2.080237741456175E-2</v>
      </c>
      <c r="I44" s="100">
        <f>IF(ISNUMBER(G44), $B64 * H44, "")</f>
        <v>2080.2377414561752</v>
      </c>
      <c r="J44" s="13">
        <v>68</v>
      </c>
      <c r="K44" s="14">
        <f>IF(ISNUMBER(J44), (J44 - $B44) / $B44, "")</f>
        <v>1.0401188707280875E-2</v>
      </c>
      <c r="L44" s="16">
        <f>IF(ISNUMBER(J44), $B64 * K44, "")</f>
        <v>1040.1188707280876</v>
      </c>
      <c r="M44" s="29">
        <v>67</v>
      </c>
      <c r="N44" s="14">
        <f>IF(ISNUMBER(M44), (M44 - $B44) / $B44, "")</f>
        <v>-4.4576523031203148E-3</v>
      </c>
      <c r="O44" s="16">
        <f>IF(ISNUMBER(M44), $B64 * N44, "")</f>
        <v>-445.76523031203146</v>
      </c>
      <c r="Q44" s="248"/>
      <c r="R44" s="248"/>
      <c r="S44" s="248"/>
    </row>
    <row r="45" spans="1:19" ht="17.25" customHeight="1" thickBot="1">
      <c r="A45" s="125" t="s">
        <v>98</v>
      </c>
      <c r="B45" s="126">
        <v>4.34</v>
      </c>
      <c r="C45" s="77">
        <v>6.9605568E-3</v>
      </c>
      <c r="D45" s="15">
        <v>4.37</v>
      </c>
      <c r="E45" s="32">
        <f t="shared" ref="E45:E48" si="14">IF(ISNUMBER(D45), (D45 - $B45) / $B45, "")</f>
        <v>6.9124423963134217E-3</v>
      </c>
      <c r="F45" s="18">
        <f>IF(ISNUMBER(D45), $B64 * E45, "")</f>
        <v>691.24423963134223</v>
      </c>
      <c r="G45" s="31">
        <v>4.41</v>
      </c>
      <c r="H45" s="32">
        <f t="shared" ref="H45:H48" si="15">IF(ISNUMBER(G45), (G45 - $B45) / $B45, "")</f>
        <v>1.6129032258064582E-2</v>
      </c>
      <c r="I45" s="101">
        <f>IF(ISNUMBER(G45), $B64 * H45, "")</f>
        <v>1612.9032258064581</v>
      </c>
      <c r="J45" s="15">
        <v>4.45</v>
      </c>
      <c r="K45" s="32">
        <f t="shared" ref="K45:K48" si="16">IF(ISNUMBER(J45), (J45 - $B45) / $B45, "")</f>
        <v>2.5345622119815742E-2</v>
      </c>
      <c r="L45" s="18">
        <f>IF(ISNUMBER(J45), $B64 * K45, "")</f>
        <v>2534.5622119815744</v>
      </c>
      <c r="M45" s="31">
        <v>4.41</v>
      </c>
      <c r="N45" s="32">
        <f t="shared" ref="N45:N48" si="17">IF(ISNUMBER(M45), (M45 - $B45) / $B45, "")</f>
        <v>1.6129032258064582E-2</v>
      </c>
      <c r="O45" s="18">
        <f>IF(ISNUMBER(M45), $B64 * N45, "")</f>
        <v>1612.9032258064581</v>
      </c>
      <c r="Q45" s="248"/>
      <c r="R45" s="248"/>
      <c r="S45" s="248"/>
    </row>
    <row r="46" spans="1:19" ht="17.25" customHeight="1" thickBot="1">
      <c r="A46" s="125" t="s">
        <v>208</v>
      </c>
      <c r="B46" s="126">
        <v>13.3</v>
      </c>
      <c r="C46" s="77">
        <v>-1.4814814799999999E-2</v>
      </c>
      <c r="D46" s="15">
        <v>13.3</v>
      </c>
      <c r="E46" s="32">
        <f t="shared" si="14"/>
        <v>0</v>
      </c>
      <c r="F46" s="18">
        <f>IF(ISNUMBER(D46), $B64 * E46, "")</f>
        <v>0</v>
      </c>
      <c r="G46" s="31">
        <v>13.5</v>
      </c>
      <c r="H46" s="32">
        <f t="shared" si="15"/>
        <v>1.5037593984962351E-2</v>
      </c>
      <c r="I46" s="101">
        <f>IF(ISNUMBER(G46), $B64 * H46, "")</f>
        <v>1503.7593984962352</v>
      </c>
      <c r="J46" s="15">
        <v>13.5</v>
      </c>
      <c r="K46" s="32">
        <f t="shared" si="16"/>
        <v>1.5037593984962351E-2</v>
      </c>
      <c r="L46" s="18">
        <f>IF(ISNUMBER(J46), $B64 * K46, "")</f>
        <v>1503.7593984962352</v>
      </c>
      <c r="M46" s="31">
        <v>13.6</v>
      </c>
      <c r="N46" s="32">
        <f t="shared" si="17"/>
        <v>2.2556390977443528E-2</v>
      </c>
      <c r="O46" s="18">
        <f>IF(ISNUMBER(M46), $B64 * N46, "")</f>
        <v>2255.639097744353</v>
      </c>
      <c r="Q46" s="238"/>
      <c r="R46" s="238"/>
      <c r="S46" s="238"/>
    </row>
    <row r="47" spans="1:19" ht="17.25" customHeight="1" thickBot="1">
      <c r="A47" s="125" t="s">
        <v>152</v>
      </c>
      <c r="B47" s="126">
        <v>82.2</v>
      </c>
      <c r="C47" s="77">
        <v>-1.55688623E-2</v>
      </c>
      <c r="D47" s="15">
        <v>82.8</v>
      </c>
      <c r="E47" s="32">
        <f t="shared" si="14"/>
        <v>7.2992700729926311E-3</v>
      </c>
      <c r="F47" s="18">
        <f>IF(ISNUMBER(D47), $B64 * E47, "")</f>
        <v>729.9270072992631</v>
      </c>
      <c r="G47" s="31">
        <v>83.5</v>
      </c>
      <c r="H47" s="32">
        <f t="shared" si="15"/>
        <v>1.5815085158150815E-2</v>
      </c>
      <c r="I47" s="101">
        <f>IF(ISNUMBER(G47), $B64 * H47, "")</f>
        <v>1581.5085158150814</v>
      </c>
      <c r="J47" s="15">
        <v>84.6</v>
      </c>
      <c r="K47" s="32">
        <f t="shared" si="16"/>
        <v>2.9197080291970698E-2</v>
      </c>
      <c r="L47" s="18">
        <f>IF(ISNUMBER(J47), $B64 * K47, "")</f>
        <v>2919.7080291970697</v>
      </c>
      <c r="M47" s="31">
        <v>84.3</v>
      </c>
      <c r="N47" s="32">
        <f t="shared" si="17"/>
        <v>2.5547445255474383E-2</v>
      </c>
      <c r="O47" s="18">
        <f>IF(ISNUMBER(M47), $B64 * N47, "")</f>
        <v>2554.7445255474381</v>
      </c>
      <c r="Q47" s="238"/>
      <c r="R47" s="238"/>
      <c r="S47" s="238"/>
    </row>
    <row r="48" spans="1:19" ht="17.25" customHeight="1" thickBot="1">
      <c r="A48" s="127" t="s">
        <v>238</v>
      </c>
      <c r="B48" s="128">
        <v>99.4</v>
      </c>
      <c r="C48" s="78">
        <v>-1.5841584200000002E-2</v>
      </c>
      <c r="D48" s="20">
        <v>101</v>
      </c>
      <c r="E48" s="21">
        <f t="shared" si="14"/>
        <v>1.6096579476861109E-2</v>
      </c>
      <c r="F48" s="22">
        <f>IF(ISNUMBER(D48), $B64 * E48, "")</f>
        <v>1609.6579476861109</v>
      </c>
      <c r="G48" s="30">
        <v>100</v>
      </c>
      <c r="H48" s="21">
        <f t="shared" si="15"/>
        <v>6.03621730382288E-3</v>
      </c>
      <c r="I48" s="105">
        <f>IF(ISNUMBER(G48), $B64 * H48, "")</f>
        <v>603.62173038228798</v>
      </c>
      <c r="J48" s="20">
        <v>102</v>
      </c>
      <c r="K48" s="21">
        <f t="shared" si="16"/>
        <v>2.6156941649899339E-2</v>
      </c>
      <c r="L48" s="22">
        <f>IF(ISNUMBER(J48), $B64 * K48, "")</f>
        <v>2615.6941649899341</v>
      </c>
      <c r="M48" s="30">
        <v>103</v>
      </c>
      <c r="N48" s="21">
        <f t="shared" si="17"/>
        <v>3.6217303822937565E-2</v>
      </c>
      <c r="O48" s="22">
        <f>IF(ISNUMBER(M48), $B64 * N48, "")</f>
        <v>3621.7303822937565</v>
      </c>
      <c r="Q48" s="238"/>
      <c r="R48" s="238"/>
      <c r="S48" s="238"/>
    </row>
    <row r="49" spans="1:19" ht="17.25" customHeight="1" thickBot="1">
      <c r="A49" s="125" t="s">
        <v>130</v>
      </c>
      <c r="B49" s="129">
        <v>99.4</v>
      </c>
      <c r="C49" s="80">
        <v>-1.5841584200000002E-2</v>
      </c>
      <c r="D49" s="106">
        <v>100</v>
      </c>
      <c r="E49" s="107">
        <f>IF(ISNUMBER(D49), (D49 - $B49) / $B49, "")</f>
        <v>6.03621730382288E-3</v>
      </c>
      <c r="F49" s="108">
        <f>IF(ISNUMBER(D49), $B64 * E49, "")</f>
        <v>603.62173038228798</v>
      </c>
      <c r="G49" s="109">
        <v>101</v>
      </c>
      <c r="H49" s="107">
        <f>IF(ISNUMBER(G49), (G49 - $B49) / $B49, "")</f>
        <v>1.6096579476861109E-2</v>
      </c>
      <c r="I49" s="110">
        <f>IF(ISNUMBER(G49), $B64 * H49, "")</f>
        <v>1609.6579476861109</v>
      </c>
      <c r="J49" s="106">
        <v>101</v>
      </c>
      <c r="K49" s="107">
        <f>IF(ISNUMBER(J49), (J49 - $B49) / $B49, "")</f>
        <v>1.6096579476861109E-2</v>
      </c>
      <c r="L49" s="108">
        <f>IF(ISNUMBER(J49), $B64 * K49, "")</f>
        <v>1609.6579476861109</v>
      </c>
      <c r="M49" s="109">
        <v>101</v>
      </c>
      <c r="N49" s="107">
        <f>IF(ISNUMBER(M49), (M49 - $B49) / $B49, "")</f>
        <v>1.6096579476861109E-2</v>
      </c>
      <c r="O49" s="108">
        <f>IF(ISNUMBER(M49), $B64 * N49, "")</f>
        <v>1609.6579476861109</v>
      </c>
      <c r="Q49" s="238"/>
      <c r="R49" s="238"/>
      <c r="S49" s="238"/>
    </row>
    <row r="50" spans="1:19" ht="17.25" customHeight="1" thickBot="1">
      <c r="A50" s="125" t="s">
        <v>150</v>
      </c>
      <c r="B50" s="126">
        <v>12.3</v>
      </c>
      <c r="C50" s="77">
        <v>-1.6E-2</v>
      </c>
      <c r="D50" s="15">
        <v>12.5</v>
      </c>
      <c r="E50" s="32">
        <f t="shared" ref="E50:E53" si="18">IF(ISNUMBER(D50), (D50 - $B50) / $B50, "")</f>
        <v>1.6260162601625959E-2</v>
      </c>
      <c r="F50" s="18">
        <f>IF(ISNUMBER(D50), $B64 * E50, "")</f>
        <v>1626.0162601625959</v>
      </c>
      <c r="G50" s="31">
        <v>12.6</v>
      </c>
      <c r="H50" s="32">
        <f t="shared" ref="H50:H53" si="19">IF(ISNUMBER(G50), (G50 - $B50) / $B50, "")</f>
        <v>2.4390243902438935E-2</v>
      </c>
      <c r="I50" s="101">
        <f>IF(ISNUMBER(G50), $B64 * H50, "")</f>
        <v>2439.0243902438933</v>
      </c>
      <c r="J50" s="15">
        <v>12.8</v>
      </c>
      <c r="K50" s="32">
        <f t="shared" ref="K50:K53" si="20">IF(ISNUMBER(J50), (J50 - $B50) / $B50, "")</f>
        <v>4.065040650406504E-2</v>
      </c>
      <c r="L50" s="18">
        <f>IF(ISNUMBER(J50), $B64 * K50, "")</f>
        <v>4065.040650406504</v>
      </c>
      <c r="M50" s="31">
        <v>12.7</v>
      </c>
      <c r="N50" s="32">
        <f t="shared" ref="N50:N53" si="21">IF(ISNUMBER(M50), (M50 - $B50) / $B50, "")</f>
        <v>3.2520325203251918E-2</v>
      </c>
      <c r="O50" s="18">
        <f>IF(ISNUMBER(M50), $B64 * N50, "")</f>
        <v>3252.0325203251919</v>
      </c>
      <c r="Q50" s="238"/>
      <c r="R50" s="238"/>
      <c r="S50" s="238"/>
    </row>
    <row r="51" spans="1:19" ht="17.25" customHeight="1" thickBot="1">
      <c r="A51" s="125" t="s">
        <v>188</v>
      </c>
      <c r="B51" s="126">
        <v>11.8</v>
      </c>
      <c r="C51" s="77">
        <v>-1.6666666699999999E-2</v>
      </c>
      <c r="D51" s="15">
        <v>11.9</v>
      </c>
      <c r="E51" s="32">
        <f t="shared" si="18"/>
        <v>8.4745762711864094E-3</v>
      </c>
      <c r="F51" s="18">
        <f>IF(ISNUMBER(D51), $B64 * E51, "")</f>
        <v>847.45762711864097</v>
      </c>
      <c r="G51" s="31">
        <v>12.1</v>
      </c>
      <c r="H51" s="32">
        <f t="shared" si="19"/>
        <v>2.542372881355923E-2</v>
      </c>
      <c r="I51" s="101">
        <f>IF(ISNUMBER(G51), $B64 * H51, "")</f>
        <v>2542.3728813559228</v>
      </c>
      <c r="J51" s="15">
        <v>12.3</v>
      </c>
      <c r="K51" s="32">
        <f t="shared" si="20"/>
        <v>4.2372881355932202E-2</v>
      </c>
      <c r="L51" s="18">
        <f>IF(ISNUMBER(J51), $B64 * K51, "")</f>
        <v>4237.2881355932204</v>
      </c>
      <c r="M51" s="31">
        <v>12</v>
      </c>
      <c r="N51" s="32">
        <f t="shared" si="21"/>
        <v>1.6949152542372819E-2</v>
      </c>
      <c r="O51" s="18">
        <f>IF(ISNUMBER(M51), $B64 * N51, "")</f>
        <v>1694.9152542372819</v>
      </c>
      <c r="Q51" s="238"/>
      <c r="R51" s="238"/>
      <c r="S51" s="238"/>
    </row>
    <row r="52" spans="1:19" ht="17.25" customHeight="1" thickBot="1">
      <c r="A52" s="125" t="s">
        <v>65</v>
      </c>
      <c r="B52" s="126">
        <v>30.4</v>
      </c>
      <c r="C52" s="77">
        <v>-2.5641025599999999E-2</v>
      </c>
      <c r="D52" s="15">
        <v>30.7</v>
      </c>
      <c r="E52" s="32">
        <f t="shared" si="18"/>
        <v>9.8684210526316027E-3</v>
      </c>
      <c r="F52" s="18">
        <f>IF(ISNUMBER(D52), $B64 * E52, "")</f>
        <v>986.84210526316031</v>
      </c>
      <c r="G52" s="31">
        <v>31.4</v>
      </c>
      <c r="H52" s="32">
        <f t="shared" si="19"/>
        <v>3.2894736842105261E-2</v>
      </c>
      <c r="I52" s="101">
        <f>IF(ISNUMBER(G52), $B64 * H52, "")</f>
        <v>3289.4736842105262</v>
      </c>
      <c r="J52" s="15">
        <v>31.7</v>
      </c>
      <c r="K52" s="32">
        <f t="shared" si="20"/>
        <v>4.2763157894736864E-2</v>
      </c>
      <c r="L52" s="18">
        <f>IF(ISNUMBER(J52), $B64 * K52, "")</f>
        <v>4276.315789473686</v>
      </c>
      <c r="M52" s="31">
        <v>31.6</v>
      </c>
      <c r="N52" s="32">
        <f t="shared" si="21"/>
        <v>3.9473684210526411E-2</v>
      </c>
      <c r="O52" s="18">
        <f>IF(ISNUMBER(M52), $B64 * N52, "")</f>
        <v>3947.3684210526412</v>
      </c>
      <c r="Q52" s="33"/>
      <c r="R52" s="33"/>
    </row>
    <row r="53" spans="1:19" ht="17.25" customHeight="1" thickBot="1">
      <c r="A53" s="130" t="s">
        <v>210</v>
      </c>
      <c r="B53" s="131">
        <v>11.3</v>
      </c>
      <c r="C53" s="79">
        <v>-2.5862069000000001E-2</v>
      </c>
      <c r="D53" s="24">
        <v>11.2</v>
      </c>
      <c r="E53" s="25">
        <f t="shared" si="18"/>
        <v>-8.8495575221240186E-3</v>
      </c>
      <c r="F53" s="104">
        <f>IF(ISNUMBER(D53), $B64 * E53, "")</f>
        <v>-884.95575221240188</v>
      </c>
      <c r="G53" s="102">
        <v>11.5</v>
      </c>
      <c r="H53" s="25">
        <f t="shared" si="19"/>
        <v>1.7699115044247725E-2</v>
      </c>
      <c r="I53" s="103">
        <f>IF(ISNUMBER(G53), $B64 * H53, "")</f>
        <v>1769.9115044247726</v>
      </c>
      <c r="J53" s="24">
        <v>11.5</v>
      </c>
      <c r="K53" s="25">
        <f t="shared" si="20"/>
        <v>1.7699115044247725E-2</v>
      </c>
      <c r="L53" s="104">
        <f>IF(ISNUMBER(J53), $B64 * K53, "")</f>
        <v>1769.9115044247726</v>
      </c>
      <c r="M53" s="102">
        <v>11.5</v>
      </c>
      <c r="N53" s="25">
        <f t="shared" si="21"/>
        <v>1.7699115044247725E-2</v>
      </c>
      <c r="O53" s="104">
        <f>IF(ISNUMBER(M53), $B64 * N53, "")</f>
        <v>1769.9115044247726</v>
      </c>
      <c r="Q53" s="239"/>
      <c r="R53" s="240"/>
      <c r="S53" s="241"/>
    </row>
    <row r="54" spans="1:19" ht="17.25" customHeight="1">
      <c r="A54" s="123" t="s">
        <v>190</v>
      </c>
      <c r="B54" s="124">
        <v>16.7</v>
      </c>
      <c r="C54" s="76">
        <v>-2.9069767400000002E-2</v>
      </c>
      <c r="D54" s="13">
        <v>16.7</v>
      </c>
      <c r="E54" s="14">
        <f>IF(ISNUMBER(D54), (D54 - $B54) / $B54, "")</f>
        <v>0</v>
      </c>
      <c r="F54" s="16">
        <f>IF(ISNUMBER(D54), $B64 * E54, "")</f>
        <v>0</v>
      </c>
      <c r="G54" s="29">
        <v>17.2</v>
      </c>
      <c r="H54" s="14">
        <f>IF(ISNUMBER(G54), (G54 - $B54) / $B54, "")</f>
        <v>2.9940119760479042E-2</v>
      </c>
      <c r="I54" s="100">
        <f>IF(ISNUMBER(G54), $B64 * H54, "")</f>
        <v>2994.0119760479042</v>
      </c>
      <c r="J54" s="13">
        <v>17.3</v>
      </c>
      <c r="K54" s="14">
        <f>IF(ISNUMBER(J54), (J54 - $B54) / $B54, "")</f>
        <v>3.5928143712574939E-2</v>
      </c>
      <c r="L54" s="16">
        <f>IF(ISNUMBER(J54), $B64 * K54, "")</f>
        <v>3592.8143712574938</v>
      </c>
      <c r="M54" s="29">
        <v>17.100000000000001</v>
      </c>
      <c r="N54" s="14">
        <f>IF(ISNUMBER(M54), (M54 - $B54) / $B54, "")</f>
        <v>2.3952095808383363E-2</v>
      </c>
      <c r="O54" s="16">
        <f>IF(ISNUMBER(M54), $B64 * N54, "")</f>
        <v>2395.2095808383365</v>
      </c>
      <c r="Q54" s="242"/>
      <c r="R54" s="243"/>
      <c r="S54" s="244"/>
    </row>
    <row r="55" spans="1:19" ht="17.25" customHeight="1" thickBot="1">
      <c r="A55" s="125" t="s">
        <v>72</v>
      </c>
      <c r="B55" s="126">
        <v>21.6</v>
      </c>
      <c r="C55" s="77">
        <v>-3.13901345E-2</v>
      </c>
      <c r="D55" s="15">
        <v>21.7</v>
      </c>
      <c r="E55" s="32">
        <f t="shared" ref="E55:E58" si="22">IF(ISNUMBER(D55), (D55 - $B55) / $B55, "")</f>
        <v>4.6296296296295305E-3</v>
      </c>
      <c r="F55" s="18">
        <f>IF(ISNUMBER(D55), $B64 * E55, "")</f>
        <v>462.96296296295304</v>
      </c>
      <c r="G55" s="31">
        <v>22.2</v>
      </c>
      <c r="H55" s="32">
        <f t="shared" ref="H55:H58" si="23">IF(ISNUMBER(G55), (G55 - $B55) / $B55, "")</f>
        <v>2.7777777777777676E-2</v>
      </c>
      <c r="I55" s="101">
        <f>IF(ISNUMBER(G55), $B64 * H55, "")</f>
        <v>2777.7777777777674</v>
      </c>
      <c r="J55" s="15">
        <v>22.4</v>
      </c>
      <c r="K55" s="32">
        <f t="shared" ref="K55:K58" si="24">IF(ISNUMBER(J55), (J55 - $B55) / $B55, "")</f>
        <v>3.7037037037036903E-2</v>
      </c>
      <c r="L55" s="18">
        <f>IF(ISNUMBER(J55), $B64 * K55, "")</f>
        <v>3703.7037037036903</v>
      </c>
      <c r="M55" s="31">
        <v>22.2</v>
      </c>
      <c r="N55" s="32">
        <f t="shared" ref="N55:N58" si="25">IF(ISNUMBER(M55), (M55 - $B55) / $B55, "")</f>
        <v>2.7777777777777676E-2</v>
      </c>
      <c r="O55" s="18">
        <f>IF(ISNUMBER(M55), $B64 * N55, "")</f>
        <v>2777.7777777777674</v>
      </c>
      <c r="Q55" s="245"/>
      <c r="R55" s="246"/>
      <c r="S55" s="247"/>
    </row>
    <row r="56" spans="1:19" ht="17.25" customHeight="1" thickBot="1">
      <c r="A56" s="125" t="s">
        <v>148</v>
      </c>
      <c r="B56" s="126">
        <v>18.5</v>
      </c>
      <c r="C56" s="77">
        <v>-3.1413612600000002E-2</v>
      </c>
      <c r="D56" s="15">
        <v>18.600000000000001</v>
      </c>
      <c r="E56" s="32">
        <f t="shared" si="22"/>
        <v>5.405405405405482E-3</v>
      </c>
      <c r="F56" s="18">
        <f>IF(ISNUMBER(D56), $B64 * E56, "")</f>
        <v>540.54054054054825</v>
      </c>
      <c r="G56" s="31">
        <v>19</v>
      </c>
      <c r="H56" s="32">
        <f t="shared" si="23"/>
        <v>2.7027027027027029E-2</v>
      </c>
      <c r="I56" s="101">
        <f>IF(ISNUMBER(G56), $B64 * H56, "")</f>
        <v>2702.7027027027029</v>
      </c>
      <c r="J56" s="15">
        <v>19.5</v>
      </c>
      <c r="K56" s="32">
        <f t="shared" si="24"/>
        <v>5.4054054054054057E-2</v>
      </c>
      <c r="L56" s="18">
        <f>IF(ISNUMBER(J56), $B64 * K56, "")</f>
        <v>5405.4054054054059</v>
      </c>
      <c r="M56" s="31">
        <v>19.2</v>
      </c>
      <c r="N56" s="32">
        <f t="shared" si="25"/>
        <v>3.7837837837837798E-2</v>
      </c>
      <c r="O56" s="18">
        <f>IF(ISNUMBER(M56), $B64 * N56, "")</f>
        <v>3783.7837837837797</v>
      </c>
      <c r="Q56" s="238"/>
      <c r="R56" s="238"/>
      <c r="S56" s="238"/>
    </row>
    <row r="57" spans="1:19" ht="17.25" customHeight="1" thickBot="1">
      <c r="A57" s="125" t="s">
        <v>162</v>
      </c>
      <c r="B57" s="126">
        <v>95.8</v>
      </c>
      <c r="C57" s="77">
        <v>-3.2323232299999997E-2</v>
      </c>
      <c r="D57" s="15">
        <v>97.2</v>
      </c>
      <c r="E57" s="32">
        <f t="shared" si="22"/>
        <v>1.4613778705636803E-2</v>
      </c>
      <c r="F57" s="18">
        <f>IF(ISNUMBER(D57), $B64 * E57, "")</f>
        <v>1461.3778705636803</v>
      </c>
      <c r="G57" s="31">
        <v>99.8</v>
      </c>
      <c r="H57" s="32">
        <f t="shared" si="23"/>
        <v>4.1753653444676408E-2</v>
      </c>
      <c r="I57" s="101">
        <f>IF(ISNUMBER(G57), $B64 * H57, "")</f>
        <v>4175.3653444676411</v>
      </c>
      <c r="J57" s="15">
        <v>101</v>
      </c>
      <c r="K57" s="32">
        <f t="shared" si="24"/>
        <v>5.4279749478079363E-2</v>
      </c>
      <c r="L57" s="18">
        <f>IF(ISNUMBER(J57), $B64 * K57, "")</f>
        <v>5427.9749478079366</v>
      </c>
      <c r="M57" s="31">
        <v>100</v>
      </c>
      <c r="N57" s="32">
        <f t="shared" si="25"/>
        <v>4.3841336116910261E-2</v>
      </c>
      <c r="O57" s="18">
        <f>IF(ISNUMBER(M57), $B64 * N57, "")</f>
        <v>4384.1336116910261</v>
      </c>
      <c r="Q57" s="248"/>
      <c r="R57" s="248"/>
      <c r="S57" s="248"/>
    </row>
    <row r="58" spans="1:19" ht="17.25" customHeight="1" thickBot="1">
      <c r="A58" s="127" t="s">
        <v>250</v>
      </c>
      <c r="B58" s="128">
        <v>66.3</v>
      </c>
      <c r="C58" s="78">
        <v>-3.4934497799999999E-2</v>
      </c>
      <c r="D58" s="20">
        <v>66.8</v>
      </c>
      <c r="E58" s="21">
        <f t="shared" si="22"/>
        <v>7.5414781297134239E-3</v>
      </c>
      <c r="F58" s="22">
        <f>IF(ISNUMBER(D58), $B64 * E58, "")</f>
        <v>754.14781297134243</v>
      </c>
      <c r="G58" s="30">
        <v>67.599999999999994</v>
      </c>
      <c r="H58" s="21">
        <f t="shared" si="23"/>
        <v>1.960784313725486E-2</v>
      </c>
      <c r="I58" s="105">
        <f>IF(ISNUMBER(G58), $B64 * H58, "")</f>
        <v>1960.7843137254861</v>
      </c>
      <c r="J58" s="20">
        <v>68.400000000000006</v>
      </c>
      <c r="K58" s="21">
        <f t="shared" si="24"/>
        <v>3.167420814479651E-2</v>
      </c>
      <c r="L58" s="22">
        <f>IF(ISNUMBER(J58), $B64 * K58, "")</f>
        <v>3167.4208144796512</v>
      </c>
      <c r="M58" s="30">
        <v>68.2</v>
      </c>
      <c r="N58" s="21">
        <f t="shared" si="25"/>
        <v>2.8657616892911096E-2</v>
      </c>
      <c r="O58" s="22">
        <f>IF(ISNUMBER(M58), $B64 * N58, "")</f>
        <v>2865.7616892911096</v>
      </c>
      <c r="Q58" s="248"/>
      <c r="R58" s="248"/>
      <c r="S58" s="248"/>
    </row>
    <row r="59" spans="1:19" ht="17.25" customHeight="1" thickBot="1">
      <c r="A59" s="125" t="s">
        <v>216</v>
      </c>
      <c r="B59" s="129">
        <v>10.199999999999999</v>
      </c>
      <c r="C59" s="80">
        <v>-3.7735849100000003E-2</v>
      </c>
      <c r="D59" s="106">
        <v>10.4</v>
      </c>
      <c r="E59" s="107">
        <f>IF(ISNUMBER(D59), (D59 - $B59) / $B59, "")</f>
        <v>1.9607843137255009E-2</v>
      </c>
      <c r="F59" s="108">
        <f>IF(ISNUMBER(D59), $B64 * E59, "")</f>
        <v>1960.7843137255009</v>
      </c>
      <c r="G59" s="109">
        <v>10.5</v>
      </c>
      <c r="H59" s="107">
        <f>IF(ISNUMBER(G59), (G59 - $B59) / $B59, "")</f>
        <v>2.9411764705882425E-2</v>
      </c>
      <c r="I59" s="110">
        <f>IF(ISNUMBER(G59), $B64 * H59, "")</f>
        <v>2941.1764705882424</v>
      </c>
      <c r="J59" s="106">
        <v>10.6</v>
      </c>
      <c r="K59" s="107">
        <f>IF(ISNUMBER(J59), (J59 - $B59) / $B59, "")</f>
        <v>3.9215686274509838E-2</v>
      </c>
      <c r="L59" s="108">
        <f>IF(ISNUMBER(J59), $B64 * K59, "")</f>
        <v>3921.568627450984</v>
      </c>
      <c r="M59" s="109">
        <v>10.6</v>
      </c>
      <c r="N59" s="107">
        <f>IF(ISNUMBER(M59), (M59 - $B59) / $B59, "")</f>
        <v>3.9215686274509838E-2</v>
      </c>
      <c r="O59" s="108">
        <f>IF(ISNUMBER(M59), $B64 * N59, "")</f>
        <v>3921.568627450984</v>
      </c>
      <c r="Q59" s="238"/>
      <c r="R59" s="238"/>
      <c r="S59" s="238"/>
    </row>
    <row r="60" spans="1:19" ht="17.25" customHeight="1" thickBot="1">
      <c r="A60" s="125" t="s">
        <v>234</v>
      </c>
      <c r="B60" s="126">
        <v>67.099999999999994</v>
      </c>
      <c r="C60" s="77">
        <v>-3.8681948399999999E-2</v>
      </c>
      <c r="D60" s="15">
        <v>67.8</v>
      </c>
      <c r="E60" s="32">
        <f t="shared" ref="E60:E63" si="26">IF(ISNUMBER(D60), (D60 - $B60) / $B60, "")</f>
        <v>1.0432190760059655E-2</v>
      </c>
      <c r="F60" s="18">
        <f>IF(ISNUMBER(D60), $B64 * E60, "")</f>
        <v>1043.2190760059655</v>
      </c>
      <c r="G60" s="31">
        <v>69.2</v>
      </c>
      <c r="H60" s="32">
        <f t="shared" ref="H60:H63" si="27">IF(ISNUMBER(G60), (G60 - $B60) / $B60, "")</f>
        <v>3.1296572280178965E-2</v>
      </c>
      <c r="I60" s="101">
        <f>IF(ISNUMBER(G60), $B64 * H60, "")</f>
        <v>3129.6572280178966</v>
      </c>
      <c r="J60" s="15">
        <v>69.400000000000006</v>
      </c>
      <c r="K60" s="32">
        <f t="shared" ref="K60:K63" si="28">IF(ISNUMBER(J60), (J60 - $B60) / $B60, "")</f>
        <v>3.4277198211624615E-2</v>
      </c>
      <c r="L60" s="18">
        <f>IF(ISNUMBER(J60), $B64 * K60, "")</f>
        <v>3427.7198211624614</v>
      </c>
      <c r="M60" s="31">
        <v>69.099999999999994</v>
      </c>
      <c r="N60" s="32">
        <f t="shared" ref="N60:N63" si="29">IF(ISNUMBER(M60), (M60 - $B60) / $B60, "")</f>
        <v>2.9806259314456039E-2</v>
      </c>
      <c r="O60" s="18">
        <f>IF(ISNUMBER(M60), $B64 * N60, "")</f>
        <v>2980.6259314456038</v>
      </c>
      <c r="Q60" s="238"/>
      <c r="R60" s="238"/>
      <c r="S60" s="238"/>
    </row>
    <row r="61" spans="1:19" ht="17.25" customHeight="1" thickBot="1">
      <c r="A61" s="125" t="s">
        <v>178</v>
      </c>
      <c r="B61" s="126">
        <v>15.8</v>
      </c>
      <c r="C61" s="77">
        <v>-4.2424242399999999E-2</v>
      </c>
      <c r="D61" s="15">
        <v>15.9</v>
      </c>
      <c r="E61" s="32">
        <f t="shared" si="26"/>
        <v>6.3291139240506103E-3</v>
      </c>
      <c r="F61" s="18">
        <f>IF(ISNUMBER(D61), $B64 * E61, "")</f>
        <v>632.91139240506106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16.399999999999999</v>
      </c>
      <c r="K61" s="32">
        <f t="shared" si="28"/>
        <v>3.797468354430366E-2</v>
      </c>
      <c r="L61" s="18">
        <f>IF(ISNUMBER(J61), $B64 * K61, "")</f>
        <v>3797.4683544303662</v>
      </c>
      <c r="M61" s="31">
        <v>16.3</v>
      </c>
      <c r="N61" s="32">
        <f t="shared" si="29"/>
        <v>3.164556962025316E-2</v>
      </c>
      <c r="O61" s="18">
        <f>IF(ISNUMBER(M61), $B64 * N61, "")</f>
        <v>3164.5569620253159</v>
      </c>
      <c r="Q61" s="238"/>
      <c r="R61" s="238"/>
      <c r="S61" s="238"/>
    </row>
    <row r="62" spans="1:19" ht="17.25" customHeight="1">
      <c r="A62" s="125" t="s">
        <v>122</v>
      </c>
      <c r="B62" s="126">
        <v>28.2</v>
      </c>
      <c r="C62" s="77">
        <v>-4.7297297299999999E-2</v>
      </c>
      <c r="D62" s="15">
        <v>28.6</v>
      </c>
      <c r="E62" s="32">
        <f t="shared" si="26"/>
        <v>1.4184397163120643E-2</v>
      </c>
      <c r="F62" s="18">
        <f>IF(ISNUMBER(D62), $B64 * E62, "")</f>
        <v>1418.4397163120643</v>
      </c>
      <c r="G62" s="31">
        <v>29.2</v>
      </c>
      <c r="H62" s="32">
        <f t="shared" si="27"/>
        <v>3.5460992907801421E-2</v>
      </c>
      <c r="I62" s="101">
        <f>IF(ISNUMBER(G62), $B64 * H62, "")</f>
        <v>3546.0992907801419</v>
      </c>
      <c r="J62" s="15">
        <v>29.7</v>
      </c>
      <c r="K62" s="32">
        <f t="shared" si="28"/>
        <v>5.3191489361702128E-2</v>
      </c>
      <c r="L62" s="18">
        <f>IF(ISNUMBER(J62), $B64 * K62, "")</f>
        <v>5319.1489361702124</v>
      </c>
      <c r="M62" s="31">
        <v>29.3</v>
      </c>
      <c r="N62" s="32">
        <f t="shared" si="29"/>
        <v>3.900709219858161E-2</v>
      </c>
      <c r="O62" s="18">
        <f>IF(ISNUMBER(M62), $B64 * N62, "")</f>
        <v>3900.7092198581608</v>
      </c>
      <c r="Q62" s="227"/>
      <c r="R62" s="228"/>
      <c r="S62" s="229"/>
    </row>
    <row r="63" spans="1:19" ht="17.25" customHeight="1" thickBot="1">
      <c r="A63" s="130" t="s">
        <v>202</v>
      </c>
      <c r="B63" s="131">
        <v>82.5</v>
      </c>
      <c r="C63" s="79">
        <v>-4.73441109E-2</v>
      </c>
      <c r="D63" s="24">
        <v>82.7</v>
      </c>
      <c r="E63" s="25">
        <f t="shared" si="26"/>
        <v>2.4242424242424585E-3</v>
      </c>
      <c r="F63" s="104">
        <f>IF(ISNUMBER(D63), $B64 * E63, "")</f>
        <v>242.42424242424585</v>
      </c>
      <c r="G63" s="102">
        <v>84.2</v>
      </c>
      <c r="H63" s="25">
        <f t="shared" si="27"/>
        <v>2.0606060606060642E-2</v>
      </c>
      <c r="I63" s="103">
        <f>IF(ISNUMBER(G63), $B64 * H63, "")</f>
        <v>2060.6060606060641</v>
      </c>
      <c r="J63" s="24">
        <v>84.9</v>
      </c>
      <c r="K63" s="25">
        <f t="shared" si="28"/>
        <v>2.909090909090916E-2</v>
      </c>
      <c r="L63" s="104">
        <f>IF(ISNUMBER(J63), $B64 * K63, "")</f>
        <v>2909.0909090909158</v>
      </c>
      <c r="M63" s="102">
        <v>85.6</v>
      </c>
      <c r="N63" s="25">
        <f t="shared" si="29"/>
        <v>3.7575757575757505E-2</v>
      </c>
      <c r="O63" s="104">
        <f>IF(ISNUMBER(M63), $B64 * N63, "")</f>
        <v>3757.5757575757507</v>
      </c>
      <c r="Q63" s="230"/>
      <c r="R63" s="231"/>
      <c r="S63" s="232"/>
    </row>
    <row r="64" spans="1:19" ht="17.25" customHeight="1" thickBot="1">
      <c r="A64" s="132" t="s">
        <v>270</v>
      </c>
      <c r="B64" s="291">
        <f>$B$37</f>
        <v>100000</v>
      </c>
      <c r="C64" s="292"/>
      <c r="D64" s="26" t="s">
        <v>271</v>
      </c>
      <c r="E64" s="27">
        <f>IF(COUNT(E44:E63), SUM(E44:E63) / COUNT(E44:E63), 0)</f>
        <v>7.883368981985224E-3</v>
      </c>
      <c r="F64" s="28">
        <f>SUM(F44:F63)</f>
        <v>15766.737963970449</v>
      </c>
      <c r="G64" s="26" t="s">
        <v>271</v>
      </c>
      <c r="H64" s="27">
        <f>IF(COUNT(H44:H63), SUM(H44:H63) / COUNT(H44:H63), 0)</f>
        <v>2.4242604573308311E-2</v>
      </c>
      <c r="I64" s="28">
        <f>SUM(I44:I63)</f>
        <v>48485.209146616624</v>
      </c>
      <c r="J64" s="26" t="s">
        <v>271</v>
      </c>
      <c r="K64" s="27">
        <f>IF(COUNT(K44:K63), SUM(K44:K63) / COUNT(K44:K63), 0)</f>
        <v>3.3622186296968157E-2</v>
      </c>
      <c r="L64" s="28">
        <f>SUM(L44:L63)</f>
        <v>67244.372593936321</v>
      </c>
      <c r="M64" s="26" t="s">
        <v>271</v>
      </c>
      <c r="N64" s="27">
        <f>IF(COUNT(N44:N63), SUM(N44:N63) / COUNT(N44:N63), 0)</f>
        <v>2.7902420295271894E-2</v>
      </c>
      <c r="O64" s="28">
        <f>SUM(O44:O63)</f>
        <v>55804.840590543812</v>
      </c>
      <c r="Q64" s="233"/>
      <c r="R64" s="234"/>
      <c r="S64" s="23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48"/>
      <c r="R67" s="248"/>
      <c r="S67" s="248"/>
    </row>
    <row r="68" spans="1:19" ht="17.25" thickBot="1">
      <c r="A68" s="189" t="s">
        <v>267</v>
      </c>
      <c r="B68" s="249" t="s">
        <v>49</v>
      </c>
      <c r="C68" s="251"/>
      <c r="D68" s="249" t="s">
        <v>58</v>
      </c>
      <c r="E68" s="250"/>
      <c r="F68" s="251"/>
      <c r="G68" s="252">
        <f>_xlfn.IFNA(VLOOKUP(B68, 현재가테이블!$B$2:$D$200, 2, FALSE), "-")</f>
        <v>54440000</v>
      </c>
      <c r="H68" s="253"/>
      <c r="I68" s="254"/>
      <c r="J68" s="249" t="s">
        <v>59</v>
      </c>
      <c r="K68" s="250"/>
      <c r="L68" s="251"/>
      <c r="M68" s="255">
        <f>_xlfn.IFNA(VLOOKUP(B68, 현재가테이블!$B$2:$D$200, 3, FALSE), "-")</f>
        <v>1.07123628E-2</v>
      </c>
      <c r="N68" s="256"/>
      <c r="O68" s="257"/>
      <c r="Q68" s="248"/>
      <c r="R68" s="248"/>
      <c r="S68" s="248"/>
    </row>
    <row r="69" spans="1:19" ht="17.25" thickBot="1">
      <c r="A69" s="293" t="s">
        <v>55</v>
      </c>
      <c r="B69" s="289" t="str">
        <f>TEXT($G$1, "[$-ko-KR]yyyy-mm-dd(ddd) ") &amp; "오전 00:00"</f>
        <v>2021-08-09(월) 오전 00:00</v>
      </c>
      <c r="C69" s="290"/>
      <c r="D69" s="262" t="str">
        <f>TEXT($G$1, "[$-ko-KR]yyyy-mm-dd(ddd) ") &amp; "오후 14:00"</f>
        <v>2021-08-09(월) 오후 14:00</v>
      </c>
      <c r="E69" s="263"/>
      <c r="F69" s="264"/>
      <c r="G69" s="262" t="str">
        <f>TEXT($G$1, "[$-ko-KR]yyyy-mm-dd(ddd) ") &amp; "오후 19:00"</f>
        <v>2021-08-09(월) 오후 19:00</v>
      </c>
      <c r="H69" s="263"/>
      <c r="I69" s="264"/>
      <c r="J69" s="262" t="str">
        <f>TEXT($G$1, "[$-ko-KR]yyyy-mm-dd(ddd) ") &amp; "오후 21:00"</f>
        <v>2021-08-09(월) 오후 21:00</v>
      </c>
      <c r="K69" s="263"/>
      <c r="L69" s="264"/>
      <c r="M69" s="262" t="str">
        <f>TEXT($G$1+1, "[$-ko-KR]yyyy-mm-dd(ddd) ") &amp; "오전 00:00"</f>
        <v>2021-08-10(화) 오전 00:00</v>
      </c>
      <c r="N69" s="263"/>
      <c r="O69" s="264"/>
      <c r="Q69" s="248"/>
      <c r="R69" s="248"/>
      <c r="S69" s="248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0" t="s">
        <v>58</v>
      </c>
      <c r="H70" s="191" t="s">
        <v>268</v>
      </c>
      <c r="I70" s="19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8"/>
      <c r="R70" s="238"/>
      <c r="S70" s="238"/>
    </row>
    <row r="71" spans="1:19" ht="17.25" thickBot="1">
      <c r="A71" s="123" t="s">
        <v>86</v>
      </c>
      <c r="B71" s="124">
        <v>348</v>
      </c>
      <c r="C71" s="76">
        <v>8.0745341600000006E-2</v>
      </c>
      <c r="D71" s="13">
        <v>348</v>
      </c>
      <c r="E71" s="14">
        <f>IF(ISNUMBER(D71), (D71 - $B71) / $B71, "")</f>
        <v>0</v>
      </c>
      <c r="F71" s="16">
        <f>IF(ISNUMBER(D71), $B91 * E71, "")</f>
        <v>0</v>
      </c>
      <c r="G71" s="29">
        <v>370</v>
      </c>
      <c r="H71" s="14">
        <f>IF(ISNUMBER(G71), (G71 - $B71) / $B71, "")</f>
        <v>6.3218390804597707E-2</v>
      </c>
      <c r="I71" s="100">
        <f>IF(ISNUMBER(G71), $B91 * H71, "")</f>
        <v>6321.8390804597711</v>
      </c>
      <c r="J71" s="13">
        <v>369</v>
      </c>
      <c r="K71" s="14">
        <f>IF(ISNUMBER(J71), (J71 - $B71) / $B71, "")</f>
        <v>6.0344827586206899E-2</v>
      </c>
      <c r="L71" s="16">
        <f>IF(ISNUMBER(J71), $B91 * K71, "")</f>
        <v>6034.4827586206902</v>
      </c>
      <c r="M71" s="29">
        <v>356</v>
      </c>
      <c r="N71" s="14">
        <f>IF(ISNUMBER(M71), (M71 - $B71) / $B71, "")</f>
        <v>2.2988505747126436E-2</v>
      </c>
      <c r="O71" s="16">
        <f>IF(ISNUMBER(M71), $B91 * N71, "")</f>
        <v>2298.8505747126437</v>
      </c>
      <c r="Q71" s="248"/>
      <c r="R71" s="248"/>
      <c r="S71" s="248"/>
    </row>
    <row r="72" spans="1:19" ht="17.25" thickBot="1">
      <c r="A72" s="125" t="s">
        <v>218</v>
      </c>
      <c r="B72" s="126">
        <v>133</v>
      </c>
      <c r="C72" s="77">
        <v>7.5757576E-3</v>
      </c>
      <c r="D72" s="15">
        <v>133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135</v>
      </c>
      <c r="H72" s="32">
        <f t="shared" ref="H72:H75" si="31">IF(ISNUMBER(G72), (G72 - $B72) / $B72, "")</f>
        <v>1.5037593984962405E-2</v>
      </c>
      <c r="I72" s="101">
        <f>IF(ISNUMBER(G72), $B91 * H72, "")</f>
        <v>1503.7593984962405</v>
      </c>
      <c r="J72" s="15">
        <v>134</v>
      </c>
      <c r="K72" s="32">
        <f t="shared" ref="K72:K75" si="32">IF(ISNUMBER(J72), (J72 - $B72) / $B72, "")</f>
        <v>7.5187969924812026E-3</v>
      </c>
      <c r="L72" s="18">
        <f>IF(ISNUMBER(J72), $B91 * K72, "")</f>
        <v>751.87969924812023</v>
      </c>
      <c r="M72" s="31">
        <v>135</v>
      </c>
      <c r="N72" s="32">
        <f t="shared" ref="N72:N75" si="33">IF(ISNUMBER(M72), (M72 - $B72) / $B72, "")</f>
        <v>1.5037593984962405E-2</v>
      </c>
      <c r="O72" s="18">
        <f>IF(ISNUMBER(M72), $B91 * N72, "")</f>
        <v>1503.7593984962405</v>
      </c>
      <c r="Q72" s="248"/>
      <c r="R72" s="248"/>
      <c r="S72" s="248"/>
    </row>
    <row r="73" spans="1:19" ht="17.25" thickBot="1">
      <c r="A73" s="125" t="s">
        <v>61</v>
      </c>
      <c r="B73" s="126">
        <v>838</v>
      </c>
      <c r="C73" s="77">
        <v>3.5928143999999999E-3</v>
      </c>
      <c r="D73" s="15">
        <v>846</v>
      </c>
      <c r="E73" s="32">
        <f t="shared" si="30"/>
        <v>9.5465393794749408E-3</v>
      </c>
      <c r="F73" s="18">
        <f>IF(ISNUMBER(D73), $B91 * E73, "")</f>
        <v>954.65393794749411</v>
      </c>
      <c r="G73" s="31">
        <v>853</v>
      </c>
      <c r="H73" s="32">
        <f t="shared" si="31"/>
        <v>1.7899761336515514E-2</v>
      </c>
      <c r="I73" s="101">
        <f>IF(ISNUMBER(G73), $B91 * H73, "")</f>
        <v>1789.9761336515514</v>
      </c>
      <c r="J73" s="15">
        <v>863</v>
      </c>
      <c r="K73" s="32">
        <f t="shared" si="32"/>
        <v>2.9832935560859187E-2</v>
      </c>
      <c r="L73" s="18">
        <f>IF(ISNUMBER(J73), $B91 * K73, "")</f>
        <v>2983.2935560859187</v>
      </c>
      <c r="M73" s="31">
        <v>862</v>
      </c>
      <c r="N73" s="32">
        <f t="shared" si="33"/>
        <v>2.8639618138424822E-2</v>
      </c>
      <c r="O73" s="18">
        <f>IF(ISNUMBER(M73), $B91 * N73, "")</f>
        <v>2863.9618138424821</v>
      </c>
      <c r="Q73" s="238"/>
      <c r="R73" s="238"/>
      <c r="S73" s="238"/>
    </row>
    <row r="74" spans="1:19" ht="17.25" thickBot="1">
      <c r="A74" s="125" t="s">
        <v>90</v>
      </c>
      <c r="B74" s="126">
        <v>905</v>
      </c>
      <c r="C74" s="77">
        <v>1.1061947E-3</v>
      </c>
      <c r="D74" s="15">
        <v>918</v>
      </c>
      <c r="E74" s="32">
        <f t="shared" si="30"/>
        <v>1.4364640883977901E-2</v>
      </c>
      <c r="F74" s="18">
        <f>IF(ISNUMBER(D74), $B91 * E74, "")</f>
        <v>1436.4640883977902</v>
      </c>
      <c r="G74" s="31">
        <v>932</v>
      </c>
      <c r="H74" s="32">
        <f t="shared" si="31"/>
        <v>2.9834254143646408E-2</v>
      </c>
      <c r="I74" s="101">
        <f>IF(ISNUMBER(G74), $B91 * H74, "")</f>
        <v>2983.4254143646408</v>
      </c>
      <c r="J74" s="15">
        <v>939</v>
      </c>
      <c r="K74" s="32">
        <f t="shared" si="32"/>
        <v>3.7569060773480663E-2</v>
      </c>
      <c r="L74" s="18">
        <f>IF(ISNUMBER(J74), $B91 * K74, "")</f>
        <v>3756.9060773480664</v>
      </c>
      <c r="M74" s="31">
        <v>935</v>
      </c>
      <c r="N74" s="32">
        <f t="shared" si="33"/>
        <v>3.3149171270718231E-2</v>
      </c>
      <c r="O74" s="18">
        <f>IF(ISNUMBER(M74), $B91 * N74, "")</f>
        <v>3314.917127071823</v>
      </c>
      <c r="Q74" s="238"/>
      <c r="R74" s="238"/>
      <c r="S74" s="238"/>
    </row>
    <row r="75" spans="1:19" ht="17.25" thickBot="1">
      <c r="A75" s="127" t="s">
        <v>132</v>
      </c>
      <c r="B75" s="128">
        <v>101</v>
      </c>
      <c r="C75" s="78">
        <v>0</v>
      </c>
      <c r="D75" s="20">
        <v>104</v>
      </c>
      <c r="E75" s="21">
        <f t="shared" si="30"/>
        <v>2.9702970297029702E-2</v>
      </c>
      <c r="F75" s="22">
        <f>IF(ISNUMBER(D75), $B91 * E75, "")</f>
        <v>2970.2970297029701</v>
      </c>
      <c r="G75" s="30">
        <v>105</v>
      </c>
      <c r="H75" s="21">
        <f t="shared" si="31"/>
        <v>3.9603960396039604E-2</v>
      </c>
      <c r="I75" s="105">
        <f>IF(ISNUMBER(G75), $B91 * H75, "")</f>
        <v>3960.3960396039606</v>
      </c>
      <c r="J75" s="20">
        <v>105</v>
      </c>
      <c r="K75" s="21">
        <f t="shared" si="32"/>
        <v>3.9603960396039604E-2</v>
      </c>
      <c r="L75" s="22">
        <f>IF(ISNUMBER(J75), $B91 * K75, "")</f>
        <v>3960.3960396039606</v>
      </c>
      <c r="M75" s="30">
        <v>105</v>
      </c>
      <c r="N75" s="21">
        <f t="shared" si="33"/>
        <v>3.9603960396039604E-2</v>
      </c>
      <c r="O75" s="22">
        <f>IF(ISNUMBER(M75), $B91 * N75, "")</f>
        <v>3960.3960396039606</v>
      </c>
      <c r="Q75" s="238"/>
      <c r="R75" s="238"/>
      <c r="S75" s="238"/>
    </row>
    <row r="76" spans="1:19" ht="17.25" thickBot="1">
      <c r="A76" s="125" t="s">
        <v>57</v>
      </c>
      <c r="B76" s="129">
        <v>202</v>
      </c>
      <c r="C76" s="80">
        <v>-4.9261084000000004E-3</v>
      </c>
      <c r="D76" s="106">
        <v>203</v>
      </c>
      <c r="E76" s="107">
        <f>IF(ISNUMBER(D76), (D76 - $B76) / $B76, "")</f>
        <v>4.9504950495049506E-3</v>
      </c>
      <c r="F76" s="108">
        <f>IF(ISNUMBER(D76), $B91 * E76, "")</f>
        <v>495.04950495049508</v>
      </c>
      <c r="G76" s="109">
        <v>206</v>
      </c>
      <c r="H76" s="107">
        <f>IF(ISNUMBER(G76), (G76 - $B76) / $B76, "")</f>
        <v>1.9801980198019802E-2</v>
      </c>
      <c r="I76" s="110">
        <f>IF(ISNUMBER(G76), $B91 * H76, "")</f>
        <v>1980.1980198019803</v>
      </c>
      <c r="J76" s="106">
        <v>209</v>
      </c>
      <c r="K76" s="107">
        <f>IF(ISNUMBER(J76), (J76 - $B76) / $B76, "")</f>
        <v>3.4653465346534656E-2</v>
      </c>
      <c r="L76" s="108">
        <f>IF(ISNUMBER(J76), $B91 * K76, "")</f>
        <v>3465.3465346534658</v>
      </c>
      <c r="M76" s="109">
        <v>208</v>
      </c>
      <c r="N76" s="107">
        <f>IF(ISNUMBER(M76), (M76 - $B76) / $B76, "")</f>
        <v>2.9702970297029702E-2</v>
      </c>
      <c r="O76" s="108">
        <f>IF(ISNUMBER(M76), $B91 * N76, "")</f>
        <v>2970.2970297029701</v>
      </c>
      <c r="Q76" s="238"/>
      <c r="R76" s="238"/>
      <c r="S76" s="238"/>
    </row>
    <row r="77" spans="1:19" ht="17.25" thickBot="1">
      <c r="A77" s="125" t="s">
        <v>266</v>
      </c>
      <c r="B77" s="126">
        <v>278</v>
      </c>
      <c r="C77" s="77">
        <v>-7.1428571000000003E-3</v>
      </c>
      <c r="D77" s="15">
        <v>279</v>
      </c>
      <c r="E77" s="32">
        <f t="shared" ref="E77:E80" si="34">IF(ISNUMBER(D77), (D77 - $B77) / $B77, "")</f>
        <v>3.5971223021582736E-3</v>
      </c>
      <c r="F77" s="18">
        <f>IF(ISNUMBER(D77), $B91 * E77, "")</f>
        <v>359.71223021582733</v>
      </c>
      <c r="G77" s="31">
        <v>290</v>
      </c>
      <c r="H77" s="32">
        <f t="shared" ref="H77:H80" si="35">IF(ISNUMBER(G77), (G77 - $B77) / $B77, "")</f>
        <v>4.3165467625899283E-2</v>
      </c>
      <c r="I77" s="101">
        <f>IF(ISNUMBER(G77), $B91 * H77, "")</f>
        <v>4316.5467625899282</v>
      </c>
      <c r="J77" s="15">
        <v>296</v>
      </c>
      <c r="K77" s="32">
        <f t="shared" ref="K77:K80" si="36">IF(ISNUMBER(J77), (J77 - $B77) / $B77, "")</f>
        <v>6.4748201438848921E-2</v>
      </c>
      <c r="L77" s="18">
        <f>IF(ISNUMBER(J77), $B91 * K77, "")</f>
        <v>6474.8201438848919</v>
      </c>
      <c r="M77" s="31">
        <v>290</v>
      </c>
      <c r="N77" s="32">
        <f t="shared" ref="N77:N80" si="37">IF(ISNUMBER(M77), (M77 - $B77) / $B77, "")</f>
        <v>4.3165467625899283E-2</v>
      </c>
      <c r="O77" s="18">
        <f>IF(ISNUMBER(M77), $B91 * N77, "")</f>
        <v>4316.5467625899282</v>
      </c>
      <c r="Q77" s="238"/>
      <c r="R77" s="238"/>
      <c r="S77" s="238"/>
    </row>
    <row r="78" spans="1:19" ht="17.25" thickBot="1">
      <c r="A78" s="125" t="s">
        <v>51</v>
      </c>
      <c r="B78" s="126">
        <v>330</v>
      </c>
      <c r="C78" s="77">
        <v>-9.0090090000000001E-3</v>
      </c>
      <c r="D78" s="15">
        <v>335</v>
      </c>
      <c r="E78" s="32">
        <f t="shared" si="34"/>
        <v>1.5151515151515152E-2</v>
      </c>
      <c r="F78" s="18">
        <f>IF(ISNUMBER(D78), $B91 * E78, "")</f>
        <v>1515.1515151515152</v>
      </c>
      <c r="G78" s="31">
        <v>342</v>
      </c>
      <c r="H78" s="32">
        <f t="shared" si="35"/>
        <v>3.6363636363636362E-2</v>
      </c>
      <c r="I78" s="101">
        <f>IF(ISNUMBER(G78), $B91 * H78, "")</f>
        <v>3636.363636363636</v>
      </c>
      <c r="J78" s="15">
        <v>346</v>
      </c>
      <c r="K78" s="32">
        <f t="shared" si="36"/>
        <v>4.8484848484848485E-2</v>
      </c>
      <c r="L78" s="18">
        <f>IF(ISNUMBER(J78), $B91 * K78, "")</f>
        <v>4848.484848484848</v>
      </c>
      <c r="M78" s="31">
        <v>345</v>
      </c>
      <c r="N78" s="32">
        <f t="shared" si="37"/>
        <v>4.5454545454545456E-2</v>
      </c>
      <c r="O78" s="18">
        <f>IF(ISNUMBER(M78), $B91 * N78, "")</f>
        <v>4545.454545454546</v>
      </c>
      <c r="Q78" s="238"/>
      <c r="R78" s="238"/>
      <c r="S78" s="238"/>
    </row>
    <row r="79" spans="1:19" ht="17.25" thickBot="1">
      <c r="A79" s="125" t="s">
        <v>144</v>
      </c>
      <c r="B79" s="126">
        <v>108</v>
      </c>
      <c r="C79" s="77">
        <v>-9.1743119000000008E-3</v>
      </c>
      <c r="D79" s="15">
        <v>108</v>
      </c>
      <c r="E79" s="32">
        <f t="shared" si="34"/>
        <v>0</v>
      </c>
      <c r="F79" s="18">
        <f>IF(ISNUMBER(D79), $B91 * E79, "")</f>
        <v>0</v>
      </c>
      <c r="G79" s="31">
        <v>109</v>
      </c>
      <c r="H79" s="32">
        <f t="shared" si="35"/>
        <v>9.2592592592592587E-3</v>
      </c>
      <c r="I79" s="101">
        <f>IF(ISNUMBER(G79), $B91 * H79, "")</f>
        <v>925.92592592592587</v>
      </c>
      <c r="J79" s="15">
        <v>110</v>
      </c>
      <c r="K79" s="32">
        <f t="shared" si="36"/>
        <v>1.8518518518518517E-2</v>
      </c>
      <c r="L79" s="18">
        <f>IF(ISNUMBER(J79), $B91 * K79, "")</f>
        <v>1851.8518518518517</v>
      </c>
      <c r="M79" s="31">
        <v>109</v>
      </c>
      <c r="N79" s="32">
        <f t="shared" si="37"/>
        <v>9.2592592592592587E-3</v>
      </c>
      <c r="O79" s="18">
        <f>IF(ISNUMBER(M79), $B91 * N79, "")</f>
        <v>925.92592592592587</v>
      </c>
      <c r="Q79" s="33"/>
      <c r="R79" s="33"/>
    </row>
    <row r="80" spans="1:19" ht="17.25" thickBot="1">
      <c r="A80" s="130" t="s">
        <v>114</v>
      </c>
      <c r="B80" s="131">
        <v>709</v>
      </c>
      <c r="C80" s="79">
        <v>-9.7765362999999994E-3</v>
      </c>
      <c r="D80" s="24">
        <v>713</v>
      </c>
      <c r="E80" s="25">
        <f t="shared" si="34"/>
        <v>5.6417489421720732E-3</v>
      </c>
      <c r="F80" s="104">
        <f>IF(ISNUMBER(D80), $B91 * E80, "")</f>
        <v>564.17489421720734</v>
      </c>
      <c r="G80" s="102">
        <v>717</v>
      </c>
      <c r="H80" s="25">
        <f t="shared" si="35"/>
        <v>1.1283497884344146E-2</v>
      </c>
      <c r="I80" s="103">
        <f>IF(ISNUMBER(G80), $B91 * H80, "")</f>
        <v>1128.3497884344147</v>
      </c>
      <c r="J80" s="24">
        <v>718</v>
      </c>
      <c r="K80" s="25">
        <f t="shared" si="36"/>
        <v>1.2693935119887164E-2</v>
      </c>
      <c r="L80" s="104">
        <f>IF(ISNUMBER(J80), $B91 * K80, "")</f>
        <v>1269.3935119887165</v>
      </c>
      <c r="M80" s="102">
        <v>714</v>
      </c>
      <c r="N80" s="25">
        <f t="shared" si="37"/>
        <v>7.052186177715092E-3</v>
      </c>
      <c r="O80" s="104">
        <f>IF(ISNUMBER(M80), $B91 * N80, "")</f>
        <v>705.21861777150923</v>
      </c>
      <c r="Q80" s="239"/>
      <c r="R80" s="240"/>
      <c r="S80" s="241"/>
    </row>
    <row r="81" spans="1:19">
      <c r="A81" s="123" t="s">
        <v>54</v>
      </c>
      <c r="B81" s="124">
        <v>245</v>
      </c>
      <c r="C81" s="76">
        <v>-1.20967742E-2</v>
      </c>
      <c r="D81" s="13">
        <v>245</v>
      </c>
      <c r="E81" s="14">
        <f>IF(ISNUMBER(D81), (D81 - $B81) / $B81, "")</f>
        <v>0</v>
      </c>
      <c r="F81" s="16">
        <f>IF(ISNUMBER(D81), $B91 * E81, "")</f>
        <v>0</v>
      </c>
      <c r="G81" s="29">
        <v>248</v>
      </c>
      <c r="H81" s="14">
        <f>IF(ISNUMBER(G81), (G81 - $B81) / $B81, "")</f>
        <v>1.2244897959183673E-2</v>
      </c>
      <c r="I81" s="100">
        <f>IF(ISNUMBER(G81), $B91 * H81, "")</f>
        <v>1224.4897959183672</v>
      </c>
      <c r="J81" s="13">
        <v>251</v>
      </c>
      <c r="K81" s="14">
        <f>IF(ISNUMBER(J81), (J81 - $B81) / $B81, "")</f>
        <v>2.4489795918367346E-2</v>
      </c>
      <c r="L81" s="16">
        <f>IF(ISNUMBER(J81), $B91 * K81, "")</f>
        <v>2448.9795918367345</v>
      </c>
      <c r="M81" s="29">
        <v>250</v>
      </c>
      <c r="N81" s="14">
        <f>IF(ISNUMBER(M81), (M81 - $B81) / $B81, "")</f>
        <v>2.0408163265306121E-2</v>
      </c>
      <c r="O81" s="16">
        <f>IF(ISNUMBER(M81), $B91 * N81, "")</f>
        <v>2040.8163265306121</v>
      </c>
      <c r="Q81" s="242"/>
      <c r="R81" s="243"/>
      <c r="S81" s="244"/>
    </row>
    <row r="82" spans="1:19" ht="17.25" thickBot="1">
      <c r="A82" s="125" t="s">
        <v>128</v>
      </c>
      <c r="B82" s="126">
        <v>115</v>
      </c>
      <c r="C82" s="77">
        <v>-1.7094017100000001E-2</v>
      </c>
      <c r="D82" s="15">
        <v>117</v>
      </c>
      <c r="E82" s="32">
        <f t="shared" ref="E82:E85" si="38">IF(ISNUMBER(D82), (D82 - $B82) / $B82, "")</f>
        <v>1.7391304347826087E-2</v>
      </c>
      <c r="F82" s="18">
        <f>IF(ISNUMBER(D82), $B91 * E82, "")</f>
        <v>1739.1304347826087</v>
      </c>
      <c r="G82" s="31">
        <v>120</v>
      </c>
      <c r="H82" s="32">
        <f t="shared" ref="H82:H85" si="39">IF(ISNUMBER(G82), (G82 - $B82) / $B82, "")</f>
        <v>4.3478260869565216E-2</v>
      </c>
      <c r="I82" s="101">
        <f>IF(ISNUMBER(G82), $B91 * H82, "")</f>
        <v>4347.826086956522</v>
      </c>
      <c r="J82" s="15">
        <v>122</v>
      </c>
      <c r="K82" s="32">
        <f t="shared" ref="K82:K85" si="40">IF(ISNUMBER(J82), (J82 - $B82) / $B82, "")</f>
        <v>6.0869565217391307E-2</v>
      </c>
      <c r="L82" s="18">
        <f>IF(ISNUMBER(J82), $B91 * K82, "")</f>
        <v>6086.9565217391309</v>
      </c>
      <c r="M82" s="31">
        <v>121</v>
      </c>
      <c r="N82" s="32">
        <f t="shared" ref="N82:N85" si="41">IF(ISNUMBER(M82), (M82 - $B82) / $B82, "")</f>
        <v>5.2173913043478258E-2</v>
      </c>
      <c r="O82" s="18">
        <f>IF(ISNUMBER(M82), $B91 * N82, "")</f>
        <v>5217.391304347826</v>
      </c>
      <c r="Q82" s="245"/>
      <c r="R82" s="246"/>
      <c r="S82" s="247"/>
    </row>
    <row r="83" spans="1:19" ht="17.25" thickBot="1">
      <c r="A83" s="125" t="s">
        <v>138</v>
      </c>
      <c r="B83" s="126">
        <v>374</v>
      </c>
      <c r="C83" s="77">
        <v>-1.8372703399999999E-2</v>
      </c>
      <c r="D83" s="15">
        <v>378</v>
      </c>
      <c r="E83" s="32">
        <f t="shared" si="38"/>
        <v>1.06951871657754E-2</v>
      </c>
      <c r="F83" s="18">
        <f>IF(ISNUMBER(D83), $B91 * E83, "")</f>
        <v>1069.5187165775401</v>
      </c>
      <c r="G83" s="31">
        <v>381</v>
      </c>
      <c r="H83" s="32">
        <f t="shared" si="39"/>
        <v>1.871657754010695E-2</v>
      </c>
      <c r="I83" s="101">
        <f>IF(ISNUMBER(G83), $B91 * H83, "")</f>
        <v>1871.657754010695</v>
      </c>
      <c r="J83" s="15">
        <v>382</v>
      </c>
      <c r="K83" s="32">
        <f t="shared" si="40"/>
        <v>2.1390374331550801E-2</v>
      </c>
      <c r="L83" s="18">
        <f>IF(ISNUMBER(J83), $B91 * K83, "")</f>
        <v>2139.0374331550802</v>
      </c>
      <c r="M83" s="31">
        <v>384</v>
      </c>
      <c r="N83" s="32">
        <f t="shared" si="41"/>
        <v>2.6737967914438502E-2</v>
      </c>
      <c r="O83" s="18">
        <f>IF(ISNUMBER(M83), $B91 * N83, "")</f>
        <v>2673.79679144385</v>
      </c>
      <c r="Q83" s="238"/>
      <c r="R83" s="238"/>
      <c r="S83" s="238"/>
    </row>
    <row r="84" spans="1:19" ht="17.25" thickBot="1">
      <c r="A84" s="125" t="s">
        <v>184</v>
      </c>
      <c r="B84" s="126">
        <v>975</v>
      </c>
      <c r="C84" s="77">
        <v>-2.0100502499999999E-2</v>
      </c>
      <c r="D84" s="15">
        <v>975</v>
      </c>
      <c r="E84" s="32">
        <f t="shared" si="38"/>
        <v>0</v>
      </c>
      <c r="F84" s="18">
        <f>IF(ISNUMBER(D84), $B91 * E84, "")</f>
        <v>0</v>
      </c>
      <c r="G84" s="31">
        <v>990</v>
      </c>
      <c r="H84" s="32">
        <f t="shared" si="39"/>
        <v>1.5384615384615385E-2</v>
      </c>
      <c r="I84" s="101">
        <f>IF(ISNUMBER(G84), $B91 * H84, "")</f>
        <v>1538.4615384615386</v>
      </c>
      <c r="J84" s="15">
        <v>996</v>
      </c>
      <c r="K84" s="32">
        <f t="shared" si="40"/>
        <v>2.1538461538461538E-2</v>
      </c>
      <c r="L84" s="18">
        <f>IF(ISNUMBER(J84), $B91 * K84, "")</f>
        <v>2153.8461538461538</v>
      </c>
      <c r="M84" s="31">
        <v>992</v>
      </c>
      <c r="N84" s="32">
        <f t="shared" si="41"/>
        <v>1.7435897435897435E-2</v>
      </c>
      <c r="O84" s="18">
        <f>IF(ISNUMBER(M84), $B91 * N84, "")</f>
        <v>1743.5897435897434</v>
      </c>
      <c r="Q84" s="248"/>
      <c r="R84" s="248"/>
      <c r="S84" s="248"/>
    </row>
    <row r="85" spans="1:19" ht="17.25" thickBot="1">
      <c r="A85" s="127" t="s">
        <v>252</v>
      </c>
      <c r="B85" s="128">
        <v>939</v>
      </c>
      <c r="C85" s="78">
        <v>-2.0855057400000002E-2</v>
      </c>
      <c r="D85" s="20">
        <v>943</v>
      </c>
      <c r="E85" s="21">
        <f t="shared" si="38"/>
        <v>4.2598509052183178E-3</v>
      </c>
      <c r="F85" s="22">
        <f>IF(ISNUMBER(D85), $B91 * E85, "")</f>
        <v>425.98509052183175</v>
      </c>
      <c r="G85" s="30">
        <v>977</v>
      </c>
      <c r="H85" s="21">
        <f t="shared" si="39"/>
        <v>4.0468583599574018E-2</v>
      </c>
      <c r="I85" s="105">
        <f>IF(ISNUMBER(G85), $B91 * H85, "")</f>
        <v>4046.8583599574017</v>
      </c>
      <c r="J85" s="20">
        <v>976</v>
      </c>
      <c r="K85" s="21">
        <f t="shared" si="40"/>
        <v>3.9403620873269436E-2</v>
      </c>
      <c r="L85" s="22">
        <f>IF(ISNUMBER(J85), $B91 * K85, "")</f>
        <v>3940.3620873269438</v>
      </c>
      <c r="M85" s="30">
        <v>981</v>
      </c>
      <c r="N85" s="21">
        <f t="shared" si="41"/>
        <v>4.472843450479233E-2</v>
      </c>
      <c r="O85" s="22">
        <f>IF(ISNUMBER(M85), $B91 * N85, "")</f>
        <v>4472.8434504792331</v>
      </c>
      <c r="Q85" s="248"/>
      <c r="R85" s="248"/>
      <c r="S85" s="248"/>
    </row>
    <row r="86" spans="1:19" ht="17.25" thickBot="1">
      <c r="A86" s="125" t="s">
        <v>80</v>
      </c>
      <c r="B86" s="129">
        <v>764</v>
      </c>
      <c r="C86" s="80">
        <v>-2.4265644999999999E-2</v>
      </c>
      <c r="D86" s="106">
        <v>775</v>
      </c>
      <c r="E86" s="107">
        <f>IF(ISNUMBER(D86), (D86 - $B86) / $B86, "")</f>
        <v>1.4397905759162303E-2</v>
      </c>
      <c r="F86" s="108">
        <f>IF(ISNUMBER(D86), $B91 * E86, "")</f>
        <v>1439.7905759162304</v>
      </c>
      <c r="G86" s="109">
        <v>793</v>
      </c>
      <c r="H86" s="107">
        <f>IF(ISNUMBER(G86), (G86 - $B86) / $B86, "")</f>
        <v>3.7958115183246072E-2</v>
      </c>
      <c r="I86" s="110">
        <f>IF(ISNUMBER(G86), $B91 * H86, "")</f>
        <v>3795.8115183246073</v>
      </c>
      <c r="J86" s="106">
        <v>799</v>
      </c>
      <c r="K86" s="107">
        <f>IF(ISNUMBER(J86), (J86 - $B86) / $B86, "")</f>
        <v>4.581151832460733E-2</v>
      </c>
      <c r="L86" s="108">
        <f>IF(ISNUMBER(J86), $B91 * K86, "")</f>
        <v>4581.1518324607332</v>
      </c>
      <c r="M86" s="109">
        <v>795</v>
      </c>
      <c r="N86" s="107">
        <f>IF(ISNUMBER(M86), (M86 - $B86) / $B86, "")</f>
        <v>4.0575916230366493E-2</v>
      </c>
      <c r="O86" s="108">
        <f>IF(ISNUMBER(M86), $B91 * N86, "")</f>
        <v>4057.5916230366493</v>
      </c>
      <c r="Q86" s="238"/>
      <c r="R86" s="238"/>
      <c r="S86" s="238"/>
    </row>
    <row r="87" spans="1:19" ht="17.25" thickBot="1">
      <c r="A87" s="125" t="s">
        <v>118</v>
      </c>
      <c r="B87" s="126">
        <v>154</v>
      </c>
      <c r="C87" s="77">
        <v>-2.5316455700000001E-2</v>
      </c>
      <c r="D87" s="15">
        <v>155</v>
      </c>
      <c r="E87" s="32">
        <f t="shared" ref="E87:E90" si="42">IF(ISNUMBER(D87), (D87 - $B87) / $B87, "")</f>
        <v>6.4935064935064939E-3</v>
      </c>
      <c r="F87" s="18">
        <f>IF(ISNUMBER(D87), $B91 * E87, "")</f>
        <v>649.35064935064941</v>
      </c>
      <c r="G87" s="31">
        <v>158</v>
      </c>
      <c r="H87" s="32">
        <f t="shared" ref="H87:H90" si="43">IF(ISNUMBER(G87), (G87 - $B87) / $B87, "")</f>
        <v>2.5974025974025976E-2</v>
      </c>
      <c r="I87" s="101">
        <f>IF(ISNUMBER(G87), $B91 * H87, "")</f>
        <v>2597.4025974025976</v>
      </c>
      <c r="J87" s="15">
        <v>160</v>
      </c>
      <c r="K87" s="32">
        <f t="shared" ref="K87:K90" si="44">IF(ISNUMBER(J87), (J87 - $B87) / $B87, "")</f>
        <v>3.896103896103896E-2</v>
      </c>
      <c r="L87" s="18">
        <f>IF(ISNUMBER(J87), $B91 * K87, "")</f>
        <v>3896.1038961038962</v>
      </c>
      <c r="M87" s="31">
        <v>159</v>
      </c>
      <c r="N87" s="32">
        <f t="shared" ref="N87:N90" si="45">IF(ISNUMBER(M87), (M87 - $B87) / $B87, "")</f>
        <v>3.2467532467532464E-2</v>
      </c>
      <c r="O87" s="18">
        <f>IF(ISNUMBER(M87), $B91 * N87, "")</f>
        <v>3246.7532467532465</v>
      </c>
      <c r="Q87" s="238"/>
      <c r="R87" s="238"/>
      <c r="S87" s="238"/>
    </row>
    <row r="88" spans="1:19" ht="17.25" thickBot="1">
      <c r="A88" s="125" t="s">
        <v>242</v>
      </c>
      <c r="B88" s="126">
        <v>464</v>
      </c>
      <c r="C88" s="77">
        <v>-3.1315240100000002E-2</v>
      </c>
      <c r="D88" s="15">
        <v>466</v>
      </c>
      <c r="E88" s="32">
        <f t="shared" si="42"/>
        <v>4.3103448275862068E-3</v>
      </c>
      <c r="F88" s="18">
        <f>IF(ISNUMBER(D88), $B91 * E88, "")</f>
        <v>431.0344827586207</v>
      </c>
      <c r="G88" s="31">
        <v>476</v>
      </c>
      <c r="H88" s="32">
        <f t="shared" si="43"/>
        <v>2.5862068965517241E-2</v>
      </c>
      <c r="I88" s="101">
        <f>IF(ISNUMBER(G88), $B91 * H88, "")</f>
        <v>2586.2068965517242</v>
      </c>
      <c r="J88" s="15">
        <v>483</v>
      </c>
      <c r="K88" s="32">
        <f t="shared" si="44"/>
        <v>4.0948275862068964E-2</v>
      </c>
      <c r="L88" s="18">
        <f>IF(ISNUMBER(J88), $B91 * K88, "")</f>
        <v>4094.8275862068963</v>
      </c>
      <c r="M88" s="31">
        <v>480</v>
      </c>
      <c r="N88" s="32">
        <f t="shared" si="45"/>
        <v>3.4482758620689655E-2</v>
      </c>
      <c r="O88" s="18">
        <f>IF(ISNUMBER(M88), $B91 * N88, "")</f>
        <v>3448.2758620689656</v>
      </c>
      <c r="Q88" s="238"/>
      <c r="R88" s="238"/>
      <c r="S88" s="238"/>
    </row>
    <row r="89" spans="1:19">
      <c r="A89" s="125" t="s">
        <v>254</v>
      </c>
      <c r="B89" s="126">
        <v>280</v>
      </c>
      <c r="C89" s="77">
        <v>-3.4482758600000003E-2</v>
      </c>
      <c r="D89" s="15">
        <v>280</v>
      </c>
      <c r="E89" s="32">
        <f t="shared" si="42"/>
        <v>0</v>
      </c>
      <c r="F89" s="18">
        <f>IF(ISNUMBER(D89), $B91 * E89, "")</f>
        <v>0</v>
      </c>
      <c r="G89" s="31">
        <v>289</v>
      </c>
      <c r="H89" s="32">
        <f t="shared" si="43"/>
        <v>3.214285714285714E-2</v>
      </c>
      <c r="I89" s="101">
        <f>IF(ISNUMBER(G89), $B91 * H89, "")</f>
        <v>3214.2857142857138</v>
      </c>
      <c r="J89" s="15">
        <v>295</v>
      </c>
      <c r="K89" s="32">
        <f t="shared" si="44"/>
        <v>5.3571428571428568E-2</v>
      </c>
      <c r="L89" s="18">
        <f>IF(ISNUMBER(J89), $B91 * K89, "")</f>
        <v>5357.1428571428569</v>
      </c>
      <c r="M89" s="31">
        <v>289</v>
      </c>
      <c r="N89" s="32">
        <f t="shared" si="45"/>
        <v>3.214285714285714E-2</v>
      </c>
      <c r="O89" s="18">
        <f>IF(ISNUMBER(M89), $B91 * N89, "")</f>
        <v>3214.2857142857138</v>
      </c>
      <c r="Q89" s="227"/>
      <c r="R89" s="228"/>
      <c r="S89" s="229"/>
    </row>
    <row r="90" spans="1:19" ht="17.25" thickBot="1">
      <c r="A90" s="130" t="s">
        <v>236</v>
      </c>
      <c r="B90" s="131">
        <v>587</v>
      </c>
      <c r="C90" s="79">
        <v>-3.4539473699999997E-2</v>
      </c>
      <c r="D90" s="24">
        <v>590</v>
      </c>
      <c r="E90" s="25">
        <f t="shared" si="42"/>
        <v>5.1107325383304937E-3</v>
      </c>
      <c r="F90" s="104">
        <f>IF(ISNUMBER(D90), $B91 * E90, "")</f>
        <v>511.07325383304936</v>
      </c>
      <c r="G90" s="102">
        <v>599</v>
      </c>
      <c r="H90" s="25">
        <f t="shared" si="43"/>
        <v>2.0442930153321975E-2</v>
      </c>
      <c r="I90" s="103">
        <f>IF(ISNUMBER(G90), $B91 * H90, "")</f>
        <v>2044.2930153321975</v>
      </c>
      <c r="J90" s="24">
        <v>605</v>
      </c>
      <c r="K90" s="25">
        <f t="shared" si="44"/>
        <v>3.0664395229982964E-2</v>
      </c>
      <c r="L90" s="104">
        <f>IF(ISNUMBER(J90), $B91 * K90, "")</f>
        <v>3066.4395229982965</v>
      </c>
      <c r="M90" s="102">
        <v>603</v>
      </c>
      <c r="N90" s="25">
        <f t="shared" si="45"/>
        <v>2.7257240204429302E-2</v>
      </c>
      <c r="O90" s="104">
        <f>IF(ISNUMBER(M90), $B91 * N90, "")</f>
        <v>2725.7240204429304</v>
      </c>
      <c r="Q90" s="230"/>
      <c r="R90" s="231"/>
      <c r="S90" s="232"/>
    </row>
    <row r="91" spans="1:19" ht="17.25" thickBot="1">
      <c r="A91" s="132" t="s">
        <v>270</v>
      </c>
      <c r="B91" s="291">
        <f>$B$37</f>
        <v>100000</v>
      </c>
      <c r="C91" s="292"/>
      <c r="D91" s="26" t="s">
        <v>271</v>
      </c>
      <c r="E91" s="27">
        <f>IF(COUNT(E71:E90), SUM(E71:E90) / COUNT(E71:E90), 0)</f>
        <v>7.2806932021619152E-3</v>
      </c>
      <c r="F91" s="28">
        <f>SUM(F71:F90)</f>
        <v>14561.38640432383</v>
      </c>
      <c r="G91" s="26" t="s">
        <v>271</v>
      </c>
      <c r="H91" s="27">
        <f>IF(COUNT(H71:H90), SUM(H71:H90) / COUNT(H71:H90), 0)</f>
        <v>2.7907036738446706E-2</v>
      </c>
      <c r="I91" s="28">
        <f>SUM(I71:I90)</f>
        <v>55814.07347689342</v>
      </c>
      <c r="J91" s="26" t="s">
        <v>271</v>
      </c>
      <c r="K91" s="27">
        <f>IF(COUNT(K71:K90), SUM(K71:K90) / COUNT(K71:K90), 0)</f>
        <v>3.6580851252293621E-2</v>
      </c>
      <c r="L91" s="28">
        <f>SUM(L71:L90)</f>
        <v>73161.702504587243</v>
      </c>
      <c r="M91" s="26" t="s">
        <v>271</v>
      </c>
      <c r="N91" s="27">
        <f>IF(COUNT(N71:N90), SUM(N71:N90) / COUNT(N71:N90), 0)</f>
        <v>3.01231979590754E-2</v>
      </c>
      <c r="O91" s="28">
        <f>SUM(O71:O90)</f>
        <v>60246.395918150789</v>
      </c>
      <c r="Q91" s="233"/>
      <c r="R91" s="234"/>
      <c r="S91" s="23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48"/>
      <c r="R94" s="248"/>
      <c r="S94" s="248"/>
    </row>
    <row r="95" spans="1:19" ht="17.25" thickBot="1">
      <c r="A95" s="189" t="s">
        <v>267</v>
      </c>
      <c r="B95" s="249" t="s">
        <v>49</v>
      </c>
      <c r="C95" s="251"/>
      <c r="D95" s="249" t="s">
        <v>58</v>
      </c>
      <c r="E95" s="250"/>
      <c r="F95" s="251"/>
      <c r="G95" s="252">
        <f>_xlfn.IFNA(VLOOKUP(B95, 현재가테이블!$B$2:$D$200, 2, FALSE), "-")</f>
        <v>54440000</v>
      </c>
      <c r="H95" s="253"/>
      <c r="I95" s="254"/>
      <c r="J95" s="249" t="s">
        <v>59</v>
      </c>
      <c r="K95" s="250"/>
      <c r="L95" s="251"/>
      <c r="M95" s="255">
        <f>_xlfn.IFNA(VLOOKUP(B95, 현재가테이블!$B$2:$D$200, 3, FALSE), "-")</f>
        <v>1.07123628E-2</v>
      </c>
      <c r="N95" s="256"/>
      <c r="O95" s="257"/>
      <c r="Q95" s="248"/>
      <c r="R95" s="248"/>
      <c r="S95" s="248"/>
    </row>
    <row r="96" spans="1:19" ht="17.25" thickBot="1">
      <c r="A96" s="293" t="s">
        <v>55</v>
      </c>
      <c r="B96" s="289" t="str">
        <f>TEXT($G$1, "[$-ko-KR]yyyy-mm-dd(ddd) ") &amp; "오전 00:00"</f>
        <v>2021-08-09(월) 오전 00:00</v>
      </c>
      <c r="C96" s="290"/>
      <c r="D96" s="262" t="str">
        <f>TEXT($G$1, "[$-ko-KR]yyyy-mm-dd(ddd) ") &amp; "오후 14:00"</f>
        <v>2021-08-09(월) 오후 14:00</v>
      </c>
      <c r="E96" s="263"/>
      <c r="F96" s="264"/>
      <c r="G96" s="262" t="str">
        <f>TEXT($G$1, "[$-ko-KR]yyyy-mm-dd(ddd) ") &amp; "오후 19:00"</f>
        <v>2021-08-09(월) 오후 19:00</v>
      </c>
      <c r="H96" s="263"/>
      <c r="I96" s="264"/>
      <c r="J96" s="262" t="str">
        <f>TEXT($G$1, "[$-ko-KR]yyyy-mm-dd(ddd) ") &amp; "오후 21:00"</f>
        <v>2021-08-09(월) 오후 21:00</v>
      </c>
      <c r="K96" s="263"/>
      <c r="L96" s="264"/>
      <c r="M96" s="262" t="str">
        <f>TEXT($G$1+1, "[$-ko-KR]yyyy-mm-dd(ddd) ") &amp; "오전 00:00"</f>
        <v>2021-08-10(화) 오전 00:00</v>
      </c>
      <c r="N96" s="263"/>
      <c r="O96" s="264"/>
      <c r="Q96" s="248"/>
      <c r="R96" s="248"/>
      <c r="S96" s="248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0" t="s">
        <v>58</v>
      </c>
      <c r="H97" s="191" t="s">
        <v>268</v>
      </c>
      <c r="I97" s="19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8"/>
      <c r="R97" s="238"/>
      <c r="S97" s="238"/>
    </row>
    <row r="98" spans="1:19" ht="17.25" thickBot="1">
      <c r="A98" s="123" t="s">
        <v>86</v>
      </c>
      <c r="B98" s="124">
        <v>348</v>
      </c>
      <c r="C98" s="76">
        <v>8.0745341600000006E-2</v>
      </c>
      <c r="D98" s="13">
        <v>348</v>
      </c>
      <c r="E98" s="14">
        <f>IF(ISNUMBER(D98), (D98 - $B98) / $B98, "")</f>
        <v>0</v>
      </c>
      <c r="F98" s="16">
        <f>IF(ISNUMBER(D98), $B118 * E98, "")</f>
        <v>0</v>
      </c>
      <c r="G98" s="29">
        <v>370</v>
      </c>
      <c r="H98" s="14">
        <f>IF(ISNUMBER(G98), (G98 - $B98) / $B98, "")</f>
        <v>6.3218390804597707E-2</v>
      </c>
      <c r="I98" s="100">
        <f>IF(ISNUMBER(G98), $B118 * H98, "")</f>
        <v>6321.8390804597711</v>
      </c>
      <c r="J98" s="13">
        <v>369</v>
      </c>
      <c r="K98" s="14">
        <f>IF(ISNUMBER(J98), (J98 - $B98) / $B98, "")</f>
        <v>6.0344827586206899E-2</v>
      </c>
      <c r="L98" s="16">
        <f>IF(ISNUMBER(J98), $B118 * K98, "")</f>
        <v>6034.4827586206902</v>
      </c>
      <c r="M98" s="29">
        <v>356</v>
      </c>
      <c r="N98" s="14">
        <f>IF(ISNUMBER(M98), (M98 - $B98) / $B98, "")</f>
        <v>2.2988505747126436E-2</v>
      </c>
      <c r="O98" s="16">
        <f>IF(ISNUMBER(M98), $B118 * N98, "")</f>
        <v>2298.8505747126437</v>
      </c>
      <c r="Q98" s="248"/>
      <c r="R98" s="248"/>
      <c r="S98" s="248"/>
    </row>
    <row r="99" spans="1:19" ht="17.25" thickBot="1">
      <c r="A99" s="125" t="s">
        <v>240</v>
      </c>
      <c r="B99" s="126">
        <v>67.3</v>
      </c>
      <c r="C99" s="77">
        <v>6.6561014299999999E-2</v>
      </c>
      <c r="D99" s="15">
        <v>68</v>
      </c>
      <c r="E99" s="32">
        <f t="shared" ref="E99:E102" si="46">IF(ISNUMBER(D99), (D99 - $B99) / $B99, "")</f>
        <v>1.0401188707280875E-2</v>
      </c>
      <c r="F99" s="18">
        <f>IF(ISNUMBER(D99), $B118 * E99, "")</f>
        <v>1040.1188707280876</v>
      </c>
      <c r="G99" s="31">
        <v>68.7</v>
      </c>
      <c r="H99" s="32">
        <f t="shared" ref="H99:H102" si="47">IF(ISNUMBER(G99), (G99 - $B99) / $B99, "")</f>
        <v>2.080237741456175E-2</v>
      </c>
      <c r="I99" s="101">
        <f>IF(ISNUMBER(G99), $B118 * H99, "")</f>
        <v>2080.2377414561752</v>
      </c>
      <c r="J99" s="15">
        <v>68</v>
      </c>
      <c r="K99" s="32">
        <f t="shared" ref="K99:K102" si="48">IF(ISNUMBER(J99), (J99 - $B99) / $B99, "")</f>
        <v>1.0401188707280875E-2</v>
      </c>
      <c r="L99" s="18">
        <f>IF(ISNUMBER(J99), $B118 * K99, "")</f>
        <v>1040.1188707280876</v>
      </c>
      <c r="M99" s="31">
        <v>67</v>
      </c>
      <c r="N99" s="32">
        <f t="shared" ref="N99:N102" si="49">IF(ISNUMBER(M99), (M99 - $B99) / $B99, "")</f>
        <v>-4.4576523031203148E-3</v>
      </c>
      <c r="O99" s="18">
        <f>IF(ISNUMBER(M99), $B118 * N99, "")</f>
        <v>-445.76523031203146</v>
      </c>
      <c r="Q99" s="248"/>
      <c r="R99" s="248"/>
      <c r="S99" s="248"/>
    </row>
    <row r="100" spans="1:19" ht="17.25" thickBot="1">
      <c r="A100" s="125" t="s">
        <v>180</v>
      </c>
      <c r="B100" s="126">
        <v>12270</v>
      </c>
      <c r="C100" s="77">
        <v>3.45699831E-2</v>
      </c>
      <c r="D100" s="15">
        <v>12340</v>
      </c>
      <c r="E100" s="32">
        <f t="shared" si="46"/>
        <v>5.7049714751426246E-3</v>
      </c>
      <c r="F100" s="18">
        <f>IF(ISNUMBER(D100), $B118 * E100, "")</f>
        <v>570.49714751426245</v>
      </c>
      <c r="G100" s="31">
        <v>12490</v>
      </c>
      <c r="H100" s="32">
        <f t="shared" si="47"/>
        <v>1.7929910350448247E-2</v>
      </c>
      <c r="I100" s="101">
        <f>IF(ISNUMBER(G100), $B118 * H100, "")</f>
        <v>1792.9910350448247</v>
      </c>
      <c r="J100" s="15">
        <v>12510</v>
      </c>
      <c r="K100" s="32">
        <f t="shared" si="48"/>
        <v>1.9559902200488997E-2</v>
      </c>
      <c r="L100" s="18">
        <f>IF(ISNUMBER(J100), $B118 * K100, "")</f>
        <v>1955.9902200488998</v>
      </c>
      <c r="M100" s="31">
        <v>12320</v>
      </c>
      <c r="N100" s="32">
        <f t="shared" si="49"/>
        <v>4.0749796251018742E-3</v>
      </c>
      <c r="O100" s="18">
        <f>IF(ISNUMBER(M100), $B118 * N100, "")</f>
        <v>407.49796251018739</v>
      </c>
      <c r="Q100" s="238"/>
      <c r="R100" s="238"/>
      <c r="S100" s="238"/>
    </row>
    <row r="101" spans="1:19" ht="17.25" thickBot="1">
      <c r="A101" s="125" t="s">
        <v>214</v>
      </c>
      <c r="B101" s="126">
        <v>1150</v>
      </c>
      <c r="C101" s="77">
        <v>2.6785714299999999E-2</v>
      </c>
      <c r="D101" s="15">
        <v>1145</v>
      </c>
      <c r="E101" s="32">
        <f t="shared" si="46"/>
        <v>-4.3478260869565218E-3</v>
      </c>
      <c r="F101" s="18">
        <f>IF(ISNUMBER(D101), $B118 * E101, "")</f>
        <v>-434.78260869565219</v>
      </c>
      <c r="G101" s="31">
        <v>1135</v>
      </c>
      <c r="H101" s="32">
        <f t="shared" si="47"/>
        <v>-1.3043478260869565E-2</v>
      </c>
      <c r="I101" s="101">
        <f>IF(ISNUMBER(G101), $B118 * H101, "")</f>
        <v>-1304.3478260869565</v>
      </c>
      <c r="J101" s="15">
        <v>1135</v>
      </c>
      <c r="K101" s="32">
        <f t="shared" si="48"/>
        <v>-1.3043478260869565E-2</v>
      </c>
      <c r="L101" s="18">
        <f>IF(ISNUMBER(J101), $B118 * K101, "")</f>
        <v>-1304.3478260869565</v>
      </c>
      <c r="M101" s="31">
        <v>1135</v>
      </c>
      <c r="N101" s="32">
        <f t="shared" si="49"/>
        <v>-1.3043478260869565E-2</v>
      </c>
      <c r="O101" s="18">
        <f>IF(ISNUMBER(M101), $B118 * N101, "")</f>
        <v>-1304.3478260869565</v>
      </c>
      <c r="Q101" s="238"/>
      <c r="R101" s="238"/>
      <c r="S101" s="238"/>
    </row>
    <row r="102" spans="1:19" ht="17.25" thickBot="1">
      <c r="A102" s="127" t="s">
        <v>106</v>
      </c>
      <c r="B102" s="128">
        <v>67410</v>
      </c>
      <c r="C102" s="78">
        <v>2.5091240899999999E-2</v>
      </c>
      <c r="D102" s="20">
        <v>68410</v>
      </c>
      <c r="E102" s="21">
        <f t="shared" si="46"/>
        <v>1.483459427384661E-2</v>
      </c>
      <c r="F102" s="22">
        <f>IF(ISNUMBER(D102), $B118 * E102, "")</f>
        <v>1483.459427384661</v>
      </c>
      <c r="G102" s="30">
        <v>67180</v>
      </c>
      <c r="H102" s="21">
        <f t="shared" si="47"/>
        <v>-3.4119566829847203E-3</v>
      </c>
      <c r="I102" s="105">
        <f>IF(ISNUMBER(G102), $B118 * H102, "")</f>
        <v>-341.19566829847201</v>
      </c>
      <c r="J102" s="20">
        <v>67420</v>
      </c>
      <c r="K102" s="21">
        <f t="shared" si="48"/>
        <v>1.483459427384661E-4</v>
      </c>
      <c r="L102" s="22">
        <f>IF(ISNUMBER(J102), $B118 * K102, "")</f>
        <v>14.83459427384661</v>
      </c>
      <c r="M102" s="30">
        <v>67700</v>
      </c>
      <c r="N102" s="21">
        <f t="shared" si="49"/>
        <v>4.3020323394155173E-3</v>
      </c>
      <c r="O102" s="22">
        <f>IF(ISNUMBER(M102), $B118 * N102, "")</f>
        <v>430.20323394155173</v>
      </c>
      <c r="Q102" s="238"/>
      <c r="R102" s="238"/>
      <c r="S102" s="238"/>
    </row>
    <row r="103" spans="1:19" ht="17.25" thickBot="1">
      <c r="A103" s="125" t="s">
        <v>146</v>
      </c>
      <c r="B103" s="129">
        <v>2930</v>
      </c>
      <c r="C103" s="80">
        <v>2.09059233E-2</v>
      </c>
      <c r="D103" s="106">
        <v>2960</v>
      </c>
      <c r="E103" s="107">
        <f>IF(ISNUMBER(D103), (D103 - $B103) / $B103, "")</f>
        <v>1.0238907849829351E-2</v>
      </c>
      <c r="F103" s="108">
        <f>IF(ISNUMBER(D103), $B118 * E103, "")</f>
        <v>1023.8907849829351</v>
      </c>
      <c r="G103" s="109">
        <v>3150</v>
      </c>
      <c r="H103" s="107">
        <f>IF(ISNUMBER(G103), (G103 - $B103) / $B103, "")</f>
        <v>7.5085324232081918E-2</v>
      </c>
      <c r="I103" s="110">
        <f>IF(ISNUMBER(G103), $B118 * H103, "")</f>
        <v>7508.5324232081921</v>
      </c>
      <c r="J103" s="106">
        <v>3135</v>
      </c>
      <c r="K103" s="107">
        <f>IF(ISNUMBER(J103), (J103 - $B103) / $B103, "")</f>
        <v>6.9965870307167236E-2</v>
      </c>
      <c r="L103" s="108">
        <f>IF(ISNUMBER(J103), $B118 * K103, "")</f>
        <v>6996.5870307167233</v>
      </c>
      <c r="M103" s="109">
        <v>3295</v>
      </c>
      <c r="N103" s="107">
        <f>IF(ISNUMBER(M103), (M103 - $B103) / $B103, "")</f>
        <v>0.12457337883959044</v>
      </c>
      <c r="O103" s="108">
        <f>IF(ISNUMBER(M103), $B118 * N103, "")</f>
        <v>12457.337883959044</v>
      </c>
      <c r="Q103" s="238"/>
      <c r="R103" s="238"/>
      <c r="S103" s="238"/>
    </row>
    <row r="104" spans="1:19" ht="17.25" thickBot="1">
      <c r="A104" s="125" t="s">
        <v>102</v>
      </c>
      <c r="B104" s="126">
        <v>1030</v>
      </c>
      <c r="C104" s="77">
        <v>1.47783251E-2</v>
      </c>
      <c r="D104" s="15">
        <v>1045</v>
      </c>
      <c r="E104" s="32">
        <f t="shared" ref="E104:E107" si="50">IF(ISNUMBER(D104), (D104 - $B104) / $B104, "")</f>
        <v>1.4563106796116505E-2</v>
      </c>
      <c r="F104" s="18">
        <f>IF(ISNUMBER(D104), $B118 * E104, "")</f>
        <v>1456.3106796116506</v>
      </c>
      <c r="G104" s="31">
        <v>1040</v>
      </c>
      <c r="H104" s="32">
        <f t="shared" ref="H104:H107" si="51">IF(ISNUMBER(G104), (G104 - $B104) / $B104, "")</f>
        <v>9.7087378640776691E-3</v>
      </c>
      <c r="I104" s="101">
        <f>IF(ISNUMBER(G104), $B118 * H104, "")</f>
        <v>970.87378640776694</v>
      </c>
      <c r="J104" s="15">
        <v>1050</v>
      </c>
      <c r="K104" s="32">
        <f t="shared" ref="K104:K107" si="52">IF(ISNUMBER(J104), (J104 - $B104) / $B104, "")</f>
        <v>1.9417475728155338E-2</v>
      </c>
      <c r="L104" s="18">
        <f>IF(ISNUMBER(J104), $B118 * K104, "")</f>
        <v>1941.7475728155339</v>
      </c>
      <c r="M104" s="31">
        <v>1045</v>
      </c>
      <c r="N104" s="32">
        <f t="shared" ref="N104:N107" si="53">IF(ISNUMBER(M104), (M104 - $B104) / $B104, "")</f>
        <v>1.4563106796116505E-2</v>
      </c>
      <c r="O104" s="18">
        <f>IF(ISNUMBER(M104), $B118 * N104, "")</f>
        <v>1456.3106796116506</v>
      </c>
      <c r="Q104" s="238"/>
      <c r="R104" s="238"/>
      <c r="S104" s="238"/>
    </row>
    <row r="105" spans="1:19" ht="17.25" thickBot="1">
      <c r="A105" s="125" t="s">
        <v>170</v>
      </c>
      <c r="B105" s="126">
        <v>29980</v>
      </c>
      <c r="C105" s="77">
        <v>1.4208389700000001E-2</v>
      </c>
      <c r="D105" s="15">
        <v>30090</v>
      </c>
      <c r="E105" s="32">
        <f t="shared" si="50"/>
        <v>3.6691127418278851E-3</v>
      </c>
      <c r="F105" s="18">
        <f>IF(ISNUMBER(D105), $B118 * E105, "")</f>
        <v>366.91127418278853</v>
      </c>
      <c r="G105" s="31">
        <v>30430</v>
      </c>
      <c r="H105" s="32">
        <f t="shared" si="51"/>
        <v>1.5010006671114077E-2</v>
      </c>
      <c r="I105" s="101">
        <f>IF(ISNUMBER(G105), $B118 * H105, "")</f>
        <v>1501.0006671114077</v>
      </c>
      <c r="J105" s="15">
        <v>30410</v>
      </c>
      <c r="K105" s="32">
        <f t="shared" si="52"/>
        <v>1.4342895263509006E-2</v>
      </c>
      <c r="L105" s="18">
        <f>IF(ISNUMBER(J105), $B118 * K105, "")</f>
        <v>1434.2895263509006</v>
      </c>
      <c r="M105" s="31">
        <v>30320</v>
      </c>
      <c r="N105" s="32">
        <f t="shared" si="53"/>
        <v>1.1340893929286191E-2</v>
      </c>
      <c r="O105" s="18">
        <f>IF(ISNUMBER(M105), $B118 * N105, "")</f>
        <v>1134.0893929286192</v>
      </c>
      <c r="Q105" s="238"/>
      <c r="R105" s="238"/>
      <c r="S105" s="238"/>
    </row>
    <row r="106" spans="1:19" ht="17.25" thickBot="1">
      <c r="A106" s="125" t="s">
        <v>156</v>
      </c>
      <c r="B106" s="126">
        <v>1650</v>
      </c>
      <c r="C106" s="77">
        <v>9.1743119000000008E-3</v>
      </c>
      <c r="D106" s="15">
        <v>1665</v>
      </c>
      <c r="E106" s="32">
        <f t="shared" si="50"/>
        <v>9.0909090909090905E-3</v>
      </c>
      <c r="F106" s="18">
        <f>IF(ISNUMBER(D106), $B118 * E106, "")</f>
        <v>909.09090909090901</v>
      </c>
      <c r="G106" s="31">
        <v>1750</v>
      </c>
      <c r="H106" s="32">
        <f t="shared" si="51"/>
        <v>6.0606060606060608E-2</v>
      </c>
      <c r="I106" s="101">
        <f>IF(ISNUMBER(G106), $B118 * H106, "")</f>
        <v>6060.606060606061</v>
      </c>
      <c r="J106" s="15">
        <v>1785</v>
      </c>
      <c r="K106" s="32">
        <f t="shared" si="52"/>
        <v>8.1818181818181818E-2</v>
      </c>
      <c r="L106" s="18">
        <f>IF(ISNUMBER(J106), $B118 * K106, "")</f>
        <v>8181.818181818182</v>
      </c>
      <c r="M106" s="31">
        <v>1775</v>
      </c>
      <c r="N106" s="32">
        <f t="shared" si="53"/>
        <v>7.575757575757576E-2</v>
      </c>
      <c r="O106" s="18">
        <f>IF(ISNUMBER(M106), $B118 * N106, "")</f>
        <v>7575.757575757576</v>
      </c>
      <c r="Q106" s="33"/>
      <c r="R106" s="33"/>
    </row>
    <row r="107" spans="1:19" ht="17.25" thickBot="1">
      <c r="A107" s="130" t="s">
        <v>218</v>
      </c>
      <c r="B107" s="131">
        <v>133</v>
      </c>
      <c r="C107" s="79">
        <v>7.5757576E-3</v>
      </c>
      <c r="D107" s="24">
        <v>133</v>
      </c>
      <c r="E107" s="25">
        <f t="shared" si="50"/>
        <v>0</v>
      </c>
      <c r="F107" s="104">
        <f>IF(ISNUMBER(D107), $B118 * E107, "")</f>
        <v>0</v>
      </c>
      <c r="G107" s="102">
        <v>135</v>
      </c>
      <c r="H107" s="25">
        <f t="shared" si="51"/>
        <v>1.5037593984962405E-2</v>
      </c>
      <c r="I107" s="103">
        <f>IF(ISNUMBER(G107), $B118 * H107, "")</f>
        <v>1503.7593984962405</v>
      </c>
      <c r="J107" s="24">
        <v>134</v>
      </c>
      <c r="K107" s="25">
        <f t="shared" si="52"/>
        <v>7.5187969924812026E-3</v>
      </c>
      <c r="L107" s="104">
        <f>IF(ISNUMBER(J107), $B118 * K107, "")</f>
        <v>751.87969924812023</v>
      </c>
      <c r="M107" s="102">
        <v>135</v>
      </c>
      <c r="N107" s="25">
        <f t="shared" si="53"/>
        <v>1.5037593984962405E-2</v>
      </c>
      <c r="O107" s="104">
        <f>IF(ISNUMBER(M107), $B118 * N107, "")</f>
        <v>1503.7593984962405</v>
      </c>
      <c r="Q107" s="239"/>
      <c r="R107" s="240"/>
      <c r="S107" s="241"/>
    </row>
    <row r="108" spans="1:19">
      <c r="A108" s="123" t="s">
        <v>88</v>
      </c>
      <c r="B108" s="124">
        <v>173500</v>
      </c>
      <c r="C108" s="76">
        <v>7.5493612000000002E-3</v>
      </c>
      <c r="D108" s="13">
        <v>173750</v>
      </c>
      <c r="E108" s="14">
        <f>IF(ISNUMBER(D108), (D108 - $B108) / $B108, "")</f>
        <v>1.440922190201729E-3</v>
      </c>
      <c r="F108" s="16">
        <f>IF(ISNUMBER(D108), $B118 * E108, "")</f>
        <v>144.09221902017291</v>
      </c>
      <c r="G108" s="29">
        <v>177600</v>
      </c>
      <c r="H108" s="14">
        <f>IF(ISNUMBER(G108), (G108 - $B108) / $B108, "")</f>
        <v>2.3631123919308359E-2</v>
      </c>
      <c r="I108" s="100">
        <f>IF(ISNUMBER(G108), $B118 * H108, "")</f>
        <v>2363.1123919308361</v>
      </c>
      <c r="J108" s="13">
        <v>177400</v>
      </c>
      <c r="K108" s="14">
        <f>IF(ISNUMBER(J108), (J108 - $B108) / $B108, "")</f>
        <v>2.2478386167146973E-2</v>
      </c>
      <c r="L108" s="16">
        <f>IF(ISNUMBER(J108), $B118 * K108, "")</f>
        <v>2247.8386167146973</v>
      </c>
      <c r="M108" s="29">
        <v>199650</v>
      </c>
      <c r="N108" s="14">
        <f>IF(ISNUMBER(M108), (M108 - $B108) / $B108, "")</f>
        <v>0.15072046109510087</v>
      </c>
      <c r="O108" s="16">
        <f>IF(ISNUMBER(M108), $B118 * N108, "")</f>
        <v>15072.046109510087</v>
      </c>
      <c r="Q108" s="242"/>
      <c r="R108" s="243"/>
      <c r="S108" s="244"/>
    </row>
    <row r="109" spans="1:19" ht="17.25" thickBot="1">
      <c r="A109" s="125" t="s">
        <v>98</v>
      </c>
      <c r="B109" s="126">
        <v>4.34</v>
      </c>
      <c r="C109" s="77">
        <v>6.9605568E-3</v>
      </c>
      <c r="D109" s="15">
        <v>4.37</v>
      </c>
      <c r="E109" s="32">
        <f t="shared" ref="E109:E112" si="54">IF(ISNUMBER(D109), (D109 - $B109) / $B109, "")</f>
        <v>6.9124423963134217E-3</v>
      </c>
      <c r="F109" s="18">
        <f>IF(ISNUMBER(D109), $B118 * E109, "")</f>
        <v>691.24423963134223</v>
      </c>
      <c r="G109" s="31">
        <v>4.41</v>
      </c>
      <c r="H109" s="32">
        <f t="shared" ref="H109:H112" si="55">IF(ISNUMBER(G109), (G109 - $B109) / $B109, "")</f>
        <v>1.6129032258064582E-2</v>
      </c>
      <c r="I109" s="101">
        <f>IF(ISNUMBER(G109), $B118 * H109, "")</f>
        <v>1612.9032258064581</v>
      </c>
      <c r="J109" s="15">
        <v>4.45</v>
      </c>
      <c r="K109" s="32">
        <f t="shared" ref="K109:K112" si="56">IF(ISNUMBER(J109), (J109 - $B109) / $B109, "")</f>
        <v>2.5345622119815742E-2</v>
      </c>
      <c r="L109" s="18">
        <f>IF(ISNUMBER(J109), $B118 * K109, "")</f>
        <v>2534.5622119815744</v>
      </c>
      <c r="M109" s="31">
        <v>4.41</v>
      </c>
      <c r="N109" s="32">
        <f t="shared" ref="N109:N112" si="57">IF(ISNUMBER(M109), (M109 - $B109) / $B109, "")</f>
        <v>1.6129032258064582E-2</v>
      </c>
      <c r="O109" s="18">
        <f>IF(ISNUMBER(M109), $B118 * N109, "")</f>
        <v>1612.9032258064581</v>
      </c>
      <c r="Q109" s="245"/>
      <c r="R109" s="246"/>
      <c r="S109" s="247"/>
    </row>
    <row r="110" spans="1:19" ht="17.25" thickBot="1">
      <c r="A110" s="125" t="s">
        <v>61</v>
      </c>
      <c r="B110" s="126">
        <v>838</v>
      </c>
      <c r="C110" s="77">
        <v>3.5928143999999999E-3</v>
      </c>
      <c r="D110" s="15">
        <v>846</v>
      </c>
      <c r="E110" s="32">
        <f t="shared" si="54"/>
        <v>9.5465393794749408E-3</v>
      </c>
      <c r="F110" s="18">
        <f>IF(ISNUMBER(D110), $B118 * E110, "")</f>
        <v>954.65393794749411</v>
      </c>
      <c r="G110" s="31">
        <v>853</v>
      </c>
      <c r="H110" s="32">
        <f t="shared" si="55"/>
        <v>1.7899761336515514E-2</v>
      </c>
      <c r="I110" s="101">
        <f>IF(ISNUMBER(G110), $B118 * H110, "")</f>
        <v>1789.9761336515514</v>
      </c>
      <c r="J110" s="15">
        <v>863</v>
      </c>
      <c r="K110" s="32">
        <f t="shared" si="56"/>
        <v>2.9832935560859187E-2</v>
      </c>
      <c r="L110" s="18">
        <f>IF(ISNUMBER(J110), $B118 * K110, "")</f>
        <v>2983.2935560859187</v>
      </c>
      <c r="M110" s="31">
        <v>862</v>
      </c>
      <c r="N110" s="32">
        <f t="shared" si="57"/>
        <v>2.8639618138424822E-2</v>
      </c>
      <c r="O110" s="18">
        <f>IF(ISNUMBER(M110), $B118 * N110, "")</f>
        <v>2863.9618138424821</v>
      </c>
      <c r="Q110" s="238"/>
      <c r="R110" s="238"/>
      <c r="S110" s="238"/>
    </row>
    <row r="111" spans="1:19" ht="17.25" thickBot="1">
      <c r="A111" s="125" t="s">
        <v>90</v>
      </c>
      <c r="B111" s="126">
        <v>905</v>
      </c>
      <c r="C111" s="77">
        <v>1.1061947E-3</v>
      </c>
      <c r="D111" s="15">
        <v>918</v>
      </c>
      <c r="E111" s="32">
        <f t="shared" si="54"/>
        <v>1.4364640883977901E-2</v>
      </c>
      <c r="F111" s="18">
        <f>IF(ISNUMBER(D111), $B118 * E111, "")</f>
        <v>1436.4640883977902</v>
      </c>
      <c r="G111" s="31">
        <v>932</v>
      </c>
      <c r="H111" s="32">
        <f t="shared" si="55"/>
        <v>2.9834254143646408E-2</v>
      </c>
      <c r="I111" s="101">
        <f>IF(ISNUMBER(G111), $B118 * H111, "")</f>
        <v>2983.4254143646408</v>
      </c>
      <c r="J111" s="15">
        <v>939</v>
      </c>
      <c r="K111" s="32">
        <f t="shared" si="56"/>
        <v>3.7569060773480663E-2</v>
      </c>
      <c r="L111" s="18">
        <f>IF(ISNUMBER(J111), $B118 * K111, "")</f>
        <v>3756.9060773480664</v>
      </c>
      <c r="M111" s="31">
        <v>935</v>
      </c>
      <c r="N111" s="32">
        <f t="shared" si="57"/>
        <v>3.3149171270718231E-2</v>
      </c>
      <c r="O111" s="18">
        <f>IF(ISNUMBER(M111), $B118 * N111, "")</f>
        <v>3314.917127071823</v>
      </c>
      <c r="Q111" s="248"/>
      <c r="R111" s="248"/>
      <c r="S111" s="248"/>
    </row>
    <row r="112" spans="1:19" ht="17.25" thickBot="1">
      <c r="A112" s="127" t="s">
        <v>132</v>
      </c>
      <c r="B112" s="128">
        <v>101</v>
      </c>
      <c r="C112" s="78">
        <v>0</v>
      </c>
      <c r="D112" s="20">
        <v>104</v>
      </c>
      <c r="E112" s="21">
        <f t="shared" si="54"/>
        <v>2.9702970297029702E-2</v>
      </c>
      <c r="F112" s="22">
        <f>IF(ISNUMBER(D112), $B118 * E112, "")</f>
        <v>2970.2970297029701</v>
      </c>
      <c r="G112" s="30">
        <v>105</v>
      </c>
      <c r="H112" s="21">
        <f t="shared" si="55"/>
        <v>3.9603960396039604E-2</v>
      </c>
      <c r="I112" s="105">
        <f>IF(ISNUMBER(G112), $B118 * H112, "")</f>
        <v>3960.3960396039606</v>
      </c>
      <c r="J112" s="20">
        <v>105</v>
      </c>
      <c r="K112" s="21">
        <f t="shared" si="56"/>
        <v>3.9603960396039604E-2</v>
      </c>
      <c r="L112" s="22">
        <f>IF(ISNUMBER(J112), $B118 * K112, "")</f>
        <v>3960.3960396039606</v>
      </c>
      <c r="M112" s="30">
        <v>105</v>
      </c>
      <c r="N112" s="21">
        <f t="shared" si="57"/>
        <v>3.9603960396039604E-2</v>
      </c>
      <c r="O112" s="22">
        <f>IF(ISNUMBER(M112), $B118 * N112, "")</f>
        <v>3960.3960396039606</v>
      </c>
      <c r="Q112" s="248"/>
      <c r="R112" s="248"/>
      <c r="S112" s="248"/>
    </row>
    <row r="113" spans="1:19" ht="17.25" thickBot="1">
      <c r="A113" s="125" t="s">
        <v>92</v>
      </c>
      <c r="B113" s="129">
        <v>64950</v>
      </c>
      <c r="C113" s="80">
        <v>-4.6168050000000002E-4</v>
      </c>
      <c r="D113" s="106">
        <v>65410</v>
      </c>
      <c r="E113" s="107">
        <f>IF(ISNUMBER(D113), (D113 - $B113) / $B113, "")</f>
        <v>7.0823710546574284E-3</v>
      </c>
      <c r="F113" s="108">
        <f>IF(ISNUMBER(D113), $B118 * E113, "")</f>
        <v>708.23710546574284</v>
      </c>
      <c r="G113" s="109">
        <v>66250</v>
      </c>
      <c r="H113" s="107">
        <f>IF(ISNUMBER(G113), (G113 - $B113) / $B113, "")</f>
        <v>2.0015396458814474E-2</v>
      </c>
      <c r="I113" s="110">
        <f>IF(ISNUMBER(G113), $B118 * H113, "")</f>
        <v>2001.5396458814473</v>
      </c>
      <c r="J113" s="106">
        <v>66440</v>
      </c>
      <c r="K113" s="107">
        <f>IF(ISNUMBER(J113), (J113 - $B113) / $B113, "")</f>
        <v>2.2940723633564281E-2</v>
      </c>
      <c r="L113" s="108">
        <f>IF(ISNUMBER(J113), $B118 * K113, "")</f>
        <v>2294.072363356428</v>
      </c>
      <c r="M113" s="109">
        <v>67680</v>
      </c>
      <c r="N113" s="107">
        <f>IF(ISNUMBER(M113), (M113 - $B113) / $B113, "")</f>
        <v>4.203233256351039E-2</v>
      </c>
      <c r="O113" s="108">
        <f>IF(ISNUMBER(M113), $B118 * N113, "")</f>
        <v>4203.233256351039</v>
      </c>
      <c r="Q113" s="238"/>
      <c r="R113" s="238"/>
      <c r="S113" s="238"/>
    </row>
    <row r="114" spans="1:19" ht="17.25" thickBot="1">
      <c r="A114" s="125" t="s">
        <v>100</v>
      </c>
      <c r="B114" s="126">
        <v>66160</v>
      </c>
      <c r="C114" s="77">
        <v>-2.4125451999999999E-3</v>
      </c>
      <c r="D114" s="15">
        <v>66460</v>
      </c>
      <c r="E114" s="32">
        <f t="shared" ref="E114:E117" si="58">IF(ISNUMBER(D114), (D114 - $B114) / $B114, "")</f>
        <v>4.534461910519952E-3</v>
      </c>
      <c r="F114" s="18">
        <f>IF(ISNUMBER(D114), $B118 * E114, "")</f>
        <v>453.44619105199519</v>
      </c>
      <c r="G114" s="31">
        <v>68110</v>
      </c>
      <c r="H114" s="32">
        <f t="shared" ref="H114:H117" si="59">IF(ISNUMBER(G114), (G114 - $B114) / $B114, "")</f>
        <v>2.9474002418379684E-2</v>
      </c>
      <c r="I114" s="101">
        <f>IF(ISNUMBER(G114), $B118 * H114, "")</f>
        <v>2947.4002418379682</v>
      </c>
      <c r="J114" s="15">
        <v>68790</v>
      </c>
      <c r="K114" s="32">
        <f t="shared" ref="K114:K117" si="60">IF(ISNUMBER(J114), (J114 - $B114) / $B114, "")</f>
        <v>3.9752116082224911E-2</v>
      </c>
      <c r="L114" s="18">
        <f>IF(ISNUMBER(J114), $B118 * K114, "")</f>
        <v>3975.2116082224911</v>
      </c>
      <c r="M114" s="31">
        <v>67790</v>
      </c>
      <c r="N114" s="32">
        <f t="shared" ref="N114:N117" si="61">IF(ISNUMBER(M114), (M114 - $B114) / $B114, "")</f>
        <v>2.4637243047158405E-2</v>
      </c>
      <c r="O114" s="18">
        <f>IF(ISNUMBER(M114), $B118 * N114, "")</f>
        <v>2463.7243047158404</v>
      </c>
      <c r="Q114" s="238"/>
      <c r="R114" s="238"/>
      <c r="S114" s="238"/>
    </row>
    <row r="115" spans="1:19" ht="17.25" thickBot="1">
      <c r="A115" s="125" t="s">
        <v>57</v>
      </c>
      <c r="B115" s="126">
        <v>202</v>
      </c>
      <c r="C115" s="77">
        <v>-4.9261084000000004E-3</v>
      </c>
      <c r="D115" s="15">
        <v>203</v>
      </c>
      <c r="E115" s="32">
        <f t="shared" si="58"/>
        <v>4.9504950495049506E-3</v>
      </c>
      <c r="F115" s="18">
        <f>IF(ISNUMBER(D115), $B118 * E115, "")</f>
        <v>495.04950495049508</v>
      </c>
      <c r="G115" s="31">
        <v>206</v>
      </c>
      <c r="H115" s="32">
        <f t="shared" si="59"/>
        <v>1.9801980198019802E-2</v>
      </c>
      <c r="I115" s="101">
        <f>IF(ISNUMBER(G115), $B118 * H115, "")</f>
        <v>1980.1980198019803</v>
      </c>
      <c r="J115" s="15">
        <v>209</v>
      </c>
      <c r="K115" s="32">
        <f t="shared" si="60"/>
        <v>3.4653465346534656E-2</v>
      </c>
      <c r="L115" s="18">
        <f>IF(ISNUMBER(J115), $B118 * K115, "")</f>
        <v>3465.3465346534658</v>
      </c>
      <c r="M115" s="31">
        <v>208</v>
      </c>
      <c r="N115" s="32">
        <f t="shared" si="61"/>
        <v>2.9702970297029702E-2</v>
      </c>
      <c r="O115" s="18">
        <f>IF(ISNUMBER(M115), $B118 * N115, "")</f>
        <v>2970.2970297029701</v>
      </c>
      <c r="Q115" s="238"/>
      <c r="R115" s="238"/>
      <c r="S115" s="238"/>
    </row>
    <row r="116" spans="1:19">
      <c r="A116" s="125" t="s">
        <v>140</v>
      </c>
      <c r="B116" s="126">
        <v>5495</v>
      </c>
      <c r="C116" s="77">
        <v>-6.3291138999999998E-3</v>
      </c>
      <c r="D116" s="15">
        <v>5580</v>
      </c>
      <c r="E116" s="32">
        <f t="shared" si="58"/>
        <v>1.5468607825295723E-2</v>
      </c>
      <c r="F116" s="18">
        <f>IF(ISNUMBER(D116), $B118 * E116, "")</f>
        <v>1546.8607825295724</v>
      </c>
      <c r="G116" s="31">
        <v>5795</v>
      </c>
      <c r="H116" s="32">
        <f t="shared" si="59"/>
        <v>5.4595086442220199E-2</v>
      </c>
      <c r="I116" s="101">
        <f>IF(ISNUMBER(G116), $B118 * H116, "")</f>
        <v>5459.5086442220199</v>
      </c>
      <c r="J116" s="15">
        <v>5805</v>
      </c>
      <c r="K116" s="32">
        <f t="shared" si="60"/>
        <v>5.6414922656960874E-2</v>
      </c>
      <c r="L116" s="18">
        <f>IF(ISNUMBER(J116), $B118 * K116, "")</f>
        <v>5641.4922656960871</v>
      </c>
      <c r="M116" s="31">
        <v>5775</v>
      </c>
      <c r="N116" s="32">
        <f t="shared" si="61"/>
        <v>5.0955414012738856E-2</v>
      </c>
      <c r="O116" s="18">
        <f>IF(ISNUMBER(M116), $B118 * N116, "")</f>
        <v>5095.5414012738856</v>
      </c>
      <c r="Q116" s="227"/>
      <c r="R116" s="228"/>
      <c r="S116" s="229"/>
    </row>
    <row r="117" spans="1:19" ht="17.25" thickBot="1">
      <c r="A117" s="130" t="s">
        <v>266</v>
      </c>
      <c r="B117" s="131">
        <v>278</v>
      </c>
      <c r="C117" s="79">
        <v>-7.1428571000000003E-3</v>
      </c>
      <c r="D117" s="24">
        <v>279</v>
      </c>
      <c r="E117" s="25">
        <f t="shared" si="58"/>
        <v>3.5971223021582736E-3</v>
      </c>
      <c r="F117" s="104">
        <f>IF(ISNUMBER(D117), $B118 * E117, "")</f>
        <v>359.71223021582733</v>
      </c>
      <c r="G117" s="102">
        <v>290</v>
      </c>
      <c r="H117" s="25">
        <f t="shared" si="59"/>
        <v>4.3165467625899283E-2</v>
      </c>
      <c r="I117" s="103">
        <f>IF(ISNUMBER(G117), $B118 * H117, "")</f>
        <v>4316.5467625899282</v>
      </c>
      <c r="J117" s="24">
        <v>296</v>
      </c>
      <c r="K117" s="25">
        <f t="shared" si="60"/>
        <v>6.4748201438848921E-2</v>
      </c>
      <c r="L117" s="104">
        <f>IF(ISNUMBER(J117), $B118 * K117, "")</f>
        <v>6474.8201438848919</v>
      </c>
      <c r="M117" s="102">
        <v>290</v>
      </c>
      <c r="N117" s="25">
        <f t="shared" si="61"/>
        <v>4.3165467625899283E-2</v>
      </c>
      <c r="O117" s="104">
        <f>IF(ISNUMBER(M117), $B118 * N117, "")</f>
        <v>4316.5467625899282</v>
      </c>
      <c r="Q117" s="230"/>
      <c r="R117" s="231"/>
      <c r="S117" s="232"/>
    </row>
    <row r="118" spans="1:19" ht="17.25" thickBot="1">
      <c r="A118" s="132" t="s">
        <v>270</v>
      </c>
      <c r="B118" s="291">
        <f>$B$37</f>
        <v>100000</v>
      </c>
      <c r="C118" s="292"/>
      <c r="D118" s="26" t="s">
        <v>271</v>
      </c>
      <c r="E118" s="27">
        <f>IF(COUNT(E98:E117), SUM(E98:E117) / COUNT(E98:E117), 0)</f>
        <v>8.0877769068565218E-3</v>
      </c>
      <c r="F118" s="28">
        <f>SUM(F98:F117)</f>
        <v>16175.553813713044</v>
      </c>
      <c r="G118" s="26" t="s">
        <v>271</v>
      </c>
      <c r="H118" s="27">
        <f>IF(COUNT(H98:H117), SUM(H98:H117) / COUNT(H98:H117), 0)</f>
        <v>2.7754651609047897E-2</v>
      </c>
      <c r="I118" s="28">
        <f>SUM(I98:I117)</f>
        <v>55509.303218095803</v>
      </c>
      <c r="J118" s="26" t="s">
        <v>271</v>
      </c>
      <c r="K118" s="27">
        <f>IF(COUNT(K98:K117), SUM(K98:K117) / COUNT(K98:K117), 0)</f>
        <v>3.219067002304081E-2</v>
      </c>
      <c r="L118" s="28">
        <f>SUM(L98:L117)</f>
        <v>64381.340046081605</v>
      </c>
      <c r="M118" s="26" t="s">
        <v>271</v>
      </c>
      <c r="N118" s="27">
        <f>IF(COUNT(N98:N117), SUM(N98:N117) / COUNT(N98:N117), 0)</f>
        <v>3.56936303579935E-2</v>
      </c>
      <c r="O118" s="28">
        <f>SUM(O98:O117)</f>
        <v>71387.260715987009</v>
      </c>
      <c r="Q118" s="233"/>
      <c r="R118" s="234"/>
      <c r="S118" s="23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48"/>
      <c r="R121" s="248"/>
      <c r="S121" s="248"/>
    </row>
    <row r="122" spans="1:19" ht="17.25" thickBot="1">
      <c r="A122" s="189" t="s">
        <v>267</v>
      </c>
      <c r="B122" s="249" t="s">
        <v>49</v>
      </c>
      <c r="C122" s="251"/>
      <c r="D122" s="249" t="s">
        <v>58</v>
      </c>
      <c r="E122" s="250"/>
      <c r="F122" s="251"/>
      <c r="G122" s="252">
        <f>_xlfn.IFNA(VLOOKUP(B122, 현재가테이블!$B$2:$D$200, 2, FALSE), "-")</f>
        <v>54440000</v>
      </c>
      <c r="H122" s="253"/>
      <c r="I122" s="254"/>
      <c r="J122" s="249" t="s">
        <v>59</v>
      </c>
      <c r="K122" s="250"/>
      <c r="L122" s="251"/>
      <c r="M122" s="255">
        <f>_xlfn.IFNA(VLOOKUP(B122, 현재가테이블!$B$2:$D$200, 3, FALSE), "-")</f>
        <v>1.07123628E-2</v>
      </c>
      <c r="N122" s="256"/>
      <c r="O122" s="257"/>
      <c r="Q122" s="248"/>
      <c r="R122" s="248"/>
      <c r="S122" s="248"/>
    </row>
    <row r="123" spans="1:19" ht="17.25" thickBot="1">
      <c r="A123" s="293" t="s">
        <v>55</v>
      </c>
      <c r="B123" s="289" t="str">
        <f>TEXT($G$1, "[$-ko-KR]yyyy-mm-dd(ddd) ") &amp; "오전 00:00"</f>
        <v>2021-08-09(월) 오전 00:00</v>
      </c>
      <c r="C123" s="290"/>
      <c r="D123" s="262" t="str">
        <f>TEXT($G$1, "[$-ko-KR]yyyy-mm-dd(ddd) ") &amp; "오후 14:00"</f>
        <v>2021-08-09(월) 오후 14:00</v>
      </c>
      <c r="E123" s="263"/>
      <c r="F123" s="264"/>
      <c r="G123" s="262" t="str">
        <f>TEXT($G$1, "[$-ko-KR]yyyy-mm-dd(ddd) ") &amp; "오후 19:00"</f>
        <v>2021-08-09(월) 오후 19:00</v>
      </c>
      <c r="H123" s="263"/>
      <c r="I123" s="264"/>
      <c r="J123" s="262" t="str">
        <f>TEXT($G$1, "[$-ko-KR]yyyy-mm-dd(ddd) ") &amp; "오후 21:00"</f>
        <v>2021-08-09(월) 오후 21:00</v>
      </c>
      <c r="K123" s="263"/>
      <c r="L123" s="264"/>
      <c r="M123" s="262" t="str">
        <f>TEXT($G$1+1, "[$-ko-KR]yyyy-mm-dd(ddd) ") &amp; "오전 00:00"</f>
        <v>2021-08-10(화) 오전 00:00</v>
      </c>
      <c r="N123" s="263"/>
      <c r="O123" s="264"/>
      <c r="Q123" s="248"/>
      <c r="R123" s="248"/>
      <c r="S123" s="248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0" t="s">
        <v>58</v>
      </c>
      <c r="H124" s="191" t="s">
        <v>268</v>
      </c>
      <c r="I124" s="19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8"/>
      <c r="R124" s="238"/>
      <c r="S124" s="238"/>
    </row>
    <row r="125" spans="1:19" ht="17.25" thickBot="1">
      <c r="A125" s="123" t="s">
        <v>98</v>
      </c>
      <c r="B125" s="124">
        <v>4.34</v>
      </c>
      <c r="C125" s="76">
        <v>6.9605568E-3</v>
      </c>
      <c r="D125" s="13">
        <v>4.37</v>
      </c>
      <c r="E125" s="14">
        <f>IF(ISNUMBER(D125), (D125 - $B125) / $B125, "")</f>
        <v>6.9124423963134217E-3</v>
      </c>
      <c r="F125" s="16">
        <f>IF(ISNUMBER(D125), $B145 * E125, "")</f>
        <v>691.24423963134223</v>
      </c>
      <c r="G125" s="29">
        <v>4.41</v>
      </c>
      <c r="H125" s="14">
        <f>IF(ISNUMBER(G125), (G125 - $B125) / $B125, "")</f>
        <v>1.6129032258064582E-2</v>
      </c>
      <c r="I125" s="100">
        <f>IF(ISNUMBER(G125), $B145 * H125, "")</f>
        <v>1612.9032258064581</v>
      </c>
      <c r="J125" s="13">
        <v>4.45</v>
      </c>
      <c r="K125" s="14">
        <f>IF(ISNUMBER(J125), (J125 - $B125) / $B125, "")</f>
        <v>2.5345622119815742E-2</v>
      </c>
      <c r="L125" s="16">
        <f>IF(ISNUMBER(J125), $B145 * K125, "")</f>
        <v>2534.5622119815744</v>
      </c>
      <c r="M125" s="29">
        <v>4.41</v>
      </c>
      <c r="N125" s="14">
        <f>IF(ISNUMBER(M125), (M125 - $B125) / $B125, "")</f>
        <v>1.6129032258064582E-2</v>
      </c>
      <c r="O125" s="16">
        <f>IF(ISNUMBER(M125), $B145 * N125, "")</f>
        <v>1612.9032258064581</v>
      </c>
      <c r="Q125" s="248"/>
      <c r="R125" s="248"/>
      <c r="S125" s="248"/>
    </row>
    <row r="126" spans="1:19" ht="17.25" thickBot="1">
      <c r="A126" s="125" t="s">
        <v>208</v>
      </c>
      <c r="B126" s="126">
        <v>13.3</v>
      </c>
      <c r="C126" s="77">
        <v>-1.4814814799999999E-2</v>
      </c>
      <c r="D126" s="15">
        <v>13.3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13.5</v>
      </c>
      <c r="H126" s="32">
        <f t="shared" ref="H126:H129" si="63">IF(ISNUMBER(G126), (G126 - $B126) / $B126, "")</f>
        <v>1.5037593984962351E-2</v>
      </c>
      <c r="I126" s="101">
        <f>IF(ISNUMBER(G126), $B145 * H126, "")</f>
        <v>1503.7593984962352</v>
      </c>
      <c r="J126" s="15">
        <v>13.5</v>
      </c>
      <c r="K126" s="32">
        <f t="shared" ref="K126:K129" si="64">IF(ISNUMBER(J126), (J126 - $B126) / $B126, "")</f>
        <v>1.5037593984962351E-2</v>
      </c>
      <c r="L126" s="18">
        <f>IF(ISNUMBER(J126), $B145 * K126, "")</f>
        <v>1503.7593984962352</v>
      </c>
      <c r="M126" s="31">
        <v>13.6</v>
      </c>
      <c r="N126" s="32">
        <f t="shared" ref="N126:N129" si="65">IF(ISNUMBER(M126), (M126 - $B126) / $B126, "")</f>
        <v>2.2556390977443528E-2</v>
      </c>
      <c r="O126" s="18">
        <f>IF(ISNUMBER(M126), $B145 * N126, "")</f>
        <v>2255.639097744353</v>
      </c>
      <c r="Q126" s="248"/>
      <c r="R126" s="248"/>
      <c r="S126" s="248"/>
    </row>
    <row r="127" spans="1:19" ht="17.25" thickBot="1">
      <c r="A127" s="125" t="s">
        <v>152</v>
      </c>
      <c r="B127" s="126">
        <v>82.2</v>
      </c>
      <c r="C127" s="77">
        <v>-1.55688623E-2</v>
      </c>
      <c r="D127" s="15">
        <v>82.8</v>
      </c>
      <c r="E127" s="32">
        <f t="shared" si="62"/>
        <v>7.2992700729926311E-3</v>
      </c>
      <c r="F127" s="18">
        <f>IF(ISNUMBER(D127), $B145 * E127, "")</f>
        <v>729.9270072992631</v>
      </c>
      <c r="G127" s="31">
        <v>83.5</v>
      </c>
      <c r="H127" s="32">
        <f t="shared" si="63"/>
        <v>1.5815085158150815E-2</v>
      </c>
      <c r="I127" s="101">
        <f>IF(ISNUMBER(G127), $B145 * H127, "")</f>
        <v>1581.5085158150814</v>
      </c>
      <c r="J127" s="15">
        <v>84.6</v>
      </c>
      <c r="K127" s="32">
        <f t="shared" si="64"/>
        <v>2.9197080291970698E-2</v>
      </c>
      <c r="L127" s="18">
        <f>IF(ISNUMBER(J127), $B145 * K127, "")</f>
        <v>2919.7080291970697</v>
      </c>
      <c r="M127" s="31">
        <v>84.3</v>
      </c>
      <c r="N127" s="32">
        <f t="shared" si="65"/>
        <v>2.5547445255474383E-2</v>
      </c>
      <c r="O127" s="18">
        <f>IF(ISNUMBER(M127), $B145 * N127, "")</f>
        <v>2554.7445255474381</v>
      </c>
      <c r="Q127" s="238"/>
      <c r="R127" s="238"/>
      <c r="S127" s="238"/>
    </row>
    <row r="128" spans="1:19" ht="17.25" thickBot="1">
      <c r="A128" s="125" t="s">
        <v>238</v>
      </c>
      <c r="B128" s="126">
        <v>99.4</v>
      </c>
      <c r="C128" s="77">
        <v>-1.5841584200000002E-2</v>
      </c>
      <c r="D128" s="15">
        <v>101</v>
      </c>
      <c r="E128" s="32">
        <f t="shared" si="62"/>
        <v>1.6096579476861109E-2</v>
      </c>
      <c r="F128" s="18">
        <f>IF(ISNUMBER(D128), $B145 * E128, "")</f>
        <v>1609.6579476861109</v>
      </c>
      <c r="G128" s="31">
        <v>100</v>
      </c>
      <c r="H128" s="32">
        <f t="shared" si="63"/>
        <v>6.03621730382288E-3</v>
      </c>
      <c r="I128" s="101">
        <f>IF(ISNUMBER(G128), $B145 * H128, "")</f>
        <v>603.62173038228798</v>
      </c>
      <c r="J128" s="15">
        <v>102</v>
      </c>
      <c r="K128" s="32">
        <f t="shared" si="64"/>
        <v>2.6156941649899339E-2</v>
      </c>
      <c r="L128" s="18">
        <f>IF(ISNUMBER(J128), $B145 * K128, "")</f>
        <v>2615.6941649899341</v>
      </c>
      <c r="M128" s="31">
        <v>103</v>
      </c>
      <c r="N128" s="32">
        <f t="shared" si="65"/>
        <v>3.6217303822937565E-2</v>
      </c>
      <c r="O128" s="18">
        <f>IF(ISNUMBER(M128), $B145 * N128, "")</f>
        <v>3621.7303822937565</v>
      </c>
      <c r="Q128" s="238"/>
      <c r="R128" s="238"/>
      <c r="S128" s="238"/>
    </row>
    <row r="129" spans="1:19" ht="17.25" thickBot="1">
      <c r="A129" s="127" t="s">
        <v>130</v>
      </c>
      <c r="B129" s="128">
        <v>99.4</v>
      </c>
      <c r="C129" s="78">
        <v>-1.5841584200000002E-2</v>
      </c>
      <c r="D129" s="20">
        <v>100</v>
      </c>
      <c r="E129" s="21">
        <f t="shared" si="62"/>
        <v>6.03621730382288E-3</v>
      </c>
      <c r="F129" s="22">
        <f>IF(ISNUMBER(D129), $B145 * E129, "")</f>
        <v>603.62173038228798</v>
      </c>
      <c r="G129" s="30">
        <v>101</v>
      </c>
      <c r="H129" s="21">
        <f t="shared" si="63"/>
        <v>1.6096579476861109E-2</v>
      </c>
      <c r="I129" s="105">
        <f>IF(ISNUMBER(G129), $B145 * H129, "")</f>
        <v>1609.6579476861109</v>
      </c>
      <c r="J129" s="20">
        <v>101</v>
      </c>
      <c r="K129" s="21">
        <f t="shared" si="64"/>
        <v>1.6096579476861109E-2</v>
      </c>
      <c r="L129" s="22">
        <f>IF(ISNUMBER(J129), $B145 * K129, "")</f>
        <v>1609.6579476861109</v>
      </c>
      <c r="M129" s="30">
        <v>101</v>
      </c>
      <c r="N129" s="21">
        <f t="shared" si="65"/>
        <v>1.6096579476861109E-2</v>
      </c>
      <c r="O129" s="22">
        <f>IF(ISNUMBER(M129), $B145 * N129, "")</f>
        <v>1609.6579476861109</v>
      </c>
      <c r="Q129" s="238"/>
      <c r="R129" s="238"/>
      <c r="S129" s="238"/>
    </row>
    <row r="130" spans="1:19" ht="17.25" thickBot="1">
      <c r="A130" s="125" t="s">
        <v>150</v>
      </c>
      <c r="B130" s="129">
        <v>12.3</v>
      </c>
      <c r="C130" s="80">
        <v>-1.6E-2</v>
      </c>
      <c r="D130" s="106">
        <v>12.5</v>
      </c>
      <c r="E130" s="107">
        <f>IF(ISNUMBER(D130), (D130 - $B130) / $B130, "")</f>
        <v>1.6260162601625959E-2</v>
      </c>
      <c r="F130" s="108">
        <f>IF(ISNUMBER(D130), $B145 * E130, "")</f>
        <v>1626.0162601625959</v>
      </c>
      <c r="G130" s="109">
        <v>12.6</v>
      </c>
      <c r="H130" s="107">
        <f>IF(ISNUMBER(G130), (G130 - $B130) / $B130, "")</f>
        <v>2.4390243902438935E-2</v>
      </c>
      <c r="I130" s="110">
        <f>IF(ISNUMBER(G130), $B145 * H130, "")</f>
        <v>2439.0243902438933</v>
      </c>
      <c r="J130" s="106">
        <v>12.8</v>
      </c>
      <c r="K130" s="107">
        <f>IF(ISNUMBER(J130), (J130 - $B130) / $B130, "")</f>
        <v>4.065040650406504E-2</v>
      </c>
      <c r="L130" s="108">
        <f>IF(ISNUMBER(J130), $B145 * K130, "")</f>
        <v>4065.040650406504</v>
      </c>
      <c r="M130" s="109">
        <v>12.7</v>
      </c>
      <c r="N130" s="107">
        <f>IF(ISNUMBER(M130), (M130 - $B130) / $B130, "")</f>
        <v>3.2520325203251918E-2</v>
      </c>
      <c r="O130" s="108">
        <f>IF(ISNUMBER(M130), $B145 * N130, "")</f>
        <v>3252.0325203251919</v>
      </c>
      <c r="Q130" s="238"/>
      <c r="R130" s="238"/>
      <c r="S130" s="238"/>
    </row>
    <row r="131" spans="1:19" ht="17.25" thickBot="1">
      <c r="A131" s="125" t="s">
        <v>188</v>
      </c>
      <c r="B131" s="126">
        <v>11.8</v>
      </c>
      <c r="C131" s="77">
        <v>-1.6666666699999999E-2</v>
      </c>
      <c r="D131" s="15">
        <v>11.9</v>
      </c>
      <c r="E131" s="32">
        <f t="shared" ref="E131:E134" si="66">IF(ISNUMBER(D131), (D131 - $B131) / $B131, "")</f>
        <v>8.4745762711864094E-3</v>
      </c>
      <c r="F131" s="18">
        <f>IF(ISNUMBER(D131), $B145 * E131, "")</f>
        <v>847.45762711864097</v>
      </c>
      <c r="G131" s="31">
        <v>12.1</v>
      </c>
      <c r="H131" s="32">
        <f t="shared" ref="H131:H134" si="67">IF(ISNUMBER(G131), (G131 - $B131) / $B131, "")</f>
        <v>2.542372881355923E-2</v>
      </c>
      <c r="I131" s="101">
        <f>IF(ISNUMBER(G131), $B145 * H131, "")</f>
        <v>2542.3728813559228</v>
      </c>
      <c r="J131" s="15">
        <v>12.3</v>
      </c>
      <c r="K131" s="32">
        <f t="shared" ref="K131:K134" si="68">IF(ISNUMBER(J131), (J131 - $B131) / $B131, "")</f>
        <v>4.2372881355932202E-2</v>
      </c>
      <c r="L131" s="18">
        <f>IF(ISNUMBER(J131), $B145 * K131, "")</f>
        <v>4237.2881355932204</v>
      </c>
      <c r="M131" s="31">
        <v>12</v>
      </c>
      <c r="N131" s="32">
        <f t="shared" ref="N131:N134" si="69">IF(ISNUMBER(M131), (M131 - $B131) / $B131, "")</f>
        <v>1.6949152542372819E-2</v>
      </c>
      <c r="O131" s="18">
        <f>IF(ISNUMBER(M131), $B145 * N131, "")</f>
        <v>1694.9152542372819</v>
      </c>
      <c r="Q131" s="238"/>
      <c r="R131" s="238"/>
      <c r="S131" s="238"/>
    </row>
    <row r="132" spans="1:19" ht="17.25" thickBot="1">
      <c r="A132" s="125" t="s">
        <v>65</v>
      </c>
      <c r="B132" s="126">
        <v>30.4</v>
      </c>
      <c r="C132" s="77">
        <v>-2.5641025599999999E-2</v>
      </c>
      <c r="D132" s="15">
        <v>30.7</v>
      </c>
      <c r="E132" s="32">
        <f t="shared" si="66"/>
        <v>9.8684210526316027E-3</v>
      </c>
      <c r="F132" s="18">
        <f>IF(ISNUMBER(D132), $B145 * E132, "")</f>
        <v>986.84210526316031</v>
      </c>
      <c r="G132" s="31">
        <v>31.4</v>
      </c>
      <c r="H132" s="32">
        <f t="shared" si="67"/>
        <v>3.2894736842105261E-2</v>
      </c>
      <c r="I132" s="101">
        <f>IF(ISNUMBER(G132), $B145 * H132, "")</f>
        <v>3289.4736842105262</v>
      </c>
      <c r="J132" s="15">
        <v>31.7</v>
      </c>
      <c r="K132" s="32">
        <f t="shared" si="68"/>
        <v>4.2763157894736864E-2</v>
      </c>
      <c r="L132" s="18">
        <f>IF(ISNUMBER(J132), $B145 * K132, "")</f>
        <v>4276.315789473686</v>
      </c>
      <c r="M132" s="31">
        <v>31.6</v>
      </c>
      <c r="N132" s="32">
        <f t="shared" si="69"/>
        <v>3.9473684210526411E-2</v>
      </c>
      <c r="O132" s="18">
        <f>IF(ISNUMBER(M132), $B145 * N132, "")</f>
        <v>3947.3684210526412</v>
      </c>
      <c r="Q132" s="238"/>
      <c r="R132" s="238"/>
      <c r="S132" s="238"/>
    </row>
    <row r="133" spans="1:19" ht="17.25" thickBot="1">
      <c r="A133" s="125" t="s">
        <v>210</v>
      </c>
      <c r="B133" s="126">
        <v>11.3</v>
      </c>
      <c r="C133" s="77">
        <v>-2.5862069000000001E-2</v>
      </c>
      <c r="D133" s="15">
        <v>11.2</v>
      </c>
      <c r="E133" s="32">
        <f t="shared" si="66"/>
        <v>-8.8495575221240186E-3</v>
      </c>
      <c r="F133" s="18">
        <f>IF(ISNUMBER(D133), $B145 * E133, "")</f>
        <v>-884.95575221240188</v>
      </c>
      <c r="G133" s="31">
        <v>11.5</v>
      </c>
      <c r="H133" s="32">
        <f t="shared" si="67"/>
        <v>1.7699115044247725E-2</v>
      </c>
      <c r="I133" s="101">
        <f>IF(ISNUMBER(G133), $B145 * H133, "")</f>
        <v>1769.9115044247726</v>
      </c>
      <c r="J133" s="15">
        <v>11.5</v>
      </c>
      <c r="K133" s="32">
        <f t="shared" si="68"/>
        <v>1.7699115044247725E-2</v>
      </c>
      <c r="L133" s="18">
        <f>IF(ISNUMBER(J133), $B145 * K133, "")</f>
        <v>1769.9115044247726</v>
      </c>
      <c r="M133" s="31">
        <v>11.5</v>
      </c>
      <c r="N133" s="32">
        <f t="shared" si="69"/>
        <v>1.7699115044247725E-2</v>
      </c>
      <c r="O133" s="18">
        <f>IF(ISNUMBER(M133), $B145 * N133, "")</f>
        <v>1769.9115044247726</v>
      </c>
      <c r="Q133" s="33"/>
      <c r="R133" s="33"/>
    </row>
    <row r="134" spans="1:19" ht="17.25" thickBot="1">
      <c r="A134" s="130" t="s">
        <v>190</v>
      </c>
      <c r="B134" s="131">
        <v>16.7</v>
      </c>
      <c r="C134" s="79">
        <v>-2.9069767400000002E-2</v>
      </c>
      <c r="D134" s="24">
        <v>16.7</v>
      </c>
      <c r="E134" s="25">
        <f t="shared" si="66"/>
        <v>0</v>
      </c>
      <c r="F134" s="104">
        <f>IF(ISNUMBER(D134), $B145 * E134, "")</f>
        <v>0</v>
      </c>
      <c r="G134" s="102">
        <v>17.2</v>
      </c>
      <c r="H134" s="25">
        <f t="shared" si="67"/>
        <v>2.9940119760479042E-2</v>
      </c>
      <c r="I134" s="103">
        <f>IF(ISNUMBER(G134), $B145 * H134, "")</f>
        <v>2994.0119760479042</v>
      </c>
      <c r="J134" s="24">
        <v>17.3</v>
      </c>
      <c r="K134" s="25">
        <f t="shared" si="68"/>
        <v>3.5928143712574939E-2</v>
      </c>
      <c r="L134" s="104">
        <f>IF(ISNUMBER(J134), $B145 * K134, "")</f>
        <v>3592.8143712574938</v>
      </c>
      <c r="M134" s="102">
        <v>17.100000000000001</v>
      </c>
      <c r="N134" s="25">
        <f t="shared" si="69"/>
        <v>2.3952095808383363E-2</v>
      </c>
      <c r="O134" s="104">
        <f>IF(ISNUMBER(M134), $B145 * N134, "")</f>
        <v>2395.2095808383365</v>
      </c>
      <c r="Q134" s="239"/>
      <c r="R134" s="240"/>
      <c r="S134" s="241"/>
    </row>
    <row r="135" spans="1:19">
      <c r="A135" s="123" t="s">
        <v>72</v>
      </c>
      <c r="B135" s="124">
        <v>21.6</v>
      </c>
      <c r="C135" s="76">
        <v>-3.13901345E-2</v>
      </c>
      <c r="D135" s="13">
        <v>21.7</v>
      </c>
      <c r="E135" s="14">
        <f>IF(ISNUMBER(D135), (D135 - $B135) / $B135, "")</f>
        <v>4.6296296296295305E-3</v>
      </c>
      <c r="F135" s="16">
        <f>IF(ISNUMBER(D135), $B145 * E135, "")</f>
        <v>462.96296296295304</v>
      </c>
      <c r="G135" s="29">
        <v>22.2</v>
      </c>
      <c r="H135" s="14">
        <f>IF(ISNUMBER(G135), (G135 - $B135) / $B135, "")</f>
        <v>2.7777777777777676E-2</v>
      </c>
      <c r="I135" s="100">
        <f>IF(ISNUMBER(G135), $B145 * H135, "")</f>
        <v>2777.7777777777674</v>
      </c>
      <c r="J135" s="13">
        <v>22.4</v>
      </c>
      <c r="K135" s="14">
        <f>IF(ISNUMBER(J135), (J135 - $B135) / $B135, "")</f>
        <v>3.7037037037036903E-2</v>
      </c>
      <c r="L135" s="16">
        <f>IF(ISNUMBER(J135), $B145 * K135, "")</f>
        <v>3703.7037037036903</v>
      </c>
      <c r="M135" s="29">
        <v>22.2</v>
      </c>
      <c r="N135" s="14">
        <f>IF(ISNUMBER(M135), (M135 - $B135) / $B135, "")</f>
        <v>2.7777777777777676E-2</v>
      </c>
      <c r="O135" s="16">
        <f>IF(ISNUMBER(M135), $B145 * N135, "")</f>
        <v>2777.7777777777674</v>
      </c>
      <c r="Q135" s="242"/>
      <c r="R135" s="243"/>
      <c r="S135" s="244"/>
    </row>
    <row r="136" spans="1:19" ht="17.25" thickBot="1">
      <c r="A136" s="125" t="s">
        <v>148</v>
      </c>
      <c r="B136" s="126">
        <v>18.5</v>
      </c>
      <c r="C136" s="77">
        <v>-3.1413612600000002E-2</v>
      </c>
      <c r="D136" s="15">
        <v>18.600000000000001</v>
      </c>
      <c r="E136" s="32">
        <f t="shared" ref="E136:E139" si="70">IF(ISNUMBER(D136), (D136 - $B136) / $B136, "")</f>
        <v>5.405405405405482E-3</v>
      </c>
      <c r="F136" s="18">
        <f>IF(ISNUMBER(D136), $B145 * E136, "")</f>
        <v>540.54054054054825</v>
      </c>
      <c r="G136" s="31">
        <v>19</v>
      </c>
      <c r="H136" s="32">
        <f t="shared" ref="H136:H139" si="71">IF(ISNUMBER(G136), (G136 - $B136) / $B136, "")</f>
        <v>2.7027027027027029E-2</v>
      </c>
      <c r="I136" s="101">
        <f>IF(ISNUMBER(G136), $B145 * H136, "")</f>
        <v>2702.7027027027029</v>
      </c>
      <c r="J136" s="15">
        <v>19.5</v>
      </c>
      <c r="K136" s="32">
        <f t="shared" ref="K136:K139" si="72">IF(ISNUMBER(J136), (J136 - $B136) / $B136, "")</f>
        <v>5.4054054054054057E-2</v>
      </c>
      <c r="L136" s="18">
        <f>IF(ISNUMBER(J136), $B145 * K136, "")</f>
        <v>5405.4054054054059</v>
      </c>
      <c r="M136" s="31">
        <v>19.2</v>
      </c>
      <c r="N136" s="32">
        <f t="shared" ref="N136:N139" si="73">IF(ISNUMBER(M136), (M136 - $B136) / $B136, "")</f>
        <v>3.7837837837837798E-2</v>
      </c>
      <c r="O136" s="18">
        <f>IF(ISNUMBER(M136), $B145 * N136, "")</f>
        <v>3783.7837837837797</v>
      </c>
      <c r="Q136" s="245"/>
      <c r="R136" s="246"/>
      <c r="S136" s="247"/>
    </row>
    <row r="137" spans="1:19" ht="17.25" thickBot="1">
      <c r="A137" s="125" t="s">
        <v>162</v>
      </c>
      <c r="B137" s="126">
        <v>95.8</v>
      </c>
      <c r="C137" s="77">
        <v>-3.2323232299999997E-2</v>
      </c>
      <c r="D137" s="15">
        <v>97.2</v>
      </c>
      <c r="E137" s="32">
        <f t="shared" si="70"/>
        <v>1.4613778705636803E-2</v>
      </c>
      <c r="F137" s="18">
        <f>IF(ISNUMBER(D137), $B145 * E137, "")</f>
        <v>1461.3778705636803</v>
      </c>
      <c r="G137" s="31">
        <v>99.8</v>
      </c>
      <c r="H137" s="32">
        <f t="shared" si="71"/>
        <v>4.1753653444676408E-2</v>
      </c>
      <c r="I137" s="101">
        <f>IF(ISNUMBER(G137), $B145 * H137, "")</f>
        <v>4175.3653444676411</v>
      </c>
      <c r="J137" s="15">
        <v>101</v>
      </c>
      <c r="K137" s="32">
        <f t="shared" si="72"/>
        <v>5.4279749478079363E-2</v>
      </c>
      <c r="L137" s="18">
        <f>IF(ISNUMBER(J137), $B145 * K137, "")</f>
        <v>5427.9749478079366</v>
      </c>
      <c r="M137" s="31">
        <v>100</v>
      </c>
      <c r="N137" s="32">
        <f t="shared" si="73"/>
        <v>4.3841336116910261E-2</v>
      </c>
      <c r="O137" s="18">
        <f>IF(ISNUMBER(M137), $B145 * N137, "")</f>
        <v>4384.1336116910261</v>
      </c>
      <c r="Q137" s="238"/>
      <c r="R137" s="238"/>
      <c r="S137" s="238"/>
    </row>
    <row r="138" spans="1:19" ht="17.25" thickBot="1">
      <c r="A138" s="125" t="s">
        <v>250</v>
      </c>
      <c r="B138" s="126">
        <v>66.3</v>
      </c>
      <c r="C138" s="77">
        <v>-3.4934497799999999E-2</v>
      </c>
      <c r="D138" s="15">
        <v>66.8</v>
      </c>
      <c r="E138" s="32">
        <f t="shared" si="70"/>
        <v>7.5414781297134239E-3</v>
      </c>
      <c r="F138" s="18">
        <f>IF(ISNUMBER(D138), $B145 * E138, "")</f>
        <v>754.14781297134243</v>
      </c>
      <c r="G138" s="31">
        <v>67.599999999999994</v>
      </c>
      <c r="H138" s="32">
        <f t="shared" si="71"/>
        <v>1.960784313725486E-2</v>
      </c>
      <c r="I138" s="101">
        <f>IF(ISNUMBER(G138), $B145 * H138, "")</f>
        <v>1960.7843137254861</v>
      </c>
      <c r="J138" s="15">
        <v>68.400000000000006</v>
      </c>
      <c r="K138" s="32">
        <f t="shared" si="72"/>
        <v>3.167420814479651E-2</v>
      </c>
      <c r="L138" s="18">
        <f>IF(ISNUMBER(J138), $B145 * K138, "")</f>
        <v>3167.4208144796512</v>
      </c>
      <c r="M138" s="31">
        <v>68.2</v>
      </c>
      <c r="N138" s="32">
        <f t="shared" si="73"/>
        <v>2.8657616892911096E-2</v>
      </c>
      <c r="O138" s="18">
        <f>IF(ISNUMBER(M138), $B145 * N138, "")</f>
        <v>2865.7616892911096</v>
      </c>
      <c r="Q138" s="248"/>
      <c r="R138" s="248"/>
      <c r="S138" s="248"/>
    </row>
    <row r="139" spans="1:19" ht="17.25" thickBot="1">
      <c r="A139" s="127" t="s">
        <v>216</v>
      </c>
      <c r="B139" s="128">
        <v>10.199999999999999</v>
      </c>
      <c r="C139" s="78">
        <v>-3.7735849100000003E-2</v>
      </c>
      <c r="D139" s="20">
        <v>10.4</v>
      </c>
      <c r="E139" s="21">
        <f t="shared" si="70"/>
        <v>1.9607843137255009E-2</v>
      </c>
      <c r="F139" s="22">
        <f>IF(ISNUMBER(D139), $B145 * E139, "")</f>
        <v>1960.7843137255009</v>
      </c>
      <c r="G139" s="30">
        <v>10.5</v>
      </c>
      <c r="H139" s="21">
        <f t="shared" si="71"/>
        <v>2.9411764705882425E-2</v>
      </c>
      <c r="I139" s="105">
        <f>IF(ISNUMBER(G139), $B145 * H139, "")</f>
        <v>2941.1764705882424</v>
      </c>
      <c r="J139" s="20">
        <v>10.6</v>
      </c>
      <c r="K139" s="21">
        <f t="shared" si="72"/>
        <v>3.9215686274509838E-2</v>
      </c>
      <c r="L139" s="22">
        <f>IF(ISNUMBER(J139), $B145 * K139, "")</f>
        <v>3921.568627450984</v>
      </c>
      <c r="M139" s="30">
        <v>10.6</v>
      </c>
      <c r="N139" s="21">
        <f t="shared" si="73"/>
        <v>3.9215686274509838E-2</v>
      </c>
      <c r="O139" s="22">
        <f>IF(ISNUMBER(M139), $B145 * N139, "")</f>
        <v>3921.568627450984</v>
      </c>
      <c r="Q139" s="248"/>
      <c r="R139" s="248"/>
      <c r="S139" s="248"/>
    </row>
    <row r="140" spans="1:19" ht="17.25" thickBot="1">
      <c r="A140" s="125" t="s">
        <v>234</v>
      </c>
      <c r="B140" s="129">
        <v>67.099999999999994</v>
      </c>
      <c r="C140" s="80">
        <v>-3.8681948399999999E-2</v>
      </c>
      <c r="D140" s="106">
        <v>67.8</v>
      </c>
      <c r="E140" s="107">
        <f>IF(ISNUMBER(D140), (D140 - $B140) / $B140, "")</f>
        <v>1.0432190760059655E-2</v>
      </c>
      <c r="F140" s="108">
        <f>IF(ISNUMBER(D140), $B145 * E140, "")</f>
        <v>1043.2190760059655</v>
      </c>
      <c r="G140" s="109">
        <v>69.2</v>
      </c>
      <c r="H140" s="107">
        <f>IF(ISNUMBER(G140), (G140 - $B140) / $B140, "")</f>
        <v>3.1296572280178965E-2</v>
      </c>
      <c r="I140" s="110">
        <f>IF(ISNUMBER(G140), $B145 * H140, "")</f>
        <v>3129.6572280178966</v>
      </c>
      <c r="J140" s="106">
        <v>69.400000000000006</v>
      </c>
      <c r="K140" s="107">
        <f>IF(ISNUMBER(J140), (J140 - $B140) / $B140, "")</f>
        <v>3.4277198211624615E-2</v>
      </c>
      <c r="L140" s="108">
        <f>IF(ISNUMBER(J140), $B145 * K140, "")</f>
        <v>3427.7198211624614</v>
      </c>
      <c r="M140" s="109">
        <v>69.099999999999994</v>
      </c>
      <c r="N140" s="107">
        <f>IF(ISNUMBER(M140), (M140 - $B140) / $B140, "")</f>
        <v>2.9806259314456039E-2</v>
      </c>
      <c r="O140" s="108">
        <f>IF(ISNUMBER(M140), $B145 * N140, "")</f>
        <v>2980.6259314456038</v>
      </c>
      <c r="Q140" s="238"/>
      <c r="R140" s="238"/>
      <c r="S140" s="238"/>
    </row>
    <row r="141" spans="1:19" ht="17.25" thickBot="1">
      <c r="A141" s="125" t="s">
        <v>178</v>
      </c>
      <c r="B141" s="126">
        <v>15.8</v>
      </c>
      <c r="C141" s="77">
        <v>-4.2424242399999999E-2</v>
      </c>
      <c r="D141" s="15">
        <v>15.9</v>
      </c>
      <c r="E141" s="32">
        <f t="shared" ref="E141:E144" si="74">IF(ISNUMBER(D141), (D141 - $B141) / $B141, "")</f>
        <v>6.3291139240506103E-3</v>
      </c>
      <c r="F141" s="18">
        <f>IF(ISNUMBER(D141), $B145 * E141, "")</f>
        <v>632.91139240506106</v>
      </c>
      <c r="G141" s="31">
        <v>16.3</v>
      </c>
      <c r="H141" s="32">
        <f t="shared" ref="H141:H144" si="75">IF(ISNUMBER(G141), (G141 - $B141) / $B141, "")</f>
        <v>3.164556962025316E-2</v>
      </c>
      <c r="I141" s="101">
        <f>IF(ISNUMBER(G141), $B145 * H141, "")</f>
        <v>3164.5569620253159</v>
      </c>
      <c r="J141" s="15">
        <v>16.399999999999999</v>
      </c>
      <c r="K141" s="32">
        <f t="shared" ref="K141:K144" si="76">IF(ISNUMBER(J141), (J141 - $B141) / $B141, "")</f>
        <v>3.797468354430366E-2</v>
      </c>
      <c r="L141" s="18">
        <f>IF(ISNUMBER(J141), $B145 * K141, "")</f>
        <v>3797.4683544303662</v>
      </c>
      <c r="M141" s="31">
        <v>16.3</v>
      </c>
      <c r="N141" s="32">
        <f t="shared" ref="N141:N144" si="77">IF(ISNUMBER(M141), (M141 - $B141) / $B141, "")</f>
        <v>3.164556962025316E-2</v>
      </c>
      <c r="O141" s="18">
        <f>IF(ISNUMBER(M141), $B145 * N141, "")</f>
        <v>3164.5569620253159</v>
      </c>
      <c r="Q141" s="238"/>
      <c r="R141" s="238"/>
      <c r="S141" s="238"/>
    </row>
    <row r="142" spans="1:19" ht="17.25" thickBot="1">
      <c r="A142" s="125" t="s">
        <v>122</v>
      </c>
      <c r="B142" s="126">
        <v>28.2</v>
      </c>
      <c r="C142" s="77">
        <v>-4.7297297299999999E-2</v>
      </c>
      <c r="D142" s="15">
        <v>28.6</v>
      </c>
      <c r="E142" s="32">
        <f t="shared" si="74"/>
        <v>1.4184397163120643E-2</v>
      </c>
      <c r="F142" s="18">
        <f>IF(ISNUMBER(D142), $B145 * E142, "")</f>
        <v>1418.4397163120643</v>
      </c>
      <c r="G142" s="31">
        <v>29.2</v>
      </c>
      <c r="H142" s="32">
        <f t="shared" si="75"/>
        <v>3.5460992907801421E-2</v>
      </c>
      <c r="I142" s="101">
        <f>IF(ISNUMBER(G142), $B145 * H142, "")</f>
        <v>3546.0992907801419</v>
      </c>
      <c r="J142" s="15">
        <v>29.7</v>
      </c>
      <c r="K142" s="32">
        <f t="shared" si="76"/>
        <v>5.3191489361702128E-2</v>
      </c>
      <c r="L142" s="18">
        <f>IF(ISNUMBER(J142), $B145 * K142, "")</f>
        <v>5319.1489361702124</v>
      </c>
      <c r="M142" s="31">
        <v>29.3</v>
      </c>
      <c r="N142" s="32">
        <f t="shared" si="77"/>
        <v>3.900709219858161E-2</v>
      </c>
      <c r="O142" s="18">
        <f>IF(ISNUMBER(M142), $B145 * N142, "")</f>
        <v>3900.7092198581608</v>
      </c>
      <c r="Q142" s="238"/>
      <c r="R142" s="238"/>
      <c r="S142" s="238"/>
    </row>
    <row r="143" spans="1:19">
      <c r="A143" s="125" t="s">
        <v>202</v>
      </c>
      <c r="B143" s="126">
        <v>82.5</v>
      </c>
      <c r="C143" s="77">
        <v>-4.73441109E-2</v>
      </c>
      <c r="D143" s="15">
        <v>82.7</v>
      </c>
      <c r="E143" s="32">
        <f t="shared" si="74"/>
        <v>2.4242424242424585E-3</v>
      </c>
      <c r="F143" s="18">
        <f>IF(ISNUMBER(D143), $B145 * E143, "")</f>
        <v>242.42424242424585</v>
      </c>
      <c r="G143" s="31">
        <v>84.2</v>
      </c>
      <c r="H143" s="32">
        <f t="shared" si="75"/>
        <v>2.0606060606060642E-2</v>
      </c>
      <c r="I143" s="101">
        <f>IF(ISNUMBER(G143), $B145 * H143, "")</f>
        <v>2060.6060606060641</v>
      </c>
      <c r="J143" s="15">
        <v>84.9</v>
      </c>
      <c r="K143" s="32">
        <f t="shared" si="76"/>
        <v>2.909090909090916E-2</v>
      </c>
      <c r="L143" s="18">
        <f>IF(ISNUMBER(J143), $B145 * K143, "")</f>
        <v>2909.0909090909158</v>
      </c>
      <c r="M143" s="31">
        <v>85.6</v>
      </c>
      <c r="N143" s="32">
        <f t="shared" si="77"/>
        <v>3.7575757575757505E-2</v>
      </c>
      <c r="O143" s="18">
        <f>IF(ISNUMBER(M143), $B145 * N143, "")</f>
        <v>3757.5757575757507</v>
      </c>
      <c r="Q143" s="227"/>
      <c r="R143" s="228"/>
      <c r="S143" s="229"/>
    </row>
    <row r="144" spans="1:19" ht="17.25" thickBot="1">
      <c r="A144" s="130" t="s">
        <v>204</v>
      </c>
      <c r="B144" s="131">
        <v>13.4</v>
      </c>
      <c r="C144" s="79">
        <v>-4.9645390099999999E-2</v>
      </c>
      <c r="D144" s="24">
        <v>13.6</v>
      </c>
      <c r="E144" s="25">
        <f t="shared" si="74"/>
        <v>1.4925373134328304E-2</v>
      </c>
      <c r="F144" s="104">
        <f>IF(ISNUMBER(D144), $B145 * E144, "")</f>
        <v>1492.5373134328304</v>
      </c>
      <c r="G144" s="102">
        <v>13.8</v>
      </c>
      <c r="H144" s="25">
        <f t="shared" si="75"/>
        <v>2.9850746268656744E-2</v>
      </c>
      <c r="I144" s="103">
        <f>IF(ISNUMBER(G144), $B145 * H144, "")</f>
        <v>2985.0746268656744</v>
      </c>
      <c r="J144" s="24">
        <v>13.9</v>
      </c>
      <c r="K144" s="25">
        <f t="shared" si="76"/>
        <v>3.7313432835820892E-2</v>
      </c>
      <c r="L144" s="104">
        <f>IF(ISNUMBER(J144), $B145 * K144, "")</f>
        <v>3731.343283582089</v>
      </c>
      <c r="M144" s="102">
        <v>13.8</v>
      </c>
      <c r="N144" s="25">
        <f t="shared" si="77"/>
        <v>2.9850746268656744E-2</v>
      </c>
      <c r="O144" s="104">
        <f>IF(ISNUMBER(M144), $B145 * N144, "")</f>
        <v>2985.0746268656744</v>
      </c>
      <c r="Q144" s="230"/>
      <c r="R144" s="231"/>
      <c r="S144" s="232"/>
    </row>
    <row r="145" spans="1:19" ht="17.25" thickBot="1">
      <c r="A145" s="132" t="s">
        <v>270</v>
      </c>
      <c r="B145" s="291">
        <f>$B$37</f>
        <v>100000</v>
      </c>
      <c r="C145" s="292"/>
      <c r="D145" s="26" t="s">
        <v>271</v>
      </c>
      <c r="E145" s="27">
        <f>IF(COUNT(E125:E144), SUM(E125:E144) / COUNT(E125:E144), 0)</f>
        <v>8.1095782033375977E-3</v>
      </c>
      <c r="F145" s="28">
        <f>SUM(F125:F144)</f>
        <v>16219.156406675193</v>
      </c>
      <c r="G145" s="26" t="s">
        <v>271</v>
      </c>
      <c r="H145" s="27">
        <f>IF(COUNT(H125:H144), SUM(H125:H144) / COUNT(H125:H144), 0)</f>
        <v>2.4695023016013059E-2</v>
      </c>
      <c r="I145" s="28">
        <f>SUM(I125:I144)</f>
        <v>49390.046032026119</v>
      </c>
      <c r="J145" s="26" t="s">
        <v>271</v>
      </c>
      <c r="K145" s="27">
        <f>IF(COUNT(K125:K144), SUM(K125:K144) / COUNT(K125:K144), 0)</f>
        <v>3.496779850339516E-2</v>
      </c>
      <c r="L145" s="28">
        <f>SUM(L125:L144)</f>
        <v>69935.597006790311</v>
      </c>
      <c r="M145" s="26" t="s">
        <v>271</v>
      </c>
      <c r="N145" s="27">
        <f>IF(COUNT(N125:N144), SUM(N125:N144) / COUNT(N125:N144), 0)</f>
        <v>2.9617840223860749E-2</v>
      </c>
      <c r="O145" s="28">
        <f>SUM(O125:O144)</f>
        <v>59235.680447721512</v>
      </c>
      <c r="Q145" s="233"/>
      <c r="R145" s="234"/>
      <c r="S145" s="23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48"/>
      <c r="R148" s="248"/>
      <c r="S148" s="248"/>
    </row>
    <row r="149" spans="1:19" ht="17.25" thickBot="1">
      <c r="A149" s="189" t="s">
        <v>267</v>
      </c>
      <c r="B149" s="249" t="s">
        <v>49</v>
      </c>
      <c r="C149" s="251"/>
      <c r="D149" s="249" t="s">
        <v>58</v>
      </c>
      <c r="E149" s="250"/>
      <c r="F149" s="251"/>
      <c r="G149" s="252">
        <f>_xlfn.IFNA(VLOOKUP(B149, 현재가테이블!$B$2:$D$200, 2, FALSE), "-")</f>
        <v>54440000</v>
      </c>
      <c r="H149" s="253"/>
      <c r="I149" s="254"/>
      <c r="J149" s="249" t="s">
        <v>59</v>
      </c>
      <c r="K149" s="250"/>
      <c r="L149" s="251"/>
      <c r="M149" s="255">
        <f>_xlfn.IFNA(VLOOKUP(B149, 현재가테이블!$B$2:$D$200, 3, FALSE), "-")</f>
        <v>1.07123628E-2</v>
      </c>
      <c r="N149" s="256"/>
      <c r="O149" s="257"/>
      <c r="Q149" s="248"/>
      <c r="R149" s="248"/>
      <c r="S149" s="248"/>
    </row>
    <row r="150" spans="1:19" ht="17.25" thickBot="1">
      <c r="A150" s="293" t="s">
        <v>55</v>
      </c>
      <c r="B150" s="289" t="str">
        <f>TEXT($G$1, "[$-ko-KR]yyyy-mm-dd(ddd) ") &amp; "오전 00:00"</f>
        <v>2021-08-09(월) 오전 00:00</v>
      </c>
      <c r="C150" s="290"/>
      <c r="D150" s="262" t="str">
        <f>TEXT($G$1, "[$-ko-KR]yyyy-mm-dd(ddd) ") &amp; "오후 14:00"</f>
        <v>2021-08-09(월) 오후 14:00</v>
      </c>
      <c r="E150" s="263"/>
      <c r="F150" s="264"/>
      <c r="G150" s="262" t="str">
        <f>TEXT($G$1, "[$-ko-KR]yyyy-mm-dd(ddd) ") &amp; "오후 19:00"</f>
        <v>2021-08-09(월) 오후 19:00</v>
      </c>
      <c r="H150" s="263"/>
      <c r="I150" s="264"/>
      <c r="J150" s="262" t="str">
        <f>TEXT($G$1, "[$-ko-KR]yyyy-mm-dd(ddd) ") &amp; "오후 21:00"</f>
        <v>2021-08-09(월) 오후 21:00</v>
      </c>
      <c r="K150" s="263"/>
      <c r="L150" s="264"/>
      <c r="M150" s="262" t="str">
        <f>TEXT($G$1+1, "[$-ko-KR]yyyy-mm-dd(ddd) ") &amp; "오전 00:00"</f>
        <v>2021-08-10(화) 오전 00:00</v>
      </c>
      <c r="N150" s="263"/>
      <c r="O150" s="264"/>
      <c r="Q150" s="248"/>
      <c r="R150" s="248"/>
      <c r="S150" s="248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0" t="s">
        <v>58</v>
      </c>
      <c r="H151" s="191" t="s">
        <v>268</v>
      </c>
      <c r="I151" s="19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8"/>
      <c r="R151" s="238"/>
      <c r="S151" s="238"/>
    </row>
    <row r="152" spans="1:19" ht="17.25" thickBot="1">
      <c r="A152" s="123" t="s">
        <v>252</v>
      </c>
      <c r="B152" s="124">
        <v>939</v>
      </c>
      <c r="C152" s="76">
        <v>-2.0855057400000002E-2</v>
      </c>
      <c r="D152" s="13">
        <v>943</v>
      </c>
      <c r="E152" s="14">
        <f>IF(ISNUMBER(D152), (D152 - $B152) / $B152, "")</f>
        <v>4.2598509052183178E-3</v>
      </c>
      <c r="F152" s="16">
        <f>IF(ISNUMBER(D152), $B172 * E152, "")</f>
        <v>425.98509052183175</v>
      </c>
      <c r="G152" s="29">
        <v>977</v>
      </c>
      <c r="H152" s="14">
        <f>IF(ISNUMBER(G152), (G152 - $B152) / $B152, "")</f>
        <v>4.0468583599574018E-2</v>
      </c>
      <c r="I152" s="100">
        <f>IF(ISNUMBER(G152), $B172 * H152, "")</f>
        <v>4046.8583599574017</v>
      </c>
      <c r="J152" s="13">
        <v>976</v>
      </c>
      <c r="K152" s="14">
        <f>IF(ISNUMBER(J152), (J152 - $B152) / $B152, "")</f>
        <v>3.9403620873269436E-2</v>
      </c>
      <c r="L152" s="16">
        <f>IF(ISNUMBER(J152), $B172 * K152, "")</f>
        <v>3940.3620873269438</v>
      </c>
      <c r="M152" s="29">
        <v>981</v>
      </c>
      <c r="N152" s="14">
        <f>IF(ISNUMBER(M152), (M152 - $B152) / $B152, "")</f>
        <v>4.472843450479233E-2</v>
      </c>
      <c r="O152" s="16">
        <f>IF(ISNUMBER(M152), $B172 * N152, "")</f>
        <v>4472.8434504792331</v>
      </c>
      <c r="Q152" s="248"/>
      <c r="R152" s="248"/>
      <c r="S152" s="248"/>
    </row>
    <row r="153" spans="1:19" ht="17.25" thickBot="1">
      <c r="A153" s="125" t="s">
        <v>80</v>
      </c>
      <c r="B153" s="126">
        <v>764</v>
      </c>
      <c r="C153" s="77">
        <v>-2.4265644999999999E-2</v>
      </c>
      <c r="D153" s="15">
        <v>775</v>
      </c>
      <c r="E153" s="32">
        <f t="shared" ref="E153:E156" si="78">IF(ISNUMBER(D153), (D153 - $B153) / $B153, "")</f>
        <v>1.4397905759162303E-2</v>
      </c>
      <c r="F153" s="18">
        <f>IF(ISNUMBER(D153), $B172 * E153, "")</f>
        <v>1439.7905759162304</v>
      </c>
      <c r="G153" s="31">
        <v>793</v>
      </c>
      <c r="H153" s="32">
        <f t="shared" ref="H153:H156" si="79">IF(ISNUMBER(G153), (G153 - $B153) / $B153, "")</f>
        <v>3.7958115183246072E-2</v>
      </c>
      <c r="I153" s="101">
        <f>IF(ISNUMBER(G153), $B172 * H153, "")</f>
        <v>3795.8115183246073</v>
      </c>
      <c r="J153" s="15">
        <v>799</v>
      </c>
      <c r="K153" s="32">
        <f t="shared" ref="K153:K156" si="80">IF(ISNUMBER(J153), (J153 - $B153) / $B153, "")</f>
        <v>4.581151832460733E-2</v>
      </c>
      <c r="L153" s="18">
        <f>IF(ISNUMBER(J153), $B172 * K153, "")</f>
        <v>4581.1518324607332</v>
      </c>
      <c r="M153" s="31">
        <v>795</v>
      </c>
      <c r="N153" s="32">
        <f t="shared" ref="N153:N156" si="81">IF(ISNUMBER(M153), (M153 - $B153) / $B153, "")</f>
        <v>4.0575916230366493E-2</v>
      </c>
      <c r="O153" s="18">
        <f>IF(ISNUMBER(M153), $B172 * N153, "")</f>
        <v>4057.5916230366493</v>
      </c>
      <c r="Q153" s="248"/>
      <c r="R153" s="248"/>
      <c r="S153" s="248"/>
    </row>
    <row r="154" spans="1:19" ht="17.25" thickBot="1">
      <c r="A154" s="125" t="s">
        <v>118</v>
      </c>
      <c r="B154" s="126">
        <v>154</v>
      </c>
      <c r="C154" s="77">
        <v>-2.5316455700000001E-2</v>
      </c>
      <c r="D154" s="15">
        <v>155</v>
      </c>
      <c r="E154" s="32">
        <f t="shared" si="78"/>
        <v>6.4935064935064939E-3</v>
      </c>
      <c r="F154" s="18">
        <f>IF(ISNUMBER(D154), $B172 * E154, "")</f>
        <v>649.35064935064941</v>
      </c>
      <c r="G154" s="31">
        <v>158</v>
      </c>
      <c r="H154" s="32">
        <f t="shared" si="79"/>
        <v>2.5974025974025976E-2</v>
      </c>
      <c r="I154" s="101">
        <f>IF(ISNUMBER(G154), $B172 * H154, "")</f>
        <v>2597.4025974025976</v>
      </c>
      <c r="J154" s="15">
        <v>160</v>
      </c>
      <c r="K154" s="32">
        <f t="shared" si="80"/>
        <v>3.896103896103896E-2</v>
      </c>
      <c r="L154" s="18">
        <f>IF(ISNUMBER(J154), $B172 * K154, "")</f>
        <v>3896.1038961038962</v>
      </c>
      <c r="M154" s="31">
        <v>159</v>
      </c>
      <c r="N154" s="32">
        <f t="shared" si="81"/>
        <v>3.2467532467532464E-2</v>
      </c>
      <c r="O154" s="18">
        <f>IF(ISNUMBER(M154), $B172 * N154, "")</f>
        <v>3246.7532467532465</v>
      </c>
      <c r="Q154" s="238"/>
      <c r="R154" s="238"/>
      <c r="S154" s="238"/>
    </row>
    <row r="155" spans="1:19" ht="17.25" thickBot="1">
      <c r="A155" s="125" t="s">
        <v>242</v>
      </c>
      <c r="B155" s="126">
        <v>464</v>
      </c>
      <c r="C155" s="77">
        <v>-3.1315240100000002E-2</v>
      </c>
      <c r="D155" s="15">
        <v>466</v>
      </c>
      <c r="E155" s="32">
        <f t="shared" si="78"/>
        <v>4.3103448275862068E-3</v>
      </c>
      <c r="F155" s="18">
        <f>IF(ISNUMBER(D155), $B172 * E155, "")</f>
        <v>431.0344827586207</v>
      </c>
      <c r="G155" s="31">
        <v>476</v>
      </c>
      <c r="H155" s="32">
        <f t="shared" si="79"/>
        <v>2.5862068965517241E-2</v>
      </c>
      <c r="I155" s="101">
        <f>IF(ISNUMBER(G155), $B172 * H155, "")</f>
        <v>2586.2068965517242</v>
      </c>
      <c r="J155" s="15">
        <v>483</v>
      </c>
      <c r="K155" s="32">
        <f t="shared" si="80"/>
        <v>4.0948275862068964E-2</v>
      </c>
      <c r="L155" s="18">
        <f>IF(ISNUMBER(J155), $B172 * K155, "")</f>
        <v>4094.8275862068963</v>
      </c>
      <c r="M155" s="31">
        <v>480</v>
      </c>
      <c r="N155" s="32">
        <f t="shared" si="81"/>
        <v>3.4482758620689655E-2</v>
      </c>
      <c r="O155" s="18">
        <f>IF(ISNUMBER(M155), $B172 * N155, "")</f>
        <v>3448.2758620689656</v>
      </c>
      <c r="Q155" s="238"/>
      <c r="R155" s="238"/>
      <c r="S155" s="238"/>
    </row>
    <row r="156" spans="1:19" ht="17.25" thickBot="1">
      <c r="A156" s="127" t="s">
        <v>254</v>
      </c>
      <c r="B156" s="128">
        <v>280</v>
      </c>
      <c r="C156" s="78">
        <v>-3.4482758600000003E-2</v>
      </c>
      <c r="D156" s="20">
        <v>280</v>
      </c>
      <c r="E156" s="21">
        <f t="shared" si="78"/>
        <v>0</v>
      </c>
      <c r="F156" s="22">
        <f>IF(ISNUMBER(D156), $B172 * E156, "")</f>
        <v>0</v>
      </c>
      <c r="G156" s="30">
        <v>289</v>
      </c>
      <c r="H156" s="21">
        <f t="shared" si="79"/>
        <v>3.214285714285714E-2</v>
      </c>
      <c r="I156" s="105">
        <f>IF(ISNUMBER(G156), $B172 * H156, "")</f>
        <v>3214.2857142857138</v>
      </c>
      <c r="J156" s="20">
        <v>295</v>
      </c>
      <c r="K156" s="21">
        <f t="shared" si="80"/>
        <v>5.3571428571428568E-2</v>
      </c>
      <c r="L156" s="22">
        <f>IF(ISNUMBER(J156), $B172 * K156, "")</f>
        <v>5357.1428571428569</v>
      </c>
      <c r="M156" s="30">
        <v>289</v>
      </c>
      <c r="N156" s="21">
        <f t="shared" si="81"/>
        <v>3.214285714285714E-2</v>
      </c>
      <c r="O156" s="22">
        <f>IF(ISNUMBER(M156), $B172 * N156, "")</f>
        <v>3214.2857142857138</v>
      </c>
      <c r="Q156" s="238"/>
      <c r="R156" s="238"/>
      <c r="S156" s="238"/>
    </row>
    <row r="157" spans="1:19" ht="17.25" thickBot="1">
      <c r="A157" s="125" t="s">
        <v>236</v>
      </c>
      <c r="B157" s="129">
        <v>587</v>
      </c>
      <c r="C157" s="80">
        <v>-3.4539473699999997E-2</v>
      </c>
      <c r="D157" s="106">
        <v>590</v>
      </c>
      <c r="E157" s="107">
        <f>IF(ISNUMBER(D157), (D157 - $B157) / $B157, "")</f>
        <v>5.1107325383304937E-3</v>
      </c>
      <c r="F157" s="108">
        <f>IF(ISNUMBER(D157), $B172 * E157, "")</f>
        <v>511.07325383304936</v>
      </c>
      <c r="G157" s="109">
        <v>599</v>
      </c>
      <c r="H157" s="107">
        <f>IF(ISNUMBER(G157), (G157 - $B157) / $B157, "")</f>
        <v>2.0442930153321975E-2</v>
      </c>
      <c r="I157" s="110">
        <f>IF(ISNUMBER(G157), $B172 * H157, "")</f>
        <v>2044.2930153321975</v>
      </c>
      <c r="J157" s="106">
        <v>605</v>
      </c>
      <c r="K157" s="107">
        <f>IF(ISNUMBER(J157), (J157 - $B157) / $B157, "")</f>
        <v>3.0664395229982964E-2</v>
      </c>
      <c r="L157" s="108">
        <f>IF(ISNUMBER(J157), $B172 * K157, "")</f>
        <v>3066.4395229982965</v>
      </c>
      <c r="M157" s="109">
        <v>603</v>
      </c>
      <c r="N157" s="107">
        <f>IF(ISNUMBER(M157), (M157 - $B157) / $B157, "")</f>
        <v>2.7257240204429302E-2</v>
      </c>
      <c r="O157" s="108">
        <f>IF(ISNUMBER(M157), $B172 * N157, "")</f>
        <v>2725.7240204429304</v>
      </c>
      <c r="Q157" s="238"/>
      <c r="R157" s="238"/>
      <c r="S157" s="238"/>
    </row>
    <row r="158" spans="1:19" ht="17.25" thickBot="1">
      <c r="A158" s="125" t="s">
        <v>174</v>
      </c>
      <c r="B158" s="126">
        <v>334</v>
      </c>
      <c r="C158" s="77">
        <v>-3.4682080900000002E-2</v>
      </c>
      <c r="D158" s="15">
        <v>337</v>
      </c>
      <c r="E158" s="32">
        <f t="shared" ref="E158:E161" si="82">IF(ISNUMBER(D158), (D158 - $B158) / $B158, "")</f>
        <v>8.9820359281437123E-3</v>
      </c>
      <c r="F158" s="18">
        <f>IF(ISNUMBER(D158), $B172 * E158, "")</f>
        <v>898.20359281437118</v>
      </c>
      <c r="G158" s="31">
        <v>341</v>
      </c>
      <c r="H158" s="32">
        <f t="shared" ref="H158:H161" si="83">IF(ISNUMBER(G158), (G158 - $B158) / $B158, "")</f>
        <v>2.0958083832335328E-2</v>
      </c>
      <c r="I158" s="101">
        <f>IF(ISNUMBER(G158), $B172 * H158, "")</f>
        <v>2095.8083832335328</v>
      </c>
      <c r="J158" s="15">
        <v>344</v>
      </c>
      <c r="K158" s="32">
        <f t="shared" ref="K158:K161" si="84">IF(ISNUMBER(J158), (J158 - $B158) / $B158, "")</f>
        <v>2.9940119760479042E-2</v>
      </c>
      <c r="L158" s="18">
        <f>IF(ISNUMBER(J158), $B172 * K158, "")</f>
        <v>2994.0119760479042</v>
      </c>
      <c r="M158" s="31">
        <v>342</v>
      </c>
      <c r="N158" s="32">
        <f t="shared" ref="N158:N161" si="85">IF(ISNUMBER(M158), (M158 - $B158) / $B158, "")</f>
        <v>2.3952095808383235E-2</v>
      </c>
      <c r="O158" s="18">
        <f>IF(ISNUMBER(M158), $B172 * N158, "")</f>
        <v>2395.2095808383233</v>
      </c>
      <c r="Q158" s="238"/>
      <c r="R158" s="238"/>
      <c r="S158" s="238"/>
    </row>
    <row r="159" spans="1:19" ht="17.25" thickBot="1">
      <c r="A159" s="125" t="s">
        <v>192</v>
      </c>
      <c r="B159" s="126">
        <v>222</v>
      </c>
      <c r="C159" s="77">
        <v>-3.4782608700000002E-2</v>
      </c>
      <c r="D159" s="15">
        <v>222</v>
      </c>
      <c r="E159" s="32">
        <f t="shared" si="82"/>
        <v>0</v>
      </c>
      <c r="F159" s="18">
        <f>IF(ISNUMBER(D159), $B172 * E159, "")</f>
        <v>0</v>
      </c>
      <c r="G159" s="31">
        <v>226</v>
      </c>
      <c r="H159" s="32">
        <f t="shared" si="83"/>
        <v>1.8018018018018018E-2</v>
      </c>
      <c r="I159" s="101">
        <f>IF(ISNUMBER(G159), $B172 * H159, "")</f>
        <v>1801.8018018018017</v>
      </c>
      <c r="J159" s="15">
        <v>229</v>
      </c>
      <c r="K159" s="32">
        <f t="shared" si="84"/>
        <v>3.1531531531531529E-2</v>
      </c>
      <c r="L159" s="18">
        <f>IF(ISNUMBER(J159), $B172 * K159, "")</f>
        <v>3153.1531531531527</v>
      </c>
      <c r="M159" s="31">
        <v>227</v>
      </c>
      <c r="N159" s="32">
        <f t="shared" si="85"/>
        <v>2.2522522522522521E-2</v>
      </c>
      <c r="O159" s="18">
        <f>IF(ISNUMBER(M159), $B172 * N159, "")</f>
        <v>2252.2522522522522</v>
      </c>
      <c r="Q159" s="238"/>
      <c r="R159" s="238"/>
      <c r="S159" s="238"/>
    </row>
    <row r="160" spans="1:19" ht="17.25" thickBot="1">
      <c r="A160" s="125" t="s">
        <v>164</v>
      </c>
      <c r="B160" s="126">
        <v>298</v>
      </c>
      <c r="C160" s="77">
        <v>-3.5598705500000001E-2</v>
      </c>
      <c r="D160" s="15">
        <v>300</v>
      </c>
      <c r="E160" s="32">
        <f t="shared" si="82"/>
        <v>6.7114093959731542E-3</v>
      </c>
      <c r="F160" s="18">
        <f>IF(ISNUMBER(D160), $B172 * E160, "")</f>
        <v>671.14093959731542</v>
      </c>
      <c r="G160" s="31">
        <v>304</v>
      </c>
      <c r="H160" s="32">
        <f t="shared" si="83"/>
        <v>2.0134228187919462E-2</v>
      </c>
      <c r="I160" s="101">
        <f>IF(ISNUMBER(G160), $B172 * H160, "")</f>
        <v>2013.4228187919462</v>
      </c>
      <c r="J160" s="15">
        <v>306</v>
      </c>
      <c r="K160" s="32">
        <f t="shared" si="84"/>
        <v>2.6845637583892617E-2</v>
      </c>
      <c r="L160" s="18">
        <f>IF(ISNUMBER(J160), $B172 * K160, "")</f>
        <v>2684.5637583892617</v>
      </c>
      <c r="M160" s="31">
        <v>308</v>
      </c>
      <c r="N160" s="32">
        <f t="shared" si="85"/>
        <v>3.3557046979865772E-2</v>
      </c>
      <c r="O160" s="18">
        <f>IF(ISNUMBER(M160), $B172 * N160, "")</f>
        <v>3355.7046979865772</v>
      </c>
      <c r="Q160" s="33"/>
      <c r="R160" s="33"/>
    </row>
    <row r="161" spans="1:19" ht="17.25" thickBot="1">
      <c r="A161" s="130" t="s">
        <v>124</v>
      </c>
      <c r="B161" s="131">
        <v>322</v>
      </c>
      <c r="C161" s="79">
        <v>-3.8805970100000003E-2</v>
      </c>
      <c r="D161" s="24">
        <v>323</v>
      </c>
      <c r="E161" s="25">
        <f t="shared" si="82"/>
        <v>3.105590062111801E-3</v>
      </c>
      <c r="F161" s="104">
        <f>IF(ISNUMBER(D161), $B172 * E161, "")</f>
        <v>310.55900621118008</v>
      </c>
      <c r="G161" s="102">
        <v>330</v>
      </c>
      <c r="H161" s="25">
        <f t="shared" si="83"/>
        <v>2.4844720496894408E-2</v>
      </c>
      <c r="I161" s="103">
        <f>IF(ISNUMBER(G161), $B172 * H161, "")</f>
        <v>2484.4720496894406</v>
      </c>
      <c r="J161" s="24">
        <v>334</v>
      </c>
      <c r="K161" s="25">
        <f t="shared" si="84"/>
        <v>3.7267080745341616E-2</v>
      </c>
      <c r="L161" s="104">
        <f>IF(ISNUMBER(J161), $B172 * K161, "")</f>
        <v>3726.7080745341614</v>
      </c>
      <c r="M161" s="102">
        <v>334</v>
      </c>
      <c r="N161" s="25">
        <f t="shared" si="85"/>
        <v>3.7267080745341616E-2</v>
      </c>
      <c r="O161" s="104">
        <f>IF(ISNUMBER(M161), $B172 * N161, "")</f>
        <v>3726.7080745341614</v>
      </c>
      <c r="Q161" s="239"/>
      <c r="R161" s="240"/>
      <c r="S161" s="241"/>
    </row>
    <row r="162" spans="1:19">
      <c r="A162" s="123" t="s">
        <v>220</v>
      </c>
      <c r="B162" s="124">
        <v>203</v>
      </c>
      <c r="C162" s="76">
        <v>-4.24528302E-2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208</v>
      </c>
      <c r="H162" s="14">
        <f>IF(ISNUMBER(G162), (G162 - $B162) / $B162, "")</f>
        <v>2.4630541871921183E-2</v>
      </c>
      <c r="I162" s="100">
        <f>IF(ISNUMBER(G162), $B172 * H162, "")</f>
        <v>2463.0541871921182</v>
      </c>
      <c r="J162" s="13">
        <v>209</v>
      </c>
      <c r="K162" s="14">
        <f>IF(ISNUMBER(J162), (J162 - $B162) / $B162, "")</f>
        <v>2.9556650246305417E-2</v>
      </c>
      <c r="L162" s="16">
        <f>IF(ISNUMBER(J162), $B172 * K162, "")</f>
        <v>2955.6650246305417</v>
      </c>
      <c r="M162" s="29">
        <v>209</v>
      </c>
      <c r="N162" s="14">
        <f>IF(ISNUMBER(M162), (M162 - $B162) / $B162, "")</f>
        <v>2.9556650246305417E-2</v>
      </c>
      <c r="O162" s="16">
        <f>IF(ISNUMBER(M162), $B172 * N162, "")</f>
        <v>2955.6650246305417</v>
      </c>
      <c r="Q162" s="242"/>
      <c r="R162" s="243"/>
      <c r="S162" s="244"/>
    </row>
    <row r="163" spans="1:19" ht="17.25" thickBot="1">
      <c r="A163" s="125" t="s">
        <v>206</v>
      </c>
      <c r="B163" s="126">
        <v>309</v>
      </c>
      <c r="C163" s="77">
        <v>-4.33436533E-2</v>
      </c>
      <c r="D163" s="15">
        <v>312</v>
      </c>
      <c r="E163" s="32">
        <f t="shared" ref="E163:E166" si="86">IF(ISNUMBER(D163), (D163 - $B163) / $B163, "")</f>
        <v>9.7087378640776691E-3</v>
      </c>
      <c r="F163" s="18">
        <f>IF(ISNUMBER(D163), $B172 * E163, "")</f>
        <v>970.87378640776694</v>
      </c>
      <c r="G163" s="31">
        <v>314</v>
      </c>
      <c r="H163" s="32">
        <f t="shared" ref="H163:H166" si="87">IF(ISNUMBER(G163), (G163 - $B163) / $B163, "")</f>
        <v>1.6181229773462782E-2</v>
      </c>
      <c r="I163" s="101">
        <f>IF(ISNUMBER(G163), $B172 * H163, "")</f>
        <v>1618.1229773462783</v>
      </c>
      <c r="J163" s="15">
        <v>316</v>
      </c>
      <c r="K163" s="32">
        <f t="shared" ref="K163:K166" si="88">IF(ISNUMBER(J163), (J163 - $B163) / $B163, "")</f>
        <v>2.2653721682847898E-2</v>
      </c>
      <c r="L163" s="18">
        <f>IF(ISNUMBER(J163), $B172 * K163, "")</f>
        <v>2265.37216828479</v>
      </c>
      <c r="M163" s="31">
        <v>317</v>
      </c>
      <c r="N163" s="32">
        <f t="shared" ref="N163:N166" si="89">IF(ISNUMBER(M163), (M163 - $B163) / $B163, "")</f>
        <v>2.5889967637540454E-2</v>
      </c>
      <c r="O163" s="18">
        <f>IF(ISNUMBER(M163), $B172 * N163, "")</f>
        <v>2588.9967637540453</v>
      </c>
      <c r="Q163" s="245"/>
      <c r="R163" s="246"/>
      <c r="S163" s="247"/>
    </row>
    <row r="164" spans="1:19" ht="17.25" thickBot="1">
      <c r="A164" s="125" t="s">
        <v>200</v>
      </c>
      <c r="B164" s="126">
        <v>132</v>
      </c>
      <c r="C164" s="77">
        <v>-4.3478260900000003E-2</v>
      </c>
      <c r="D164" s="15">
        <v>134</v>
      </c>
      <c r="E164" s="32">
        <f t="shared" si="86"/>
        <v>1.5151515151515152E-2</v>
      </c>
      <c r="F164" s="18">
        <f>IF(ISNUMBER(D164), $B172 * E164, "")</f>
        <v>1515.1515151515152</v>
      </c>
      <c r="G164" s="31">
        <v>135</v>
      </c>
      <c r="H164" s="32">
        <f t="shared" si="87"/>
        <v>2.2727272727272728E-2</v>
      </c>
      <c r="I164" s="101">
        <f>IF(ISNUMBER(G164), $B172 * H164, "")</f>
        <v>2272.727272727273</v>
      </c>
      <c r="J164" s="15">
        <v>137</v>
      </c>
      <c r="K164" s="32">
        <f t="shared" si="88"/>
        <v>3.787878787878788E-2</v>
      </c>
      <c r="L164" s="18">
        <f>IF(ISNUMBER(J164), $B172 * K164, "")</f>
        <v>3787.878787878788</v>
      </c>
      <c r="M164" s="31">
        <v>136</v>
      </c>
      <c r="N164" s="32">
        <f t="shared" si="89"/>
        <v>3.0303030303030304E-2</v>
      </c>
      <c r="O164" s="18">
        <f>IF(ISNUMBER(M164), $B172 * N164, "")</f>
        <v>3030.3030303030305</v>
      </c>
      <c r="Q164" s="238"/>
      <c r="R164" s="238"/>
      <c r="S164" s="238"/>
    </row>
    <row r="165" spans="1:19" ht="17.25" thickBot="1">
      <c r="A165" s="125" t="s">
        <v>230</v>
      </c>
      <c r="B165" s="126">
        <v>195</v>
      </c>
      <c r="C165" s="77">
        <v>-4.4117647099999997E-2</v>
      </c>
      <c r="D165" s="15">
        <v>198</v>
      </c>
      <c r="E165" s="32">
        <f t="shared" si="86"/>
        <v>1.5384615384615385E-2</v>
      </c>
      <c r="F165" s="18">
        <f>IF(ISNUMBER(D165), $B172 * E165, "")</f>
        <v>1538.4615384615386</v>
      </c>
      <c r="G165" s="31">
        <v>200</v>
      </c>
      <c r="H165" s="32">
        <f t="shared" si="87"/>
        <v>2.564102564102564E-2</v>
      </c>
      <c r="I165" s="101">
        <f>IF(ISNUMBER(G165), $B172 * H165, "")</f>
        <v>2564.102564102564</v>
      </c>
      <c r="J165" s="15">
        <v>201</v>
      </c>
      <c r="K165" s="32">
        <f t="shared" si="88"/>
        <v>3.0769230769230771E-2</v>
      </c>
      <c r="L165" s="18">
        <f>IF(ISNUMBER(J165), $B172 * K165, "")</f>
        <v>3076.9230769230771</v>
      </c>
      <c r="M165" s="31">
        <v>202</v>
      </c>
      <c r="N165" s="32">
        <f t="shared" si="89"/>
        <v>3.5897435897435895E-2</v>
      </c>
      <c r="O165" s="18">
        <f>IF(ISNUMBER(M165), $B172 * N165, "")</f>
        <v>3589.7435897435894</v>
      </c>
      <c r="Q165" s="248"/>
      <c r="R165" s="248"/>
      <c r="S165" s="248"/>
    </row>
    <row r="166" spans="1:19" ht="17.25" thickBot="1">
      <c r="A166" s="127" t="s">
        <v>194</v>
      </c>
      <c r="B166" s="128">
        <v>137</v>
      </c>
      <c r="C166" s="78">
        <v>-4.86111111E-2</v>
      </c>
      <c r="D166" s="20">
        <v>138</v>
      </c>
      <c r="E166" s="21">
        <f t="shared" si="86"/>
        <v>7.2992700729927005E-3</v>
      </c>
      <c r="F166" s="22">
        <f>IF(ISNUMBER(D166), $B172 * E166, "")</f>
        <v>729.92700729927003</v>
      </c>
      <c r="G166" s="30">
        <v>141</v>
      </c>
      <c r="H166" s="21">
        <f t="shared" si="87"/>
        <v>2.9197080291970802E-2</v>
      </c>
      <c r="I166" s="105">
        <f>IF(ISNUMBER(G166), $B172 * H166, "")</f>
        <v>2919.7080291970801</v>
      </c>
      <c r="J166" s="20">
        <v>142</v>
      </c>
      <c r="K166" s="21">
        <f t="shared" si="88"/>
        <v>3.6496350364963501E-2</v>
      </c>
      <c r="L166" s="22">
        <f>IF(ISNUMBER(J166), $B172 * K166, "")</f>
        <v>3649.63503649635</v>
      </c>
      <c r="M166" s="30">
        <v>141</v>
      </c>
      <c r="N166" s="21">
        <f t="shared" si="89"/>
        <v>2.9197080291970802E-2</v>
      </c>
      <c r="O166" s="22">
        <f>IF(ISNUMBER(M166), $B172 * N166, "")</f>
        <v>2919.7080291970801</v>
      </c>
      <c r="Q166" s="248"/>
      <c r="R166" s="248"/>
      <c r="S166" s="248"/>
    </row>
    <row r="167" spans="1:19" ht="17.25" thickBot="1">
      <c r="A167" s="125" t="s">
        <v>110</v>
      </c>
      <c r="B167" s="129">
        <v>185</v>
      </c>
      <c r="C167" s="80">
        <v>-5.1282051299999999E-2</v>
      </c>
      <c r="D167" s="106">
        <v>186</v>
      </c>
      <c r="E167" s="107">
        <f>IF(ISNUMBER(D167), (D167 - $B167) / $B167, "")</f>
        <v>5.4054054054054057E-3</v>
      </c>
      <c r="F167" s="108">
        <f>IF(ISNUMBER(D167), $B172 * E167, "")</f>
        <v>540.54054054054052</v>
      </c>
      <c r="G167" s="109">
        <v>188</v>
      </c>
      <c r="H167" s="107">
        <f>IF(ISNUMBER(G167), (G167 - $B167) / $B167, "")</f>
        <v>1.6216216216216217E-2</v>
      </c>
      <c r="I167" s="110">
        <f>IF(ISNUMBER(G167), $B172 * H167, "")</f>
        <v>1621.6216216216217</v>
      </c>
      <c r="J167" s="106">
        <v>191</v>
      </c>
      <c r="K167" s="107">
        <f>IF(ISNUMBER(J167), (J167 - $B167) / $B167, "")</f>
        <v>3.2432432432432434E-2</v>
      </c>
      <c r="L167" s="108">
        <f>IF(ISNUMBER(J167), $B172 * K167, "")</f>
        <v>3243.2432432432433</v>
      </c>
      <c r="M167" s="109">
        <v>189</v>
      </c>
      <c r="N167" s="107">
        <f>IF(ISNUMBER(M167), (M167 - $B167) / $B167, "")</f>
        <v>2.1621621621621623E-2</v>
      </c>
      <c r="O167" s="108">
        <f>IF(ISNUMBER(M167), $B172 * N167, "")</f>
        <v>2162.1621621621621</v>
      </c>
      <c r="Q167" s="238"/>
      <c r="R167" s="238"/>
      <c r="S167" s="238"/>
    </row>
    <row r="168" spans="1:19" ht="17.25" thickBot="1">
      <c r="A168" s="125" t="s">
        <v>228</v>
      </c>
      <c r="B168" s="126">
        <v>377</v>
      </c>
      <c r="C168" s="77">
        <v>-5.2763819099999998E-2</v>
      </c>
      <c r="D168" s="15">
        <v>383</v>
      </c>
      <c r="E168" s="32">
        <f t="shared" ref="E168:E171" si="90">IF(ISNUMBER(D168), (D168 - $B168) / $B168, "")</f>
        <v>1.5915119363395226E-2</v>
      </c>
      <c r="F168" s="18">
        <f>IF(ISNUMBER(D168), $B172 * E168, "")</f>
        <v>1591.5119363395227</v>
      </c>
      <c r="G168" s="31">
        <v>387</v>
      </c>
      <c r="H168" s="32">
        <f t="shared" ref="H168:H171" si="91">IF(ISNUMBER(G168), (G168 - $B168) / $B168, "")</f>
        <v>2.6525198938992044E-2</v>
      </c>
      <c r="I168" s="101">
        <f>IF(ISNUMBER(G168), $B172 * H168, "")</f>
        <v>2652.5198938992044</v>
      </c>
      <c r="J168" s="15">
        <v>390</v>
      </c>
      <c r="K168" s="32">
        <f t="shared" ref="K168:K171" si="92">IF(ISNUMBER(J168), (J168 - $B168) / $B168, "")</f>
        <v>3.4482758620689655E-2</v>
      </c>
      <c r="L168" s="18">
        <f>IF(ISNUMBER(J168), $B172 * K168, "")</f>
        <v>3448.2758620689656</v>
      </c>
      <c r="M168" s="31">
        <v>389</v>
      </c>
      <c r="N168" s="32">
        <f t="shared" ref="N168:N171" si="93">IF(ISNUMBER(M168), (M168 - $B168) / $B168, "")</f>
        <v>3.1830238726790451E-2</v>
      </c>
      <c r="O168" s="18">
        <f>IF(ISNUMBER(M168), $B172 * N168, "")</f>
        <v>3183.0238726790453</v>
      </c>
      <c r="Q168" s="238"/>
      <c r="R168" s="238"/>
      <c r="S168" s="238"/>
    </row>
    <row r="169" spans="1:19" ht="17.25" thickBot="1">
      <c r="A169" s="125" t="s">
        <v>232</v>
      </c>
      <c r="B169" s="126">
        <v>506</v>
      </c>
      <c r="C169" s="77">
        <v>-5.5970149300000001E-2</v>
      </c>
      <c r="D169" s="15">
        <v>508</v>
      </c>
      <c r="E169" s="32">
        <f t="shared" si="90"/>
        <v>3.952569169960474E-3</v>
      </c>
      <c r="F169" s="18">
        <f>IF(ISNUMBER(D169), $B172 * E169, "")</f>
        <v>395.25691699604738</v>
      </c>
      <c r="G169" s="31">
        <v>513</v>
      </c>
      <c r="H169" s="32">
        <f t="shared" si="91"/>
        <v>1.383399209486166E-2</v>
      </c>
      <c r="I169" s="101">
        <f>IF(ISNUMBER(G169), $B172 * H169, "")</f>
        <v>1383.399209486166</v>
      </c>
      <c r="J169" s="15">
        <v>517</v>
      </c>
      <c r="K169" s="32">
        <f t="shared" si="92"/>
        <v>2.1739130434782608E-2</v>
      </c>
      <c r="L169" s="18">
        <f>IF(ISNUMBER(J169), $B172 * K169, "")</f>
        <v>2173.913043478261</v>
      </c>
      <c r="M169" s="31">
        <v>515</v>
      </c>
      <c r="N169" s="32">
        <f t="shared" si="93"/>
        <v>1.7786561264822136E-2</v>
      </c>
      <c r="O169" s="18">
        <f>IF(ISNUMBER(M169), $B172 * N169, "")</f>
        <v>1778.6561264822135</v>
      </c>
      <c r="Q169" s="238"/>
      <c r="R169" s="238"/>
      <c r="S169" s="238"/>
    </row>
    <row r="170" spans="1:19">
      <c r="A170" s="125" t="s">
        <v>166</v>
      </c>
      <c r="B170" s="126">
        <v>261</v>
      </c>
      <c r="C170" s="77">
        <v>-6.1151079099999998E-2</v>
      </c>
      <c r="D170" s="15">
        <v>262</v>
      </c>
      <c r="E170" s="32">
        <f t="shared" si="90"/>
        <v>3.8314176245210726E-3</v>
      </c>
      <c r="F170" s="18">
        <f>IF(ISNUMBER(D170), $B172 * E170, "")</f>
        <v>383.14176245210729</v>
      </c>
      <c r="G170" s="31">
        <v>263</v>
      </c>
      <c r="H170" s="32">
        <f t="shared" si="91"/>
        <v>7.6628352490421452E-3</v>
      </c>
      <c r="I170" s="101">
        <f>IF(ISNUMBER(G170), $B172 * H170, "")</f>
        <v>766.28352490421457</v>
      </c>
      <c r="J170" s="15">
        <v>265</v>
      </c>
      <c r="K170" s="32">
        <f t="shared" si="92"/>
        <v>1.532567049808429E-2</v>
      </c>
      <c r="L170" s="18">
        <f>IF(ISNUMBER(J170), $B172 * K170, "")</f>
        <v>1532.5670498084291</v>
      </c>
      <c r="M170" s="31">
        <v>263</v>
      </c>
      <c r="N170" s="32">
        <f t="shared" si="93"/>
        <v>7.6628352490421452E-3</v>
      </c>
      <c r="O170" s="18">
        <f>IF(ISNUMBER(M170), $B172 * N170, "")</f>
        <v>766.28352490421457</v>
      </c>
      <c r="Q170" s="227"/>
      <c r="R170" s="228"/>
      <c r="S170" s="229"/>
    </row>
    <row r="171" spans="1:19" ht="17.25" thickBot="1">
      <c r="A171" s="130" t="s">
        <v>222</v>
      </c>
      <c r="B171" s="131">
        <v>149</v>
      </c>
      <c r="C171" s="79">
        <v>-7.4534161500000001E-2</v>
      </c>
      <c r="D171" s="24">
        <v>151</v>
      </c>
      <c r="E171" s="25">
        <f t="shared" si="90"/>
        <v>1.3422818791946308E-2</v>
      </c>
      <c r="F171" s="104">
        <f>IF(ISNUMBER(D171), $B172 * E171, "")</f>
        <v>1342.2818791946308</v>
      </c>
      <c r="G171" s="102">
        <v>154</v>
      </c>
      <c r="H171" s="25">
        <f t="shared" si="91"/>
        <v>3.3557046979865772E-2</v>
      </c>
      <c r="I171" s="103">
        <f>IF(ISNUMBER(G171), $B172 * H171, "")</f>
        <v>3355.7046979865772</v>
      </c>
      <c r="J171" s="24">
        <v>155</v>
      </c>
      <c r="K171" s="25">
        <f t="shared" si="92"/>
        <v>4.0268456375838924E-2</v>
      </c>
      <c r="L171" s="104">
        <f>IF(ISNUMBER(J171), $B172 * K171, "")</f>
        <v>4026.8456375838923</v>
      </c>
      <c r="M171" s="102">
        <v>153</v>
      </c>
      <c r="N171" s="25">
        <f t="shared" si="93"/>
        <v>2.6845637583892617E-2</v>
      </c>
      <c r="O171" s="104">
        <f>IF(ISNUMBER(M171), $B172 * N171, "")</f>
        <v>2684.5637583892617</v>
      </c>
      <c r="Q171" s="230"/>
      <c r="R171" s="231"/>
      <c r="S171" s="232"/>
    </row>
    <row r="172" spans="1:19" ht="17.25" thickBot="1">
      <c r="A172" s="132" t="s">
        <v>270</v>
      </c>
      <c r="B172" s="291">
        <f>$B$37</f>
        <v>100000</v>
      </c>
      <c r="C172" s="292"/>
      <c r="D172" s="26" t="s">
        <v>271</v>
      </c>
      <c r="E172" s="27">
        <f>IF(COUNT(E152:E171), SUM(E152:E171) / COUNT(E152:E171), 0)</f>
        <v>7.6647530743615185E-3</v>
      </c>
      <c r="F172" s="28">
        <f>SUM(F152:F171)</f>
        <v>15329.506148723032</v>
      </c>
      <c r="G172" s="26" t="s">
        <v>271</v>
      </c>
      <c r="H172" s="27">
        <f>IF(COUNT(H152:H171), SUM(H152:H171) / COUNT(H152:H171), 0)</f>
        <v>2.4148803566917031E-2</v>
      </c>
      <c r="I172" s="28">
        <f>SUM(I152:I171)</f>
        <v>48297.607133834063</v>
      </c>
      <c r="J172" s="26" t="s">
        <v>271</v>
      </c>
      <c r="K172" s="27">
        <f>IF(COUNT(K152:K171), SUM(K152:K171) / COUNT(K152:K171), 0)</f>
        <v>3.3827391837380226E-2</v>
      </c>
      <c r="L172" s="28">
        <f>SUM(L152:L171)</f>
        <v>67654.783674760445</v>
      </c>
      <c r="M172" s="26" t="s">
        <v>271</v>
      </c>
      <c r="N172" s="27">
        <f>IF(COUNT(N152:N171), SUM(N152:N171) / COUNT(N152:N171), 0)</f>
        <v>2.9277227202461613E-2</v>
      </c>
      <c r="O172" s="28">
        <f>SUM(O152:O171)</f>
        <v>58554.454404923228</v>
      </c>
      <c r="Q172" s="233"/>
      <c r="R172" s="234"/>
      <c r="S172" s="23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48"/>
      <c r="R175" s="248"/>
      <c r="S175" s="248"/>
    </row>
    <row r="176" spans="1:19" ht="17.25" thickBot="1">
      <c r="A176" s="189" t="s">
        <v>267</v>
      </c>
      <c r="B176" s="249" t="s">
        <v>49</v>
      </c>
      <c r="C176" s="251"/>
      <c r="D176" s="249" t="s">
        <v>58</v>
      </c>
      <c r="E176" s="250"/>
      <c r="F176" s="251"/>
      <c r="G176" s="252">
        <f>_xlfn.IFNA(VLOOKUP(B176, 현재가테이블!$B$2:$D$200, 2, FALSE), "-")</f>
        <v>54440000</v>
      </c>
      <c r="H176" s="253"/>
      <c r="I176" s="254"/>
      <c r="J176" s="249" t="s">
        <v>59</v>
      </c>
      <c r="K176" s="250"/>
      <c r="L176" s="251"/>
      <c r="M176" s="255">
        <f>_xlfn.IFNA(VLOOKUP(B176, 현재가테이블!$B$2:$D$200, 3, FALSE), "-")</f>
        <v>1.07123628E-2</v>
      </c>
      <c r="N176" s="256"/>
      <c r="O176" s="257"/>
      <c r="Q176" s="248"/>
      <c r="R176" s="248"/>
      <c r="S176" s="248"/>
    </row>
    <row r="177" spans="1:19" ht="17.25" thickBot="1">
      <c r="A177" s="293" t="s">
        <v>55</v>
      </c>
      <c r="B177" s="289" t="str">
        <f>TEXT($G$1, "[$-ko-KR]yyyy-mm-dd(ddd) ") &amp; "오전 00:00"</f>
        <v>2021-08-09(월) 오전 00:00</v>
      </c>
      <c r="C177" s="290"/>
      <c r="D177" s="262" t="str">
        <f>TEXT($G$1, "[$-ko-KR]yyyy-mm-dd(ddd) ") &amp; "오후 14:00"</f>
        <v>2021-08-09(월) 오후 14:00</v>
      </c>
      <c r="E177" s="263"/>
      <c r="F177" s="264"/>
      <c r="G177" s="262" t="str">
        <f>TEXT($G$1, "[$-ko-KR]yyyy-mm-dd(ddd) ") &amp; "오후 19:00"</f>
        <v>2021-08-09(월) 오후 19:00</v>
      </c>
      <c r="H177" s="263"/>
      <c r="I177" s="264"/>
      <c r="J177" s="262" t="str">
        <f>TEXT($G$1, "[$-ko-KR]yyyy-mm-dd(ddd) ") &amp; "오후 21:00"</f>
        <v>2021-08-09(월) 오후 21:00</v>
      </c>
      <c r="K177" s="263"/>
      <c r="L177" s="264"/>
      <c r="M177" s="262" t="str">
        <f>TEXT($G$1+1, "[$-ko-KR]yyyy-mm-dd(ddd) ") &amp; "오전 00:00"</f>
        <v>2021-08-10(화) 오전 00:00</v>
      </c>
      <c r="N177" s="263"/>
      <c r="O177" s="264"/>
      <c r="Q177" s="248"/>
      <c r="R177" s="248"/>
      <c r="S177" s="248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0" t="s">
        <v>58</v>
      </c>
      <c r="H178" s="191" t="s">
        <v>268</v>
      </c>
      <c r="I178" s="19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8"/>
      <c r="R178" s="238"/>
      <c r="S178" s="238"/>
    </row>
    <row r="179" spans="1:19" ht="17.25" thickBot="1">
      <c r="A179" s="123" t="s">
        <v>124</v>
      </c>
      <c r="B179" s="124">
        <v>322</v>
      </c>
      <c r="C179" s="76">
        <v>-3.8805970100000003E-2</v>
      </c>
      <c r="D179" s="13">
        <v>323</v>
      </c>
      <c r="E179" s="14">
        <f>IF(ISNUMBER(D179), (D179 - $B179) / $B179, "")</f>
        <v>3.105590062111801E-3</v>
      </c>
      <c r="F179" s="16">
        <f>IF(ISNUMBER(D179), $B199 * E179, "")</f>
        <v>310.55900621118008</v>
      </c>
      <c r="G179" s="29">
        <v>330</v>
      </c>
      <c r="H179" s="14">
        <f>IF(ISNUMBER(G179), (G179 - $B179) / $B179, "")</f>
        <v>2.4844720496894408E-2</v>
      </c>
      <c r="I179" s="100">
        <f>IF(ISNUMBER(G179), $B199 * H179, "")</f>
        <v>2484.4720496894406</v>
      </c>
      <c r="J179" s="13">
        <v>334</v>
      </c>
      <c r="K179" s="14">
        <f>IF(ISNUMBER(J179), (J179 - $B179) / $B179, "")</f>
        <v>3.7267080745341616E-2</v>
      </c>
      <c r="L179" s="16">
        <f>IF(ISNUMBER(J179), $B199 * K179, "")</f>
        <v>3726.7080745341614</v>
      </c>
      <c r="M179" s="29">
        <v>334</v>
      </c>
      <c r="N179" s="14">
        <f>IF(ISNUMBER(M179), (M179 - $B179) / $B179, "")</f>
        <v>3.7267080745341616E-2</v>
      </c>
      <c r="O179" s="16">
        <f>IF(ISNUMBER(M179), $B199 * N179, "")</f>
        <v>3726.7080745341614</v>
      </c>
      <c r="Q179" s="248"/>
      <c r="R179" s="248"/>
      <c r="S179" s="248"/>
    </row>
    <row r="180" spans="1:19" ht="17.25" thickBot="1">
      <c r="A180" s="125" t="s">
        <v>120</v>
      </c>
      <c r="B180" s="126">
        <v>4220</v>
      </c>
      <c r="C180" s="77">
        <v>-3.9817974999999999E-2</v>
      </c>
      <c r="D180" s="15">
        <v>4240</v>
      </c>
      <c r="E180" s="32">
        <f t="shared" ref="E180:E183" si="94">IF(ISNUMBER(D180), (D180 - $B180) / $B180, "")</f>
        <v>4.7393364928909956E-3</v>
      </c>
      <c r="F180" s="18">
        <f>IF(ISNUMBER(D180), $B199 * E180, "")</f>
        <v>473.93364928909955</v>
      </c>
      <c r="G180" s="31">
        <v>4295</v>
      </c>
      <c r="H180" s="32">
        <f t="shared" ref="H180:H183" si="95">IF(ISNUMBER(G180), (G180 - $B180) / $B180, "")</f>
        <v>1.7772511848341232E-2</v>
      </c>
      <c r="I180" s="101">
        <f>IF(ISNUMBER(G180), $B199 * H180, "")</f>
        <v>1777.2511848341233</v>
      </c>
      <c r="J180" s="15">
        <v>4320</v>
      </c>
      <c r="K180" s="32">
        <f t="shared" ref="K180:K183" si="96">IF(ISNUMBER(J180), (J180 - $B180) / $B180, "")</f>
        <v>2.3696682464454975E-2</v>
      </c>
      <c r="L180" s="18">
        <f>IF(ISNUMBER(J180), $B199 * K180, "")</f>
        <v>2369.6682464454975</v>
      </c>
      <c r="M180" s="31">
        <v>4360</v>
      </c>
      <c r="N180" s="32">
        <f t="shared" ref="N180:N183" si="97">IF(ISNUMBER(M180), (M180 - $B180) / $B180, "")</f>
        <v>3.3175355450236969E-2</v>
      </c>
      <c r="O180" s="18">
        <f>IF(ISNUMBER(M180), $B199 * N180, "")</f>
        <v>3317.5355450236971</v>
      </c>
      <c r="Q180" s="248"/>
      <c r="R180" s="248"/>
      <c r="S180" s="248"/>
    </row>
    <row r="181" spans="1:19" ht="17.25" thickBot="1">
      <c r="A181" s="125" t="s">
        <v>160</v>
      </c>
      <c r="B181" s="126">
        <v>1245</v>
      </c>
      <c r="C181" s="77">
        <v>-4.2307692299999998E-2</v>
      </c>
      <c r="D181" s="15">
        <v>1265</v>
      </c>
      <c r="E181" s="32">
        <f t="shared" si="94"/>
        <v>1.6064257028112448E-2</v>
      </c>
      <c r="F181" s="18">
        <f>IF(ISNUMBER(D181), $B199 * E181, "")</f>
        <v>1606.4257028112447</v>
      </c>
      <c r="G181" s="31">
        <v>1285</v>
      </c>
      <c r="H181" s="32">
        <f t="shared" si="95"/>
        <v>3.2128514056224897E-2</v>
      </c>
      <c r="I181" s="101">
        <f>IF(ISNUMBER(G181), $B199 * H181, "")</f>
        <v>3212.8514056224894</v>
      </c>
      <c r="J181" s="15">
        <v>1305</v>
      </c>
      <c r="K181" s="32">
        <f t="shared" si="96"/>
        <v>4.8192771084337352E-2</v>
      </c>
      <c r="L181" s="18">
        <f>IF(ISNUMBER(J181), $B199 * K181, "")</f>
        <v>4819.2771084337355</v>
      </c>
      <c r="M181" s="31">
        <v>1300</v>
      </c>
      <c r="N181" s="32">
        <f t="shared" si="97"/>
        <v>4.4176706827309238E-2</v>
      </c>
      <c r="O181" s="18">
        <f>IF(ISNUMBER(M181), $B199 * N181, "")</f>
        <v>4417.6706827309235</v>
      </c>
      <c r="Q181" s="238"/>
      <c r="R181" s="238"/>
      <c r="S181" s="238"/>
    </row>
    <row r="182" spans="1:19" ht="17.25" thickBot="1">
      <c r="A182" s="125" t="s">
        <v>178</v>
      </c>
      <c r="B182" s="126">
        <v>15.8</v>
      </c>
      <c r="C182" s="77">
        <v>-4.2424242399999999E-2</v>
      </c>
      <c r="D182" s="15">
        <v>15.9</v>
      </c>
      <c r="E182" s="32">
        <f t="shared" si="94"/>
        <v>6.3291139240506103E-3</v>
      </c>
      <c r="F182" s="18">
        <f>IF(ISNUMBER(D182), $B199 * E182, "")</f>
        <v>632.91139240506106</v>
      </c>
      <c r="G182" s="31">
        <v>16.3</v>
      </c>
      <c r="H182" s="32">
        <f t="shared" si="95"/>
        <v>3.164556962025316E-2</v>
      </c>
      <c r="I182" s="101">
        <f>IF(ISNUMBER(G182), $B199 * H182, "")</f>
        <v>3164.5569620253159</v>
      </c>
      <c r="J182" s="15">
        <v>16.399999999999999</v>
      </c>
      <c r="K182" s="32">
        <f t="shared" si="96"/>
        <v>3.797468354430366E-2</v>
      </c>
      <c r="L182" s="18">
        <f>IF(ISNUMBER(J182), $B199 * K182, "")</f>
        <v>3797.4683544303662</v>
      </c>
      <c r="M182" s="31">
        <v>16.3</v>
      </c>
      <c r="N182" s="32">
        <f t="shared" si="97"/>
        <v>3.164556962025316E-2</v>
      </c>
      <c r="O182" s="18">
        <f>IF(ISNUMBER(M182), $B199 * N182, "")</f>
        <v>3164.5569620253159</v>
      </c>
      <c r="Q182" s="238"/>
      <c r="R182" s="238"/>
      <c r="S182" s="238"/>
    </row>
    <row r="183" spans="1:19" ht="17.25" thickBot="1">
      <c r="A183" s="127" t="s">
        <v>220</v>
      </c>
      <c r="B183" s="128">
        <v>203</v>
      </c>
      <c r="C183" s="78">
        <v>-4.24528302E-2</v>
      </c>
      <c r="D183" s="20">
        <v>205</v>
      </c>
      <c r="E183" s="21">
        <f t="shared" si="94"/>
        <v>9.852216748768473E-3</v>
      </c>
      <c r="F183" s="22">
        <f>IF(ISNUMBER(D183), $B199 * E183, "")</f>
        <v>985.22167487684726</v>
      </c>
      <c r="G183" s="30">
        <v>208</v>
      </c>
      <c r="H183" s="21">
        <f t="shared" si="95"/>
        <v>2.4630541871921183E-2</v>
      </c>
      <c r="I183" s="105">
        <f>IF(ISNUMBER(G183), $B199 * H183, "")</f>
        <v>2463.0541871921182</v>
      </c>
      <c r="J183" s="20">
        <v>209</v>
      </c>
      <c r="K183" s="21">
        <f t="shared" si="96"/>
        <v>2.9556650246305417E-2</v>
      </c>
      <c r="L183" s="22">
        <f>IF(ISNUMBER(J183), $B199 * K183, "")</f>
        <v>2955.6650246305417</v>
      </c>
      <c r="M183" s="30">
        <v>209</v>
      </c>
      <c r="N183" s="21">
        <f t="shared" si="97"/>
        <v>2.9556650246305417E-2</v>
      </c>
      <c r="O183" s="22">
        <f>IF(ISNUMBER(M183), $B199 * N183, "")</f>
        <v>2955.6650246305417</v>
      </c>
      <c r="Q183" s="238"/>
      <c r="R183" s="238"/>
      <c r="S183" s="238"/>
    </row>
    <row r="184" spans="1:19" ht="17.25" thickBot="1">
      <c r="A184" s="125" t="s">
        <v>206</v>
      </c>
      <c r="B184" s="129">
        <v>309</v>
      </c>
      <c r="C184" s="80">
        <v>-4.33436533E-2</v>
      </c>
      <c r="D184" s="106">
        <v>312</v>
      </c>
      <c r="E184" s="107">
        <f>IF(ISNUMBER(D184), (D184 - $B184) / $B184, "")</f>
        <v>9.7087378640776691E-3</v>
      </c>
      <c r="F184" s="108">
        <f>IF(ISNUMBER(D184), $B199 * E184, "")</f>
        <v>970.87378640776694</v>
      </c>
      <c r="G184" s="109">
        <v>314</v>
      </c>
      <c r="H184" s="107">
        <f>IF(ISNUMBER(G184), (G184 - $B184) / $B184, "")</f>
        <v>1.6181229773462782E-2</v>
      </c>
      <c r="I184" s="110">
        <f>IF(ISNUMBER(G184), $B199 * H184, "")</f>
        <v>1618.1229773462783</v>
      </c>
      <c r="J184" s="106">
        <v>316</v>
      </c>
      <c r="K184" s="107">
        <f>IF(ISNUMBER(J184), (J184 - $B184) / $B184, "")</f>
        <v>2.2653721682847898E-2</v>
      </c>
      <c r="L184" s="108">
        <f>IF(ISNUMBER(J184), $B199 * K184, "")</f>
        <v>2265.37216828479</v>
      </c>
      <c r="M184" s="109">
        <v>317</v>
      </c>
      <c r="N184" s="107">
        <f>IF(ISNUMBER(M184), (M184 - $B184) / $B184, "")</f>
        <v>2.5889967637540454E-2</v>
      </c>
      <c r="O184" s="108">
        <f>IF(ISNUMBER(M184), $B199 * N184, "")</f>
        <v>2588.9967637540453</v>
      </c>
      <c r="Q184" s="238"/>
      <c r="R184" s="238"/>
      <c r="S184" s="238"/>
    </row>
    <row r="185" spans="1:19" ht="17.25" thickBot="1">
      <c r="A185" s="125" t="s">
        <v>200</v>
      </c>
      <c r="B185" s="126">
        <v>132</v>
      </c>
      <c r="C185" s="77">
        <v>-4.3478260900000003E-2</v>
      </c>
      <c r="D185" s="15">
        <v>134</v>
      </c>
      <c r="E185" s="32">
        <f t="shared" ref="E185:E188" si="98">IF(ISNUMBER(D185), (D185 - $B185) / $B185, "")</f>
        <v>1.5151515151515152E-2</v>
      </c>
      <c r="F185" s="18">
        <f>IF(ISNUMBER(D185), $B199 * E185, "")</f>
        <v>1515.1515151515152</v>
      </c>
      <c r="G185" s="31">
        <v>135</v>
      </c>
      <c r="H185" s="32">
        <f t="shared" ref="H185:H188" si="99">IF(ISNUMBER(G185), (G185 - $B185) / $B185, "")</f>
        <v>2.2727272727272728E-2</v>
      </c>
      <c r="I185" s="101">
        <f>IF(ISNUMBER(G185), $B199 * H185, "")</f>
        <v>2272.727272727273</v>
      </c>
      <c r="J185" s="15">
        <v>137</v>
      </c>
      <c r="K185" s="32">
        <f t="shared" ref="K185:K188" si="100">IF(ISNUMBER(J185), (J185 - $B185) / $B185, "")</f>
        <v>3.787878787878788E-2</v>
      </c>
      <c r="L185" s="18">
        <f>IF(ISNUMBER(J185), $B199 * K185, "")</f>
        <v>3787.878787878788</v>
      </c>
      <c r="M185" s="31">
        <v>136</v>
      </c>
      <c r="N185" s="32">
        <f t="shared" ref="N185:N188" si="101">IF(ISNUMBER(M185), (M185 - $B185) / $B185, "")</f>
        <v>3.0303030303030304E-2</v>
      </c>
      <c r="O185" s="18">
        <f>IF(ISNUMBER(M185), $B199 * N185, "")</f>
        <v>3030.3030303030305</v>
      </c>
      <c r="Q185" s="238"/>
      <c r="R185" s="238"/>
      <c r="S185" s="238"/>
    </row>
    <row r="186" spans="1:19" ht="17.25" thickBot="1">
      <c r="A186" s="125" t="s">
        <v>230</v>
      </c>
      <c r="B186" s="126">
        <v>195</v>
      </c>
      <c r="C186" s="77">
        <v>-4.4117647099999997E-2</v>
      </c>
      <c r="D186" s="15">
        <v>198</v>
      </c>
      <c r="E186" s="32">
        <f t="shared" si="98"/>
        <v>1.5384615384615385E-2</v>
      </c>
      <c r="F186" s="18">
        <f>IF(ISNUMBER(D186), $B199 * E186, "")</f>
        <v>1538.4615384615386</v>
      </c>
      <c r="G186" s="31">
        <v>200</v>
      </c>
      <c r="H186" s="32">
        <f t="shared" si="99"/>
        <v>2.564102564102564E-2</v>
      </c>
      <c r="I186" s="101">
        <f>IF(ISNUMBER(G186), $B199 * H186, "")</f>
        <v>2564.102564102564</v>
      </c>
      <c r="J186" s="15">
        <v>201</v>
      </c>
      <c r="K186" s="32">
        <f t="shared" si="100"/>
        <v>3.0769230769230771E-2</v>
      </c>
      <c r="L186" s="18">
        <f>IF(ISNUMBER(J186), $B199 * K186, "")</f>
        <v>3076.9230769230771</v>
      </c>
      <c r="M186" s="31">
        <v>202</v>
      </c>
      <c r="N186" s="32">
        <f t="shared" si="101"/>
        <v>3.5897435897435895E-2</v>
      </c>
      <c r="O186" s="18">
        <f>IF(ISNUMBER(M186), $B199 * N186, "")</f>
        <v>3589.7435897435894</v>
      </c>
      <c r="Q186" s="238"/>
      <c r="R186" s="238"/>
      <c r="S186" s="238"/>
    </row>
    <row r="187" spans="1:19" ht="17.25" thickBot="1">
      <c r="A187" s="125" t="s">
        <v>122</v>
      </c>
      <c r="B187" s="126">
        <v>28.2</v>
      </c>
      <c r="C187" s="77">
        <v>-4.7297297299999999E-2</v>
      </c>
      <c r="D187" s="15">
        <v>28.6</v>
      </c>
      <c r="E187" s="32">
        <f t="shared" si="98"/>
        <v>1.4184397163120643E-2</v>
      </c>
      <c r="F187" s="18">
        <f>IF(ISNUMBER(D187), $B199 * E187, "")</f>
        <v>1418.4397163120643</v>
      </c>
      <c r="G187" s="31">
        <v>29.2</v>
      </c>
      <c r="H187" s="32">
        <f t="shared" si="99"/>
        <v>3.5460992907801421E-2</v>
      </c>
      <c r="I187" s="101">
        <f>IF(ISNUMBER(G187), $B199 * H187, "")</f>
        <v>3546.0992907801419</v>
      </c>
      <c r="J187" s="15">
        <v>29.7</v>
      </c>
      <c r="K187" s="32">
        <f t="shared" si="100"/>
        <v>5.3191489361702128E-2</v>
      </c>
      <c r="L187" s="18">
        <f>IF(ISNUMBER(J187), $B199 * K187, "")</f>
        <v>5319.1489361702124</v>
      </c>
      <c r="M187" s="31">
        <v>29.3</v>
      </c>
      <c r="N187" s="32">
        <f t="shared" si="101"/>
        <v>3.900709219858161E-2</v>
      </c>
      <c r="O187" s="18">
        <f>IF(ISNUMBER(M187), $B199 * N187, "")</f>
        <v>3900.7092198581608</v>
      </c>
      <c r="Q187" s="33"/>
      <c r="R187" s="33"/>
    </row>
    <row r="188" spans="1:19" ht="17.25" thickBot="1">
      <c r="A188" s="130" t="s">
        <v>202</v>
      </c>
      <c r="B188" s="131">
        <v>82.5</v>
      </c>
      <c r="C188" s="79">
        <v>-4.73441109E-2</v>
      </c>
      <c r="D188" s="24">
        <v>82.7</v>
      </c>
      <c r="E188" s="25">
        <f t="shared" si="98"/>
        <v>2.4242424242424585E-3</v>
      </c>
      <c r="F188" s="104">
        <f>IF(ISNUMBER(D188), $B199 * E188, "")</f>
        <v>242.42424242424585</v>
      </c>
      <c r="G188" s="102">
        <v>84.2</v>
      </c>
      <c r="H188" s="25">
        <f t="shared" si="99"/>
        <v>2.0606060606060642E-2</v>
      </c>
      <c r="I188" s="103">
        <f>IF(ISNUMBER(G188), $B199 * H188, "")</f>
        <v>2060.6060606060641</v>
      </c>
      <c r="J188" s="24">
        <v>84.9</v>
      </c>
      <c r="K188" s="25">
        <f t="shared" si="100"/>
        <v>2.909090909090916E-2</v>
      </c>
      <c r="L188" s="104">
        <f>IF(ISNUMBER(J188), $B199 * K188, "")</f>
        <v>2909.0909090909158</v>
      </c>
      <c r="M188" s="102">
        <v>85.6</v>
      </c>
      <c r="N188" s="25">
        <f t="shared" si="101"/>
        <v>3.7575757575757505E-2</v>
      </c>
      <c r="O188" s="104">
        <f>IF(ISNUMBER(M188), $B199 * N188, "")</f>
        <v>3757.5757575757507</v>
      </c>
      <c r="Q188" s="239"/>
      <c r="R188" s="240"/>
      <c r="S188" s="241"/>
    </row>
    <row r="189" spans="1:19">
      <c r="A189" s="123" t="s">
        <v>194</v>
      </c>
      <c r="B189" s="124">
        <v>137</v>
      </c>
      <c r="C189" s="76">
        <v>-4.86111111E-2</v>
      </c>
      <c r="D189" s="13">
        <v>138</v>
      </c>
      <c r="E189" s="14">
        <f>IF(ISNUMBER(D189), (D189 - $B189) / $B189, "")</f>
        <v>7.2992700729927005E-3</v>
      </c>
      <c r="F189" s="16">
        <f>IF(ISNUMBER(D189), $B199 * E189, "")</f>
        <v>729.92700729927003</v>
      </c>
      <c r="G189" s="29">
        <v>141</v>
      </c>
      <c r="H189" s="14">
        <f>IF(ISNUMBER(G189), (G189 - $B189) / $B189, "")</f>
        <v>2.9197080291970802E-2</v>
      </c>
      <c r="I189" s="100">
        <f>IF(ISNUMBER(G189), $B199 * H189, "")</f>
        <v>2919.7080291970801</v>
      </c>
      <c r="J189" s="13">
        <v>142</v>
      </c>
      <c r="K189" s="14">
        <f>IF(ISNUMBER(J189), (J189 - $B189) / $B189, "")</f>
        <v>3.6496350364963501E-2</v>
      </c>
      <c r="L189" s="16">
        <f>IF(ISNUMBER(J189), $B199 * K189, "")</f>
        <v>3649.63503649635</v>
      </c>
      <c r="M189" s="29">
        <v>141</v>
      </c>
      <c r="N189" s="14">
        <f>IF(ISNUMBER(M189), (M189 - $B189) / $B189, "")</f>
        <v>2.9197080291970802E-2</v>
      </c>
      <c r="O189" s="16">
        <f>IF(ISNUMBER(M189), $B199 * N189, "")</f>
        <v>2919.7080291970801</v>
      </c>
      <c r="Q189" s="242"/>
      <c r="R189" s="243"/>
      <c r="S189" s="244"/>
    </row>
    <row r="190" spans="1:19" ht="17.25" thickBot="1">
      <c r="A190" s="125" t="s">
        <v>204</v>
      </c>
      <c r="B190" s="126">
        <v>13.4</v>
      </c>
      <c r="C190" s="77">
        <v>-4.9645390099999999E-2</v>
      </c>
      <c r="D190" s="15">
        <v>13.6</v>
      </c>
      <c r="E190" s="32">
        <f t="shared" ref="E190:E193" si="102">IF(ISNUMBER(D190), (D190 - $B190) / $B190, "")</f>
        <v>1.4925373134328304E-2</v>
      </c>
      <c r="F190" s="18">
        <f>IF(ISNUMBER(D190), $B199 * E190, "")</f>
        <v>1492.5373134328304</v>
      </c>
      <c r="G190" s="31">
        <v>13.8</v>
      </c>
      <c r="H190" s="32">
        <f t="shared" ref="H190:H193" si="103">IF(ISNUMBER(G190), (G190 - $B190) / $B190, "")</f>
        <v>2.9850746268656744E-2</v>
      </c>
      <c r="I190" s="101">
        <f>IF(ISNUMBER(G190), $B199 * H190, "")</f>
        <v>2985.0746268656744</v>
      </c>
      <c r="J190" s="15">
        <v>13.9</v>
      </c>
      <c r="K190" s="32">
        <f t="shared" ref="K190:K193" si="104">IF(ISNUMBER(J190), (J190 - $B190) / $B190, "")</f>
        <v>3.7313432835820892E-2</v>
      </c>
      <c r="L190" s="18">
        <f>IF(ISNUMBER(J190), $B199 * K190, "")</f>
        <v>3731.343283582089</v>
      </c>
      <c r="M190" s="31">
        <v>13.8</v>
      </c>
      <c r="N190" s="32">
        <f t="shared" ref="N190:N193" si="105">IF(ISNUMBER(M190), (M190 - $B190) / $B190, "")</f>
        <v>2.9850746268656744E-2</v>
      </c>
      <c r="O190" s="18">
        <f>IF(ISNUMBER(M190), $B199 * N190, "")</f>
        <v>2985.0746268656744</v>
      </c>
      <c r="Q190" s="245"/>
      <c r="R190" s="246"/>
      <c r="S190" s="247"/>
    </row>
    <row r="191" spans="1:19" ht="17.25" thickBot="1">
      <c r="A191" s="125" t="s">
        <v>172</v>
      </c>
      <c r="B191" s="126">
        <v>2530</v>
      </c>
      <c r="C191" s="77">
        <v>-5.0656660399999998E-2</v>
      </c>
      <c r="D191" s="15">
        <v>2560</v>
      </c>
      <c r="E191" s="32">
        <f t="shared" si="102"/>
        <v>1.1857707509881422E-2</v>
      </c>
      <c r="F191" s="18">
        <f>IF(ISNUMBER(D191), $B199 * E191, "")</f>
        <v>1185.7707509881423</v>
      </c>
      <c r="G191" s="31">
        <v>2635</v>
      </c>
      <c r="H191" s="32">
        <f t="shared" si="103"/>
        <v>4.1501976284584984E-2</v>
      </c>
      <c r="I191" s="101">
        <f>IF(ISNUMBER(G191), $B199 * H191, "")</f>
        <v>4150.197628458498</v>
      </c>
      <c r="J191" s="15">
        <v>2635</v>
      </c>
      <c r="K191" s="32">
        <f t="shared" si="104"/>
        <v>4.1501976284584984E-2</v>
      </c>
      <c r="L191" s="18">
        <f>IF(ISNUMBER(J191), $B199 * K191, "")</f>
        <v>4150.197628458498</v>
      </c>
      <c r="M191" s="31">
        <v>2615</v>
      </c>
      <c r="N191" s="32">
        <f t="shared" si="105"/>
        <v>3.3596837944664032E-2</v>
      </c>
      <c r="O191" s="18">
        <f>IF(ISNUMBER(M191), $B199 * N191, "")</f>
        <v>3359.683794466403</v>
      </c>
      <c r="Q191" s="238"/>
      <c r="R191" s="238"/>
      <c r="S191" s="238"/>
    </row>
    <row r="192" spans="1:19" ht="17.25" thickBot="1">
      <c r="A192" s="125" t="s">
        <v>110</v>
      </c>
      <c r="B192" s="126">
        <v>185</v>
      </c>
      <c r="C192" s="77">
        <v>-5.1282051299999999E-2</v>
      </c>
      <c r="D192" s="15">
        <v>186</v>
      </c>
      <c r="E192" s="32">
        <f t="shared" si="102"/>
        <v>5.4054054054054057E-3</v>
      </c>
      <c r="F192" s="18">
        <f>IF(ISNUMBER(D192), $B199 * E192, "")</f>
        <v>540.54054054054052</v>
      </c>
      <c r="G192" s="31">
        <v>188</v>
      </c>
      <c r="H192" s="32">
        <f t="shared" si="103"/>
        <v>1.6216216216216217E-2</v>
      </c>
      <c r="I192" s="101">
        <f>IF(ISNUMBER(G192), $B199 * H192, "")</f>
        <v>1621.6216216216217</v>
      </c>
      <c r="J192" s="15">
        <v>191</v>
      </c>
      <c r="K192" s="32">
        <f t="shared" si="104"/>
        <v>3.2432432432432434E-2</v>
      </c>
      <c r="L192" s="18">
        <f>IF(ISNUMBER(J192), $B199 * K192, "")</f>
        <v>3243.2432432432433</v>
      </c>
      <c r="M192" s="31">
        <v>189</v>
      </c>
      <c r="N192" s="32">
        <f t="shared" si="105"/>
        <v>2.1621621621621623E-2</v>
      </c>
      <c r="O192" s="18">
        <f>IF(ISNUMBER(M192), $B199 * N192, "")</f>
        <v>2162.1621621621621</v>
      </c>
      <c r="Q192" s="248"/>
      <c r="R192" s="248"/>
      <c r="S192" s="248"/>
    </row>
    <row r="193" spans="1:19" ht="17.25" thickBot="1">
      <c r="A193" s="127" t="s">
        <v>228</v>
      </c>
      <c r="B193" s="128">
        <v>377</v>
      </c>
      <c r="C193" s="78">
        <v>-5.2763819099999998E-2</v>
      </c>
      <c r="D193" s="20">
        <v>383</v>
      </c>
      <c r="E193" s="21">
        <f t="shared" si="102"/>
        <v>1.5915119363395226E-2</v>
      </c>
      <c r="F193" s="22">
        <f>IF(ISNUMBER(D193), $B199 * E193, "")</f>
        <v>1591.5119363395227</v>
      </c>
      <c r="G193" s="30">
        <v>387</v>
      </c>
      <c r="H193" s="21">
        <f t="shared" si="103"/>
        <v>2.6525198938992044E-2</v>
      </c>
      <c r="I193" s="105">
        <f>IF(ISNUMBER(G193), $B199 * H193, "")</f>
        <v>2652.5198938992044</v>
      </c>
      <c r="J193" s="20">
        <v>390</v>
      </c>
      <c r="K193" s="21">
        <f t="shared" si="104"/>
        <v>3.4482758620689655E-2</v>
      </c>
      <c r="L193" s="22">
        <f>IF(ISNUMBER(J193), $B199 * K193, "")</f>
        <v>3448.2758620689656</v>
      </c>
      <c r="M193" s="30">
        <v>389</v>
      </c>
      <c r="N193" s="21">
        <f t="shared" si="105"/>
        <v>3.1830238726790451E-2</v>
      </c>
      <c r="O193" s="22">
        <f>IF(ISNUMBER(M193), $B199 * N193, "")</f>
        <v>3183.0238726790453</v>
      </c>
      <c r="Q193" s="248"/>
      <c r="R193" s="248"/>
      <c r="S193" s="248"/>
    </row>
    <row r="194" spans="1:19" ht="17.25" thickBot="1">
      <c r="A194" s="125" t="s">
        <v>196</v>
      </c>
      <c r="B194" s="129">
        <v>4270</v>
      </c>
      <c r="C194" s="80">
        <v>-5.3215077600000001E-2</v>
      </c>
      <c r="D194" s="106">
        <v>4295</v>
      </c>
      <c r="E194" s="107">
        <f>IF(ISNUMBER(D194), (D194 - $B194) / $B194, "")</f>
        <v>5.8548009367681503E-3</v>
      </c>
      <c r="F194" s="108">
        <f>IF(ISNUMBER(D194), $B199 * E194, "")</f>
        <v>585.48009367681505</v>
      </c>
      <c r="G194" s="109">
        <v>4325</v>
      </c>
      <c r="H194" s="107">
        <f>IF(ISNUMBER(G194), (G194 - $B194) / $B194, "")</f>
        <v>1.288056206088993E-2</v>
      </c>
      <c r="I194" s="110">
        <f>IF(ISNUMBER(G194), $B199 * H194, "")</f>
        <v>1288.0562060889931</v>
      </c>
      <c r="J194" s="106">
        <v>4375</v>
      </c>
      <c r="K194" s="107">
        <f>IF(ISNUMBER(J194), (J194 - $B194) / $B194, "")</f>
        <v>2.4590163934426229E-2</v>
      </c>
      <c r="L194" s="108">
        <f>IF(ISNUMBER(J194), $B199 * K194, "")</f>
        <v>2459.0163934426228</v>
      </c>
      <c r="M194" s="109">
        <v>4335</v>
      </c>
      <c r="N194" s="107">
        <f>IF(ISNUMBER(M194), (M194 - $B194) / $B194, "")</f>
        <v>1.5222482435597189E-2</v>
      </c>
      <c r="O194" s="108">
        <f>IF(ISNUMBER(M194), $B199 * N194, "")</f>
        <v>1522.248243559719</v>
      </c>
      <c r="Q194" s="238"/>
      <c r="R194" s="238"/>
      <c r="S194" s="238"/>
    </row>
    <row r="195" spans="1:19" ht="17.25" thickBot="1">
      <c r="A195" s="125" t="s">
        <v>142</v>
      </c>
      <c r="B195" s="126">
        <v>10070</v>
      </c>
      <c r="C195" s="77">
        <v>-5.4460093899999999E-2</v>
      </c>
      <c r="D195" s="15">
        <v>10130</v>
      </c>
      <c r="E195" s="32">
        <f t="shared" ref="E195:E198" si="106">IF(ISNUMBER(D195), (D195 - $B195) / $B195, "")</f>
        <v>5.9582919563058593E-3</v>
      </c>
      <c r="F195" s="18">
        <f>IF(ISNUMBER(D195), $B199 * E195, "")</f>
        <v>595.8291956305859</v>
      </c>
      <c r="G195" s="31">
        <v>10390</v>
      </c>
      <c r="H195" s="32">
        <f t="shared" ref="H195:H198" si="107">IF(ISNUMBER(G195), (G195 - $B195) / $B195, "")</f>
        <v>3.1777557100297914E-2</v>
      </c>
      <c r="I195" s="101">
        <f>IF(ISNUMBER(G195), $B199 * H195, "")</f>
        <v>3177.7557100297913</v>
      </c>
      <c r="J195" s="15">
        <v>10420</v>
      </c>
      <c r="K195" s="32">
        <f t="shared" ref="K195:K198" si="108">IF(ISNUMBER(J195), (J195 - $B195) / $B195, "")</f>
        <v>3.4756703078450843E-2</v>
      </c>
      <c r="L195" s="18">
        <f>IF(ISNUMBER(J195), $B199 * K195, "")</f>
        <v>3475.6703078450842</v>
      </c>
      <c r="M195" s="31">
        <v>10380</v>
      </c>
      <c r="N195" s="32">
        <f t="shared" ref="N195:N198" si="109">IF(ISNUMBER(M195), (M195 - $B195) / $B195, "")</f>
        <v>3.0784508440913606E-2</v>
      </c>
      <c r="O195" s="18">
        <f>IF(ISNUMBER(M195), $B199 * N195, "")</f>
        <v>3078.4508440913605</v>
      </c>
      <c r="Q195" s="238"/>
      <c r="R195" s="238"/>
      <c r="S195" s="238"/>
    </row>
    <row r="196" spans="1:19" ht="17.25" thickBot="1">
      <c r="A196" s="125" t="s">
        <v>232</v>
      </c>
      <c r="B196" s="126">
        <v>506</v>
      </c>
      <c r="C196" s="77">
        <v>-5.5970149300000001E-2</v>
      </c>
      <c r="D196" s="15">
        <v>508</v>
      </c>
      <c r="E196" s="32">
        <f t="shared" si="106"/>
        <v>3.952569169960474E-3</v>
      </c>
      <c r="F196" s="18">
        <f>IF(ISNUMBER(D196), $B199 * E196, "")</f>
        <v>395.25691699604738</v>
      </c>
      <c r="G196" s="31">
        <v>513</v>
      </c>
      <c r="H196" s="32">
        <f t="shared" si="107"/>
        <v>1.383399209486166E-2</v>
      </c>
      <c r="I196" s="101">
        <f>IF(ISNUMBER(G196), $B199 * H196, "")</f>
        <v>1383.399209486166</v>
      </c>
      <c r="J196" s="15">
        <v>517</v>
      </c>
      <c r="K196" s="32">
        <f t="shared" si="108"/>
        <v>2.1739130434782608E-2</v>
      </c>
      <c r="L196" s="18">
        <f>IF(ISNUMBER(J196), $B199 * K196, "")</f>
        <v>2173.913043478261</v>
      </c>
      <c r="M196" s="31">
        <v>515</v>
      </c>
      <c r="N196" s="32">
        <f t="shared" si="109"/>
        <v>1.7786561264822136E-2</v>
      </c>
      <c r="O196" s="18">
        <f>IF(ISNUMBER(M196), $B199 * N196, "")</f>
        <v>1778.6561264822135</v>
      </c>
      <c r="Q196" s="238"/>
      <c r="R196" s="238"/>
      <c r="S196" s="238"/>
    </row>
    <row r="197" spans="1:19">
      <c r="A197" s="125" t="s">
        <v>166</v>
      </c>
      <c r="B197" s="126">
        <v>261</v>
      </c>
      <c r="C197" s="77">
        <v>-6.1151079099999998E-2</v>
      </c>
      <c r="D197" s="15">
        <v>262</v>
      </c>
      <c r="E197" s="32">
        <f t="shared" si="106"/>
        <v>3.8314176245210726E-3</v>
      </c>
      <c r="F197" s="18">
        <f>IF(ISNUMBER(D197), $B199 * E197, "")</f>
        <v>383.14176245210729</v>
      </c>
      <c r="G197" s="31">
        <v>263</v>
      </c>
      <c r="H197" s="32">
        <f t="shared" si="107"/>
        <v>7.6628352490421452E-3</v>
      </c>
      <c r="I197" s="101">
        <f>IF(ISNUMBER(G197), $B199 * H197, "")</f>
        <v>766.28352490421457</v>
      </c>
      <c r="J197" s="15">
        <v>265</v>
      </c>
      <c r="K197" s="32">
        <f t="shared" si="108"/>
        <v>1.532567049808429E-2</v>
      </c>
      <c r="L197" s="18">
        <f>IF(ISNUMBER(J197), $B199 * K197, "")</f>
        <v>1532.5670498084291</v>
      </c>
      <c r="M197" s="31">
        <v>263</v>
      </c>
      <c r="N197" s="32">
        <f t="shared" si="109"/>
        <v>7.6628352490421452E-3</v>
      </c>
      <c r="O197" s="18">
        <f>IF(ISNUMBER(M197), $B199 * N197, "")</f>
        <v>766.28352490421457</v>
      </c>
      <c r="Q197" s="227"/>
      <c r="R197" s="228"/>
      <c r="S197" s="229"/>
    </row>
    <row r="198" spans="1:19" ht="17.25" thickBot="1">
      <c r="A198" s="130" t="s">
        <v>222</v>
      </c>
      <c r="B198" s="131">
        <v>149</v>
      </c>
      <c r="C198" s="79">
        <v>-7.4534161500000001E-2</v>
      </c>
      <c r="D198" s="24">
        <v>151</v>
      </c>
      <c r="E198" s="25">
        <f t="shared" si="106"/>
        <v>1.3422818791946308E-2</v>
      </c>
      <c r="F198" s="104">
        <f>IF(ISNUMBER(D198), $B199 * E198, "")</f>
        <v>1342.2818791946308</v>
      </c>
      <c r="G198" s="102">
        <v>154</v>
      </c>
      <c r="H198" s="25">
        <f t="shared" si="107"/>
        <v>3.3557046979865772E-2</v>
      </c>
      <c r="I198" s="103">
        <f>IF(ISNUMBER(G198), $B199 * H198, "")</f>
        <v>3355.7046979865772</v>
      </c>
      <c r="J198" s="24">
        <v>155</v>
      </c>
      <c r="K198" s="25">
        <f t="shared" si="108"/>
        <v>4.0268456375838924E-2</v>
      </c>
      <c r="L198" s="104">
        <f>IF(ISNUMBER(J198), $B199 * K198, "")</f>
        <v>4026.8456375838923</v>
      </c>
      <c r="M198" s="102">
        <v>153</v>
      </c>
      <c r="N198" s="25">
        <f t="shared" si="109"/>
        <v>2.6845637583892617E-2</v>
      </c>
      <c r="O198" s="104">
        <f>IF(ISNUMBER(M198), $B199 * N198, "")</f>
        <v>2684.5637583892617</v>
      </c>
      <c r="Q198" s="230"/>
      <c r="R198" s="231"/>
      <c r="S198" s="232"/>
    </row>
    <row r="199" spans="1:19" ht="17.25" thickBot="1">
      <c r="A199" s="132" t="s">
        <v>270</v>
      </c>
      <c r="B199" s="291">
        <f>$B$37</f>
        <v>100000</v>
      </c>
      <c r="C199" s="292"/>
      <c r="D199" s="26" t="s">
        <v>271</v>
      </c>
      <c r="E199" s="27">
        <f>IF(COUNT(E179:E198), SUM(E179:E198) / COUNT(E179:E198), 0)</f>
        <v>9.26833981045053E-3</v>
      </c>
      <c r="F199" s="28">
        <f>SUM(F179:F198)</f>
        <v>18536.679620901054</v>
      </c>
      <c r="G199" s="26" t="s">
        <v>271</v>
      </c>
      <c r="H199" s="27">
        <f>IF(COUNT(H179:H198), SUM(H179:H198) / COUNT(H179:H198), 0)</f>
        <v>2.4732082551731812E-2</v>
      </c>
      <c r="I199" s="28">
        <f>SUM(I179:I198)</f>
        <v>49464.165103463623</v>
      </c>
      <c r="J199" s="26" t="s">
        <v>271</v>
      </c>
      <c r="K199" s="27">
        <f>IF(COUNT(K179:K198), SUM(K179:K198) / COUNT(K179:K198), 0)</f>
        <v>3.3458954086414763E-2</v>
      </c>
      <c r="L199" s="28">
        <f>SUM(L179:L198)</f>
        <v>66917.908172829513</v>
      </c>
      <c r="M199" s="26" t="s">
        <v>271</v>
      </c>
      <c r="N199" s="27">
        <f>IF(COUNT(N179:N198), SUM(N179:N198) / COUNT(N179:N198), 0)</f>
        <v>2.9444659816488174E-2</v>
      </c>
      <c r="O199" s="28">
        <f>SUM(O179:O198)</f>
        <v>58889.319632976352</v>
      </c>
      <c r="Q199" s="233"/>
      <c r="R199" s="234"/>
      <c r="S199" s="23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4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3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3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3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3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3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3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3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3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3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30" priority="157">
      <formula>AND($N17 &gt; 0, ISNUMBER($N17))</formula>
    </cfRule>
    <cfRule type="expression" dxfId="1629" priority="158">
      <formula>AND($N17 = 0 * ISNUMBER($N17))</formula>
    </cfRule>
    <cfRule type="expression" dxfId="1628" priority="159">
      <formula>AND($N17 &lt; 0, ISNUMBER($N17))</formula>
    </cfRule>
  </conditionalFormatting>
  <conditionalFormatting sqref="A17:F36">
    <cfRule type="expression" dxfId="1627" priority="166">
      <formula>AND($E17 &gt; 0, ISNUMBER($E17))</formula>
    </cfRule>
    <cfRule type="expression" dxfId="1626" priority="167">
      <formula>AND($E17 = 0 * ISNUMBER($E17))</formula>
    </cfRule>
    <cfRule type="expression" dxfId="1625" priority="168">
      <formula>AND($E17 &lt; 0, ISNUMBER($E17))</formula>
    </cfRule>
  </conditionalFormatting>
  <conditionalFormatting sqref="A17:C36 G17:I36">
    <cfRule type="expression" dxfId="1624" priority="163">
      <formula>AND($H17 &gt; 0, ISNUMBER($H17))</formula>
    </cfRule>
    <cfRule type="expression" dxfId="1623" priority="164">
      <formula>AND($H17 = 0 * ISNUMBER($H17))</formula>
    </cfRule>
    <cfRule type="expression" dxfId="1622" priority="165">
      <formula>AND($H17 &lt; 0, ISNUMBER($H17))</formula>
    </cfRule>
  </conditionalFormatting>
  <conditionalFormatting sqref="A17:C36 J17:L36">
    <cfRule type="expression" dxfId="1621" priority="160">
      <formula>AND($K17 &gt; 0, ISNUMBER($K17))</formula>
    </cfRule>
    <cfRule type="expression" dxfId="1620" priority="161">
      <formula>AND($K17 = 0 * ISNUMBER($K17))</formula>
    </cfRule>
    <cfRule type="expression" dxfId="1619" priority="162">
      <formula>AND($K17 &lt; 0, ISNUMBER($K17))</formula>
    </cfRule>
  </conditionalFormatting>
  <conditionalFormatting sqref="D15:F16 E37:F37">
    <cfRule type="expression" dxfId="1618" priority="154">
      <formula>$E$37 &gt; 0</formula>
    </cfRule>
    <cfRule type="expression" dxfId="1617" priority="155">
      <formula>$E$37 = 0</formula>
    </cfRule>
    <cfRule type="expression" dxfId="1616" priority="156">
      <formula>$E$37 &lt; 0</formula>
    </cfRule>
  </conditionalFormatting>
  <conditionalFormatting sqref="G15:I16 H37:I37">
    <cfRule type="expression" dxfId="1615" priority="151">
      <formula>$H$37 &gt; 0</formula>
    </cfRule>
    <cfRule type="expression" dxfId="1614" priority="152">
      <formula>$H$37 = 0</formula>
    </cfRule>
    <cfRule type="expression" dxfId="1613" priority="153">
      <formula>$H$37 &lt; 0</formula>
    </cfRule>
  </conditionalFormatting>
  <conditionalFormatting sqref="J15:L16 K37:L37">
    <cfRule type="expression" dxfId="1612" priority="148">
      <formula>$K$37 &gt; 0</formula>
    </cfRule>
    <cfRule type="expression" dxfId="1611" priority="149">
      <formula>$K$37 = 0</formula>
    </cfRule>
    <cfRule type="expression" dxfId="1610" priority="150">
      <formula>$K$37 &lt; 0</formula>
    </cfRule>
  </conditionalFormatting>
  <conditionalFormatting sqref="M15:O16 N37:O37">
    <cfRule type="expression" dxfId="1609" priority="145">
      <formula>$N$37 &gt; 0</formula>
    </cfRule>
    <cfRule type="expression" dxfId="1608" priority="146">
      <formula>$N$37 = 0</formula>
    </cfRule>
    <cfRule type="expression" dxfId="1607" priority="147">
      <formula>$N$37 &lt; 0</formula>
    </cfRule>
  </conditionalFormatting>
  <conditionalFormatting sqref="A44:C63 M44:O63">
    <cfRule type="expression" dxfId="1606" priority="133">
      <formula>AND($N44 &gt; 0, ISNUMBER($N44))</formula>
    </cfRule>
    <cfRule type="expression" dxfId="1605" priority="134">
      <formula>AND($N44 = 0 * ISNUMBER($N44))</formula>
    </cfRule>
    <cfRule type="expression" dxfId="1604" priority="135">
      <formula>AND($N44 &lt; 0, ISNUMBER($N44))</formula>
    </cfRule>
  </conditionalFormatting>
  <conditionalFormatting sqref="A44:F63">
    <cfRule type="expression" dxfId="1603" priority="142">
      <formula>AND($E44 &gt; 0, ISNUMBER($E44))</formula>
    </cfRule>
    <cfRule type="expression" dxfId="1602" priority="143">
      <formula>AND($E44 = 0 * ISNUMBER($E44))</formula>
    </cfRule>
    <cfRule type="expression" dxfId="1601" priority="144">
      <formula>AND($E44 &lt; 0, ISNUMBER($E44))</formula>
    </cfRule>
  </conditionalFormatting>
  <conditionalFormatting sqref="A44:C63 G44:I63">
    <cfRule type="expression" dxfId="1600" priority="139">
      <formula>AND($H44 &gt; 0, ISNUMBER($H44))</formula>
    </cfRule>
    <cfRule type="expression" dxfId="1599" priority="140">
      <formula>AND($H44 = 0 * ISNUMBER($H44))</formula>
    </cfRule>
    <cfRule type="expression" dxfId="1598" priority="141">
      <formula>AND($H44 &lt; 0, ISNUMBER($H44))</formula>
    </cfRule>
  </conditionalFormatting>
  <conditionalFormatting sqref="A44:C63 J44:L63">
    <cfRule type="expression" dxfId="1597" priority="136">
      <formula>AND($K44 &gt; 0, ISNUMBER($K44))</formula>
    </cfRule>
    <cfRule type="expression" dxfId="1596" priority="137">
      <formula>AND($K44 = 0 * ISNUMBER($K44))</formula>
    </cfRule>
    <cfRule type="expression" dxfId="1595" priority="138">
      <formula>AND($K44 &lt; 0, ISNUMBER($K44))</formula>
    </cfRule>
  </conditionalFormatting>
  <conditionalFormatting sqref="D42:F43 E64:F64">
    <cfRule type="expression" dxfId="1594" priority="130">
      <formula>$E$64 &gt; 0</formula>
    </cfRule>
    <cfRule type="expression" dxfId="1593" priority="131">
      <formula>$E$64 = 0</formula>
    </cfRule>
    <cfRule type="expression" dxfId="1592" priority="132">
      <formula>$E$64 &lt; 0</formula>
    </cfRule>
  </conditionalFormatting>
  <conditionalFormatting sqref="G42:I43 H64:I64">
    <cfRule type="expression" dxfId="1591" priority="127">
      <formula>$H$64 &gt; 0</formula>
    </cfRule>
    <cfRule type="expression" dxfId="1590" priority="128">
      <formula>$H$64 = 0</formula>
    </cfRule>
    <cfRule type="expression" dxfId="1589" priority="129">
      <formula>$H$64 &lt; 0</formula>
    </cfRule>
  </conditionalFormatting>
  <conditionalFormatting sqref="J42:L43 K64:L64">
    <cfRule type="expression" dxfId="1588" priority="124">
      <formula>$K$64 &gt; 0</formula>
    </cfRule>
    <cfRule type="expression" dxfId="1587" priority="125">
      <formula>$K$64 = 0</formula>
    </cfRule>
    <cfRule type="expression" dxfId="1586" priority="126">
      <formula>$K$64 &lt; 0</formula>
    </cfRule>
  </conditionalFormatting>
  <conditionalFormatting sqref="M42:O43 N64:O64">
    <cfRule type="expression" dxfId="1585" priority="121">
      <formula>$N$64 &gt; 0</formula>
    </cfRule>
    <cfRule type="expression" dxfId="1584" priority="122">
      <formula>$N$64 = 0</formula>
    </cfRule>
    <cfRule type="expression" dxfId="1583" priority="123">
      <formula>$N$64 &lt; 0</formula>
    </cfRule>
  </conditionalFormatting>
  <conditionalFormatting sqref="A71:C90 M71:O90">
    <cfRule type="expression" dxfId="1582" priority="109">
      <formula>AND($N71 &gt; 0, ISNUMBER($N71))</formula>
    </cfRule>
    <cfRule type="expression" dxfId="1581" priority="110">
      <formula>AND($N71 = 0 * ISNUMBER($N71))</formula>
    </cfRule>
    <cfRule type="expression" dxfId="1580" priority="111">
      <formula>AND($N71 &lt; 0, ISNUMBER($N71))</formula>
    </cfRule>
  </conditionalFormatting>
  <conditionalFormatting sqref="A71:F90">
    <cfRule type="expression" dxfId="1579" priority="118">
      <formula>AND($E71 &gt; 0, ISNUMBER($E71))</formula>
    </cfRule>
    <cfRule type="expression" dxfId="1578" priority="119">
      <formula>AND($E71 = 0 * ISNUMBER($E71))</formula>
    </cfRule>
    <cfRule type="expression" dxfId="1577" priority="120">
      <formula>AND($E71 &lt; 0, ISNUMBER($E71))</formula>
    </cfRule>
  </conditionalFormatting>
  <conditionalFormatting sqref="A71:C90 G71:I90">
    <cfRule type="expression" dxfId="1576" priority="115">
      <formula>AND($H71 &gt; 0, ISNUMBER($H71))</formula>
    </cfRule>
    <cfRule type="expression" dxfId="1575" priority="116">
      <formula>AND($H71 = 0 * ISNUMBER($H71))</formula>
    </cfRule>
    <cfRule type="expression" dxfId="1574" priority="117">
      <formula>AND($H71 &lt; 0, ISNUMBER($H71))</formula>
    </cfRule>
  </conditionalFormatting>
  <conditionalFormatting sqref="A71:C90 J71:L90">
    <cfRule type="expression" dxfId="1573" priority="112">
      <formula>AND($K71 &gt; 0, ISNUMBER($K71))</formula>
    </cfRule>
    <cfRule type="expression" dxfId="1572" priority="113">
      <formula>AND($K71 = 0 * ISNUMBER($K71))</formula>
    </cfRule>
    <cfRule type="expression" dxfId="1571" priority="114">
      <formula>AND($K71 &lt; 0, ISNUMBER($K71))</formula>
    </cfRule>
  </conditionalFormatting>
  <conditionalFormatting sqref="D69:F70 E91:F91">
    <cfRule type="expression" dxfId="1570" priority="106">
      <formula>$E$91 &gt; 0</formula>
    </cfRule>
    <cfRule type="expression" dxfId="1569" priority="107">
      <formula>$E$91 = 0</formula>
    </cfRule>
    <cfRule type="expression" dxfId="1568" priority="108">
      <formula>$E$91 &lt; 0</formula>
    </cfRule>
  </conditionalFormatting>
  <conditionalFormatting sqref="G69:I70 H91:I91">
    <cfRule type="expression" dxfId="1567" priority="103">
      <formula>$H$91 &gt; 0</formula>
    </cfRule>
    <cfRule type="expression" dxfId="1566" priority="104">
      <formula>$H$91 = 0</formula>
    </cfRule>
    <cfRule type="expression" dxfId="1565" priority="105">
      <formula>$H$91 &lt; 0</formula>
    </cfRule>
  </conditionalFormatting>
  <conditionalFormatting sqref="J69:L70 K91:L91">
    <cfRule type="expression" dxfId="1564" priority="100">
      <formula>$K$91 &gt; 0</formula>
    </cfRule>
    <cfRule type="expression" dxfId="1563" priority="101">
      <formula>$K$91 = 0</formula>
    </cfRule>
    <cfRule type="expression" dxfId="1562" priority="102">
      <formula>$K$91 &lt; 0</formula>
    </cfRule>
  </conditionalFormatting>
  <conditionalFormatting sqref="M69:O70 N91:O91">
    <cfRule type="expression" dxfId="1561" priority="97">
      <formula>$N$91 &gt; 0</formula>
    </cfRule>
    <cfRule type="expression" dxfId="1560" priority="98">
      <formula>$N$91 = 0</formula>
    </cfRule>
    <cfRule type="expression" dxfId="1559" priority="99">
      <formula>$N$91 &lt; 0</formula>
    </cfRule>
  </conditionalFormatting>
  <conditionalFormatting sqref="A98:C117 M98:O117">
    <cfRule type="expression" dxfId="1558" priority="85">
      <formula>AND($N98 &gt; 0, ISNUMBER($N98))</formula>
    </cfRule>
    <cfRule type="expression" dxfId="1557" priority="86">
      <formula>AND($N98 = 0 * ISNUMBER($N98))</formula>
    </cfRule>
    <cfRule type="expression" dxfId="1556" priority="87">
      <formula>AND($N98 &lt; 0, ISNUMBER($N98))</formula>
    </cfRule>
  </conditionalFormatting>
  <conditionalFormatting sqref="A98:F117">
    <cfRule type="expression" dxfId="1555" priority="94">
      <formula>AND($E98 &gt; 0, ISNUMBER($E98))</formula>
    </cfRule>
    <cfRule type="expression" dxfId="1554" priority="95">
      <formula>AND($E98 = 0 * ISNUMBER($E98))</formula>
    </cfRule>
    <cfRule type="expression" dxfId="1553" priority="96">
      <formula>AND($E98 &lt; 0, ISNUMBER($E98))</formula>
    </cfRule>
  </conditionalFormatting>
  <conditionalFormatting sqref="A98:C117 G98:I117">
    <cfRule type="expression" dxfId="1552" priority="91">
      <formula>AND($H98 &gt; 0, ISNUMBER($H98))</formula>
    </cfRule>
    <cfRule type="expression" dxfId="1551" priority="92">
      <formula>AND($H98 = 0 * ISNUMBER($H98))</formula>
    </cfRule>
    <cfRule type="expression" dxfId="1550" priority="93">
      <formula>AND($H98 &lt; 0, ISNUMBER($H98))</formula>
    </cfRule>
  </conditionalFormatting>
  <conditionalFormatting sqref="A98:C117 J98:L117">
    <cfRule type="expression" dxfId="1549" priority="88">
      <formula>AND($K98 &gt; 0, ISNUMBER($K98))</formula>
    </cfRule>
    <cfRule type="expression" dxfId="1548" priority="89">
      <formula>AND($K98 = 0 * ISNUMBER($K98))</formula>
    </cfRule>
    <cfRule type="expression" dxfId="1547" priority="90">
      <formula>AND($K98 &lt; 0, ISNUMBER($K98))</formula>
    </cfRule>
  </conditionalFormatting>
  <conditionalFormatting sqref="D96:F97 E118:F118">
    <cfRule type="expression" dxfId="1546" priority="82">
      <formula>$E$118 &gt; 0</formula>
    </cfRule>
    <cfRule type="expression" dxfId="1545" priority="83">
      <formula>$E$118 = 0</formula>
    </cfRule>
    <cfRule type="expression" dxfId="1544" priority="84">
      <formula>$E$118 &lt; 0</formula>
    </cfRule>
  </conditionalFormatting>
  <conditionalFormatting sqref="G96:I97 H118:I118">
    <cfRule type="expression" dxfId="1543" priority="79">
      <formula>$H$118 &gt; 0</formula>
    </cfRule>
    <cfRule type="expression" dxfId="1542" priority="80">
      <formula>$H$118 = 0</formula>
    </cfRule>
    <cfRule type="expression" dxfId="1541" priority="81">
      <formula>$H$118 &lt; 0</formula>
    </cfRule>
  </conditionalFormatting>
  <conditionalFormatting sqref="J96:L97 K118:L118">
    <cfRule type="expression" dxfId="1540" priority="76">
      <formula>$K$118 &gt; 0</formula>
    </cfRule>
    <cfRule type="expression" dxfId="1539" priority="77">
      <formula>$K$118 = 0</formula>
    </cfRule>
    <cfRule type="expression" dxfId="1538" priority="78">
      <formula>$K$118 &lt; 0</formula>
    </cfRule>
  </conditionalFormatting>
  <conditionalFormatting sqref="M96:O97 N118:O118">
    <cfRule type="expression" dxfId="1537" priority="73">
      <formula>$N$118 &gt; 0</formula>
    </cfRule>
    <cfRule type="expression" dxfId="1536" priority="74">
      <formula>$N$118 = 0</formula>
    </cfRule>
    <cfRule type="expression" dxfId="1535" priority="75">
      <formula>$N$118 &lt; 0</formula>
    </cfRule>
  </conditionalFormatting>
  <conditionalFormatting sqref="A125:C144 M125:O144">
    <cfRule type="expression" dxfId="1534" priority="61">
      <formula>AND($N125 &gt; 0, ISNUMBER($N125))</formula>
    </cfRule>
    <cfRule type="expression" dxfId="1533" priority="62">
      <formula>AND($N125 = 0 * ISNUMBER($N125))</formula>
    </cfRule>
    <cfRule type="expression" dxfId="1532" priority="63">
      <formula>AND($N125 &lt; 0, ISNUMBER($N125))</formula>
    </cfRule>
  </conditionalFormatting>
  <conditionalFormatting sqref="A125:F144">
    <cfRule type="expression" dxfId="1531" priority="70">
      <formula>AND($E125 &gt; 0, ISNUMBER($E125))</formula>
    </cfRule>
    <cfRule type="expression" dxfId="1530" priority="71">
      <formula>AND($E125 = 0 * ISNUMBER($E125))</formula>
    </cfRule>
    <cfRule type="expression" dxfId="1529" priority="72">
      <formula>AND($E125 &lt; 0, ISNUMBER($E125))</formula>
    </cfRule>
  </conditionalFormatting>
  <conditionalFormatting sqref="A125:C144 G125:I144">
    <cfRule type="expression" dxfId="1528" priority="67">
      <formula>AND($H125 &gt; 0, ISNUMBER($H125))</formula>
    </cfRule>
    <cfRule type="expression" dxfId="1527" priority="68">
      <formula>AND($H125 = 0 * ISNUMBER($H125))</formula>
    </cfRule>
    <cfRule type="expression" dxfId="1526" priority="69">
      <formula>AND($H125 &lt; 0, ISNUMBER($H125))</formula>
    </cfRule>
  </conditionalFormatting>
  <conditionalFormatting sqref="A125:C144 J125:L144">
    <cfRule type="expression" dxfId="1525" priority="64">
      <formula>AND($K125 &gt; 0, ISNUMBER($K125))</formula>
    </cfRule>
    <cfRule type="expression" dxfId="1524" priority="65">
      <formula>AND($K125 = 0 * ISNUMBER($K125))</formula>
    </cfRule>
    <cfRule type="expression" dxfId="1523" priority="66">
      <formula>AND($K125 &lt; 0, ISNUMBER($K125))</formula>
    </cfRule>
  </conditionalFormatting>
  <conditionalFormatting sqref="D123:F124 E145:F145">
    <cfRule type="expression" dxfId="1522" priority="58">
      <formula>$E$145 &gt; 0</formula>
    </cfRule>
    <cfRule type="expression" dxfId="1521" priority="59">
      <formula>$E$145 = 0</formula>
    </cfRule>
    <cfRule type="expression" dxfId="1520" priority="60">
      <formula>$E$145 &lt; 0</formula>
    </cfRule>
  </conditionalFormatting>
  <conditionalFormatting sqref="G123:I124 H145:I145">
    <cfRule type="expression" dxfId="1519" priority="55">
      <formula>$H$145 &gt; 0</formula>
    </cfRule>
    <cfRule type="expression" dxfId="1518" priority="56">
      <formula>$H$145 = 0</formula>
    </cfRule>
    <cfRule type="expression" dxfId="1517" priority="57">
      <formula>$H$145 &lt; 0</formula>
    </cfRule>
  </conditionalFormatting>
  <conditionalFormatting sqref="J123:L124 K145:L145">
    <cfRule type="expression" dxfId="1516" priority="52">
      <formula>$K$145 &gt; 0</formula>
    </cfRule>
    <cfRule type="expression" dxfId="1515" priority="53">
      <formula>$K$145 = 0</formula>
    </cfRule>
    <cfRule type="expression" dxfId="1514" priority="54">
      <formula>$K$145 &lt; 0</formula>
    </cfRule>
  </conditionalFormatting>
  <conditionalFormatting sqref="M123:O124 N145:O145">
    <cfRule type="expression" dxfId="1513" priority="49">
      <formula>$N$145 &gt; 0</formula>
    </cfRule>
    <cfRule type="expression" dxfId="1512" priority="50">
      <formula>$N$145 = 0</formula>
    </cfRule>
    <cfRule type="expression" dxfId="1511" priority="51">
      <formula>$N$145 &lt; 0</formula>
    </cfRule>
  </conditionalFormatting>
  <conditionalFormatting sqref="A152:C171 M152:O171">
    <cfRule type="expression" dxfId="1510" priority="37">
      <formula>AND($N152 &gt; 0, ISNUMBER($N152))</formula>
    </cfRule>
    <cfRule type="expression" dxfId="1509" priority="38">
      <formula>AND($N152 = 0 * ISNUMBER($N152))</formula>
    </cfRule>
    <cfRule type="expression" dxfId="1508" priority="39">
      <formula>AND($N152 &lt; 0, ISNUMBER($N152))</formula>
    </cfRule>
  </conditionalFormatting>
  <conditionalFormatting sqref="A152:F171">
    <cfRule type="expression" dxfId="1507" priority="46">
      <formula>AND($E152 &gt; 0, ISNUMBER($E152))</formula>
    </cfRule>
    <cfRule type="expression" dxfId="1506" priority="47">
      <formula>AND($E152 = 0 * ISNUMBER($E152))</formula>
    </cfRule>
    <cfRule type="expression" dxfId="1505" priority="48">
      <formula>AND($E152 &lt; 0, ISNUMBER($E152))</formula>
    </cfRule>
  </conditionalFormatting>
  <conditionalFormatting sqref="A152:C171 G152:I171">
    <cfRule type="expression" dxfId="1504" priority="43">
      <formula>AND($H152 &gt; 0, ISNUMBER($H152))</formula>
    </cfRule>
    <cfRule type="expression" dxfId="1503" priority="44">
      <formula>AND($H152 = 0 * ISNUMBER($H152))</formula>
    </cfRule>
    <cfRule type="expression" dxfId="1502" priority="45">
      <formula>AND($H152 &lt; 0, ISNUMBER($H152))</formula>
    </cfRule>
  </conditionalFormatting>
  <conditionalFormatting sqref="A152:C171 J152:L171">
    <cfRule type="expression" dxfId="1501" priority="40">
      <formula>AND($K152 &gt; 0, ISNUMBER($K152))</formula>
    </cfRule>
    <cfRule type="expression" dxfId="1500" priority="41">
      <formula>AND($K152 = 0 * ISNUMBER($K152))</formula>
    </cfRule>
    <cfRule type="expression" dxfId="1499" priority="42">
      <formula>AND($K152 &lt; 0, ISNUMBER($K152))</formula>
    </cfRule>
  </conditionalFormatting>
  <conditionalFormatting sqref="D150:F151 E172:F172">
    <cfRule type="expression" dxfId="1498" priority="34">
      <formula>$E$172 &gt; 0</formula>
    </cfRule>
    <cfRule type="expression" dxfId="1497" priority="35">
      <formula>$E$172 = 0</formula>
    </cfRule>
    <cfRule type="expression" dxfId="1496" priority="36">
      <formula>$E$172 &lt; 0</formula>
    </cfRule>
  </conditionalFormatting>
  <conditionalFormatting sqref="G150:I151 H172:I172">
    <cfRule type="expression" dxfId="1495" priority="31">
      <formula>$H$172 &gt; 0</formula>
    </cfRule>
    <cfRule type="expression" dxfId="1494" priority="32">
      <formula>$H$172 = 0</formula>
    </cfRule>
    <cfRule type="expression" dxfId="1493" priority="33">
      <formula>$H$172 &lt; 0</formula>
    </cfRule>
  </conditionalFormatting>
  <conditionalFormatting sqref="J150:L151 K172:L172">
    <cfRule type="expression" dxfId="1492" priority="28">
      <formula>$K$172 &gt; 0</formula>
    </cfRule>
    <cfRule type="expression" dxfId="1491" priority="29">
      <formula>$K$172 = 0</formula>
    </cfRule>
    <cfRule type="expression" dxfId="1490" priority="30">
      <formula>$K$172 &lt; 0</formula>
    </cfRule>
  </conditionalFormatting>
  <conditionalFormatting sqref="M150:O151 N172:O172">
    <cfRule type="expression" dxfId="1489" priority="25">
      <formula>$N$172 &gt; 0</formula>
    </cfRule>
    <cfRule type="expression" dxfId="1488" priority="26">
      <formula>$N$172 = 0</formula>
    </cfRule>
    <cfRule type="expression" dxfId="1487" priority="27">
      <formula>$N$172 &lt; 0</formula>
    </cfRule>
  </conditionalFormatting>
  <conditionalFormatting sqref="A179:C198 M179:O198">
    <cfRule type="expression" dxfId="1486" priority="13">
      <formula>AND($N179 &gt; 0, ISNUMBER($N179))</formula>
    </cfRule>
    <cfRule type="expression" dxfId="1485" priority="14">
      <formula>AND($N179 = 0 * ISNUMBER($N179))</formula>
    </cfRule>
    <cfRule type="expression" dxfId="1484" priority="15">
      <formula>AND($N179 &lt; 0, ISNUMBER($N179))</formula>
    </cfRule>
  </conditionalFormatting>
  <conditionalFormatting sqref="A179:F198">
    <cfRule type="expression" dxfId="1483" priority="22">
      <formula>AND($E179 &gt; 0, ISNUMBER($E179))</formula>
    </cfRule>
    <cfRule type="expression" dxfId="1482" priority="23">
      <formula>AND($E179 = 0 * ISNUMBER($E179))</formula>
    </cfRule>
    <cfRule type="expression" dxfId="1481" priority="24">
      <formula>AND($E179 &lt; 0, ISNUMBER($E179))</formula>
    </cfRule>
  </conditionalFormatting>
  <conditionalFormatting sqref="A179:C198 G179:I198">
    <cfRule type="expression" dxfId="1480" priority="19">
      <formula>AND($H179 &gt; 0, ISNUMBER($H179))</formula>
    </cfRule>
    <cfRule type="expression" dxfId="1479" priority="20">
      <formula>AND($H179 = 0 * ISNUMBER($H179))</formula>
    </cfRule>
    <cfRule type="expression" dxfId="1478" priority="21">
      <formula>AND($H179 &lt; 0, ISNUMBER($H179))</formula>
    </cfRule>
  </conditionalFormatting>
  <conditionalFormatting sqref="A179:C198 J179:L198">
    <cfRule type="expression" dxfId="1477" priority="16">
      <formula>AND($K179 &gt; 0, ISNUMBER($K179))</formula>
    </cfRule>
    <cfRule type="expression" dxfId="1476" priority="17">
      <formula>AND($K179 = 0 * ISNUMBER($K179))</formula>
    </cfRule>
    <cfRule type="expression" dxfId="1475" priority="18">
      <formula>AND($K179 &lt; 0, ISNUMBER($K179))</formula>
    </cfRule>
  </conditionalFormatting>
  <conditionalFormatting sqref="D177:F178 E199:F199">
    <cfRule type="expression" dxfId="1474" priority="10">
      <formula>$E$199 &gt; 0</formula>
    </cfRule>
    <cfRule type="expression" dxfId="1473" priority="11">
      <formula>$E$199 = 0</formula>
    </cfRule>
    <cfRule type="expression" dxfId="1472" priority="12">
      <formula>$E$199 &lt; 0</formula>
    </cfRule>
  </conditionalFormatting>
  <conditionalFormatting sqref="G177:I178 H199:I199">
    <cfRule type="expression" dxfId="1471" priority="7">
      <formula>$H$199 &gt; 0</formula>
    </cfRule>
    <cfRule type="expression" dxfId="1470" priority="8">
      <formula>$H$199 = 0</formula>
    </cfRule>
    <cfRule type="expression" dxfId="1469" priority="9">
      <formula>$H$199 &lt; 0</formula>
    </cfRule>
  </conditionalFormatting>
  <conditionalFormatting sqref="J177:L178 K199:L199">
    <cfRule type="expression" dxfId="1468" priority="4">
      <formula>$K$199 &gt; 0</formula>
    </cfRule>
    <cfRule type="expression" dxfId="1467" priority="5">
      <formula>$K$199 = 0</formula>
    </cfRule>
    <cfRule type="expression" dxfId="1466" priority="6">
      <formula>$K$199 &lt; 0</formula>
    </cfRule>
  </conditionalFormatting>
  <conditionalFormatting sqref="M177:O178 N199:O199">
    <cfRule type="expression" dxfId="1465" priority="1">
      <formula>$N$199 &gt; 0</formula>
    </cfRule>
    <cfRule type="expression" dxfId="1464" priority="2">
      <formula>$N$199 = 0</formula>
    </cfRule>
    <cfRule type="expression" dxfId="146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6524F-1E78-4678-B47F-BBD123AF7C8F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80">
        <v>44418</v>
      </c>
      <c r="H1" s="281"/>
      <c r="I1" s="282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83" t="s">
        <v>8</v>
      </c>
      <c r="C2" s="284"/>
      <c r="D2" s="284"/>
      <c r="E2" s="284"/>
      <c r="F2" s="285"/>
      <c r="G2" s="277" t="s">
        <v>46</v>
      </c>
      <c r="H2" s="278"/>
      <c r="I2" s="279"/>
      <c r="J2" s="1" t="s">
        <v>3</v>
      </c>
      <c r="K2" s="283" t="s">
        <v>320</v>
      </c>
      <c r="L2" s="284"/>
      <c r="M2" s="284"/>
      <c r="N2" s="284"/>
      <c r="O2" s="285"/>
      <c r="Q2" s="2" t="s">
        <v>6</v>
      </c>
      <c r="R2" s="3">
        <v>0.375</v>
      </c>
    </row>
    <row r="3" spans="1:19" ht="17.25" customHeight="1" thickBot="1">
      <c r="A3" s="118" t="s">
        <v>7</v>
      </c>
      <c r="B3" s="274" t="s">
        <v>328</v>
      </c>
      <c r="C3" s="275"/>
      <c r="D3" s="275"/>
      <c r="E3" s="275"/>
      <c r="F3" s="276"/>
      <c r="G3" s="27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4,908 KRW (0.25%)</v>
      </c>
      <c r="H3" s="271"/>
      <c r="I3" s="272"/>
      <c r="J3" s="4" t="s">
        <v>7</v>
      </c>
      <c r="K3" s="274" t="s">
        <v>321</v>
      </c>
      <c r="L3" s="275"/>
      <c r="M3" s="275"/>
      <c r="N3" s="275"/>
      <c r="O3" s="27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4" t="s">
        <v>16</v>
      </c>
      <c r="C4" s="275"/>
      <c r="D4" s="275"/>
      <c r="E4" s="275"/>
      <c r="F4" s="276"/>
      <c r="G4" s="277" t="s">
        <v>44</v>
      </c>
      <c r="H4" s="278"/>
      <c r="I4" s="279"/>
      <c r="J4" s="4" t="s">
        <v>11</v>
      </c>
      <c r="K4" s="274" t="s">
        <v>322</v>
      </c>
      <c r="L4" s="275"/>
      <c r="M4" s="275"/>
      <c r="N4" s="275"/>
      <c r="O4" s="27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4" t="s">
        <v>319</v>
      </c>
      <c r="C5" s="275"/>
      <c r="D5" s="275"/>
      <c r="E5" s="275"/>
      <c r="F5" s="276"/>
      <c r="G5" s="27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13,600 KRW (0.76%)</v>
      </c>
      <c r="H5" s="271"/>
      <c r="I5" s="272"/>
      <c r="J5" s="4" t="s">
        <v>15</v>
      </c>
      <c r="K5" s="274" t="s">
        <v>323</v>
      </c>
      <c r="L5" s="275"/>
      <c r="M5" s="275"/>
      <c r="N5" s="275"/>
      <c r="O5" s="276"/>
    </row>
    <row r="6" spans="1:19">
      <c r="A6" s="118" t="s">
        <v>18</v>
      </c>
      <c r="B6" s="274"/>
      <c r="C6" s="275"/>
      <c r="D6" s="275"/>
      <c r="E6" s="275"/>
      <c r="F6" s="276"/>
      <c r="G6" s="277" t="s">
        <v>45</v>
      </c>
      <c r="H6" s="278"/>
      <c r="I6" s="279"/>
      <c r="J6" s="4" t="s">
        <v>18</v>
      </c>
      <c r="K6" s="274" t="s">
        <v>324</v>
      </c>
      <c r="L6" s="275"/>
      <c r="M6" s="275"/>
      <c r="N6" s="275"/>
      <c r="O6" s="276"/>
    </row>
    <row r="7" spans="1:19" ht="17.25" thickBot="1">
      <c r="A7" s="118" t="s">
        <v>21</v>
      </c>
      <c r="B7" s="274"/>
      <c r="C7" s="275"/>
      <c r="D7" s="275"/>
      <c r="E7" s="275"/>
      <c r="F7" s="276"/>
      <c r="G7" s="27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35,328 KRW (1.77%)</v>
      </c>
      <c r="H7" s="271"/>
      <c r="I7" s="272"/>
      <c r="J7" s="4" t="s">
        <v>21</v>
      </c>
      <c r="K7" s="274" t="s">
        <v>325</v>
      </c>
      <c r="L7" s="275"/>
      <c r="M7" s="275"/>
      <c r="N7" s="275"/>
      <c r="O7" s="276"/>
    </row>
    <row r="8" spans="1:19" ht="17.25" thickBot="1">
      <c r="A8" s="118" t="s">
        <v>24</v>
      </c>
      <c r="B8" s="274"/>
      <c r="C8" s="275"/>
      <c r="D8" s="275"/>
      <c r="E8" s="275"/>
      <c r="F8" s="276"/>
      <c r="G8" s="277" t="s">
        <v>255</v>
      </c>
      <c r="H8" s="278"/>
      <c r="I8" s="279"/>
      <c r="J8" s="4" t="s">
        <v>24</v>
      </c>
      <c r="K8" s="274"/>
      <c r="L8" s="275"/>
      <c r="M8" s="275"/>
      <c r="N8" s="275"/>
      <c r="O8" s="276"/>
      <c r="Q8" s="249" t="s">
        <v>27</v>
      </c>
      <c r="R8" s="251"/>
    </row>
    <row r="9" spans="1:19" ht="17.25" thickBot="1">
      <c r="A9" s="118" t="s">
        <v>28</v>
      </c>
      <c r="B9" s="274"/>
      <c r="C9" s="275"/>
      <c r="D9" s="275"/>
      <c r="E9" s="275"/>
      <c r="F9" s="276"/>
      <c r="G9" s="27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21,336 KRW (1.07%)</v>
      </c>
      <c r="H9" s="271"/>
      <c r="I9" s="272"/>
      <c r="J9" s="4" t="s">
        <v>28</v>
      </c>
      <c r="K9" s="274"/>
      <c r="L9" s="275"/>
      <c r="M9" s="275"/>
      <c r="N9" s="275"/>
      <c r="O9" s="276"/>
      <c r="Q9" s="2" t="s">
        <v>29</v>
      </c>
      <c r="R9" s="6">
        <v>10</v>
      </c>
    </row>
    <row r="10" spans="1:19">
      <c r="A10" s="118" t="s">
        <v>30</v>
      </c>
      <c r="B10" s="274"/>
      <c r="C10" s="275"/>
      <c r="D10" s="275"/>
      <c r="E10" s="275"/>
      <c r="F10" s="276"/>
      <c r="G10" s="277" t="s">
        <v>47</v>
      </c>
      <c r="H10" s="278"/>
      <c r="I10" s="279"/>
      <c r="J10" s="4" t="s">
        <v>30</v>
      </c>
      <c r="K10" s="274" t="s">
        <v>326</v>
      </c>
      <c r="L10" s="275"/>
      <c r="M10" s="275"/>
      <c r="N10" s="275"/>
      <c r="O10" s="276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7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1"/>
      <c r="I11" s="272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48"/>
      <c r="R13" s="248"/>
      <c r="S13" s="248"/>
    </row>
    <row r="14" spans="1:19" ht="17.25" customHeight="1" thickBot="1">
      <c r="A14" s="193" t="s">
        <v>35</v>
      </c>
      <c r="B14" s="249" t="s">
        <v>36</v>
      </c>
      <c r="C14" s="251"/>
      <c r="D14" s="249" t="s">
        <v>37</v>
      </c>
      <c r="E14" s="250"/>
      <c r="F14" s="251"/>
      <c r="G14" s="252">
        <f>_xlfn.IFNA(VLOOKUP(B14, 현재가테이블!$B$2:$D$200, 2, FALSE), "-")</f>
        <v>54440000</v>
      </c>
      <c r="H14" s="253"/>
      <c r="I14" s="254"/>
      <c r="J14" s="249" t="s">
        <v>38</v>
      </c>
      <c r="K14" s="250"/>
      <c r="L14" s="251"/>
      <c r="M14" s="255">
        <f>_xlfn.IFNA(VLOOKUP(B14, 현재가테이블!$B$2:$D$200, 3, FALSE), "-")</f>
        <v>1.07123628E-2</v>
      </c>
      <c r="N14" s="256"/>
      <c r="O14" s="257"/>
      <c r="Q14" s="248"/>
      <c r="R14" s="248"/>
      <c r="S14" s="248"/>
    </row>
    <row r="15" spans="1:19" ht="17.25" customHeight="1" thickBot="1">
      <c r="A15" s="286" t="s">
        <v>39</v>
      </c>
      <c r="B15" s="287" t="str">
        <f>TEXT($G$1, "[$-ko-KR]yyyy-mm-dd(ddd) ") &amp; "오전 00:00"</f>
        <v>2021-08-10(화) 오전 00:00</v>
      </c>
      <c r="C15" s="288"/>
      <c r="D15" s="262" t="str">
        <f>TEXT($G$1, "[$-ko-KR]yyyy-mm-dd(ddd) ") &amp; "오후 14:00"</f>
        <v>2021-08-10(화) 오후 14:00</v>
      </c>
      <c r="E15" s="263"/>
      <c r="F15" s="264"/>
      <c r="G15" s="262" t="str">
        <f>TEXT($G$1, "[$-ko-KR]yyyy-mm-dd(ddd) ") &amp; "오후 19:00"</f>
        <v>2021-08-10(화) 오후 19:00</v>
      </c>
      <c r="H15" s="263"/>
      <c r="I15" s="264"/>
      <c r="J15" s="262" t="str">
        <f>TEXT($G$1, "[$-ko-KR]yyyy-mm-dd(ddd) ") &amp; "오후 21:00"</f>
        <v>2021-08-10(화) 오후 21:00</v>
      </c>
      <c r="K15" s="263"/>
      <c r="L15" s="264"/>
      <c r="M15" s="262" t="str">
        <f>TEXT($G$1+1, "[$-ko-KR]yyyy-mm-dd(ddd) ") &amp; "오전 00:00"</f>
        <v>2021-08-11(수) 오전 00:00</v>
      </c>
      <c r="N15" s="263"/>
      <c r="O15" s="264"/>
      <c r="Q15" s="248"/>
      <c r="R15" s="248"/>
      <c r="S15" s="248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8"/>
      <c r="R17" s="248"/>
      <c r="S17" s="24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8"/>
      <c r="R18" s="248"/>
      <c r="S18" s="24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8"/>
      <c r="R19" s="238"/>
      <c r="S19" s="23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8"/>
      <c r="R20" s="238"/>
      <c r="S20" s="23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8"/>
      <c r="R21" s="238"/>
      <c r="S21" s="23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8"/>
      <c r="R22" s="238"/>
      <c r="S22" s="23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8"/>
      <c r="R23" s="238"/>
      <c r="S23" s="23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8"/>
      <c r="R24" s="238"/>
      <c r="S24" s="23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9"/>
      <c r="R26" s="240"/>
      <c r="S26" s="24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2"/>
      <c r="R27" s="243"/>
      <c r="S27" s="24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5"/>
      <c r="R28" s="246"/>
      <c r="S28" s="24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8"/>
      <c r="R29" s="238"/>
      <c r="S29" s="23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8"/>
      <c r="R30" s="248"/>
      <c r="S30" s="24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8"/>
      <c r="R31" s="248"/>
      <c r="S31" s="24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8"/>
      <c r="R32" s="238"/>
      <c r="S32" s="23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7"/>
      <c r="R35" s="228"/>
      <c r="S35" s="22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0"/>
      <c r="R36" s="231"/>
      <c r="S36" s="232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3"/>
      <c r="R37" s="234"/>
      <c r="S37" s="23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48"/>
      <c r="R40" s="248"/>
      <c r="S40" s="248"/>
    </row>
    <row r="41" spans="1:19" ht="17.25" customHeight="1" thickBot="1">
      <c r="A41" s="193" t="s">
        <v>267</v>
      </c>
      <c r="B41" s="249" t="s">
        <v>49</v>
      </c>
      <c r="C41" s="251"/>
      <c r="D41" s="249" t="s">
        <v>58</v>
      </c>
      <c r="E41" s="250"/>
      <c r="F41" s="251"/>
      <c r="G41" s="252">
        <f>_xlfn.IFNA(VLOOKUP(B41, 현재가테이블!$B$2:$D$200, 2, FALSE), "-")</f>
        <v>54440000</v>
      </c>
      <c r="H41" s="253"/>
      <c r="I41" s="254"/>
      <c r="J41" s="249" t="s">
        <v>59</v>
      </c>
      <c r="K41" s="250"/>
      <c r="L41" s="251"/>
      <c r="M41" s="255">
        <f>_xlfn.IFNA(VLOOKUP(B41, 현재가테이블!$B$2:$D$200, 3, FALSE), "-")</f>
        <v>1.07123628E-2</v>
      </c>
      <c r="N41" s="256"/>
      <c r="O41" s="257"/>
      <c r="Q41" s="248"/>
      <c r="R41" s="248"/>
      <c r="S41" s="248"/>
    </row>
    <row r="42" spans="1:19" ht="17.25" customHeight="1" thickBot="1">
      <c r="A42" s="293" t="s">
        <v>55</v>
      </c>
      <c r="B42" s="289" t="str">
        <f>TEXT($G$1, "[$-ko-KR]yyyy-mm-dd(ddd) ") &amp; "오전 00:00"</f>
        <v>2021-08-10(화) 오전 00:00</v>
      </c>
      <c r="C42" s="290"/>
      <c r="D42" s="262" t="str">
        <f>TEXT($G$1, "[$-ko-KR]yyyy-mm-dd(ddd) ") &amp; "오후 14:00"</f>
        <v>2021-08-10(화) 오후 14:00</v>
      </c>
      <c r="E42" s="263"/>
      <c r="F42" s="264"/>
      <c r="G42" s="262" t="str">
        <f>TEXT($G$1, "[$-ko-KR]yyyy-mm-dd(ddd) ") &amp; "오후 19:00"</f>
        <v>2021-08-10(화) 오후 19:00</v>
      </c>
      <c r="H42" s="263"/>
      <c r="I42" s="264"/>
      <c r="J42" s="262" t="str">
        <f>TEXT($G$1, "[$-ko-KR]yyyy-mm-dd(ddd) ") &amp; "오후 21:00"</f>
        <v>2021-08-10(화) 오후 21:00</v>
      </c>
      <c r="K42" s="263"/>
      <c r="L42" s="264"/>
      <c r="M42" s="262" t="str">
        <f>TEXT($G$1+1, "[$-ko-KR]yyyy-mm-dd(ddd) ") &amp; "오전 00:00"</f>
        <v>2021-08-11(수) 오전 00:00</v>
      </c>
      <c r="N42" s="263"/>
      <c r="O42" s="264"/>
      <c r="Q42" s="248"/>
      <c r="R42" s="248"/>
      <c r="S42" s="248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4" t="s">
        <v>58</v>
      </c>
      <c r="H43" s="195" t="s">
        <v>268</v>
      </c>
      <c r="I43" s="19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8"/>
      <c r="R43" s="238"/>
      <c r="S43" s="238"/>
    </row>
    <row r="44" spans="1:19" ht="17.25" customHeight="1" thickBot="1">
      <c r="A44" s="123" t="s">
        <v>240</v>
      </c>
      <c r="B44" s="124">
        <v>67</v>
      </c>
      <c r="C44" s="76">
        <v>6.1806656100000003E-2</v>
      </c>
      <c r="D44" s="13">
        <v>68.5</v>
      </c>
      <c r="E44" s="14">
        <f>IF(ISNUMBER(D44), (D44 - $B44) / $B44, "")</f>
        <v>2.2388059701492536E-2</v>
      </c>
      <c r="F44" s="16">
        <f>IF(ISNUMBER(D44), $B64 * E44, "")</f>
        <v>2238.8059701492534</v>
      </c>
      <c r="G44" s="29">
        <v>67.8</v>
      </c>
      <c r="H44" s="14">
        <f>IF(ISNUMBER(G44), (G44 - $B44) / $B44, "")</f>
        <v>1.1940298507462643E-2</v>
      </c>
      <c r="I44" s="100">
        <f>IF(ISNUMBER(G44), $B64 * H44, "")</f>
        <v>1194.0298507462644</v>
      </c>
      <c r="J44" s="13">
        <v>66.2</v>
      </c>
      <c r="K44" s="14">
        <f>IF(ISNUMBER(J44), (J44 - $B44) / $B44, "")</f>
        <v>-1.1940298507462643E-2</v>
      </c>
      <c r="L44" s="16">
        <f>IF(ISNUMBER(J44), $B64 * K44, "")</f>
        <v>-1194.0298507462644</v>
      </c>
      <c r="M44" s="29">
        <v>66.900000000000006</v>
      </c>
      <c r="N44" s="14">
        <f>IF(ISNUMBER(M44), (M44 - $B44) / $B44, "")</f>
        <v>-1.4925373134327511E-3</v>
      </c>
      <c r="O44" s="16">
        <f>IF(ISNUMBER(M44), $B64 * N44, "")</f>
        <v>-149.25373134327509</v>
      </c>
      <c r="Q44" s="248"/>
      <c r="R44" s="248"/>
      <c r="S44" s="248"/>
    </row>
    <row r="45" spans="1:19" ht="17.25" customHeight="1" thickBot="1">
      <c r="A45" s="125" t="s">
        <v>98</v>
      </c>
      <c r="B45" s="126">
        <v>4.41</v>
      </c>
      <c r="C45" s="77">
        <v>2.3201856100000001E-2</v>
      </c>
      <c r="D45" s="15">
        <v>4.4000000000000004</v>
      </c>
      <c r="E45" s="32">
        <f t="shared" ref="E45:E48" si="14">IF(ISNUMBER(D45), (D45 - $B45) / $B45, "")</f>
        <v>-2.2675736961450762E-3</v>
      </c>
      <c r="F45" s="18">
        <f>IF(ISNUMBER(D45), $B64 * E45, "")</f>
        <v>-226.75736961450761</v>
      </c>
      <c r="G45" s="31">
        <v>4.45</v>
      </c>
      <c r="H45" s="32">
        <f t="shared" ref="H45:H48" si="15">IF(ISNUMBER(G45), (G45 - $B45) / $B45, "")</f>
        <v>9.070294784580506E-3</v>
      </c>
      <c r="I45" s="101">
        <f>IF(ISNUMBER(G45), $B64 * H45, "")</f>
        <v>907.02947845805056</v>
      </c>
      <c r="J45" s="15">
        <v>4.3899999999999997</v>
      </c>
      <c r="K45" s="32">
        <f t="shared" ref="K45:K48" si="16">IF(ISNUMBER(J45), (J45 - $B45) / $B45, "")</f>
        <v>-4.5351473922903536E-3</v>
      </c>
      <c r="L45" s="18">
        <f>IF(ISNUMBER(J45), $B64 * K45, "")</f>
        <v>-453.51473922903534</v>
      </c>
      <c r="M45" s="31">
        <v>4.3899999999999997</v>
      </c>
      <c r="N45" s="32">
        <f t="shared" ref="N45:N48" si="17">IF(ISNUMBER(M45), (M45 - $B45) / $B45, "")</f>
        <v>-4.5351473922903536E-3</v>
      </c>
      <c r="O45" s="18">
        <f>IF(ISNUMBER(M45), $B64 * N45, "")</f>
        <v>-453.51473922903534</v>
      </c>
      <c r="Q45" s="248"/>
      <c r="R45" s="248"/>
      <c r="S45" s="248"/>
    </row>
    <row r="46" spans="1:19" ht="17.25" customHeight="1" thickBot="1">
      <c r="A46" s="125" t="s">
        <v>150</v>
      </c>
      <c r="B46" s="126">
        <v>12.7</v>
      </c>
      <c r="C46" s="77">
        <v>1.6E-2</v>
      </c>
      <c r="D46" s="15">
        <v>12.7</v>
      </c>
      <c r="E46" s="32">
        <f t="shared" si="14"/>
        <v>0</v>
      </c>
      <c r="F46" s="18">
        <f>IF(ISNUMBER(D46), $B64 * E46, "")</f>
        <v>0</v>
      </c>
      <c r="G46" s="31">
        <v>12.7</v>
      </c>
      <c r="H46" s="32">
        <f t="shared" si="15"/>
        <v>0</v>
      </c>
      <c r="I46" s="101">
        <f>IF(ISNUMBER(G46), $B64 * H46, "")</f>
        <v>0</v>
      </c>
      <c r="J46" s="15">
        <v>12.6</v>
      </c>
      <c r="K46" s="32">
        <f t="shared" si="16"/>
        <v>-7.8740157480314682E-3</v>
      </c>
      <c r="L46" s="18">
        <f>IF(ISNUMBER(J46), $B64 * K46, "")</f>
        <v>-787.40157480314679</v>
      </c>
      <c r="M46" s="31">
        <v>12.6</v>
      </c>
      <c r="N46" s="32">
        <f t="shared" si="17"/>
        <v>-7.8740157480314682E-3</v>
      </c>
      <c r="O46" s="18">
        <f>IF(ISNUMBER(M46), $B64 * N46, "")</f>
        <v>-787.40157480314679</v>
      </c>
      <c r="Q46" s="238"/>
      <c r="R46" s="238"/>
      <c r="S46" s="238"/>
    </row>
    <row r="47" spans="1:19" ht="17.25" customHeight="1" thickBot="1">
      <c r="A47" s="125" t="s">
        <v>65</v>
      </c>
      <c r="B47" s="126">
        <v>31.6</v>
      </c>
      <c r="C47" s="77">
        <v>1.2820512799999999E-2</v>
      </c>
      <c r="D47" s="15">
        <v>32.299999999999997</v>
      </c>
      <c r="E47" s="32">
        <f t="shared" si="14"/>
        <v>2.215189873417708E-2</v>
      </c>
      <c r="F47" s="18">
        <f>IF(ISNUMBER(D47), $B64 * E47, "")</f>
        <v>2215.189873417708</v>
      </c>
      <c r="G47" s="31">
        <v>33</v>
      </c>
      <c r="H47" s="32">
        <f t="shared" si="15"/>
        <v>4.4303797468354382E-2</v>
      </c>
      <c r="I47" s="101">
        <f>IF(ISNUMBER(G47), $B64 * H47, "")</f>
        <v>4430.3797468354378</v>
      </c>
      <c r="J47" s="15">
        <v>32.4</v>
      </c>
      <c r="K47" s="32">
        <f t="shared" si="16"/>
        <v>2.5316455696202441E-2</v>
      </c>
      <c r="L47" s="18">
        <f>IF(ISNUMBER(J47), $B64 * K47, "")</f>
        <v>2531.6455696202443</v>
      </c>
      <c r="M47" s="31">
        <v>32.1</v>
      </c>
      <c r="N47" s="32">
        <f t="shared" si="17"/>
        <v>1.582278481012658E-2</v>
      </c>
      <c r="O47" s="18">
        <f>IF(ISNUMBER(M47), $B64 * N47, "")</f>
        <v>1582.2784810126579</v>
      </c>
      <c r="Q47" s="238"/>
      <c r="R47" s="238"/>
      <c r="S47" s="238"/>
    </row>
    <row r="48" spans="1:19" ht="17.25" customHeight="1" thickBot="1">
      <c r="A48" s="127" t="s">
        <v>152</v>
      </c>
      <c r="B48" s="128">
        <v>84.3</v>
      </c>
      <c r="C48" s="78">
        <v>9.5808383E-3</v>
      </c>
      <c r="D48" s="20">
        <v>85</v>
      </c>
      <c r="E48" s="21">
        <f t="shared" si="14"/>
        <v>8.3036773428232843E-3</v>
      </c>
      <c r="F48" s="22">
        <f>IF(ISNUMBER(D48), $B64 * E48, "")</f>
        <v>830.36773428232846</v>
      </c>
      <c r="G48" s="30">
        <v>85.5</v>
      </c>
      <c r="H48" s="21">
        <f t="shared" si="15"/>
        <v>1.4234875444839892E-2</v>
      </c>
      <c r="I48" s="105">
        <f>IF(ISNUMBER(G48), $B64 * H48, "")</f>
        <v>1423.4875444839893</v>
      </c>
      <c r="J48" s="20">
        <v>85.4</v>
      </c>
      <c r="K48" s="21">
        <f t="shared" si="16"/>
        <v>1.3048635824436638E-2</v>
      </c>
      <c r="L48" s="22">
        <f>IF(ISNUMBER(J48), $B64 * K48, "")</f>
        <v>1304.8635824436637</v>
      </c>
      <c r="M48" s="30">
        <v>84.7</v>
      </c>
      <c r="N48" s="21">
        <f t="shared" si="17"/>
        <v>4.7449584816133539E-3</v>
      </c>
      <c r="O48" s="22">
        <f>IF(ISNUMBER(M48), $B64 * N48, "")</f>
        <v>474.4958481613354</v>
      </c>
      <c r="Q48" s="238"/>
      <c r="R48" s="238"/>
      <c r="S48" s="238"/>
    </row>
    <row r="49" spans="1:19" ht="17.25" customHeight="1" thickBot="1">
      <c r="A49" s="125" t="s">
        <v>208</v>
      </c>
      <c r="B49" s="129">
        <v>13.6</v>
      </c>
      <c r="C49" s="80">
        <v>7.4074073999999997E-3</v>
      </c>
      <c r="D49" s="106">
        <v>13.3</v>
      </c>
      <c r="E49" s="107">
        <f>IF(ISNUMBER(D49), (D49 - $B49) / $B49, "")</f>
        <v>-2.2058823529411686E-2</v>
      </c>
      <c r="F49" s="108">
        <f>IF(ISNUMBER(D49), $B64 * E49, "")</f>
        <v>-2205.8823529411688</v>
      </c>
      <c r="G49" s="109">
        <v>13.4</v>
      </c>
      <c r="H49" s="107">
        <f>IF(ISNUMBER(G49), (G49 - $B49) / $B49, "")</f>
        <v>-1.4705882352941124E-2</v>
      </c>
      <c r="I49" s="110">
        <f>IF(ISNUMBER(G49), $B64 * H49, "")</f>
        <v>-1470.5882352941123</v>
      </c>
      <c r="J49" s="106">
        <v>13.3</v>
      </c>
      <c r="K49" s="107">
        <f>IF(ISNUMBER(J49), (J49 - $B49) / $B49, "")</f>
        <v>-2.2058823529411686E-2</v>
      </c>
      <c r="L49" s="108">
        <f>IF(ISNUMBER(J49), $B64 * K49, "")</f>
        <v>-2205.8823529411688</v>
      </c>
      <c r="M49" s="109">
        <v>13.3</v>
      </c>
      <c r="N49" s="107">
        <f>IF(ISNUMBER(M49), (M49 - $B49) / $B49, "")</f>
        <v>-2.2058823529411686E-2</v>
      </c>
      <c r="O49" s="108">
        <f>IF(ISNUMBER(M49), $B64 * N49, "")</f>
        <v>-2205.8823529411688</v>
      </c>
      <c r="Q49" s="238"/>
      <c r="R49" s="238"/>
      <c r="S49" s="238"/>
    </row>
    <row r="50" spans="1:19" ht="17.25" customHeight="1" thickBot="1">
      <c r="A50" s="125" t="s">
        <v>148</v>
      </c>
      <c r="B50" s="126">
        <v>19.2</v>
      </c>
      <c r="C50" s="77">
        <v>5.2356021000000003E-3</v>
      </c>
      <c r="D50" s="15">
        <v>19.399999999999999</v>
      </c>
      <c r="E50" s="32">
        <f t="shared" ref="E50:E53" si="18">IF(ISNUMBER(D50), (D50 - $B50) / $B50, "")</f>
        <v>1.041666666666663E-2</v>
      </c>
      <c r="F50" s="18">
        <f>IF(ISNUMBER(D50), $B64 * E50, "")</f>
        <v>1041.6666666666629</v>
      </c>
      <c r="G50" s="31">
        <v>19.7</v>
      </c>
      <c r="H50" s="32">
        <f t="shared" ref="H50:H53" si="19">IF(ISNUMBER(G50), (G50 - $B50) / $B50, "")</f>
        <v>2.6041666666666668E-2</v>
      </c>
      <c r="I50" s="101">
        <f>IF(ISNUMBER(G50), $B64 * H50, "")</f>
        <v>2604.166666666667</v>
      </c>
      <c r="J50" s="15">
        <v>19.3</v>
      </c>
      <c r="K50" s="32">
        <f t="shared" ref="K50:K53" si="20">IF(ISNUMBER(J50), (J50 - $B50) / $B50, "")</f>
        <v>5.2083333333334076E-3</v>
      </c>
      <c r="L50" s="18">
        <f>IF(ISNUMBER(J50), $B64 * K50, "")</f>
        <v>520.83333333334076</v>
      </c>
      <c r="M50" s="31">
        <v>19.3</v>
      </c>
      <c r="N50" s="32">
        <f t="shared" ref="N50:N53" si="21">IF(ISNUMBER(M50), (M50 - $B50) / $B50, "")</f>
        <v>5.2083333333334076E-3</v>
      </c>
      <c r="O50" s="18">
        <f>IF(ISNUMBER(M50), $B64 * N50, "")</f>
        <v>520.83333333334076</v>
      </c>
      <c r="Q50" s="238"/>
      <c r="R50" s="238"/>
      <c r="S50" s="238"/>
    </row>
    <row r="51" spans="1:19" ht="17.25" customHeight="1" thickBot="1">
      <c r="A51" s="125" t="s">
        <v>188</v>
      </c>
      <c r="B51" s="126">
        <v>12</v>
      </c>
      <c r="C51" s="77">
        <v>0</v>
      </c>
      <c r="D51" s="15">
        <v>12.3</v>
      </c>
      <c r="E51" s="32">
        <f t="shared" si="18"/>
        <v>2.500000000000006E-2</v>
      </c>
      <c r="F51" s="18">
        <f>IF(ISNUMBER(D51), $B64 * E51, "")</f>
        <v>2500.0000000000059</v>
      </c>
      <c r="G51" s="31">
        <v>12.3</v>
      </c>
      <c r="H51" s="32">
        <f t="shared" si="19"/>
        <v>2.500000000000006E-2</v>
      </c>
      <c r="I51" s="101">
        <f>IF(ISNUMBER(G51), $B64 * H51, "")</f>
        <v>2500.0000000000059</v>
      </c>
      <c r="J51" s="15">
        <v>12.3</v>
      </c>
      <c r="K51" s="32">
        <f t="shared" si="20"/>
        <v>2.500000000000006E-2</v>
      </c>
      <c r="L51" s="18">
        <f>IF(ISNUMBER(J51), $B64 * K51, "")</f>
        <v>2500.0000000000059</v>
      </c>
      <c r="M51" s="31">
        <v>12.3</v>
      </c>
      <c r="N51" s="32">
        <f t="shared" si="21"/>
        <v>2.500000000000006E-2</v>
      </c>
      <c r="O51" s="18">
        <f>IF(ISNUMBER(M51), $B64 * N51, "")</f>
        <v>2500.0000000000059</v>
      </c>
      <c r="Q51" s="238"/>
      <c r="R51" s="238"/>
      <c r="S51" s="238"/>
    </row>
    <row r="52" spans="1:19" ht="17.25" customHeight="1" thickBot="1">
      <c r="A52" s="125" t="s">
        <v>216</v>
      </c>
      <c r="B52" s="126">
        <v>10.6</v>
      </c>
      <c r="C52" s="77">
        <v>0</v>
      </c>
      <c r="D52" s="15">
        <v>10.4</v>
      </c>
      <c r="E52" s="32">
        <f t="shared" si="18"/>
        <v>-1.886792452830182E-2</v>
      </c>
      <c r="F52" s="18">
        <f>IF(ISNUMBER(D52), $B64 * E52, "")</f>
        <v>-1886.7924528301821</v>
      </c>
      <c r="G52" s="31">
        <v>10.6</v>
      </c>
      <c r="H52" s="32">
        <f t="shared" si="19"/>
        <v>0</v>
      </c>
      <c r="I52" s="101">
        <f>IF(ISNUMBER(G52), $B64 * H52, "")</f>
        <v>0</v>
      </c>
      <c r="J52" s="15">
        <v>10.4</v>
      </c>
      <c r="K52" s="32">
        <f t="shared" si="20"/>
        <v>-1.886792452830182E-2</v>
      </c>
      <c r="L52" s="18">
        <f>IF(ISNUMBER(J52), $B64 * K52, "")</f>
        <v>-1886.7924528301821</v>
      </c>
      <c r="M52" s="31">
        <v>10.5</v>
      </c>
      <c r="N52" s="32">
        <f t="shared" si="21"/>
        <v>-9.4339622641509101E-3</v>
      </c>
      <c r="O52" s="18">
        <f>IF(ISNUMBER(M52), $B64 * N52, "")</f>
        <v>-943.39622641509106</v>
      </c>
      <c r="Q52" s="33"/>
      <c r="R52" s="33"/>
    </row>
    <row r="53" spans="1:19" ht="17.25" customHeight="1" thickBot="1">
      <c r="A53" s="130" t="s">
        <v>72</v>
      </c>
      <c r="B53" s="131">
        <v>22.2</v>
      </c>
      <c r="C53" s="79">
        <v>-4.4843048999999996E-3</v>
      </c>
      <c r="D53" s="24">
        <v>22.1</v>
      </c>
      <c r="E53" s="25">
        <f t="shared" si="18"/>
        <v>-4.5045045045044091E-3</v>
      </c>
      <c r="F53" s="104">
        <f>IF(ISNUMBER(D53), $B64 * E53, "")</f>
        <v>-450.45045045044088</v>
      </c>
      <c r="G53" s="102">
        <v>22.4</v>
      </c>
      <c r="H53" s="25">
        <f t="shared" si="19"/>
        <v>9.0090090090089777E-3</v>
      </c>
      <c r="I53" s="103">
        <f>IF(ISNUMBER(G53), $B64 * H53, "")</f>
        <v>900.9009009008978</v>
      </c>
      <c r="J53" s="24">
        <v>22.3</v>
      </c>
      <c r="K53" s="25">
        <f t="shared" si="20"/>
        <v>4.5045045045045687E-3</v>
      </c>
      <c r="L53" s="104">
        <f>IF(ISNUMBER(J53), $B64 * K53, "")</f>
        <v>450.45045045045686</v>
      </c>
      <c r="M53" s="102">
        <v>22.2</v>
      </c>
      <c r="N53" s="25">
        <f t="shared" si="21"/>
        <v>0</v>
      </c>
      <c r="O53" s="104">
        <f>IF(ISNUMBER(M53), $B64 * N53, "")</f>
        <v>0</v>
      </c>
      <c r="Q53" s="239"/>
      <c r="R53" s="240"/>
      <c r="S53" s="241"/>
    </row>
    <row r="54" spans="1:19" ht="17.25" customHeight="1">
      <c r="A54" s="123" t="s">
        <v>190</v>
      </c>
      <c r="B54" s="124">
        <v>17.100000000000001</v>
      </c>
      <c r="C54" s="76">
        <v>-5.8139534999999999E-3</v>
      </c>
      <c r="D54" s="13">
        <v>17.100000000000001</v>
      </c>
      <c r="E54" s="14">
        <f>IF(ISNUMBER(D54), (D54 - $B54) / $B54, "")</f>
        <v>0</v>
      </c>
      <c r="F54" s="16">
        <f>IF(ISNUMBER(D54), $B64 * E54, "")</f>
        <v>0</v>
      </c>
      <c r="G54" s="29">
        <v>17.399999999999999</v>
      </c>
      <c r="H54" s="14">
        <f>IF(ISNUMBER(G54), (G54 - $B54) / $B54, "")</f>
        <v>1.754385964912264E-2</v>
      </c>
      <c r="I54" s="100">
        <f>IF(ISNUMBER(G54), $B64 * H54, "")</f>
        <v>1754.3859649122639</v>
      </c>
      <c r="J54" s="13">
        <v>17.100000000000001</v>
      </c>
      <c r="K54" s="14">
        <f>IF(ISNUMBER(J54), (J54 - $B54) / $B54, "")</f>
        <v>0</v>
      </c>
      <c r="L54" s="16">
        <f>IF(ISNUMBER(J54), $B64 * K54, "")</f>
        <v>0</v>
      </c>
      <c r="M54" s="29">
        <v>17.100000000000001</v>
      </c>
      <c r="N54" s="14">
        <f>IF(ISNUMBER(M54), (M54 - $B54) / $B54, "")</f>
        <v>0</v>
      </c>
      <c r="O54" s="16">
        <f>IF(ISNUMBER(M54), $B64 * N54, "")</f>
        <v>0</v>
      </c>
      <c r="Q54" s="242"/>
      <c r="R54" s="243"/>
      <c r="S54" s="244"/>
    </row>
    <row r="55" spans="1:19" ht="17.25" customHeight="1" thickBot="1">
      <c r="A55" s="125" t="s">
        <v>250</v>
      </c>
      <c r="B55" s="126">
        <v>68.2</v>
      </c>
      <c r="C55" s="77">
        <v>-7.2780203999999998E-3</v>
      </c>
      <c r="D55" s="15">
        <v>71.599999999999994</v>
      </c>
      <c r="E55" s="32">
        <f t="shared" ref="E55:E58" si="22">IF(ISNUMBER(D55), (D55 - $B55) / $B55, "")</f>
        <v>4.9853372434017468E-2</v>
      </c>
      <c r="F55" s="18">
        <f>IF(ISNUMBER(D55), $B64 * E55, "")</f>
        <v>4985.3372434017465</v>
      </c>
      <c r="G55" s="31">
        <v>72.599999999999994</v>
      </c>
      <c r="H55" s="32">
        <f t="shared" ref="H55:H58" si="23">IF(ISNUMBER(G55), (G55 - $B55) / $B55, "")</f>
        <v>6.4516129032257938E-2</v>
      </c>
      <c r="I55" s="101">
        <f>IF(ISNUMBER(G55), $B64 * H55, "")</f>
        <v>6451.6129032257941</v>
      </c>
      <c r="J55" s="15">
        <v>70.8</v>
      </c>
      <c r="K55" s="32">
        <f t="shared" ref="K55:K58" si="24">IF(ISNUMBER(J55), (J55 - $B55) / $B55, "")</f>
        <v>3.8123167155425138E-2</v>
      </c>
      <c r="L55" s="18">
        <f>IF(ISNUMBER(J55), $B64 * K55, "")</f>
        <v>3812.316715542514</v>
      </c>
      <c r="M55" s="31">
        <v>70</v>
      </c>
      <c r="N55" s="32">
        <f t="shared" ref="N55:N58" si="25">IF(ISNUMBER(M55), (M55 - $B55) / $B55, "")</f>
        <v>2.63929618768328E-2</v>
      </c>
      <c r="O55" s="18">
        <f>IF(ISNUMBER(M55), $B64 * N55, "")</f>
        <v>2639.2961876832801</v>
      </c>
      <c r="Q55" s="245"/>
      <c r="R55" s="246"/>
      <c r="S55" s="247"/>
    </row>
    <row r="56" spans="1:19" ht="17.25" customHeight="1" thickBot="1">
      <c r="A56" s="125" t="s">
        <v>210</v>
      </c>
      <c r="B56" s="126">
        <v>11.5</v>
      </c>
      <c r="C56" s="77">
        <v>-8.6206896999999998E-3</v>
      </c>
      <c r="D56" s="15">
        <v>11.5</v>
      </c>
      <c r="E56" s="32">
        <f t="shared" si="22"/>
        <v>0</v>
      </c>
      <c r="F56" s="18">
        <f>IF(ISNUMBER(D56), $B64 * E56, "")</f>
        <v>0</v>
      </c>
      <c r="G56" s="31">
        <v>11.7</v>
      </c>
      <c r="H56" s="32">
        <f t="shared" si="23"/>
        <v>1.7391304347826025E-2</v>
      </c>
      <c r="I56" s="101">
        <f>IF(ISNUMBER(G56), $B64 * H56, "")</f>
        <v>1739.1304347826024</v>
      </c>
      <c r="J56" s="15">
        <v>11.6</v>
      </c>
      <c r="K56" s="32">
        <f t="shared" si="24"/>
        <v>8.6956521739130124E-3</v>
      </c>
      <c r="L56" s="18">
        <f>IF(ISNUMBER(J56), $B64 * K56, "")</f>
        <v>869.56521739130119</v>
      </c>
      <c r="M56" s="31">
        <v>11.6</v>
      </c>
      <c r="N56" s="32">
        <f t="shared" si="25"/>
        <v>8.6956521739130124E-3</v>
      </c>
      <c r="O56" s="18">
        <f>IF(ISNUMBER(M56), $B64 * N56, "")</f>
        <v>869.56521739130119</v>
      </c>
      <c r="Q56" s="238"/>
      <c r="R56" s="238"/>
      <c r="S56" s="238"/>
    </row>
    <row r="57" spans="1:19" ht="17.25" customHeight="1" thickBot="1">
      <c r="A57" s="125" t="s">
        <v>234</v>
      </c>
      <c r="B57" s="126">
        <v>69.099999999999994</v>
      </c>
      <c r="C57" s="77">
        <v>-1.0028653300000001E-2</v>
      </c>
      <c r="D57" s="15">
        <v>70.5</v>
      </c>
      <c r="E57" s="32">
        <f t="shared" si="22"/>
        <v>2.0260492040521067E-2</v>
      </c>
      <c r="F57" s="18">
        <f>IF(ISNUMBER(D57), $B64 * E57, "")</f>
        <v>2026.0492040521067</v>
      </c>
      <c r="G57" s="31">
        <v>71.2</v>
      </c>
      <c r="H57" s="32">
        <f t="shared" si="23"/>
        <v>3.0390738060781602E-2</v>
      </c>
      <c r="I57" s="101">
        <f>IF(ISNUMBER(G57), $B64 * H57, "")</f>
        <v>3039.07380607816</v>
      </c>
      <c r="J57" s="15">
        <v>69.8</v>
      </c>
      <c r="K57" s="32">
        <f t="shared" si="24"/>
        <v>1.0130246020260534E-2</v>
      </c>
      <c r="L57" s="18">
        <f>IF(ISNUMBER(J57), $B64 * K57, "")</f>
        <v>1013.0246020260533</v>
      </c>
      <c r="M57" s="31">
        <v>70</v>
      </c>
      <c r="N57" s="32">
        <f t="shared" si="25"/>
        <v>1.3024602026049287E-2</v>
      </c>
      <c r="O57" s="18">
        <f>IF(ISNUMBER(M57), $B64 * N57, "")</f>
        <v>1302.4602026049288</v>
      </c>
      <c r="Q57" s="248"/>
      <c r="R57" s="248"/>
      <c r="S57" s="248"/>
    </row>
    <row r="58" spans="1:19" ht="17.25" customHeight="1" thickBot="1">
      <c r="A58" s="127" t="s">
        <v>122</v>
      </c>
      <c r="B58" s="128">
        <v>29.3</v>
      </c>
      <c r="C58" s="78">
        <v>-1.01351351E-2</v>
      </c>
      <c r="D58" s="20">
        <v>31.1</v>
      </c>
      <c r="E58" s="21">
        <f t="shared" si="22"/>
        <v>6.1433447098976135E-2</v>
      </c>
      <c r="F58" s="22">
        <f>IF(ISNUMBER(D58), $B64 * E58, "")</f>
        <v>6143.3447098976139</v>
      </c>
      <c r="G58" s="30">
        <v>31.2</v>
      </c>
      <c r="H58" s="21">
        <f t="shared" si="23"/>
        <v>6.4846416382252511E-2</v>
      </c>
      <c r="I58" s="105">
        <f>IF(ISNUMBER(G58), $B64 * H58, "")</f>
        <v>6484.641638225251</v>
      </c>
      <c r="J58" s="20">
        <v>31.2</v>
      </c>
      <c r="K58" s="21">
        <f t="shared" si="24"/>
        <v>6.4846416382252511E-2</v>
      </c>
      <c r="L58" s="22">
        <f>IF(ISNUMBER(J58), $B64 * K58, "")</f>
        <v>6484.641638225251</v>
      </c>
      <c r="M58" s="30">
        <v>30.1</v>
      </c>
      <c r="N58" s="21">
        <f t="shared" si="25"/>
        <v>2.7303754266211629E-2</v>
      </c>
      <c r="O58" s="22">
        <f>IF(ISNUMBER(M58), $B64 * N58, "")</f>
        <v>2730.3754266211627</v>
      </c>
      <c r="Q58" s="248"/>
      <c r="R58" s="248"/>
      <c r="S58" s="248"/>
    </row>
    <row r="59" spans="1:19" ht="17.25" customHeight="1" thickBot="1">
      <c r="A59" s="125" t="s">
        <v>202</v>
      </c>
      <c r="B59" s="129">
        <v>85.6</v>
      </c>
      <c r="C59" s="80">
        <v>-1.1547344100000001E-2</v>
      </c>
      <c r="D59" s="106">
        <v>85.9</v>
      </c>
      <c r="E59" s="107">
        <f>IF(ISNUMBER(D59), (D59 - $B59) / $B59, "")</f>
        <v>3.5046728971963948E-3</v>
      </c>
      <c r="F59" s="108">
        <f>IF(ISNUMBER(D59), $B64 * E59, "")</f>
        <v>350.4672897196395</v>
      </c>
      <c r="G59" s="109">
        <v>91.4</v>
      </c>
      <c r="H59" s="107">
        <f>IF(ISNUMBER(G59), (G59 - $B59) / $B59, "")</f>
        <v>6.7757009345794525E-2</v>
      </c>
      <c r="I59" s="110">
        <f>IF(ISNUMBER(G59), $B64 * H59, "")</f>
        <v>6775.7009345794522</v>
      </c>
      <c r="J59" s="106">
        <v>89.4</v>
      </c>
      <c r="K59" s="107">
        <f>IF(ISNUMBER(J59), (J59 - $B59) / $B59, "")</f>
        <v>4.4392523364486118E-2</v>
      </c>
      <c r="L59" s="108">
        <f>IF(ISNUMBER(J59), $B64 * K59, "")</f>
        <v>4439.2523364486115</v>
      </c>
      <c r="M59" s="109">
        <v>89.8</v>
      </c>
      <c r="N59" s="107">
        <f>IF(ISNUMBER(M59), (M59 - $B59) / $B59, "")</f>
        <v>4.9065420560747697E-2</v>
      </c>
      <c r="O59" s="108">
        <f>IF(ISNUMBER(M59), $B64 * N59, "")</f>
        <v>4906.5420560747698</v>
      </c>
      <c r="Q59" s="238"/>
      <c r="R59" s="238"/>
      <c r="S59" s="238"/>
    </row>
    <row r="60" spans="1:19" ht="17.25" customHeight="1" thickBot="1">
      <c r="A60" s="125" t="s">
        <v>178</v>
      </c>
      <c r="B60" s="126">
        <v>16.3</v>
      </c>
      <c r="C60" s="77">
        <v>-1.2121212100000001E-2</v>
      </c>
      <c r="D60" s="15">
        <v>16.399999999999999</v>
      </c>
      <c r="E60" s="32">
        <f t="shared" ref="E60:E63" si="26">IF(ISNUMBER(D60), (D60 - $B60) / $B60, "")</f>
        <v>6.1349693251532434E-3</v>
      </c>
      <c r="F60" s="18">
        <f>IF(ISNUMBER(D60), $B64 * E60, "")</f>
        <v>613.49693251532437</v>
      </c>
      <c r="G60" s="31">
        <v>16.600000000000001</v>
      </c>
      <c r="H60" s="32">
        <f t="shared" ref="H60:H63" si="27">IF(ISNUMBER(G60), (G60 - $B60) / $B60, "")</f>
        <v>1.8404907975460166E-2</v>
      </c>
      <c r="I60" s="101">
        <f>IF(ISNUMBER(G60), $B64 * H60, "")</f>
        <v>1840.4907975460167</v>
      </c>
      <c r="J60" s="15">
        <v>16.399999999999999</v>
      </c>
      <c r="K60" s="32">
        <f t="shared" ref="K60:K63" si="28">IF(ISNUMBER(J60), (J60 - $B60) / $B60, "")</f>
        <v>6.1349693251532434E-3</v>
      </c>
      <c r="L60" s="18">
        <f>IF(ISNUMBER(J60), $B64 * K60, "")</f>
        <v>613.49693251532437</v>
      </c>
      <c r="M60" s="31">
        <v>16.399999999999999</v>
      </c>
      <c r="N60" s="32">
        <f t="shared" ref="N60:N63" si="29">IF(ISNUMBER(M60), (M60 - $B60) / $B60, "")</f>
        <v>6.1349693251532434E-3</v>
      </c>
      <c r="O60" s="18">
        <f>IF(ISNUMBER(M60), $B64 * N60, "")</f>
        <v>613.49693251532437</v>
      </c>
      <c r="Q60" s="238"/>
      <c r="R60" s="238"/>
      <c r="S60" s="238"/>
    </row>
    <row r="61" spans="1:19" ht="17.25" customHeight="1" thickBot="1">
      <c r="A61" s="125" t="s">
        <v>204</v>
      </c>
      <c r="B61" s="126">
        <v>13.8</v>
      </c>
      <c r="C61" s="77">
        <v>-2.1276595700000001E-2</v>
      </c>
      <c r="D61" s="15">
        <v>13.9</v>
      </c>
      <c r="E61" s="32">
        <f t="shared" si="26"/>
        <v>7.246376811594177E-3</v>
      </c>
      <c r="F61" s="18">
        <f>IF(ISNUMBER(D61), $B64 * E61, "")</f>
        <v>724.63768115941775</v>
      </c>
      <c r="G61" s="31">
        <v>14.1</v>
      </c>
      <c r="H61" s="32">
        <f t="shared" si="27"/>
        <v>2.1739130434782532E-2</v>
      </c>
      <c r="I61" s="101">
        <f>IF(ISNUMBER(G61), $B64 * H61, "")</f>
        <v>2173.9130434782533</v>
      </c>
      <c r="J61" s="15">
        <v>13.9</v>
      </c>
      <c r="K61" s="32">
        <f t="shared" si="28"/>
        <v>7.246376811594177E-3</v>
      </c>
      <c r="L61" s="18">
        <f>IF(ISNUMBER(J61), $B64 * K61, "")</f>
        <v>724.63768115941775</v>
      </c>
      <c r="M61" s="31">
        <v>13.8</v>
      </c>
      <c r="N61" s="32">
        <f t="shared" si="29"/>
        <v>0</v>
      </c>
      <c r="O61" s="18">
        <f>IF(ISNUMBER(M61), $B64 * N61, "")</f>
        <v>0</v>
      </c>
      <c r="Q61" s="238"/>
      <c r="R61" s="238"/>
      <c r="S61" s="238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7"/>
      <c r="R62" s="228"/>
      <c r="S62" s="22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30"/>
      <c r="R63" s="231"/>
      <c r="S63" s="232"/>
    </row>
    <row r="64" spans="1:19" ht="17.25" customHeight="1" thickBot="1">
      <c r="A64" s="132" t="s">
        <v>270</v>
      </c>
      <c r="B64" s="291">
        <f>$B$37</f>
        <v>100000</v>
      </c>
      <c r="C64" s="292"/>
      <c r="D64" s="26" t="s">
        <v>271</v>
      </c>
      <c r="E64" s="27">
        <f>IF(COUNT(E44:E63), SUM(E44:E63) / COUNT(E44:E63), 0)</f>
        <v>1.0499711488569726E-2</v>
      </c>
      <c r="F64" s="28">
        <f>SUM(F44:F63)</f>
        <v>18899.480679425509</v>
      </c>
      <c r="G64" s="26" t="s">
        <v>271</v>
      </c>
      <c r="H64" s="27">
        <f>IF(COUNT(H44:H63), SUM(H44:H63) / COUNT(H44:H63), 0)</f>
        <v>2.3749086375347221E-2</v>
      </c>
      <c r="I64" s="28">
        <f>SUM(I44:I63)</f>
        <v>42748.355475624987</v>
      </c>
      <c r="J64" s="26" t="s">
        <v>271</v>
      </c>
      <c r="K64" s="27">
        <f>IF(COUNT(K44:K63), SUM(K44:K63) / COUNT(K44:K63), 0)</f>
        <v>1.0409503938114661E-2</v>
      </c>
      <c r="L64" s="28">
        <f>SUM(L44:L63)</f>
        <v>18737.107088606386</v>
      </c>
      <c r="M64" s="26" t="s">
        <v>271</v>
      </c>
      <c r="N64" s="27">
        <f>IF(COUNT(N44:N63), SUM(N44:N63) / COUNT(N44:N63), 0)</f>
        <v>7.5554972559257732E-3</v>
      </c>
      <c r="O64" s="28">
        <f>SUM(O44:O63)</f>
        <v>13599.895060666389</v>
      </c>
      <c r="Q64" s="233"/>
      <c r="R64" s="234"/>
      <c r="S64" s="23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48"/>
      <c r="R67" s="248"/>
      <c r="S67" s="248"/>
    </row>
    <row r="68" spans="1:19" ht="17.25" thickBot="1">
      <c r="A68" s="193" t="s">
        <v>267</v>
      </c>
      <c r="B68" s="249" t="s">
        <v>49</v>
      </c>
      <c r="C68" s="251"/>
      <c r="D68" s="249" t="s">
        <v>58</v>
      </c>
      <c r="E68" s="250"/>
      <c r="F68" s="251"/>
      <c r="G68" s="252">
        <f>_xlfn.IFNA(VLOOKUP(B68, 현재가테이블!$B$2:$D$200, 2, FALSE), "-")</f>
        <v>54440000</v>
      </c>
      <c r="H68" s="253"/>
      <c r="I68" s="254"/>
      <c r="J68" s="249" t="s">
        <v>59</v>
      </c>
      <c r="K68" s="250"/>
      <c r="L68" s="251"/>
      <c r="M68" s="255">
        <f>_xlfn.IFNA(VLOOKUP(B68, 현재가테이블!$B$2:$D$200, 3, FALSE), "-")</f>
        <v>1.07123628E-2</v>
      </c>
      <c r="N68" s="256"/>
      <c r="O68" s="257"/>
      <c r="Q68" s="248"/>
      <c r="R68" s="248"/>
      <c r="S68" s="248"/>
    </row>
    <row r="69" spans="1:19" ht="17.25" thickBot="1">
      <c r="A69" s="293" t="s">
        <v>55</v>
      </c>
      <c r="B69" s="289" t="str">
        <f>TEXT($G$1, "[$-ko-KR]yyyy-mm-dd(ddd) ") &amp; "오전 00:00"</f>
        <v>2021-08-10(화) 오전 00:00</v>
      </c>
      <c r="C69" s="290"/>
      <c r="D69" s="262" t="str">
        <f>TEXT($G$1, "[$-ko-KR]yyyy-mm-dd(ddd) ") &amp; "오후 14:00"</f>
        <v>2021-08-10(화) 오후 14:00</v>
      </c>
      <c r="E69" s="263"/>
      <c r="F69" s="264"/>
      <c r="G69" s="262" t="str">
        <f>TEXT($G$1, "[$-ko-KR]yyyy-mm-dd(ddd) ") &amp; "오후 19:00"</f>
        <v>2021-08-10(화) 오후 19:00</v>
      </c>
      <c r="H69" s="263"/>
      <c r="I69" s="264"/>
      <c r="J69" s="262" t="str">
        <f>TEXT($G$1, "[$-ko-KR]yyyy-mm-dd(ddd) ") &amp; "오후 21:00"</f>
        <v>2021-08-10(화) 오후 21:00</v>
      </c>
      <c r="K69" s="263"/>
      <c r="L69" s="264"/>
      <c r="M69" s="262" t="str">
        <f>TEXT($G$1+1, "[$-ko-KR]yyyy-mm-dd(ddd) ") &amp; "오전 00:00"</f>
        <v>2021-08-11(수) 오전 00:00</v>
      </c>
      <c r="N69" s="263"/>
      <c r="O69" s="264"/>
      <c r="Q69" s="248"/>
      <c r="R69" s="248"/>
      <c r="S69" s="248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4" t="s">
        <v>58</v>
      </c>
      <c r="H70" s="195" t="s">
        <v>268</v>
      </c>
      <c r="I70" s="19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8"/>
      <c r="R70" s="238"/>
      <c r="S70" s="238"/>
    </row>
    <row r="71" spans="1:19" ht="17.25" thickBot="1">
      <c r="A71" s="123" t="s">
        <v>86</v>
      </c>
      <c r="B71" s="124">
        <v>356</v>
      </c>
      <c r="C71" s="76">
        <v>0.10559006210000001</v>
      </c>
      <c r="D71" s="13">
        <v>381</v>
      </c>
      <c r="E71" s="14">
        <f>IF(ISNUMBER(D71), (D71 - $B71) / $B71, "")</f>
        <v>7.02247191011236E-2</v>
      </c>
      <c r="F71" s="16">
        <f>IF(ISNUMBER(D71), $B91 * E71, "")</f>
        <v>7022.4719101123601</v>
      </c>
      <c r="G71" s="29">
        <v>383</v>
      </c>
      <c r="H71" s="14">
        <f>IF(ISNUMBER(G71), (G71 - $B71) / $B71, "")</f>
        <v>7.5842696629213488E-2</v>
      </c>
      <c r="I71" s="100">
        <f>IF(ISNUMBER(G71), $B91 * H71, "")</f>
        <v>7584.2696629213488</v>
      </c>
      <c r="J71" s="13">
        <v>373</v>
      </c>
      <c r="K71" s="14">
        <f>IF(ISNUMBER(J71), (J71 - $B71) / $B71, "")</f>
        <v>4.7752808988764044E-2</v>
      </c>
      <c r="L71" s="16">
        <f>IF(ISNUMBER(J71), $B91 * K71, "")</f>
        <v>4775.2808988764045</v>
      </c>
      <c r="M71" s="29">
        <v>367</v>
      </c>
      <c r="N71" s="14">
        <f>IF(ISNUMBER(M71), (M71 - $B71) / $B71, "")</f>
        <v>3.0898876404494381E-2</v>
      </c>
      <c r="O71" s="16">
        <f>IF(ISNUMBER(M71), $B91 * N71, "")</f>
        <v>3089.8876404494381</v>
      </c>
      <c r="Q71" s="248"/>
      <c r="R71" s="248"/>
      <c r="S71" s="248"/>
    </row>
    <row r="72" spans="1:19" ht="17.25" thickBot="1">
      <c r="A72" s="125" t="s">
        <v>132</v>
      </c>
      <c r="B72" s="126">
        <v>105</v>
      </c>
      <c r="C72" s="77">
        <v>3.9603960399999999E-2</v>
      </c>
      <c r="D72" s="15">
        <v>107</v>
      </c>
      <c r="E72" s="32">
        <f t="shared" ref="E72:E75" si="30">IF(ISNUMBER(D72), (D72 - $B72) / $B72, "")</f>
        <v>1.9047619047619049E-2</v>
      </c>
      <c r="F72" s="18">
        <f>IF(ISNUMBER(D72), $B91 * E72, "")</f>
        <v>1904.761904761905</v>
      </c>
      <c r="G72" s="31">
        <v>109</v>
      </c>
      <c r="H72" s="32">
        <f t="shared" ref="H72:H75" si="31">IF(ISNUMBER(G72), (G72 - $B72) / $B72, "")</f>
        <v>3.8095238095238099E-2</v>
      </c>
      <c r="I72" s="101">
        <f>IF(ISNUMBER(G72), $B91 * H72, "")</f>
        <v>3809.5238095238101</v>
      </c>
      <c r="J72" s="15">
        <v>112</v>
      </c>
      <c r="K72" s="32">
        <f t="shared" ref="K72:K75" si="32">IF(ISNUMBER(J72), (J72 - $B72) / $B72, "")</f>
        <v>6.6666666666666666E-2</v>
      </c>
      <c r="L72" s="18">
        <f>IF(ISNUMBER(J72), $B91 * K72, "")</f>
        <v>6666.666666666667</v>
      </c>
      <c r="M72" s="31">
        <v>110</v>
      </c>
      <c r="N72" s="32">
        <f t="shared" ref="N72:N75" si="33">IF(ISNUMBER(M72), (M72 - $B72) / $B72, "")</f>
        <v>4.7619047619047616E-2</v>
      </c>
      <c r="O72" s="18">
        <f>IF(ISNUMBER(M72), $B91 * N72, "")</f>
        <v>4761.9047619047615</v>
      </c>
      <c r="Q72" s="248"/>
      <c r="R72" s="248"/>
      <c r="S72" s="248"/>
    </row>
    <row r="73" spans="1:19" ht="17.25" thickBot="1">
      <c r="A73" s="125" t="s">
        <v>51</v>
      </c>
      <c r="B73" s="126">
        <v>345</v>
      </c>
      <c r="C73" s="77">
        <v>3.6036036E-2</v>
      </c>
      <c r="D73" s="15">
        <v>344</v>
      </c>
      <c r="E73" s="32">
        <f t="shared" si="30"/>
        <v>-2.8985507246376812E-3</v>
      </c>
      <c r="F73" s="18">
        <f>IF(ISNUMBER(D73), $B91 * E73, "")</f>
        <v>-289.85507246376812</v>
      </c>
      <c r="G73" s="31">
        <v>349</v>
      </c>
      <c r="H73" s="32">
        <f t="shared" si="31"/>
        <v>1.1594202898550725E-2</v>
      </c>
      <c r="I73" s="101">
        <f>IF(ISNUMBER(G73), $B91 * H73, "")</f>
        <v>1159.4202898550725</v>
      </c>
      <c r="J73" s="15">
        <v>351</v>
      </c>
      <c r="K73" s="32">
        <f t="shared" si="32"/>
        <v>1.7391304347826087E-2</v>
      </c>
      <c r="L73" s="18">
        <f>IF(ISNUMBER(J73), $B91 * K73, "")</f>
        <v>1739.1304347826087</v>
      </c>
      <c r="M73" s="31">
        <v>348</v>
      </c>
      <c r="N73" s="32">
        <f t="shared" si="33"/>
        <v>8.6956521739130436E-3</v>
      </c>
      <c r="O73" s="18">
        <f>IF(ISNUMBER(M73), $B91 * N73, "")</f>
        <v>869.56521739130437</v>
      </c>
      <c r="Q73" s="238"/>
      <c r="R73" s="238"/>
      <c r="S73" s="238"/>
    </row>
    <row r="74" spans="1:19" ht="17.25" thickBot="1">
      <c r="A74" s="125" t="s">
        <v>266</v>
      </c>
      <c r="B74" s="126">
        <v>290</v>
      </c>
      <c r="C74" s="77">
        <v>3.5714285700000001E-2</v>
      </c>
      <c r="D74" s="15">
        <v>291</v>
      </c>
      <c r="E74" s="32">
        <f t="shared" si="30"/>
        <v>3.4482758620689655E-3</v>
      </c>
      <c r="F74" s="18">
        <f>IF(ISNUMBER(D74), $B91 * E74, "")</f>
        <v>344.82758620689657</v>
      </c>
      <c r="G74" s="31">
        <v>297</v>
      </c>
      <c r="H74" s="32">
        <f t="shared" si="31"/>
        <v>2.4137931034482758E-2</v>
      </c>
      <c r="I74" s="101">
        <f>IF(ISNUMBER(G74), $B91 * H74, "")</f>
        <v>2413.7931034482758</v>
      </c>
      <c r="J74" s="15">
        <v>288</v>
      </c>
      <c r="K74" s="32">
        <f t="shared" si="32"/>
        <v>-6.8965517241379309E-3</v>
      </c>
      <c r="L74" s="18">
        <f>IF(ISNUMBER(J74), $B91 * K74, "")</f>
        <v>-689.65517241379314</v>
      </c>
      <c r="M74" s="31">
        <v>289</v>
      </c>
      <c r="N74" s="32">
        <f t="shared" si="33"/>
        <v>-3.4482758620689655E-3</v>
      </c>
      <c r="O74" s="18">
        <f>IF(ISNUMBER(M74), $B91 * N74, "")</f>
        <v>-344.82758620689657</v>
      </c>
      <c r="Q74" s="238"/>
      <c r="R74" s="238"/>
      <c r="S74" s="238"/>
    </row>
    <row r="75" spans="1:19" ht="17.25" thickBot="1">
      <c r="A75" s="127" t="s">
        <v>90</v>
      </c>
      <c r="B75" s="128">
        <v>935</v>
      </c>
      <c r="C75" s="78">
        <v>3.4292035399999997E-2</v>
      </c>
      <c r="D75" s="20">
        <v>934</v>
      </c>
      <c r="E75" s="21">
        <f t="shared" si="30"/>
        <v>-1.0695187165775401E-3</v>
      </c>
      <c r="F75" s="22">
        <f>IF(ISNUMBER(D75), $B91 * E75, "")</f>
        <v>-106.95187165775401</v>
      </c>
      <c r="G75" s="30">
        <v>943</v>
      </c>
      <c r="H75" s="21">
        <f t="shared" si="31"/>
        <v>8.5561497326203211E-3</v>
      </c>
      <c r="I75" s="105">
        <f>IF(ISNUMBER(G75), $B91 * H75, "")</f>
        <v>855.61497326203209</v>
      </c>
      <c r="J75" s="20">
        <v>937</v>
      </c>
      <c r="K75" s="21">
        <f t="shared" si="32"/>
        <v>2.1390374331550803E-3</v>
      </c>
      <c r="L75" s="22">
        <f>IF(ISNUMBER(J75), $B91 * K75, "")</f>
        <v>213.90374331550802</v>
      </c>
      <c r="M75" s="30">
        <v>949</v>
      </c>
      <c r="N75" s="21">
        <f t="shared" si="33"/>
        <v>1.4973262032085561E-2</v>
      </c>
      <c r="O75" s="22">
        <f>IF(ISNUMBER(M75), $B91 * N75, "")</f>
        <v>1497.3262032085561</v>
      </c>
      <c r="Q75" s="238"/>
      <c r="R75" s="238"/>
      <c r="S75" s="238"/>
    </row>
    <row r="76" spans="1:19" ht="17.25" thickBot="1">
      <c r="A76" s="125" t="s">
        <v>128</v>
      </c>
      <c r="B76" s="129">
        <v>121</v>
      </c>
      <c r="C76" s="80">
        <v>3.4188034200000002E-2</v>
      </c>
      <c r="D76" s="106">
        <v>121</v>
      </c>
      <c r="E76" s="107">
        <f>IF(ISNUMBER(D76), (D76 - $B76) / $B76, "")</f>
        <v>0</v>
      </c>
      <c r="F76" s="108">
        <f>IF(ISNUMBER(D76), $B91 * E76, "")</f>
        <v>0</v>
      </c>
      <c r="G76" s="109">
        <v>122</v>
      </c>
      <c r="H76" s="107">
        <f>IF(ISNUMBER(G76), (G76 - $B76) / $B76, "")</f>
        <v>8.2644628099173556E-3</v>
      </c>
      <c r="I76" s="110">
        <f>IF(ISNUMBER(G76), $B91 * H76, "")</f>
        <v>826.44628099173553</v>
      </c>
      <c r="J76" s="106">
        <v>121</v>
      </c>
      <c r="K76" s="107">
        <f>IF(ISNUMBER(J76), (J76 - $B76) / $B76, "")</f>
        <v>0</v>
      </c>
      <c r="L76" s="108">
        <f>IF(ISNUMBER(J76), $B91 * K76, "")</f>
        <v>0</v>
      </c>
      <c r="M76" s="109">
        <v>122</v>
      </c>
      <c r="N76" s="107">
        <f>IF(ISNUMBER(M76), (M76 - $B76) / $B76, "")</f>
        <v>8.2644628099173556E-3</v>
      </c>
      <c r="O76" s="108">
        <f>IF(ISNUMBER(M76), $B91 * N76, "")</f>
        <v>826.44628099173553</v>
      </c>
      <c r="Q76" s="238"/>
      <c r="R76" s="238"/>
      <c r="S76" s="238"/>
    </row>
    <row r="77" spans="1:19" ht="17.25" thickBot="1">
      <c r="A77" s="125" t="s">
        <v>61</v>
      </c>
      <c r="B77" s="126">
        <v>862</v>
      </c>
      <c r="C77" s="77">
        <v>3.23353293E-2</v>
      </c>
      <c r="D77" s="15">
        <v>900</v>
      </c>
      <c r="E77" s="32">
        <f t="shared" ref="E77:E80" si="34">IF(ISNUMBER(D77), (D77 - $B77) / $B77, "")</f>
        <v>4.4083526682134569E-2</v>
      </c>
      <c r="F77" s="18">
        <f>IF(ISNUMBER(D77), $B91 * E77, "")</f>
        <v>4408.352668213457</v>
      </c>
      <c r="G77" s="31">
        <v>903</v>
      </c>
      <c r="H77" s="32">
        <f t="shared" ref="H77:H80" si="35">IF(ISNUMBER(G77), (G77 - $B77) / $B77, "")</f>
        <v>4.7563805104408351E-2</v>
      </c>
      <c r="I77" s="101">
        <f>IF(ISNUMBER(G77), $B91 * H77, "")</f>
        <v>4756.3805104408348</v>
      </c>
      <c r="J77" s="15">
        <v>921</v>
      </c>
      <c r="K77" s="32">
        <f t="shared" ref="K77:K80" si="36">IF(ISNUMBER(J77), (J77 - $B77) / $B77, "")</f>
        <v>6.8445475638051048E-2</v>
      </c>
      <c r="L77" s="18">
        <f>IF(ISNUMBER(J77), $B91 * K77, "")</f>
        <v>6844.5475638051048</v>
      </c>
      <c r="M77" s="31">
        <v>941</v>
      </c>
      <c r="N77" s="32">
        <f t="shared" ref="N77:N80" si="37">IF(ISNUMBER(M77), (M77 - $B77) / $B77, "")</f>
        <v>9.1647331786542927E-2</v>
      </c>
      <c r="O77" s="18">
        <f>IF(ISNUMBER(M77), $B91 * N77, "")</f>
        <v>9164.7331786542927</v>
      </c>
      <c r="Q77" s="238"/>
      <c r="R77" s="238"/>
      <c r="S77" s="238"/>
    </row>
    <row r="78" spans="1:19" ht="17.25" thickBot="1">
      <c r="A78" s="125" t="s">
        <v>57</v>
      </c>
      <c r="B78" s="126">
        <v>208</v>
      </c>
      <c r="C78" s="77">
        <v>2.46305419E-2</v>
      </c>
      <c r="D78" s="15">
        <v>207</v>
      </c>
      <c r="E78" s="32">
        <f t="shared" si="34"/>
        <v>-4.807692307692308E-3</v>
      </c>
      <c r="F78" s="18">
        <f>IF(ISNUMBER(D78), $B91 * E78, "")</f>
        <v>-480.76923076923077</v>
      </c>
      <c r="G78" s="31">
        <v>210</v>
      </c>
      <c r="H78" s="32">
        <f t="shared" si="35"/>
        <v>9.6153846153846159E-3</v>
      </c>
      <c r="I78" s="101">
        <f>IF(ISNUMBER(G78), $B91 * H78, "")</f>
        <v>961.53846153846155</v>
      </c>
      <c r="J78" s="15">
        <v>207</v>
      </c>
      <c r="K78" s="32">
        <f t="shared" si="36"/>
        <v>-4.807692307692308E-3</v>
      </c>
      <c r="L78" s="18">
        <f>IF(ISNUMBER(J78), $B91 * K78, "")</f>
        <v>-480.76923076923077</v>
      </c>
      <c r="M78" s="31">
        <v>207</v>
      </c>
      <c r="N78" s="32">
        <f t="shared" si="37"/>
        <v>-4.807692307692308E-3</v>
      </c>
      <c r="O78" s="18">
        <f>IF(ISNUMBER(M78), $B91 * N78, "")</f>
        <v>-480.76923076923077</v>
      </c>
      <c r="Q78" s="238"/>
      <c r="R78" s="238"/>
      <c r="S78" s="238"/>
    </row>
    <row r="79" spans="1:19" ht="17.25" thickBot="1">
      <c r="A79" s="125" t="s">
        <v>252</v>
      </c>
      <c r="B79" s="126">
        <v>981</v>
      </c>
      <c r="C79" s="77">
        <v>2.2940563099999998E-2</v>
      </c>
      <c r="D79" s="15">
        <v>1000</v>
      </c>
      <c r="E79" s="32">
        <f t="shared" si="34"/>
        <v>1.9367991845056064E-2</v>
      </c>
      <c r="F79" s="18">
        <f>IF(ISNUMBER(D79), $B91 * E79, "")</f>
        <v>1936.7991845056065</v>
      </c>
      <c r="G79" s="31">
        <v>1000</v>
      </c>
      <c r="H79" s="32">
        <f t="shared" si="35"/>
        <v>1.9367991845056064E-2</v>
      </c>
      <c r="I79" s="101">
        <f>IF(ISNUMBER(G79), $B91 * H79, "")</f>
        <v>1936.7991845056065</v>
      </c>
      <c r="J79" s="15">
        <v>988</v>
      </c>
      <c r="K79" s="32">
        <f t="shared" si="36"/>
        <v>7.1355759429153924E-3</v>
      </c>
      <c r="L79" s="18">
        <f>IF(ISNUMBER(J79), $B91 * K79, "")</f>
        <v>713.5575942915392</v>
      </c>
      <c r="M79" s="31">
        <v>993</v>
      </c>
      <c r="N79" s="32">
        <f t="shared" si="37"/>
        <v>1.2232415902140673E-2</v>
      </c>
      <c r="O79" s="18">
        <f>IF(ISNUMBER(M79), $B91 * N79, "")</f>
        <v>1223.2415902140674</v>
      </c>
      <c r="Q79" s="33"/>
      <c r="R79" s="33"/>
    </row>
    <row r="80" spans="1:19" ht="17.25" thickBot="1">
      <c r="A80" s="130" t="s">
        <v>218</v>
      </c>
      <c r="B80" s="131">
        <v>135</v>
      </c>
      <c r="C80" s="79">
        <v>2.2727272699999999E-2</v>
      </c>
      <c r="D80" s="24">
        <v>133</v>
      </c>
      <c r="E80" s="25">
        <f t="shared" si="34"/>
        <v>-1.4814814814814815E-2</v>
      </c>
      <c r="F80" s="104">
        <f>IF(ISNUMBER(D80), $B91 * E80, "")</f>
        <v>-1481.4814814814815</v>
      </c>
      <c r="G80" s="102">
        <v>134</v>
      </c>
      <c r="H80" s="25">
        <f t="shared" si="35"/>
        <v>-7.4074074074074077E-3</v>
      </c>
      <c r="I80" s="103">
        <f>IF(ISNUMBER(G80), $B91 * H80, "")</f>
        <v>-740.74074074074076</v>
      </c>
      <c r="J80" s="24">
        <v>133</v>
      </c>
      <c r="K80" s="25">
        <f t="shared" si="36"/>
        <v>-1.4814814814814815E-2</v>
      </c>
      <c r="L80" s="104">
        <f>IF(ISNUMBER(J80), $B91 * K80, "")</f>
        <v>-1481.4814814814815</v>
      </c>
      <c r="M80" s="102">
        <v>132</v>
      </c>
      <c r="N80" s="25">
        <f t="shared" si="37"/>
        <v>-2.2222222222222223E-2</v>
      </c>
      <c r="O80" s="104">
        <f>IF(ISNUMBER(M80), $B91 * N80, "")</f>
        <v>-2222.2222222222222</v>
      </c>
      <c r="Q80" s="239"/>
      <c r="R80" s="240"/>
      <c r="S80" s="241"/>
    </row>
    <row r="81" spans="1:19">
      <c r="A81" s="123" t="s">
        <v>238</v>
      </c>
      <c r="B81" s="124">
        <v>103</v>
      </c>
      <c r="C81" s="76">
        <v>1.9801980199999999E-2</v>
      </c>
      <c r="D81" s="13">
        <v>103</v>
      </c>
      <c r="E81" s="14">
        <f>IF(ISNUMBER(D81), (D81 - $B81) / $B81, "")</f>
        <v>0</v>
      </c>
      <c r="F81" s="16">
        <f>IF(ISNUMBER(D81), $B91 * E81, "")</f>
        <v>0</v>
      </c>
      <c r="G81" s="29">
        <v>103</v>
      </c>
      <c r="H81" s="14">
        <f>IF(ISNUMBER(G81), (G81 - $B81) / $B81, "")</f>
        <v>0</v>
      </c>
      <c r="I81" s="100">
        <f>IF(ISNUMBER(G81), $B91 * H81, "")</f>
        <v>0</v>
      </c>
      <c r="J81" s="13">
        <v>101</v>
      </c>
      <c r="K81" s="14">
        <f>IF(ISNUMBER(J81), (J81 - $B81) / $B81, "")</f>
        <v>-1.9417475728155338E-2</v>
      </c>
      <c r="L81" s="16">
        <f>IF(ISNUMBER(J81), $B91 * K81, "")</f>
        <v>-1941.7475728155339</v>
      </c>
      <c r="M81" s="29">
        <v>101</v>
      </c>
      <c r="N81" s="14">
        <f>IF(ISNUMBER(M81), (M81 - $B81) / $B81, "")</f>
        <v>-1.9417475728155338E-2</v>
      </c>
      <c r="O81" s="16">
        <f>IF(ISNUMBER(M81), $B91 * N81, "")</f>
        <v>-1941.7475728155339</v>
      </c>
      <c r="Q81" s="242"/>
      <c r="R81" s="243"/>
      <c r="S81" s="244"/>
    </row>
    <row r="82" spans="1:19" ht="17.25" thickBot="1">
      <c r="A82" s="125" t="s">
        <v>80</v>
      </c>
      <c r="B82" s="126">
        <v>795</v>
      </c>
      <c r="C82" s="77">
        <v>1.5325670499999999E-2</v>
      </c>
      <c r="D82" s="15">
        <v>815</v>
      </c>
      <c r="E82" s="32">
        <f t="shared" ref="E82:E85" si="38">IF(ISNUMBER(D82), (D82 - $B82) / $B82, "")</f>
        <v>2.5157232704402517E-2</v>
      </c>
      <c r="F82" s="18">
        <f>IF(ISNUMBER(D82), $B91 * E82, "")</f>
        <v>2515.7232704402518</v>
      </c>
      <c r="G82" s="31">
        <v>823</v>
      </c>
      <c r="H82" s="32">
        <f t="shared" ref="H82:H85" si="39">IF(ISNUMBER(G82), (G82 - $B82) / $B82, "")</f>
        <v>3.5220125786163521E-2</v>
      </c>
      <c r="I82" s="101">
        <f>IF(ISNUMBER(G82), $B91 * H82, "")</f>
        <v>3522.0125786163521</v>
      </c>
      <c r="J82" s="15">
        <v>818</v>
      </c>
      <c r="K82" s="32">
        <f t="shared" ref="K82:K85" si="40">IF(ISNUMBER(J82), (J82 - $B82) / $B82, "")</f>
        <v>2.8930817610062894E-2</v>
      </c>
      <c r="L82" s="18">
        <f>IF(ISNUMBER(J82), $B91 * K82, "")</f>
        <v>2893.0817610062895</v>
      </c>
      <c r="M82" s="31">
        <v>814</v>
      </c>
      <c r="N82" s="32">
        <f t="shared" ref="N82:N85" si="41">IF(ISNUMBER(M82), (M82 - $B82) / $B82, "")</f>
        <v>2.3899371069182392E-2</v>
      </c>
      <c r="O82" s="18">
        <f>IF(ISNUMBER(M82), $B91 * N82, "")</f>
        <v>2389.9371069182394</v>
      </c>
      <c r="Q82" s="245"/>
      <c r="R82" s="246"/>
      <c r="S82" s="247"/>
    </row>
    <row r="83" spans="1:19" ht="17.25" thickBot="1">
      <c r="A83" s="125" t="s">
        <v>162</v>
      </c>
      <c r="B83" s="126">
        <v>100</v>
      </c>
      <c r="C83" s="77">
        <v>1.01010101E-2</v>
      </c>
      <c r="D83" s="15">
        <v>101</v>
      </c>
      <c r="E83" s="32">
        <f t="shared" si="38"/>
        <v>0.01</v>
      </c>
      <c r="F83" s="18">
        <f>IF(ISNUMBER(D83), $B91 * E83, "")</f>
        <v>1000</v>
      </c>
      <c r="G83" s="31">
        <v>102</v>
      </c>
      <c r="H83" s="32">
        <f t="shared" si="39"/>
        <v>0.02</v>
      </c>
      <c r="I83" s="101">
        <f>IF(ISNUMBER(G83), $B91 * H83, "")</f>
        <v>2000</v>
      </c>
      <c r="J83" s="15">
        <v>101</v>
      </c>
      <c r="K83" s="32">
        <f t="shared" si="40"/>
        <v>0.01</v>
      </c>
      <c r="L83" s="18">
        <f>IF(ISNUMBER(J83), $B91 * K83, "")</f>
        <v>1000</v>
      </c>
      <c r="M83" s="31">
        <v>102</v>
      </c>
      <c r="N83" s="32">
        <f t="shared" si="41"/>
        <v>0.02</v>
      </c>
      <c r="O83" s="18">
        <f>IF(ISNUMBER(M83), $B91 * N83, "")</f>
        <v>2000</v>
      </c>
      <c r="Q83" s="238"/>
      <c r="R83" s="238"/>
      <c r="S83" s="238"/>
    </row>
    <row r="84" spans="1:19" ht="17.25" thickBot="1">
      <c r="A84" s="125" t="s">
        <v>54</v>
      </c>
      <c r="B84" s="126">
        <v>250</v>
      </c>
      <c r="C84" s="77">
        <v>8.0645161000000003E-3</v>
      </c>
      <c r="D84" s="15">
        <v>253</v>
      </c>
      <c r="E84" s="32">
        <f t="shared" si="38"/>
        <v>1.2E-2</v>
      </c>
      <c r="F84" s="18">
        <f>IF(ISNUMBER(D84), $B91 * E84, "")</f>
        <v>1200</v>
      </c>
      <c r="G84" s="31">
        <v>263</v>
      </c>
      <c r="H84" s="32">
        <f t="shared" si="39"/>
        <v>5.1999999999999998E-2</v>
      </c>
      <c r="I84" s="101">
        <f>IF(ISNUMBER(G84), $B91 * H84, "")</f>
        <v>5200</v>
      </c>
      <c r="J84" s="15">
        <v>258</v>
      </c>
      <c r="K84" s="32">
        <f t="shared" si="40"/>
        <v>3.2000000000000001E-2</v>
      </c>
      <c r="L84" s="18">
        <f>IF(ISNUMBER(J84), $B91 * K84, "")</f>
        <v>3200</v>
      </c>
      <c r="M84" s="31">
        <v>255</v>
      </c>
      <c r="N84" s="32">
        <f t="shared" si="41"/>
        <v>0.02</v>
      </c>
      <c r="O84" s="18">
        <f>IF(ISNUMBER(M84), $B91 * N84, "")</f>
        <v>2000</v>
      </c>
      <c r="Q84" s="248"/>
      <c r="R84" s="248"/>
      <c r="S84" s="248"/>
    </row>
    <row r="85" spans="1:19" ht="17.25" thickBot="1">
      <c r="A85" s="127" t="s">
        <v>138</v>
      </c>
      <c r="B85" s="128">
        <v>384</v>
      </c>
      <c r="C85" s="78">
        <v>7.8740157000000005E-3</v>
      </c>
      <c r="D85" s="20">
        <v>381</v>
      </c>
      <c r="E85" s="21">
        <f t="shared" si="38"/>
        <v>-7.8125E-3</v>
      </c>
      <c r="F85" s="22">
        <f>IF(ISNUMBER(D85), $B91 * E85, "")</f>
        <v>-781.25</v>
      </c>
      <c r="G85" s="30">
        <v>382</v>
      </c>
      <c r="H85" s="21">
        <f t="shared" si="39"/>
        <v>-5.208333333333333E-3</v>
      </c>
      <c r="I85" s="105">
        <f>IF(ISNUMBER(G85), $B91 * H85, "")</f>
        <v>-520.83333333333326</v>
      </c>
      <c r="J85" s="20">
        <v>382</v>
      </c>
      <c r="K85" s="21">
        <f t="shared" si="40"/>
        <v>-5.208333333333333E-3</v>
      </c>
      <c r="L85" s="22">
        <f>IF(ISNUMBER(J85), $B91 * K85, "")</f>
        <v>-520.83333333333326</v>
      </c>
      <c r="M85" s="30">
        <v>383</v>
      </c>
      <c r="N85" s="21">
        <f t="shared" si="41"/>
        <v>-2.6041666666666665E-3</v>
      </c>
      <c r="O85" s="22">
        <f>IF(ISNUMBER(M85), $B91 * N85, "")</f>
        <v>-260.41666666666663</v>
      </c>
      <c r="Q85" s="248"/>
      <c r="R85" s="248"/>
      <c r="S85" s="248"/>
    </row>
    <row r="86" spans="1:19" ht="17.25" thickBot="1">
      <c r="A86" s="125" t="s">
        <v>118</v>
      </c>
      <c r="B86" s="129">
        <v>159</v>
      </c>
      <c r="C86" s="80">
        <v>6.3291138999999998E-3</v>
      </c>
      <c r="D86" s="106">
        <v>163</v>
      </c>
      <c r="E86" s="107">
        <f>IF(ISNUMBER(D86), (D86 - $B86) / $B86, "")</f>
        <v>2.5157232704402517E-2</v>
      </c>
      <c r="F86" s="108">
        <f>IF(ISNUMBER(D86), $B91 * E86, "")</f>
        <v>2515.7232704402518</v>
      </c>
      <c r="G86" s="109">
        <v>165</v>
      </c>
      <c r="H86" s="107">
        <f>IF(ISNUMBER(G86), (G86 - $B86) / $B86, "")</f>
        <v>3.7735849056603772E-2</v>
      </c>
      <c r="I86" s="110">
        <f>IF(ISNUMBER(G86), $B91 * H86, "")</f>
        <v>3773.584905660377</v>
      </c>
      <c r="J86" s="106">
        <v>164</v>
      </c>
      <c r="K86" s="107">
        <f>IF(ISNUMBER(J86), (J86 - $B86) / $B86, "")</f>
        <v>3.1446540880503145E-2</v>
      </c>
      <c r="L86" s="108">
        <f>IF(ISNUMBER(J86), $B91 * K86, "")</f>
        <v>3144.6540880503144</v>
      </c>
      <c r="M86" s="109">
        <v>162</v>
      </c>
      <c r="N86" s="107">
        <f>IF(ISNUMBER(M86), (M86 - $B86) / $B86, "")</f>
        <v>1.8867924528301886E-2</v>
      </c>
      <c r="O86" s="108">
        <f>IF(ISNUMBER(M86), $B91 * N86, "")</f>
        <v>1886.7924528301885</v>
      </c>
      <c r="Q86" s="238"/>
      <c r="R86" s="238"/>
      <c r="S86" s="238"/>
    </row>
    <row r="87" spans="1:19" ht="17.25" thickBot="1">
      <c r="A87" s="125" t="s">
        <v>242</v>
      </c>
      <c r="B87" s="126">
        <v>480</v>
      </c>
      <c r="C87" s="77">
        <v>2.0876826999999998E-3</v>
      </c>
      <c r="D87" s="15">
        <v>484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486</v>
      </c>
      <c r="H87" s="32">
        <f t="shared" ref="H87:H90" si="43">IF(ISNUMBER(G87), (G87 - $B87) / $B87, "")</f>
        <v>1.2500000000000001E-2</v>
      </c>
      <c r="I87" s="101">
        <f>IF(ISNUMBER(G87), $B91 * H87, "")</f>
        <v>1250</v>
      </c>
      <c r="J87" s="15">
        <v>481</v>
      </c>
      <c r="K87" s="32">
        <f t="shared" ref="K87:K90" si="44">IF(ISNUMBER(J87), (J87 - $B87) / $B87, "")</f>
        <v>2.0833333333333333E-3</v>
      </c>
      <c r="L87" s="18">
        <f>IF(ISNUMBER(J87), $B91 * K87, "")</f>
        <v>208.33333333333334</v>
      </c>
      <c r="M87" s="31">
        <v>483</v>
      </c>
      <c r="N87" s="32">
        <f t="shared" ref="N87:N90" si="45">IF(ISNUMBER(M87), (M87 - $B87) / $B87, "")</f>
        <v>6.2500000000000003E-3</v>
      </c>
      <c r="O87" s="18">
        <f>IF(ISNUMBER(M87), $B91 * N87, "")</f>
        <v>625</v>
      </c>
      <c r="Q87" s="238"/>
      <c r="R87" s="238"/>
      <c r="S87" s="238"/>
    </row>
    <row r="88" spans="1:19" ht="17.25" thickBot="1">
      <c r="A88" s="125" t="s">
        <v>144</v>
      </c>
      <c r="B88" s="126">
        <v>109</v>
      </c>
      <c r="C88" s="77">
        <v>0</v>
      </c>
      <c r="D88" s="15">
        <v>109</v>
      </c>
      <c r="E88" s="32">
        <f t="shared" si="42"/>
        <v>0</v>
      </c>
      <c r="F88" s="18">
        <f>IF(ISNUMBER(D88), $B91 * E88, "")</f>
        <v>0</v>
      </c>
      <c r="G88" s="31">
        <v>111</v>
      </c>
      <c r="H88" s="32">
        <f t="shared" si="43"/>
        <v>1.834862385321101E-2</v>
      </c>
      <c r="I88" s="101">
        <f>IF(ISNUMBER(G88), $B91 * H88, "")</f>
        <v>1834.8623853211011</v>
      </c>
      <c r="J88" s="15">
        <v>113</v>
      </c>
      <c r="K88" s="32">
        <f t="shared" si="44"/>
        <v>3.669724770642202E-2</v>
      </c>
      <c r="L88" s="18">
        <f>IF(ISNUMBER(J88), $B91 * K88, "")</f>
        <v>3669.7247706422022</v>
      </c>
      <c r="M88" s="31">
        <v>109</v>
      </c>
      <c r="N88" s="32">
        <f t="shared" si="45"/>
        <v>0</v>
      </c>
      <c r="O88" s="18">
        <f>IF(ISNUMBER(M88), $B91 * N88, "")</f>
        <v>0</v>
      </c>
      <c r="Q88" s="238"/>
      <c r="R88" s="238"/>
      <c r="S88" s="238"/>
    </row>
    <row r="89" spans="1:19">
      <c r="A89" s="125" t="s">
        <v>130</v>
      </c>
      <c r="B89" s="126">
        <v>101</v>
      </c>
      <c r="C89" s="77">
        <v>0</v>
      </c>
      <c r="D89" s="15">
        <v>101</v>
      </c>
      <c r="E89" s="32">
        <f t="shared" si="42"/>
        <v>0</v>
      </c>
      <c r="F89" s="18">
        <f>IF(ISNUMBER(D89), $B91 * E89, "")</f>
        <v>0</v>
      </c>
      <c r="G89" s="31">
        <v>105</v>
      </c>
      <c r="H89" s="32">
        <f t="shared" si="43"/>
        <v>3.9603960396039604E-2</v>
      </c>
      <c r="I89" s="101">
        <f>IF(ISNUMBER(G89), $B91 * H89, "")</f>
        <v>3960.3960396039606</v>
      </c>
      <c r="J89" s="15">
        <v>103</v>
      </c>
      <c r="K89" s="32">
        <f t="shared" si="44"/>
        <v>1.9801980198019802E-2</v>
      </c>
      <c r="L89" s="18">
        <f>IF(ISNUMBER(J89), $B91 * K89, "")</f>
        <v>1980.1980198019803</v>
      </c>
      <c r="M89" s="31">
        <v>103</v>
      </c>
      <c r="N89" s="32">
        <f t="shared" si="45"/>
        <v>1.9801980198019802E-2</v>
      </c>
      <c r="O89" s="18">
        <f>IF(ISNUMBER(M89), $B91 * N89, "")</f>
        <v>1980.1980198019803</v>
      </c>
      <c r="Q89" s="227"/>
      <c r="R89" s="228"/>
      <c r="S89" s="229"/>
    </row>
    <row r="90" spans="1:19" ht="17.25" thickBot="1">
      <c r="A90" s="130" t="s">
        <v>114</v>
      </c>
      <c r="B90" s="131">
        <v>714</v>
      </c>
      <c r="C90" s="79">
        <v>-2.7932960999999998E-3</v>
      </c>
      <c r="D90" s="24">
        <v>718</v>
      </c>
      <c r="E90" s="25">
        <f t="shared" si="42"/>
        <v>5.6022408963585435E-3</v>
      </c>
      <c r="F90" s="104">
        <f>IF(ISNUMBER(D90), $B91 * E90, "")</f>
        <v>560.2240896358544</v>
      </c>
      <c r="G90" s="102">
        <v>737</v>
      </c>
      <c r="H90" s="25">
        <f t="shared" si="43"/>
        <v>3.2212885154061621E-2</v>
      </c>
      <c r="I90" s="103">
        <f>IF(ISNUMBER(G90), $B91 * H90, "")</f>
        <v>3221.2885154061623</v>
      </c>
      <c r="J90" s="24">
        <v>796</v>
      </c>
      <c r="K90" s="25">
        <f t="shared" si="44"/>
        <v>0.11484593837535013</v>
      </c>
      <c r="L90" s="104">
        <f>IF(ISNUMBER(J90), $B91 * K90, "")</f>
        <v>11484.593837535014</v>
      </c>
      <c r="M90" s="102">
        <v>773</v>
      </c>
      <c r="N90" s="25">
        <f t="shared" si="45"/>
        <v>8.2633053221288513E-2</v>
      </c>
      <c r="O90" s="104">
        <f>IF(ISNUMBER(M90), $B91 * N90, "")</f>
        <v>8263.3053221288519</v>
      </c>
      <c r="Q90" s="230"/>
      <c r="R90" s="231"/>
      <c r="S90" s="232"/>
    </row>
    <row r="91" spans="1:19" ht="17.25" thickBot="1">
      <c r="A91" s="132" t="s">
        <v>270</v>
      </c>
      <c r="B91" s="291">
        <f>$B$37</f>
        <v>100000</v>
      </c>
      <c r="C91" s="292"/>
      <c r="D91" s="26" t="s">
        <v>271</v>
      </c>
      <c r="E91" s="27">
        <f>IF(COUNT(E71:E90), SUM(E71:E90) / COUNT(E71:E90), 0)</f>
        <v>1.0550954780638841E-2</v>
      </c>
      <c r="F91" s="28">
        <f>SUM(F71:F90)</f>
        <v>21101.90956127768</v>
      </c>
      <c r="G91" s="26" t="s">
        <v>271</v>
      </c>
      <c r="H91" s="27">
        <f>IF(COUNT(H71:H90), SUM(H71:H90) / COUNT(H71:H90), 0)</f>
        <v>2.3902178313510526E-2</v>
      </c>
      <c r="I91" s="28">
        <f>SUM(I71:I90)</f>
        <v>47804.356627021058</v>
      </c>
      <c r="J91" s="26" t="s">
        <v>271</v>
      </c>
      <c r="K91" s="27">
        <f>IF(COUNT(K71:K90), SUM(K71:K90) / COUNT(K71:K90), 0)</f>
        <v>2.1709592960646798E-2</v>
      </c>
      <c r="L91" s="28">
        <f>SUM(L71:L90)</f>
        <v>43419.185921293596</v>
      </c>
      <c r="M91" s="26" t="s">
        <v>271</v>
      </c>
      <c r="N91" s="27">
        <f>IF(COUNT(N71:N90), SUM(N71:N90) / COUNT(N71:N90), 0)</f>
        <v>1.7664177247906428E-2</v>
      </c>
      <c r="O91" s="28">
        <f>SUM(O71:O90)</f>
        <v>35328.354495812862</v>
      </c>
      <c r="Q91" s="233"/>
      <c r="R91" s="234"/>
      <c r="S91" s="23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48"/>
      <c r="R94" s="248"/>
      <c r="S94" s="248"/>
    </row>
    <row r="95" spans="1:19" ht="17.25" thickBot="1">
      <c r="A95" s="193" t="s">
        <v>267</v>
      </c>
      <c r="B95" s="249" t="s">
        <v>49</v>
      </c>
      <c r="C95" s="251"/>
      <c r="D95" s="249" t="s">
        <v>58</v>
      </c>
      <c r="E95" s="250"/>
      <c r="F95" s="251"/>
      <c r="G95" s="252">
        <f>_xlfn.IFNA(VLOOKUP(B95, 현재가테이블!$B$2:$D$200, 2, FALSE), "-")</f>
        <v>54440000</v>
      </c>
      <c r="H95" s="253"/>
      <c r="I95" s="254"/>
      <c r="J95" s="249" t="s">
        <v>59</v>
      </c>
      <c r="K95" s="250"/>
      <c r="L95" s="251"/>
      <c r="M95" s="255">
        <f>_xlfn.IFNA(VLOOKUP(B95, 현재가테이블!$B$2:$D$200, 3, FALSE), "-")</f>
        <v>1.07123628E-2</v>
      </c>
      <c r="N95" s="256"/>
      <c r="O95" s="257"/>
      <c r="Q95" s="248"/>
      <c r="R95" s="248"/>
      <c r="S95" s="248"/>
    </row>
    <row r="96" spans="1:19" ht="17.25" thickBot="1">
      <c r="A96" s="293" t="s">
        <v>55</v>
      </c>
      <c r="B96" s="289" t="str">
        <f>TEXT($G$1, "[$-ko-KR]yyyy-mm-dd(ddd) ") &amp; "오전 00:00"</f>
        <v>2021-08-10(화) 오전 00:00</v>
      </c>
      <c r="C96" s="290"/>
      <c r="D96" s="262" t="str">
        <f>TEXT($G$1, "[$-ko-KR]yyyy-mm-dd(ddd) ") &amp; "오후 14:00"</f>
        <v>2021-08-10(화) 오후 14:00</v>
      </c>
      <c r="E96" s="263"/>
      <c r="F96" s="264"/>
      <c r="G96" s="262" t="str">
        <f>TEXT($G$1, "[$-ko-KR]yyyy-mm-dd(ddd) ") &amp; "오후 19:00"</f>
        <v>2021-08-10(화) 오후 19:00</v>
      </c>
      <c r="H96" s="263"/>
      <c r="I96" s="264"/>
      <c r="J96" s="262" t="str">
        <f>TEXT($G$1, "[$-ko-KR]yyyy-mm-dd(ddd) ") &amp; "오후 21:00"</f>
        <v>2021-08-10(화) 오후 21:00</v>
      </c>
      <c r="K96" s="263"/>
      <c r="L96" s="264"/>
      <c r="M96" s="262" t="str">
        <f>TEXT($G$1+1, "[$-ko-KR]yyyy-mm-dd(ddd) ") &amp; "오전 00:00"</f>
        <v>2021-08-11(수) 오전 00:00</v>
      </c>
      <c r="N96" s="263"/>
      <c r="O96" s="264"/>
      <c r="Q96" s="248"/>
      <c r="R96" s="248"/>
      <c r="S96" s="248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4" t="s">
        <v>58</v>
      </c>
      <c r="H97" s="195" t="s">
        <v>268</v>
      </c>
      <c r="I97" s="19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8"/>
      <c r="R97" s="238"/>
      <c r="S97" s="238"/>
    </row>
    <row r="98" spans="1:19" ht="17.25" thickBot="1">
      <c r="A98" s="123" t="s">
        <v>88</v>
      </c>
      <c r="B98" s="124">
        <v>199650</v>
      </c>
      <c r="C98" s="76">
        <v>0.15940766549999999</v>
      </c>
      <c r="D98" s="13">
        <v>188650</v>
      </c>
      <c r="E98" s="14">
        <f>IF(ISNUMBER(D98), (D98 - $B98) / $B98, "")</f>
        <v>-5.5096418732782371E-2</v>
      </c>
      <c r="F98" s="16">
        <f>IF(ISNUMBER(D98), $B118 * E98, "")</f>
        <v>-5509.6418732782367</v>
      </c>
      <c r="G98" s="29">
        <v>192050</v>
      </c>
      <c r="H98" s="14">
        <f>IF(ISNUMBER(G98), (G98 - $B98) / $B98, "")</f>
        <v>-3.8066616579013272E-2</v>
      </c>
      <c r="I98" s="100">
        <f>IF(ISNUMBER(G98), $B118 * H98, "")</f>
        <v>-3806.6616579013271</v>
      </c>
      <c r="J98" s="13">
        <v>188150</v>
      </c>
      <c r="K98" s="14">
        <f>IF(ISNUMBER(J98), (J98 - $B98) / $B98, "")</f>
        <v>-5.7600801402454292E-2</v>
      </c>
      <c r="L98" s="16">
        <f>IF(ISNUMBER(J98), $B118 * K98, "")</f>
        <v>-5760.080140245429</v>
      </c>
      <c r="M98" s="29">
        <v>188050</v>
      </c>
      <c r="N98" s="14">
        <f>IF(ISNUMBER(M98), (M98 - $B98) / $B98, "")</f>
        <v>-5.8101677936388679E-2</v>
      </c>
      <c r="O98" s="16">
        <f>IF(ISNUMBER(M98), $B118 * N98, "")</f>
        <v>-5810.1677936388678</v>
      </c>
      <c r="Q98" s="248"/>
      <c r="R98" s="248"/>
      <c r="S98" s="248"/>
    </row>
    <row r="99" spans="1:19" ht="17.25" thickBot="1">
      <c r="A99" s="125" t="s">
        <v>146</v>
      </c>
      <c r="B99" s="126">
        <v>3295</v>
      </c>
      <c r="C99" s="77">
        <v>0.1480836237</v>
      </c>
      <c r="D99" s="15">
        <v>3405</v>
      </c>
      <c r="E99" s="32">
        <f t="shared" ref="E99:E102" si="46">IF(ISNUMBER(D99), (D99 - $B99) / $B99, "")</f>
        <v>3.3383915022761758E-2</v>
      </c>
      <c r="F99" s="18">
        <f>IF(ISNUMBER(D99), $B118 * E99, "")</f>
        <v>3338.3915022761757</v>
      </c>
      <c r="G99" s="31">
        <v>3470</v>
      </c>
      <c r="H99" s="32">
        <f t="shared" ref="H99:H102" si="47">IF(ISNUMBER(G99), (G99 - $B99) / $B99, "")</f>
        <v>5.3110773899848251E-2</v>
      </c>
      <c r="I99" s="101">
        <f>IF(ISNUMBER(G99), $B118 * H99, "")</f>
        <v>5311.0773899848255</v>
      </c>
      <c r="J99" s="15">
        <v>3430</v>
      </c>
      <c r="K99" s="32">
        <f t="shared" ref="K99:K102" si="48">IF(ISNUMBER(J99), (J99 - $B99) / $B99, "")</f>
        <v>4.09711684370258E-2</v>
      </c>
      <c r="L99" s="18">
        <f>IF(ISNUMBER(J99), $B118 * K99, "")</f>
        <v>4097.1168437025799</v>
      </c>
      <c r="M99" s="31">
        <v>3400</v>
      </c>
      <c r="N99" s="32">
        <f t="shared" ref="N99:N102" si="49">IF(ISNUMBER(M99), (M99 - $B99) / $B99, "")</f>
        <v>3.1866464339908952E-2</v>
      </c>
      <c r="O99" s="18">
        <f>IF(ISNUMBER(M99), $B118 * N99, "")</f>
        <v>3186.6464339908953</v>
      </c>
      <c r="Q99" s="248"/>
      <c r="R99" s="248"/>
      <c r="S99" s="248"/>
    </row>
    <row r="100" spans="1:19" ht="17.25" thickBot="1">
      <c r="A100" s="125" t="s">
        <v>86</v>
      </c>
      <c r="B100" s="126">
        <v>356</v>
      </c>
      <c r="C100" s="77">
        <v>0.10559006210000001</v>
      </c>
      <c r="D100" s="15">
        <v>381</v>
      </c>
      <c r="E100" s="32">
        <f t="shared" si="46"/>
        <v>7.02247191011236E-2</v>
      </c>
      <c r="F100" s="18">
        <f>IF(ISNUMBER(D100), $B118 * E100, "")</f>
        <v>7022.4719101123601</v>
      </c>
      <c r="G100" s="31">
        <v>383</v>
      </c>
      <c r="H100" s="32">
        <f t="shared" si="47"/>
        <v>7.5842696629213488E-2</v>
      </c>
      <c r="I100" s="101">
        <f>IF(ISNUMBER(G100), $B118 * H100, "")</f>
        <v>7584.2696629213488</v>
      </c>
      <c r="J100" s="15">
        <v>373</v>
      </c>
      <c r="K100" s="32">
        <f t="shared" si="48"/>
        <v>4.7752808988764044E-2</v>
      </c>
      <c r="L100" s="18">
        <f>IF(ISNUMBER(J100), $B118 * K100, "")</f>
        <v>4775.2808988764045</v>
      </c>
      <c r="M100" s="31">
        <v>367</v>
      </c>
      <c r="N100" s="32">
        <f t="shared" si="49"/>
        <v>3.0898876404494381E-2</v>
      </c>
      <c r="O100" s="18">
        <f>IF(ISNUMBER(M100), $B118 * N100, "")</f>
        <v>3089.8876404494381</v>
      </c>
      <c r="Q100" s="238"/>
      <c r="R100" s="238"/>
      <c r="S100" s="238"/>
    </row>
    <row r="101" spans="1:19" ht="17.25" thickBot="1">
      <c r="A101" s="125" t="s">
        <v>158</v>
      </c>
      <c r="B101" s="126">
        <v>20780</v>
      </c>
      <c r="C101" s="77">
        <v>0.1012188659</v>
      </c>
      <c r="D101" s="15">
        <v>20200</v>
      </c>
      <c r="E101" s="32">
        <f t="shared" si="46"/>
        <v>-2.791145332050048E-2</v>
      </c>
      <c r="F101" s="18">
        <f>IF(ISNUMBER(D101), $B118 * E101, "")</f>
        <v>-2791.1453320500482</v>
      </c>
      <c r="G101" s="31">
        <v>20290</v>
      </c>
      <c r="H101" s="32">
        <f t="shared" si="47"/>
        <v>-2.358036573628489E-2</v>
      </c>
      <c r="I101" s="101">
        <f>IF(ISNUMBER(G101), $B118 * H101, "")</f>
        <v>-2358.0365736284889</v>
      </c>
      <c r="J101" s="15">
        <v>19950</v>
      </c>
      <c r="K101" s="32">
        <f t="shared" si="48"/>
        <v>-3.9942252165543791E-2</v>
      </c>
      <c r="L101" s="18">
        <f>IF(ISNUMBER(J101), $B118 * K101, "")</f>
        <v>-3994.2252165543791</v>
      </c>
      <c r="M101" s="31">
        <v>19810</v>
      </c>
      <c r="N101" s="32">
        <f t="shared" si="49"/>
        <v>-4.6679499518768049E-2</v>
      </c>
      <c r="O101" s="18">
        <f>IF(ISNUMBER(M101), $B118 * N101, "")</f>
        <v>-4667.9499518768052</v>
      </c>
      <c r="Q101" s="238"/>
      <c r="R101" s="238"/>
      <c r="S101" s="238"/>
    </row>
    <row r="102" spans="1:19" ht="17.25" thickBot="1">
      <c r="A102" s="127" t="s">
        <v>156</v>
      </c>
      <c r="B102" s="128">
        <v>1775</v>
      </c>
      <c r="C102" s="78">
        <v>8.5626911299999997E-2</v>
      </c>
      <c r="D102" s="20">
        <v>1790</v>
      </c>
      <c r="E102" s="21">
        <f t="shared" si="46"/>
        <v>8.4507042253521118E-3</v>
      </c>
      <c r="F102" s="22">
        <f>IF(ISNUMBER(D102), $B118 * E102, "")</f>
        <v>845.07042253521115</v>
      </c>
      <c r="G102" s="30">
        <v>1830</v>
      </c>
      <c r="H102" s="21">
        <f t="shared" si="47"/>
        <v>3.0985915492957747E-2</v>
      </c>
      <c r="I102" s="105">
        <f>IF(ISNUMBER(G102), $B118 * H102, "")</f>
        <v>3098.5915492957747</v>
      </c>
      <c r="J102" s="20">
        <v>1815</v>
      </c>
      <c r="K102" s="21">
        <f t="shared" si="48"/>
        <v>2.2535211267605635E-2</v>
      </c>
      <c r="L102" s="22">
        <f>IF(ISNUMBER(J102), $B118 * K102, "")</f>
        <v>2253.5211267605637</v>
      </c>
      <c r="M102" s="30">
        <v>1800</v>
      </c>
      <c r="N102" s="21">
        <f t="shared" si="49"/>
        <v>1.4084507042253521E-2</v>
      </c>
      <c r="O102" s="22">
        <f>IF(ISNUMBER(M102), $B118 * N102, "")</f>
        <v>1408.4507042253522</v>
      </c>
      <c r="Q102" s="238"/>
      <c r="R102" s="238"/>
      <c r="S102" s="238"/>
    </row>
    <row r="103" spans="1:19" ht="17.25" thickBot="1">
      <c r="A103" s="125" t="s">
        <v>240</v>
      </c>
      <c r="B103" s="129">
        <v>67</v>
      </c>
      <c r="C103" s="80">
        <v>6.1806656100000003E-2</v>
      </c>
      <c r="D103" s="106">
        <v>68.5</v>
      </c>
      <c r="E103" s="107">
        <f>IF(ISNUMBER(D103), (D103 - $B103) / $B103, "")</f>
        <v>2.2388059701492536E-2</v>
      </c>
      <c r="F103" s="108">
        <f>IF(ISNUMBER(D103), $B118 * E103, "")</f>
        <v>2238.8059701492534</v>
      </c>
      <c r="G103" s="109">
        <v>67.8</v>
      </c>
      <c r="H103" s="107">
        <f>IF(ISNUMBER(G103), (G103 - $B103) / $B103, "")</f>
        <v>1.1940298507462643E-2</v>
      </c>
      <c r="I103" s="110">
        <f>IF(ISNUMBER(G103), $B118 * H103, "")</f>
        <v>1194.0298507462644</v>
      </c>
      <c r="J103" s="106">
        <v>66.2</v>
      </c>
      <c r="K103" s="107">
        <f>IF(ISNUMBER(J103), (J103 - $B103) / $B103, "")</f>
        <v>-1.1940298507462643E-2</v>
      </c>
      <c r="L103" s="108">
        <f>IF(ISNUMBER(J103), $B118 * K103, "")</f>
        <v>-1194.0298507462644</v>
      </c>
      <c r="M103" s="109">
        <v>66.900000000000006</v>
      </c>
      <c r="N103" s="107">
        <f>IF(ISNUMBER(M103), (M103 - $B103) / $B103, "")</f>
        <v>-1.4925373134327511E-3</v>
      </c>
      <c r="O103" s="108">
        <f>IF(ISNUMBER(M103), $B118 * N103, "")</f>
        <v>-149.25373134327509</v>
      </c>
      <c r="Q103" s="238"/>
      <c r="R103" s="238"/>
      <c r="S103" s="238"/>
    </row>
    <row r="104" spans="1:19" ht="17.25" thickBot="1">
      <c r="A104" s="125" t="s">
        <v>126</v>
      </c>
      <c r="B104" s="126">
        <v>184000</v>
      </c>
      <c r="C104" s="77">
        <v>5.8992805799999999E-2</v>
      </c>
      <c r="D104" s="15">
        <v>186400</v>
      </c>
      <c r="E104" s="32">
        <f t="shared" ref="E104:E107" si="50">IF(ISNUMBER(D104), (D104 - $B104) / $B104, "")</f>
        <v>1.3043478260869565E-2</v>
      </c>
      <c r="F104" s="18">
        <f>IF(ISNUMBER(D104), $B118 * E104, "")</f>
        <v>1304.3478260869565</v>
      </c>
      <c r="G104" s="31">
        <v>189000</v>
      </c>
      <c r="H104" s="32">
        <f t="shared" ref="H104:H107" si="51">IF(ISNUMBER(G104), (G104 - $B104) / $B104, "")</f>
        <v>2.717391304347826E-2</v>
      </c>
      <c r="I104" s="101">
        <f>IF(ISNUMBER(G104), $B118 * H104, "")</f>
        <v>2717.391304347826</v>
      </c>
      <c r="J104" s="15">
        <v>186950</v>
      </c>
      <c r="K104" s="32">
        <f t="shared" ref="K104:K107" si="52">IF(ISNUMBER(J104), (J104 - $B104) / $B104, "")</f>
        <v>1.6032608695652175E-2</v>
      </c>
      <c r="L104" s="18">
        <f>IF(ISNUMBER(J104), $B118 * K104, "")</f>
        <v>1603.2608695652175</v>
      </c>
      <c r="M104" s="31">
        <v>187500</v>
      </c>
      <c r="N104" s="32">
        <f t="shared" ref="N104:N107" si="53">IF(ISNUMBER(M104), (M104 - $B104) / $B104, "")</f>
        <v>1.9021739130434784E-2</v>
      </c>
      <c r="O104" s="18">
        <f>IF(ISNUMBER(M104), $B118 * N104, "")</f>
        <v>1902.1739130434785</v>
      </c>
      <c r="Q104" s="238"/>
      <c r="R104" s="238"/>
      <c r="S104" s="238"/>
    </row>
    <row r="105" spans="1:19" ht="17.25" thickBot="1">
      <c r="A105" s="125" t="s">
        <v>112</v>
      </c>
      <c r="B105" s="126">
        <v>7845</v>
      </c>
      <c r="C105" s="77">
        <v>5.3727333799999999E-2</v>
      </c>
      <c r="D105" s="15">
        <v>7680</v>
      </c>
      <c r="E105" s="32">
        <f t="shared" si="50"/>
        <v>-2.1032504780114723E-2</v>
      </c>
      <c r="F105" s="18">
        <f>IF(ISNUMBER(D105), $B118 * E105, "")</f>
        <v>-2103.2504780114723</v>
      </c>
      <c r="G105" s="31">
        <v>7880</v>
      </c>
      <c r="H105" s="32">
        <f t="shared" si="51"/>
        <v>4.4614404079031233E-3</v>
      </c>
      <c r="I105" s="101">
        <f>IF(ISNUMBER(G105), $B118 * H105, "")</f>
        <v>446.14404079031232</v>
      </c>
      <c r="J105" s="15">
        <v>7935</v>
      </c>
      <c r="K105" s="32">
        <f t="shared" si="52"/>
        <v>1.1472275334608031E-2</v>
      </c>
      <c r="L105" s="18">
        <f>IF(ISNUMBER(J105), $B118 * K105, "")</f>
        <v>1147.2275334608032</v>
      </c>
      <c r="M105" s="31">
        <v>7815</v>
      </c>
      <c r="N105" s="32">
        <f t="shared" si="53"/>
        <v>-3.8240917782026767E-3</v>
      </c>
      <c r="O105" s="18">
        <f>IF(ISNUMBER(M105), $B118 * N105, "")</f>
        <v>-382.4091778202677</v>
      </c>
      <c r="Q105" s="238"/>
      <c r="R105" s="238"/>
      <c r="S105" s="238"/>
    </row>
    <row r="106" spans="1:19" ht="17.25" thickBot="1">
      <c r="A106" s="125" t="s">
        <v>69</v>
      </c>
      <c r="B106" s="126">
        <v>5210</v>
      </c>
      <c r="C106" s="77">
        <v>5.2525252500000001E-2</v>
      </c>
      <c r="D106" s="15">
        <v>5610</v>
      </c>
      <c r="E106" s="32">
        <f t="shared" si="50"/>
        <v>7.6775431861804216E-2</v>
      </c>
      <c r="F106" s="18">
        <f>IF(ISNUMBER(D106), $B118 * E106, "")</f>
        <v>7677.5431861804218</v>
      </c>
      <c r="G106" s="31">
        <v>5630</v>
      </c>
      <c r="H106" s="32">
        <f t="shared" si="51"/>
        <v>8.0614203454894437E-2</v>
      </c>
      <c r="I106" s="101">
        <f>IF(ISNUMBER(G106), $B118 * H106, "")</f>
        <v>8061.4203454894441</v>
      </c>
      <c r="J106" s="15">
        <v>5460</v>
      </c>
      <c r="K106" s="32">
        <f t="shared" si="52"/>
        <v>4.7984644913627639E-2</v>
      </c>
      <c r="L106" s="18">
        <f>IF(ISNUMBER(J106), $B118 * K106, "")</f>
        <v>4798.4644913627635</v>
      </c>
      <c r="M106" s="31">
        <v>5305</v>
      </c>
      <c r="N106" s="32">
        <f t="shared" si="53"/>
        <v>1.8234165067178502E-2</v>
      </c>
      <c r="O106" s="18">
        <f>IF(ISNUMBER(M106), $B118 * N106, "")</f>
        <v>1823.4165067178503</v>
      </c>
      <c r="Q106" s="33"/>
      <c r="R106" s="33"/>
    </row>
    <row r="107" spans="1:19" ht="17.25" thickBot="1">
      <c r="A107" s="130" t="s">
        <v>78</v>
      </c>
      <c r="B107" s="131">
        <v>675900</v>
      </c>
      <c r="C107" s="79">
        <v>4.8394602100000003E-2</v>
      </c>
      <c r="D107" s="24">
        <v>669800</v>
      </c>
      <c r="E107" s="25">
        <f t="shared" si="50"/>
        <v>-9.0250036987720075E-3</v>
      </c>
      <c r="F107" s="104">
        <f>IF(ISNUMBER(D107), $B118 * E107, "")</f>
        <v>-902.5003698772008</v>
      </c>
      <c r="G107" s="102">
        <v>677400</v>
      </c>
      <c r="H107" s="25">
        <f t="shared" si="51"/>
        <v>2.2192632046160675E-3</v>
      </c>
      <c r="I107" s="103">
        <f>IF(ISNUMBER(G107), $B118 * H107, "")</f>
        <v>221.92632046160676</v>
      </c>
      <c r="J107" s="24">
        <v>674000</v>
      </c>
      <c r="K107" s="25">
        <f t="shared" si="52"/>
        <v>-2.8110667258470189E-3</v>
      </c>
      <c r="L107" s="104">
        <f>IF(ISNUMBER(J107), $B118 * K107, "")</f>
        <v>-281.10667258470187</v>
      </c>
      <c r="M107" s="102">
        <v>672100</v>
      </c>
      <c r="N107" s="25">
        <f t="shared" si="53"/>
        <v>-5.6221334516940377E-3</v>
      </c>
      <c r="O107" s="104">
        <f>IF(ISNUMBER(M107), $B118 * N107, "")</f>
        <v>-562.21334516940374</v>
      </c>
      <c r="Q107" s="239"/>
      <c r="R107" s="240"/>
      <c r="S107" s="241"/>
    </row>
    <row r="108" spans="1:19">
      <c r="A108" s="123" t="s">
        <v>140</v>
      </c>
      <c r="B108" s="124">
        <v>5775</v>
      </c>
      <c r="C108" s="76">
        <v>4.4303797499999999E-2</v>
      </c>
      <c r="D108" s="13">
        <v>5725</v>
      </c>
      <c r="E108" s="14">
        <f>IF(ISNUMBER(D108), (D108 - $B108) / $B108, "")</f>
        <v>-8.658008658008658E-3</v>
      </c>
      <c r="F108" s="16">
        <f>IF(ISNUMBER(D108), $B118 * E108, "")</f>
        <v>-865.80086580086584</v>
      </c>
      <c r="G108" s="29">
        <v>5910</v>
      </c>
      <c r="H108" s="14">
        <f>IF(ISNUMBER(G108), (G108 - $B108) / $B108, "")</f>
        <v>2.3376623376623377E-2</v>
      </c>
      <c r="I108" s="100">
        <f>IF(ISNUMBER(G108), $B118 * H108, "")</f>
        <v>2337.6623376623379</v>
      </c>
      <c r="J108" s="13">
        <v>5815</v>
      </c>
      <c r="K108" s="14">
        <f>IF(ISNUMBER(J108), (J108 - $B108) / $B108, "")</f>
        <v>6.9264069264069264E-3</v>
      </c>
      <c r="L108" s="16">
        <f>IF(ISNUMBER(J108), $B118 * K108, "")</f>
        <v>692.64069264069269</v>
      </c>
      <c r="M108" s="29">
        <v>5810</v>
      </c>
      <c r="N108" s="14">
        <f>IF(ISNUMBER(M108), (M108 - $B108) / $B108, "")</f>
        <v>6.0606060606060606E-3</v>
      </c>
      <c r="O108" s="16">
        <f>IF(ISNUMBER(M108), $B118 * N108, "")</f>
        <v>606.06060606060601</v>
      </c>
      <c r="Q108" s="242"/>
      <c r="R108" s="243"/>
      <c r="S108" s="244"/>
    </row>
    <row r="109" spans="1:19" ht="17.25" thickBot="1">
      <c r="A109" s="125" t="s">
        <v>92</v>
      </c>
      <c r="B109" s="126">
        <v>67680</v>
      </c>
      <c r="C109" s="77">
        <v>4.15512465E-2</v>
      </c>
      <c r="D109" s="15">
        <v>67690</v>
      </c>
      <c r="E109" s="32">
        <f t="shared" ref="E109:E112" si="54">IF(ISNUMBER(D109), (D109 - $B109) / $B109, "")</f>
        <v>1.4775413711583924E-4</v>
      </c>
      <c r="F109" s="18">
        <f>IF(ISNUMBER(D109), $B118 * E109, "")</f>
        <v>14.775413711583925</v>
      </c>
      <c r="G109" s="31">
        <v>68250</v>
      </c>
      <c r="H109" s="32">
        <f t="shared" ref="H109:H112" si="55">IF(ISNUMBER(G109), (G109 - $B109) / $B109, "")</f>
        <v>8.4219858156028369E-3</v>
      </c>
      <c r="I109" s="101">
        <f>IF(ISNUMBER(G109), $B118 * H109, "")</f>
        <v>842.19858156028374</v>
      </c>
      <c r="J109" s="15">
        <v>67350</v>
      </c>
      <c r="K109" s="32">
        <f t="shared" ref="K109:K112" si="56">IF(ISNUMBER(J109), (J109 - $B109) / $B109, "")</f>
        <v>-4.8758865248226951E-3</v>
      </c>
      <c r="L109" s="18">
        <f>IF(ISNUMBER(J109), $B118 * K109, "")</f>
        <v>-487.58865248226954</v>
      </c>
      <c r="M109" s="31">
        <v>67160</v>
      </c>
      <c r="N109" s="32">
        <f t="shared" ref="N109:N112" si="57">IF(ISNUMBER(M109), (M109 - $B109) / $B109, "")</f>
        <v>-7.6832151300236405E-3</v>
      </c>
      <c r="O109" s="18">
        <f>IF(ISNUMBER(M109), $B118 * N109, "")</f>
        <v>-768.3215130023641</v>
      </c>
      <c r="Q109" s="245"/>
      <c r="R109" s="246"/>
      <c r="S109" s="247"/>
    </row>
    <row r="110" spans="1:19" ht="17.25" thickBot="1">
      <c r="A110" s="125" t="s">
        <v>116</v>
      </c>
      <c r="B110" s="126">
        <v>6880</v>
      </c>
      <c r="C110" s="77">
        <v>4.0847201200000002E-2</v>
      </c>
      <c r="D110" s="15">
        <v>6840</v>
      </c>
      <c r="E110" s="32">
        <f t="shared" si="54"/>
        <v>-5.8139534883720929E-3</v>
      </c>
      <c r="F110" s="18">
        <f>IF(ISNUMBER(D110), $B118 * E110, "")</f>
        <v>-581.39534883720933</v>
      </c>
      <c r="G110" s="31">
        <v>7045</v>
      </c>
      <c r="H110" s="32">
        <f t="shared" si="55"/>
        <v>2.3982558139534885E-2</v>
      </c>
      <c r="I110" s="101">
        <f>IF(ISNUMBER(G110), $B118 * H110, "")</f>
        <v>2398.2558139534885</v>
      </c>
      <c r="J110" s="15">
        <v>6975</v>
      </c>
      <c r="K110" s="32">
        <f t="shared" si="56"/>
        <v>1.3808139534883721E-2</v>
      </c>
      <c r="L110" s="18">
        <f>IF(ISNUMBER(J110), $B118 * K110, "")</f>
        <v>1380.8139534883721</v>
      </c>
      <c r="M110" s="31">
        <v>6890</v>
      </c>
      <c r="N110" s="32">
        <f t="shared" si="57"/>
        <v>1.4534883720930232E-3</v>
      </c>
      <c r="O110" s="18">
        <f>IF(ISNUMBER(M110), $B118 * N110, "")</f>
        <v>145.34883720930233</v>
      </c>
      <c r="Q110" s="238"/>
      <c r="R110" s="238"/>
      <c r="S110" s="238"/>
    </row>
    <row r="111" spans="1:19" ht="17.25" thickBot="1">
      <c r="A111" s="125" t="s">
        <v>132</v>
      </c>
      <c r="B111" s="126">
        <v>105</v>
      </c>
      <c r="C111" s="77">
        <v>3.9603960399999999E-2</v>
      </c>
      <c r="D111" s="15">
        <v>107</v>
      </c>
      <c r="E111" s="32">
        <f t="shared" si="54"/>
        <v>1.9047619047619049E-2</v>
      </c>
      <c r="F111" s="18">
        <f>IF(ISNUMBER(D111), $B118 * E111, "")</f>
        <v>1904.761904761905</v>
      </c>
      <c r="G111" s="31">
        <v>109</v>
      </c>
      <c r="H111" s="32">
        <f t="shared" si="55"/>
        <v>3.8095238095238099E-2</v>
      </c>
      <c r="I111" s="101">
        <f>IF(ISNUMBER(G111), $B118 * H111, "")</f>
        <v>3809.5238095238101</v>
      </c>
      <c r="J111" s="15">
        <v>112</v>
      </c>
      <c r="K111" s="32">
        <f t="shared" si="56"/>
        <v>6.6666666666666666E-2</v>
      </c>
      <c r="L111" s="18">
        <f>IF(ISNUMBER(J111), $B118 * K111, "")</f>
        <v>6666.666666666667</v>
      </c>
      <c r="M111" s="31">
        <v>110</v>
      </c>
      <c r="N111" s="32">
        <f t="shared" si="57"/>
        <v>4.7619047619047616E-2</v>
      </c>
      <c r="O111" s="18">
        <f>IF(ISNUMBER(M111), $B118 * N111, "")</f>
        <v>4761.9047619047615</v>
      </c>
      <c r="Q111" s="248"/>
      <c r="R111" s="248"/>
      <c r="S111" s="248"/>
    </row>
    <row r="112" spans="1:19" ht="17.25" thickBot="1">
      <c r="A112" s="127" t="s">
        <v>180</v>
      </c>
      <c r="B112" s="128">
        <v>12320</v>
      </c>
      <c r="C112" s="78">
        <v>3.8785834700000001E-2</v>
      </c>
      <c r="D112" s="20">
        <v>12090</v>
      </c>
      <c r="E112" s="21">
        <f t="shared" si="54"/>
        <v>-1.8668831168831168E-2</v>
      </c>
      <c r="F112" s="22">
        <f>IF(ISNUMBER(D112), $B118 * E112, "")</f>
        <v>-1866.8831168831168</v>
      </c>
      <c r="G112" s="30">
        <v>12240</v>
      </c>
      <c r="H112" s="21">
        <f t="shared" si="55"/>
        <v>-6.4935064935064939E-3</v>
      </c>
      <c r="I112" s="105">
        <f>IF(ISNUMBER(G112), $B118 * H112, "")</f>
        <v>-649.35064935064941</v>
      </c>
      <c r="J112" s="20">
        <v>12010</v>
      </c>
      <c r="K112" s="21">
        <f t="shared" si="56"/>
        <v>-2.5162337662337664E-2</v>
      </c>
      <c r="L112" s="22">
        <f>IF(ISNUMBER(J112), $B118 * K112, "")</f>
        <v>-2516.2337662337663</v>
      </c>
      <c r="M112" s="30">
        <v>12010</v>
      </c>
      <c r="N112" s="21">
        <f t="shared" si="57"/>
        <v>-2.5162337662337664E-2</v>
      </c>
      <c r="O112" s="22">
        <f>IF(ISNUMBER(M112), $B118 * N112, "")</f>
        <v>-2516.2337662337663</v>
      </c>
      <c r="Q112" s="248"/>
      <c r="R112" s="248"/>
      <c r="S112" s="248"/>
    </row>
    <row r="113" spans="1:19" ht="17.25" thickBot="1">
      <c r="A113" s="125" t="s">
        <v>74</v>
      </c>
      <c r="B113" s="129">
        <v>15840</v>
      </c>
      <c r="C113" s="80">
        <v>3.8688524600000003E-2</v>
      </c>
      <c r="D113" s="106">
        <v>15750</v>
      </c>
      <c r="E113" s="107">
        <f>IF(ISNUMBER(D113), (D113 - $B113) / $B113, "")</f>
        <v>-5.681818181818182E-3</v>
      </c>
      <c r="F113" s="108">
        <f>IF(ISNUMBER(D113), $B118 * E113, "")</f>
        <v>-568.18181818181824</v>
      </c>
      <c r="G113" s="109">
        <v>16360</v>
      </c>
      <c r="H113" s="107">
        <f>IF(ISNUMBER(G113), (G113 - $B113) / $B113, "")</f>
        <v>3.2828282828282832E-2</v>
      </c>
      <c r="I113" s="110">
        <f>IF(ISNUMBER(G113), $B118 * H113, "")</f>
        <v>3282.8282828282831</v>
      </c>
      <c r="J113" s="106">
        <v>16200</v>
      </c>
      <c r="K113" s="107">
        <f>IF(ISNUMBER(J113), (J113 - $B113) / $B113, "")</f>
        <v>2.2727272727272728E-2</v>
      </c>
      <c r="L113" s="108">
        <f>IF(ISNUMBER(J113), $B118 * K113, "")</f>
        <v>2272.727272727273</v>
      </c>
      <c r="M113" s="109">
        <v>15880</v>
      </c>
      <c r="N113" s="107">
        <f>IF(ISNUMBER(M113), (M113 - $B113) / $B113, "")</f>
        <v>2.5252525252525255E-3</v>
      </c>
      <c r="O113" s="108">
        <f>IF(ISNUMBER(M113), $B118 * N113, "")</f>
        <v>252.52525252525254</v>
      </c>
      <c r="Q113" s="238"/>
      <c r="R113" s="238"/>
      <c r="S113" s="238"/>
    </row>
    <row r="114" spans="1:19" ht="17.25" thickBot="1">
      <c r="A114" s="125" t="s">
        <v>76</v>
      </c>
      <c r="B114" s="126">
        <v>27770</v>
      </c>
      <c r="C114" s="77">
        <v>3.6967886499999998E-2</v>
      </c>
      <c r="D114" s="15">
        <v>27560</v>
      </c>
      <c r="E114" s="32">
        <f t="shared" ref="E114:E117" si="58">IF(ISNUMBER(D114), (D114 - $B114) / $B114, "")</f>
        <v>-7.562117392870004E-3</v>
      </c>
      <c r="F114" s="18">
        <f>IF(ISNUMBER(D114), $B118 * E114, "")</f>
        <v>-756.21173928700046</v>
      </c>
      <c r="G114" s="31">
        <v>28180</v>
      </c>
      <c r="H114" s="32">
        <f t="shared" ref="H114:H117" si="59">IF(ISNUMBER(G114), (G114 - $B114) / $B114, "")</f>
        <v>1.4764133957508103E-2</v>
      </c>
      <c r="I114" s="101">
        <f>IF(ISNUMBER(G114), $B118 * H114, "")</f>
        <v>1476.4133957508102</v>
      </c>
      <c r="J114" s="15">
        <v>27980</v>
      </c>
      <c r="K114" s="32">
        <f t="shared" ref="K114:K117" si="60">IF(ISNUMBER(J114), (J114 - $B114) / $B114, "")</f>
        <v>7.562117392870004E-3</v>
      </c>
      <c r="L114" s="18">
        <f>IF(ISNUMBER(J114), $B118 * K114, "")</f>
        <v>756.21173928700046</v>
      </c>
      <c r="M114" s="31">
        <v>28190</v>
      </c>
      <c r="N114" s="32">
        <f t="shared" ref="N114:N117" si="61">IF(ISNUMBER(M114), (M114 - $B114) / $B114, "")</f>
        <v>1.5124234785740008E-2</v>
      </c>
      <c r="O114" s="18">
        <f>IF(ISNUMBER(M114), $B118 * N114, "")</f>
        <v>1512.4234785740009</v>
      </c>
      <c r="Q114" s="238"/>
      <c r="R114" s="238"/>
      <c r="S114" s="238"/>
    </row>
    <row r="115" spans="1:19" ht="17.25" thickBot="1">
      <c r="A115" s="125" t="s">
        <v>51</v>
      </c>
      <c r="B115" s="126">
        <v>345</v>
      </c>
      <c r="C115" s="77">
        <v>3.6036036E-2</v>
      </c>
      <c r="D115" s="15">
        <v>344</v>
      </c>
      <c r="E115" s="32">
        <f t="shared" si="58"/>
        <v>-2.8985507246376812E-3</v>
      </c>
      <c r="F115" s="18">
        <f>IF(ISNUMBER(D115), $B118 * E115, "")</f>
        <v>-289.85507246376812</v>
      </c>
      <c r="G115" s="31">
        <v>349</v>
      </c>
      <c r="H115" s="32">
        <f t="shared" si="59"/>
        <v>1.1594202898550725E-2</v>
      </c>
      <c r="I115" s="101">
        <f>IF(ISNUMBER(G115), $B118 * H115, "")</f>
        <v>1159.4202898550725</v>
      </c>
      <c r="J115" s="15">
        <v>351</v>
      </c>
      <c r="K115" s="32">
        <f t="shared" si="60"/>
        <v>1.7391304347826087E-2</v>
      </c>
      <c r="L115" s="18">
        <f>IF(ISNUMBER(J115), $B118 * K115, "")</f>
        <v>1739.1304347826087</v>
      </c>
      <c r="M115" s="31">
        <v>348</v>
      </c>
      <c r="N115" s="32">
        <f t="shared" si="61"/>
        <v>8.6956521739130436E-3</v>
      </c>
      <c r="O115" s="18">
        <f>IF(ISNUMBER(M115), $B118 * N115, "")</f>
        <v>869.56521739130437</v>
      </c>
      <c r="Q115" s="238"/>
      <c r="R115" s="238"/>
      <c r="S115" s="238"/>
    </row>
    <row r="116" spans="1:19">
      <c r="A116" s="125" t="s">
        <v>266</v>
      </c>
      <c r="B116" s="126">
        <v>290</v>
      </c>
      <c r="C116" s="77">
        <v>3.5714285700000001E-2</v>
      </c>
      <c r="D116" s="15">
        <v>291</v>
      </c>
      <c r="E116" s="32">
        <f t="shared" si="58"/>
        <v>3.4482758620689655E-3</v>
      </c>
      <c r="F116" s="18">
        <f>IF(ISNUMBER(D116), $B118 * E116, "")</f>
        <v>344.82758620689657</v>
      </c>
      <c r="G116" s="31">
        <v>297</v>
      </c>
      <c r="H116" s="32">
        <f t="shared" si="59"/>
        <v>2.4137931034482758E-2</v>
      </c>
      <c r="I116" s="101">
        <f>IF(ISNUMBER(G116), $B118 * H116, "")</f>
        <v>2413.7931034482758</v>
      </c>
      <c r="J116" s="15">
        <v>288</v>
      </c>
      <c r="K116" s="32">
        <f t="shared" si="60"/>
        <v>-6.8965517241379309E-3</v>
      </c>
      <c r="L116" s="18">
        <f>IF(ISNUMBER(J116), $B118 * K116, "")</f>
        <v>-689.65517241379314</v>
      </c>
      <c r="M116" s="31">
        <v>289</v>
      </c>
      <c r="N116" s="32">
        <f t="shared" si="61"/>
        <v>-3.4482758620689655E-3</v>
      </c>
      <c r="O116" s="18">
        <f>IF(ISNUMBER(M116), $B118 * N116, "")</f>
        <v>-344.82758620689657</v>
      </c>
      <c r="Q116" s="227"/>
      <c r="R116" s="228"/>
      <c r="S116" s="229"/>
    </row>
    <row r="117" spans="1:19" ht="17.25" thickBot="1">
      <c r="A117" s="130" t="s">
        <v>134</v>
      </c>
      <c r="B117" s="131">
        <v>23610</v>
      </c>
      <c r="C117" s="79">
        <v>3.55263158E-2</v>
      </c>
      <c r="D117" s="24">
        <v>23520</v>
      </c>
      <c r="E117" s="25">
        <f t="shared" si="58"/>
        <v>-3.8119440914866584E-3</v>
      </c>
      <c r="F117" s="104">
        <f>IF(ISNUMBER(D117), $B118 * E117, "")</f>
        <v>-381.19440914866584</v>
      </c>
      <c r="G117" s="102">
        <v>23880</v>
      </c>
      <c r="H117" s="25">
        <f t="shared" si="59"/>
        <v>1.1435832274459974E-2</v>
      </c>
      <c r="I117" s="103">
        <f>IF(ISNUMBER(G117), $B118 * H117, "")</f>
        <v>1143.5832274459974</v>
      </c>
      <c r="J117" s="24">
        <v>23590</v>
      </c>
      <c r="K117" s="25">
        <f t="shared" si="60"/>
        <v>-8.4709868699703512E-4</v>
      </c>
      <c r="L117" s="104">
        <f>IF(ISNUMBER(J117), $B118 * K117, "")</f>
        <v>-84.709868699703506</v>
      </c>
      <c r="M117" s="102">
        <v>23740</v>
      </c>
      <c r="N117" s="25">
        <f t="shared" si="61"/>
        <v>5.5061414654807286E-3</v>
      </c>
      <c r="O117" s="104">
        <f>IF(ISNUMBER(M117), $B118 * N117, "")</f>
        <v>550.61414654807288</v>
      </c>
      <c r="Q117" s="230"/>
      <c r="R117" s="231"/>
      <c r="S117" s="232"/>
    </row>
    <row r="118" spans="1:19" ht="17.25" thickBot="1">
      <c r="A118" s="132" t="s">
        <v>270</v>
      </c>
      <c r="B118" s="291">
        <f>$B$37</f>
        <v>100000</v>
      </c>
      <c r="C118" s="292"/>
      <c r="D118" s="26" t="s">
        <v>271</v>
      </c>
      <c r="E118" s="27">
        <f>IF(COUNT(E98:E117), SUM(E98:E117) / COUNT(E98:E117), 0)</f>
        <v>4.0374676491006806E-3</v>
      </c>
      <c r="F118" s="28">
        <f>SUM(F98:F117)</f>
        <v>8074.9352982013606</v>
      </c>
      <c r="G118" s="26" t="s">
        <v>271</v>
      </c>
      <c r="H118" s="27">
        <f>IF(COUNT(H98:H117), SUM(H98:H117) / COUNT(H98:H117), 0)</f>
        <v>2.0342240212592646E-2</v>
      </c>
      <c r="I118" s="28">
        <f>SUM(I98:I117)</f>
        <v>40684.480425185291</v>
      </c>
      <c r="J118" s="26" t="s">
        <v>271</v>
      </c>
      <c r="K118" s="27">
        <f>IF(COUNT(K98:K117), SUM(K98:K117) / COUNT(K98:K117), 0)</f>
        <v>8.587716591680318E-3</v>
      </c>
      <c r="L118" s="28">
        <f>SUM(L98:L117)</f>
        <v>17175.433183360637</v>
      </c>
      <c r="M118" s="26" t="s">
        <v>271</v>
      </c>
      <c r="N118" s="27">
        <f>IF(COUNT(N98:N117), SUM(N98:N117) / COUNT(N98:N117), 0)</f>
        <v>2.4538203166743341E-3</v>
      </c>
      <c r="O118" s="28">
        <f>SUM(O98:O117)</f>
        <v>4907.6406333486693</v>
      </c>
      <c r="Q118" s="233"/>
      <c r="R118" s="234"/>
      <c r="S118" s="23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48"/>
      <c r="R121" s="248"/>
      <c r="S121" s="248"/>
    </row>
    <row r="122" spans="1:19" ht="17.25" thickBot="1">
      <c r="A122" s="193" t="s">
        <v>267</v>
      </c>
      <c r="B122" s="249" t="s">
        <v>49</v>
      </c>
      <c r="C122" s="251"/>
      <c r="D122" s="249" t="s">
        <v>58</v>
      </c>
      <c r="E122" s="250"/>
      <c r="F122" s="251"/>
      <c r="G122" s="252">
        <f>_xlfn.IFNA(VLOOKUP(B122, 현재가테이블!$B$2:$D$200, 2, FALSE), "-")</f>
        <v>54440000</v>
      </c>
      <c r="H122" s="253"/>
      <c r="I122" s="254"/>
      <c r="J122" s="249" t="s">
        <v>59</v>
      </c>
      <c r="K122" s="250"/>
      <c r="L122" s="251"/>
      <c r="M122" s="255">
        <f>_xlfn.IFNA(VLOOKUP(B122, 현재가테이블!$B$2:$D$200, 3, FALSE), "-")</f>
        <v>1.07123628E-2</v>
      </c>
      <c r="N122" s="256"/>
      <c r="O122" s="257"/>
      <c r="Q122" s="248"/>
      <c r="R122" s="248"/>
      <c r="S122" s="248"/>
    </row>
    <row r="123" spans="1:19" ht="17.25" thickBot="1">
      <c r="A123" s="293" t="s">
        <v>55</v>
      </c>
      <c r="B123" s="289" t="str">
        <f>TEXT($G$1, "[$-ko-KR]yyyy-mm-dd(ddd) ") &amp; "오전 00:00"</f>
        <v>2021-08-10(화) 오전 00:00</v>
      </c>
      <c r="C123" s="290"/>
      <c r="D123" s="262" t="str">
        <f>TEXT($G$1, "[$-ko-KR]yyyy-mm-dd(ddd) ") &amp; "오후 14:00"</f>
        <v>2021-08-10(화) 오후 14:00</v>
      </c>
      <c r="E123" s="263"/>
      <c r="F123" s="264"/>
      <c r="G123" s="262" t="str">
        <f>TEXT($G$1, "[$-ko-KR]yyyy-mm-dd(ddd) ") &amp; "오후 19:00"</f>
        <v>2021-08-10(화) 오후 19:00</v>
      </c>
      <c r="H123" s="263"/>
      <c r="I123" s="264"/>
      <c r="J123" s="262" t="str">
        <f>TEXT($G$1, "[$-ko-KR]yyyy-mm-dd(ddd) ") &amp; "오후 21:00"</f>
        <v>2021-08-10(화) 오후 21:00</v>
      </c>
      <c r="K123" s="263"/>
      <c r="L123" s="264"/>
      <c r="M123" s="262" t="str">
        <f>TEXT($G$1+1, "[$-ko-KR]yyyy-mm-dd(ddd) ") &amp; "오전 00:00"</f>
        <v>2021-08-11(수) 오전 00:00</v>
      </c>
      <c r="N123" s="263"/>
      <c r="O123" s="264"/>
      <c r="Q123" s="248"/>
      <c r="R123" s="248"/>
      <c r="S123" s="248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4" t="s">
        <v>58</v>
      </c>
      <c r="H124" s="195" t="s">
        <v>268</v>
      </c>
      <c r="I124" s="19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8"/>
      <c r="R124" s="238"/>
      <c r="S124" s="238"/>
    </row>
    <row r="125" spans="1:19" ht="17.25" thickBot="1">
      <c r="A125" s="123" t="s">
        <v>240</v>
      </c>
      <c r="B125" s="124">
        <v>67</v>
      </c>
      <c r="C125" s="76">
        <v>6.1806656100000003E-2</v>
      </c>
      <c r="D125" s="13">
        <v>68.5</v>
      </c>
      <c r="E125" s="14">
        <f>IF(ISNUMBER(D125), (D125 - $B125) / $B125, "")</f>
        <v>2.2388059701492536E-2</v>
      </c>
      <c r="F125" s="16">
        <f>IF(ISNUMBER(D125), $B145 * E125, "")</f>
        <v>2238.8059701492534</v>
      </c>
      <c r="G125" s="29">
        <v>67.8</v>
      </c>
      <c r="H125" s="14">
        <f>IF(ISNUMBER(G125), (G125 - $B125) / $B125, "")</f>
        <v>1.1940298507462643E-2</v>
      </c>
      <c r="I125" s="100">
        <f>IF(ISNUMBER(G125), $B145 * H125, "")</f>
        <v>1194.0298507462644</v>
      </c>
      <c r="J125" s="13">
        <v>66.2</v>
      </c>
      <c r="K125" s="14">
        <f>IF(ISNUMBER(J125), (J125 - $B125) / $B125, "")</f>
        <v>-1.1940298507462643E-2</v>
      </c>
      <c r="L125" s="16">
        <f>IF(ISNUMBER(J125), $B145 * K125, "")</f>
        <v>-1194.0298507462644</v>
      </c>
      <c r="M125" s="29">
        <v>66.900000000000006</v>
      </c>
      <c r="N125" s="14">
        <f>IF(ISNUMBER(M125), (M125 - $B125) / $B125, "")</f>
        <v>-1.4925373134327511E-3</v>
      </c>
      <c r="O125" s="16">
        <f>IF(ISNUMBER(M125), $B145 * N125, "")</f>
        <v>-149.25373134327509</v>
      </c>
      <c r="Q125" s="248"/>
      <c r="R125" s="248"/>
      <c r="S125" s="248"/>
    </row>
    <row r="126" spans="1:19" ht="17.25" thickBot="1">
      <c r="A126" s="125" t="s">
        <v>98</v>
      </c>
      <c r="B126" s="126">
        <v>4.41</v>
      </c>
      <c r="C126" s="77">
        <v>2.3201856100000001E-2</v>
      </c>
      <c r="D126" s="15">
        <v>4.4000000000000004</v>
      </c>
      <c r="E126" s="32">
        <f t="shared" ref="E126:E129" si="62">IF(ISNUMBER(D126), (D126 - $B126) / $B126, "")</f>
        <v>-2.2675736961450762E-3</v>
      </c>
      <c r="F126" s="18">
        <f>IF(ISNUMBER(D126), $B145 * E126, "")</f>
        <v>-226.75736961450761</v>
      </c>
      <c r="G126" s="31">
        <v>4.45</v>
      </c>
      <c r="H126" s="32">
        <f t="shared" ref="H126:H129" si="63">IF(ISNUMBER(G126), (G126 - $B126) / $B126, "")</f>
        <v>9.070294784580506E-3</v>
      </c>
      <c r="I126" s="101">
        <f>IF(ISNUMBER(G126), $B145 * H126, "")</f>
        <v>907.02947845805056</v>
      </c>
      <c r="J126" s="15">
        <v>4.3899999999999997</v>
      </c>
      <c r="K126" s="32">
        <f t="shared" ref="K126:K129" si="64">IF(ISNUMBER(J126), (J126 - $B126) / $B126, "")</f>
        <v>-4.5351473922903536E-3</v>
      </c>
      <c r="L126" s="18">
        <f>IF(ISNUMBER(J126), $B145 * K126, "")</f>
        <v>-453.51473922903534</v>
      </c>
      <c r="M126" s="31">
        <v>4.3899999999999997</v>
      </c>
      <c r="N126" s="32">
        <f t="shared" ref="N126:N129" si="65">IF(ISNUMBER(M126), (M126 - $B126) / $B126, "")</f>
        <v>-4.5351473922903536E-3</v>
      </c>
      <c r="O126" s="18">
        <f>IF(ISNUMBER(M126), $B145 * N126, "")</f>
        <v>-453.51473922903534</v>
      </c>
      <c r="Q126" s="248"/>
      <c r="R126" s="248"/>
      <c r="S126" s="248"/>
    </row>
    <row r="127" spans="1:19" ht="17.25" thickBot="1">
      <c r="A127" s="125" t="s">
        <v>150</v>
      </c>
      <c r="B127" s="126">
        <v>12.7</v>
      </c>
      <c r="C127" s="77">
        <v>1.6E-2</v>
      </c>
      <c r="D127" s="15">
        <v>12.7</v>
      </c>
      <c r="E127" s="32">
        <f t="shared" si="62"/>
        <v>0</v>
      </c>
      <c r="F127" s="18">
        <f>IF(ISNUMBER(D127), $B145 * E127, "")</f>
        <v>0</v>
      </c>
      <c r="G127" s="31">
        <v>12.7</v>
      </c>
      <c r="H127" s="32">
        <f t="shared" si="63"/>
        <v>0</v>
      </c>
      <c r="I127" s="101">
        <f>IF(ISNUMBER(G127), $B145 * H127, "")</f>
        <v>0</v>
      </c>
      <c r="J127" s="15">
        <v>12.6</v>
      </c>
      <c r="K127" s="32">
        <f t="shared" si="64"/>
        <v>-7.8740157480314682E-3</v>
      </c>
      <c r="L127" s="18">
        <f>IF(ISNUMBER(J127), $B145 * K127, "")</f>
        <v>-787.40157480314679</v>
      </c>
      <c r="M127" s="31">
        <v>12.6</v>
      </c>
      <c r="N127" s="32">
        <f t="shared" si="65"/>
        <v>-7.8740157480314682E-3</v>
      </c>
      <c r="O127" s="18">
        <f>IF(ISNUMBER(M127), $B145 * N127, "")</f>
        <v>-787.40157480314679</v>
      </c>
      <c r="Q127" s="238"/>
      <c r="R127" s="238"/>
      <c r="S127" s="238"/>
    </row>
    <row r="128" spans="1:19" ht="17.25" thickBot="1">
      <c r="A128" s="125" t="s">
        <v>65</v>
      </c>
      <c r="B128" s="126">
        <v>31.6</v>
      </c>
      <c r="C128" s="77">
        <v>1.2820512799999999E-2</v>
      </c>
      <c r="D128" s="15">
        <v>32.299999999999997</v>
      </c>
      <c r="E128" s="32">
        <f t="shared" si="62"/>
        <v>2.215189873417708E-2</v>
      </c>
      <c r="F128" s="18">
        <f>IF(ISNUMBER(D128), $B145 * E128, "")</f>
        <v>2215.189873417708</v>
      </c>
      <c r="G128" s="31">
        <v>33</v>
      </c>
      <c r="H128" s="32">
        <f t="shared" si="63"/>
        <v>4.4303797468354382E-2</v>
      </c>
      <c r="I128" s="101">
        <f>IF(ISNUMBER(G128), $B145 * H128, "")</f>
        <v>4430.3797468354378</v>
      </c>
      <c r="J128" s="15">
        <v>32.4</v>
      </c>
      <c r="K128" s="32">
        <f t="shared" si="64"/>
        <v>2.5316455696202441E-2</v>
      </c>
      <c r="L128" s="18">
        <f>IF(ISNUMBER(J128), $B145 * K128, "")</f>
        <v>2531.6455696202443</v>
      </c>
      <c r="M128" s="31">
        <v>32.1</v>
      </c>
      <c r="N128" s="32">
        <f t="shared" si="65"/>
        <v>1.582278481012658E-2</v>
      </c>
      <c r="O128" s="18">
        <f>IF(ISNUMBER(M128), $B145 * N128, "")</f>
        <v>1582.2784810126579</v>
      </c>
      <c r="Q128" s="238"/>
      <c r="R128" s="238"/>
      <c r="S128" s="238"/>
    </row>
    <row r="129" spans="1:19" ht="17.25" thickBot="1">
      <c r="A129" s="127" t="s">
        <v>152</v>
      </c>
      <c r="B129" s="128">
        <v>84.3</v>
      </c>
      <c r="C129" s="78">
        <v>9.5808383E-3</v>
      </c>
      <c r="D129" s="20">
        <v>85</v>
      </c>
      <c r="E129" s="21">
        <f t="shared" si="62"/>
        <v>8.3036773428232843E-3</v>
      </c>
      <c r="F129" s="22">
        <f>IF(ISNUMBER(D129), $B145 * E129, "")</f>
        <v>830.36773428232846</v>
      </c>
      <c r="G129" s="30">
        <v>85.5</v>
      </c>
      <c r="H129" s="21">
        <f t="shared" si="63"/>
        <v>1.4234875444839892E-2</v>
      </c>
      <c r="I129" s="105">
        <f>IF(ISNUMBER(G129), $B145 * H129, "")</f>
        <v>1423.4875444839893</v>
      </c>
      <c r="J129" s="20">
        <v>85.4</v>
      </c>
      <c r="K129" s="21">
        <f t="shared" si="64"/>
        <v>1.3048635824436638E-2</v>
      </c>
      <c r="L129" s="22">
        <f>IF(ISNUMBER(J129), $B145 * K129, "")</f>
        <v>1304.8635824436637</v>
      </c>
      <c r="M129" s="30">
        <v>84.7</v>
      </c>
      <c r="N129" s="21">
        <f t="shared" si="65"/>
        <v>4.7449584816133539E-3</v>
      </c>
      <c r="O129" s="22">
        <f>IF(ISNUMBER(M129), $B145 * N129, "")</f>
        <v>474.4958481613354</v>
      </c>
      <c r="Q129" s="238"/>
      <c r="R129" s="238"/>
      <c r="S129" s="238"/>
    </row>
    <row r="130" spans="1:19" ht="17.25" thickBot="1">
      <c r="A130" s="125" t="s">
        <v>208</v>
      </c>
      <c r="B130" s="129">
        <v>13.6</v>
      </c>
      <c r="C130" s="80">
        <v>7.4074073999999997E-3</v>
      </c>
      <c r="D130" s="106">
        <v>13.3</v>
      </c>
      <c r="E130" s="107">
        <f>IF(ISNUMBER(D130), (D130 - $B130) / $B130, "")</f>
        <v>-2.2058823529411686E-2</v>
      </c>
      <c r="F130" s="108">
        <f>IF(ISNUMBER(D130), $B145 * E130, "")</f>
        <v>-2205.8823529411688</v>
      </c>
      <c r="G130" s="109">
        <v>13.4</v>
      </c>
      <c r="H130" s="107">
        <f>IF(ISNUMBER(G130), (G130 - $B130) / $B130, "")</f>
        <v>-1.4705882352941124E-2</v>
      </c>
      <c r="I130" s="110">
        <f>IF(ISNUMBER(G130), $B145 * H130, "")</f>
        <v>-1470.5882352941123</v>
      </c>
      <c r="J130" s="106">
        <v>13.3</v>
      </c>
      <c r="K130" s="107">
        <f>IF(ISNUMBER(J130), (J130 - $B130) / $B130, "")</f>
        <v>-2.2058823529411686E-2</v>
      </c>
      <c r="L130" s="108">
        <f>IF(ISNUMBER(J130), $B145 * K130, "")</f>
        <v>-2205.8823529411688</v>
      </c>
      <c r="M130" s="109">
        <v>13.3</v>
      </c>
      <c r="N130" s="107">
        <f>IF(ISNUMBER(M130), (M130 - $B130) / $B130, "")</f>
        <v>-2.2058823529411686E-2</v>
      </c>
      <c r="O130" s="108">
        <f>IF(ISNUMBER(M130), $B145 * N130, "")</f>
        <v>-2205.8823529411688</v>
      </c>
      <c r="Q130" s="238"/>
      <c r="R130" s="238"/>
      <c r="S130" s="238"/>
    </row>
    <row r="131" spans="1:19" ht="17.25" thickBot="1">
      <c r="A131" s="125" t="s">
        <v>148</v>
      </c>
      <c r="B131" s="126">
        <v>19.2</v>
      </c>
      <c r="C131" s="77">
        <v>5.2356021000000003E-3</v>
      </c>
      <c r="D131" s="15">
        <v>19.399999999999999</v>
      </c>
      <c r="E131" s="32">
        <f t="shared" ref="E131:E134" si="66">IF(ISNUMBER(D131), (D131 - $B131) / $B131, "")</f>
        <v>1.041666666666663E-2</v>
      </c>
      <c r="F131" s="18">
        <f>IF(ISNUMBER(D131), $B145 * E131, "")</f>
        <v>1041.6666666666629</v>
      </c>
      <c r="G131" s="31">
        <v>19.7</v>
      </c>
      <c r="H131" s="32">
        <f t="shared" ref="H131:H134" si="67">IF(ISNUMBER(G131), (G131 - $B131) / $B131, "")</f>
        <v>2.6041666666666668E-2</v>
      </c>
      <c r="I131" s="101">
        <f>IF(ISNUMBER(G131), $B145 * H131, "")</f>
        <v>2604.166666666667</v>
      </c>
      <c r="J131" s="15">
        <v>19.3</v>
      </c>
      <c r="K131" s="32">
        <f t="shared" ref="K131:K134" si="68">IF(ISNUMBER(J131), (J131 - $B131) / $B131, "")</f>
        <v>5.2083333333334076E-3</v>
      </c>
      <c r="L131" s="18">
        <f>IF(ISNUMBER(J131), $B145 * K131, "")</f>
        <v>520.83333333334076</v>
      </c>
      <c r="M131" s="31">
        <v>19.3</v>
      </c>
      <c r="N131" s="32">
        <f t="shared" ref="N131:N134" si="69">IF(ISNUMBER(M131), (M131 - $B131) / $B131, "")</f>
        <v>5.2083333333334076E-3</v>
      </c>
      <c r="O131" s="18">
        <f>IF(ISNUMBER(M131), $B145 * N131, "")</f>
        <v>520.83333333334076</v>
      </c>
      <c r="Q131" s="238"/>
      <c r="R131" s="238"/>
      <c r="S131" s="238"/>
    </row>
    <row r="132" spans="1:19" ht="17.25" thickBot="1">
      <c r="A132" s="125" t="s">
        <v>188</v>
      </c>
      <c r="B132" s="126">
        <v>12</v>
      </c>
      <c r="C132" s="77">
        <v>0</v>
      </c>
      <c r="D132" s="15">
        <v>12.3</v>
      </c>
      <c r="E132" s="32">
        <f t="shared" si="66"/>
        <v>2.500000000000006E-2</v>
      </c>
      <c r="F132" s="18">
        <f>IF(ISNUMBER(D132), $B145 * E132, "")</f>
        <v>2500.0000000000059</v>
      </c>
      <c r="G132" s="31">
        <v>12.3</v>
      </c>
      <c r="H132" s="32">
        <f t="shared" si="67"/>
        <v>2.500000000000006E-2</v>
      </c>
      <c r="I132" s="101">
        <f>IF(ISNUMBER(G132), $B145 * H132, "")</f>
        <v>2500.0000000000059</v>
      </c>
      <c r="J132" s="15">
        <v>12.3</v>
      </c>
      <c r="K132" s="32">
        <f t="shared" si="68"/>
        <v>2.500000000000006E-2</v>
      </c>
      <c r="L132" s="18">
        <f>IF(ISNUMBER(J132), $B145 * K132, "")</f>
        <v>2500.0000000000059</v>
      </c>
      <c r="M132" s="31">
        <v>12.3</v>
      </c>
      <c r="N132" s="32">
        <f t="shared" si="69"/>
        <v>2.500000000000006E-2</v>
      </c>
      <c r="O132" s="18">
        <f>IF(ISNUMBER(M132), $B145 * N132, "")</f>
        <v>2500.0000000000059</v>
      </c>
      <c r="Q132" s="238"/>
      <c r="R132" s="238"/>
      <c r="S132" s="238"/>
    </row>
    <row r="133" spans="1:19" ht="17.25" thickBot="1">
      <c r="A133" s="125" t="s">
        <v>216</v>
      </c>
      <c r="B133" s="126">
        <v>10.6</v>
      </c>
      <c r="C133" s="77">
        <v>0</v>
      </c>
      <c r="D133" s="15">
        <v>10.4</v>
      </c>
      <c r="E133" s="32">
        <f t="shared" si="66"/>
        <v>-1.886792452830182E-2</v>
      </c>
      <c r="F133" s="18">
        <f>IF(ISNUMBER(D133), $B145 * E133, "")</f>
        <v>-1886.7924528301821</v>
      </c>
      <c r="G133" s="31">
        <v>10.6</v>
      </c>
      <c r="H133" s="32">
        <f t="shared" si="67"/>
        <v>0</v>
      </c>
      <c r="I133" s="101">
        <f>IF(ISNUMBER(G133), $B145 * H133, "")</f>
        <v>0</v>
      </c>
      <c r="J133" s="15">
        <v>10.4</v>
      </c>
      <c r="K133" s="32">
        <f t="shared" si="68"/>
        <v>-1.886792452830182E-2</v>
      </c>
      <c r="L133" s="18">
        <f>IF(ISNUMBER(J133), $B145 * K133, "")</f>
        <v>-1886.7924528301821</v>
      </c>
      <c r="M133" s="31">
        <v>10.5</v>
      </c>
      <c r="N133" s="32">
        <f t="shared" si="69"/>
        <v>-9.4339622641509101E-3</v>
      </c>
      <c r="O133" s="18">
        <f>IF(ISNUMBER(M133), $B145 * N133, "")</f>
        <v>-943.39622641509106</v>
      </c>
      <c r="Q133" s="33"/>
      <c r="R133" s="33"/>
    </row>
    <row r="134" spans="1:19" ht="17.25" thickBot="1">
      <c r="A134" s="130" t="s">
        <v>72</v>
      </c>
      <c r="B134" s="131">
        <v>22.2</v>
      </c>
      <c r="C134" s="79">
        <v>-4.4843048999999996E-3</v>
      </c>
      <c r="D134" s="24">
        <v>22.1</v>
      </c>
      <c r="E134" s="25">
        <f t="shared" si="66"/>
        <v>-4.5045045045044091E-3</v>
      </c>
      <c r="F134" s="104">
        <f>IF(ISNUMBER(D134), $B145 * E134, "")</f>
        <v>-450.45045045044088</v>
      </c>
      <c r="G134" s="102">
        <v>22.4</v>
      </c>
      <c r="H134" s="25">
        <f t="shared" si="67"/>
        <v>9.0090090090089777E-3</v>
      </c>
      <c r="I134" s="103">
        <f>IF(ISNUMBER(G134), $B145 * H134, "")</f>
        <v>900.9009009008978</v>
      </c>
      <c r="J134" s="24">
        <v>22.3</v>
      </c>
      <c r="K134" s="25">
        <f t="shared" si="68"/>
        <v>4.5045045045045687E-3</v>
      </c>
      <c r="L134" s="104">
        <f>IF(ISNUMBER(J134), $B145 * K134, "")</f>
        <v>450.45045045045686</v>
      </c>
      <c r="M134" s="102">
        <v>22.2</v>
      </c>
      <c r="N134" s="25">
        <f t="shared" si="69"/>
        <v>0</v>
      </c>
      <c r="O134" s="104">
        <f>IF(ISNUMBER(M134), $B145 * N134, "")</f>
        <v>0</v>
      </c>
      <c r="Q134" s="239"/>
      <c r="R134" s="240"/>
      <c r="S134" s="241"/>
    </row>
    <row r="135" spans="1:19">
      <c r="A135" s="123" t="s">
        <v>190</v>
      </c>
      <c r="B135" s="124">
        <v>17.100000000000001</v>
      </c>
      <c r="C135" s="76">
        <v>-5.8139534999999999E-3</v>
      </c>
      <c r="D135" s="13">
        <v>17.100000000000001</v>
      </c>
      <c r="E135" s="14">
        <f>IF(ISNUMBER(D135), (D135 - $B135) / $B135, "")</f>
        <v>0</v>
      </c>
      <c r="F135" s="16">
        <f>IF(ISNUMBER(D135), $B145 * E135, "")</f>
        <v>0</v>
      </c>
      <c r="G135" s="29">
        <v>17.399999999999999</v>
      </c>
      <c r="H135" s="14">
        <f>IF(ISNUMBER(G135), (G135 - $B135) / $B135, "")</f>
        <v>1.754385964912264E-2</v>
      </c>
      <c r="I135" s="100">
        <f>IF(ISNUMBER(G135), $B145 * H135, "")</f>
        <v>1754.3859649122639</v>
      </c>
      <c r="J135" s="13">
        <v>17.100000000000001</v>
      </c>
      <c r="K135" s="14">
        <f>IF(ISNUMBER(J135), (J135 - $B135) / $B135, "")</f>
        <v>0</v>
      </c>
      <c r="L135" s="16">
        <f>IF(ISNUMBER(J135), $B145 * K135, "")</f>
        <v>0</v>
      </c>
      <c r="M135" s="29">
        <v>17.100000000000001</v>
      </c>
      <c r="N135" s="14">
        <f>IF(ISNUMBER(M135), (M135 - $B135) / $B135, "")</f>
        <v>0</v>
      </c>
      <c r="O135" s="16">
        <f>IF(ISNUMBER(M135), $B145 * N135, "")</f>
        <v>0</v>
      </c>
      <c r="Q135" s="242"/>
      <c r="R135" s="243"/>
      <c r="S135" s="244"/>
    </row>
    <row r="136" spans="1:19" ht="17.25" thickBot="1">
      <c r="A136" s="125" t="s">
        <v>250</v>
      </c>
      <c r="B136" s="126">
        <v>68.2</v>
      </c>
      <c r="C136" s="77">
        <v>-7.2780203999999998E-3</v>
      </c>
      <c r="D136" s="15">
        <v>71.599999999999994</v>
      </c>
      <c r="E136" s="32">
        <f t="shared" ref="E136:E139" si="70">IF(ISNUMBER(D136), (D136 - $B136) / $B136, "")</f>
        <v>4.9853372434017468E-2</v>
      </c>
      <c r="F136" s="18">
        <f>IF(ISNUMBER(D136), $B145 * E136, "")</f>
        <v>4985.3372434017465</v>
      </c>
      <c r="G136" s="31">
        <v>72.599999999999994</v>
      </c>
      <c r="H136" s="32">
        <f t="shared" ref="H136:H139" si="71">IF(ISNUMBER(G136), (G136 - $B136) / $B136, "")</f>
        <v>6.4516129032257938E-2</v>
      </c>
      <c r="I136" s="101">
        <f>IF(ISNUMBER(G136), $B145 * H136, "")</f>
        <v>6451.6129032257941</v>
      </c>
      <c r="J136" s="15">
        <v>70.8</v>
      </c>
      <c r="K136" s="32">
        <f t="shared" ref="K136:K139" si="72">IF(ISNUMBER(J136), (J136 - $B136) / $B136, "")</f>
        <v>3.8123167155425138E-2</v>
      </c>
      <c r="L136" s="18">
        <f>IF(ISNUMBER(J136), $B145 * K136, "")</f>
        <v>3812.316715542514</v>
      </c>
      <c r="M136" s="31">
        <v>70</v>
      </c>
      <c r="N136" s="32">
        <f t="shared" ref="N136:N139" si="73">IF(ISNUMBER(M136), (M136 - $B136) / $B136, "")</f>
        <v>2.63929618768328E-2</v>
      </c>
      <c r="O136" s="18">
        <f>IF(ISNUMBER(M136), $B145 * N136, "")</f>
        <v>2639.2961876832801</v>
      </c>
      <c r="Q136" s="245"/>
      <c r="R136" s="246"/>
      <c r="S136" s="247"/>
    </row>
    <row r="137" spans="1:19" ht="17.25" thickBot="1">
      <c r="A137" s="125" t="s">
        <v>210</v>
      </c>
      <c r="B137" s="126">
        <v>11.5</v>
      </c>
      <c r="C137" s="77">
        <v>-8.6206896999999998E-3</v>
      </c>
      <c r="D137" s="15">
        <v>11.5</v>
      </c>
      <c r="E137" s="32">
        <f t="shared" si="70"/>
        <v>0</v>
      </c>
      <c r="F137" s="18">
        <f>IF(ISNUMBER(D137), $B145 * E137, "")</f>
        <v>0</v>
      </c>
      <c r="G137" s="31">
        <v>11.7</v>
      </c>
      <c r="H137" s="32">
        <f t="shared" si="71"/>
        <v>1.7391304347826025E-2</v>
      </c>
      <c r="I137" s="101">
        <f>IF(ISNUMBER(G137), $B145 * H137, "")</f>
        <v>1739.1304347826024</v>
      </c>
      <c r="J137" s="15">
        <v>11.6</v>
      </c>
      <c r="K137" s="32">
        <f t="shared" si="72"/>
        <v>8.6956521739130124E-3</v>
      </c>
      <c r="L137" s="18">
        <f>IF(ISNUMBER(J137), $B145 * K137, "")</f>
        <v>869.56521739130119</v>
      </c>
      <c r="M137" s="31">
        <v>11.6</v>
      </c>
      <c r="N137" s="32">
        <f t="shared" si="73"/>
        <v>8.6956521739130124E-3</v>
      </c>
      <c r="O137" s="18">
        <f>IF(ISNUMBER(M137), $B145 * N137, "")</f>
        <v>869.56521739130119</v>
      </c>
      <c r="Q137" s="238"/>
      <c r="R137" s="238"/>
      <c r="S137" s="238"/>
    </row>
    <row r="138" spans="1:19" ht="17.25" thickBot="1">
      <c r="A138" s="125" t="s">
        <v>234</v>
      </c>
      <c r="B138" s="126">
        <v>69.099999999999994</v>
      </c>
      <c r="C138" s="77">
        <v>-1.0028653300000001E-2</v>
      </c>
      <c r="D138" s="15">
        <v>70.5</v>
      </c>
      <c r="E138" s="32">
        <f t="shared" si="70"/>
        <v>2.0260492040521067E-2</v>
      </c>
      <c r="F138" s="18">
        <f>IF(ISNUMBER(D138), $B145 * E138, "")</f>
        <v>2026.0492040521067</v>
      </c>
      <c r="G138" s="31">
        <v>71.2</v>
      </c>
      <c r="H138" s="32">
        <f t="shared" si="71"/>
        <v>3.0390738060781602E-2</v>
      </c>
      <c r="I138" s="101">
        <f>IF(ISNUMBER(G138), $B145 * H138, "")</f>
        <v>3039.07380607816</v>
      </c>
      <c r="J138" s="15">
        <v>69.8</v>
      </c>
      <c r="K138" s="32">
        <f t="shared" si="72"/>
        <v>1.0130246020260534E-2</v>
      </c>
      <c r="L138" s="18">
        <f>IF(ISNUMBER(J138), $B145 * K138, "")</f>
        <v>1013.0246020260533</v>
      </c>
      <c r="M138" s="31">
        <v>70</v>
      </c>
      <c r="N138" s="32">
        <f t="shared" si="73"/>
        <v>1.3024602026049287E-2</v>
      </c>
      <c r="O138" s="18">
        <f>IF(ISNUMBER(M138), $B145 * N138, "")</f>
        <v>1302.4602026049288</v>
      </c>
      <c r="Q138" s="248"/>
      <c r="R138" s="248"/>
      <c r="S138" s="248"/>
    </row>
    <row r="139" spans="1:19" ht="17.25" thickBot="1">
      <c r="A139" s="127" t="s">
        <v>122</v>
      </c>
      <c r="B139" s="128">
        <v>29.3</v>
      </c>
      <c r="C139" s="78">
        <v>-1.01351351E-2</v>
      </c>
      <c r="D139" s="20">
        <v>31.1</v>
      </c>
      <c r="E139" s="21">
        <f t="shared" si="70"/>
        <v>6.1433447098976135E-2</v>
      </c>
      <c r="F139" s="22">
        <f>IF(ISNUMBER(D139), $B145 * E139, "")</f>
        <v>6143.3447098976139</v>
      </c>
      <c r="G139" s="30">
        <v>31.2</v>
      </c>
      <c r="H139" s="21">
        <f t="shared" si="71"/>
        <v>6.4846416382252511E-2</v>
      </c>
      <c r="I139" s="105">
        <f>IF(ISNUMBER(G139), $B145 * H139, "")</f>
        <v>6484.641638225251</v>
      </c>
      <c r="J139" s="20">
        <v>31.2</v>
      </c>
      <c r="K139" s="21">
        <f t="shared" si="72"/>
        <v>6.4846416382252511E-2</v>
      </c>
      <c r="L139" s="22">
        <f>IF(ISNUMBER(J139), $B145 * K139, "")</f>
        <v>6484.641638225251</v>
      </c>
      <c r="M139" s="30">
        <v>30.1</v>
      </c>
      <c r="N139" s="21">
        <f t="shared" si="73"/>
        <v>2.7303754266211629E-2</v>
      </c>
      <c r="O139" s="22">
        <f>IF(ISNUMBER(M139), $B145 * N139, "")</f>
        <v>2730.3754266211627</v>
      </c>
      <c r="Q139" s="248"/>
      <c r="R139" s="248"/>
      <c r="S139" s="248"/>
    </row>
    <row r="140" spans="1:19" ht="17.25" thickBot="1">
      <c r="A140" s="125" t="s">
        <v>202</v>
      </c>
      <c r="B140" s="129">
        <v>85.6</v>
      </c>
      <c r="C140" s="80">
        <v>-1.1547344100000001E-2</v>
      </c>
      <c r="D140" s="106">
        <v>85.9</v>
      </c>
      <c r="E140" s="107">
        <f>IF(ISNUMBER(D140), (D140 - $B140) / $B140, "")</f>
        <v>3.5046728971963948E-3</v>
      </c>
      <c r="F140" s="108">
        <f>IF(ISNUMBER(D140), $B145 * E140, "")</f>
        <v>350.4672897196395</v>
      </c>
      <c r="G140" s="109">
        <v>91.4</v>
      </c>
      <c r="H140" s="107">
        <f>IF(ISNUMBER(G140), (G140 - $B140) / $B140, "")</f>
        <v>6.7757009345794525E-2</v>
      </c>
      <c r="I140" s="110">
        <f>IF(ISNUMBER(G140), $B145 * H140, "")</f>
        <v>6775.7009345794522</v>
      </c>
      <c r="J140" s="106">
        <v>89.4</v>
      </c>
      <c r="K140" s="107">
        <f>IF(ISNUMBER(J140), (J140 - $B140) / $B140, "")</f>
        <v>4.4392523364486118E-2</v>
      </c>
      <c r="L140" s="108">
        <f>IF(ISNUMBER(J140), $B145 * K140, "")</f>
        <v>4439.2523364486115</v>
      </c>
      <c r="M140" s="109">
        <v>89.8</v>
      </c>
      <c r="N140" s="107">
        <f>IF(ISNUMBER(M140), (M140 - $B140) / $B140, "")</f>
        <v>4.9065420560747697E-2</v>
      </c>
      <c r="O140" s="108">
        <f>IF(ISNUMBER(M140), $B145 * N140, "")</f>
        <v>4906.5420560747698</v>
      </c>
      <c r="Q140" s="238"/>
      <c r="R140" s="238"/>
      <c r="S140" s="238"/>
    </row>
    <row r="141" spans="1:19" ht="17.25" thickBot="1">
      <c r="A141" s="125" t="s">
        <v>178</v>
      </c>
      <c r="B141" s="126">
        <v>16.3</v>
      </c>
      <c r="C141" s="77">
        <v>-1.2121212100000001E-2</v>
      </c>
      <c r="D141" s="15">
        <v>16.399999999999999</v>
      </c>
      <c r="E141" s="32">
        <f t="shared" ref="E141:E144" si="74">IF(ISNUMBER(D141), (D141 - $B141) / $B141, "")</f>
        <v>6.1349693251532434E-3</v>
      </c>
      <c r="F141" s="18">
        <f>IF(ISNUMBER(D141), $B145 * E141, "")</f>
        <v>613.49693251532437</v>
      </c>
      <c r="G141" s="31">
        <v>16.600000000000001</v>
      </c>
      <c r="H141" s="32">
        <f t="shared" ref="H141:H144" si="75">IF(ISNUMBER(G141), (G141 - $B141) / $B141, "")</f>
        <v>1.8404907975460166E-2</v>
      </c>
      <c r="I141" s="101">
        <f>IF(ISNUMBER(G141), $B145 * H141, "")</f>
        <v>1840.4907975460167</v>
      </c>
      <c r="J141" s="15">
        <v>16.399999999999999</v>
      </c>
      <c r="K141" s="32">
        <f t="shared" ref="K141:K144" si="76">IF(ISNUMBER(J141), (J141 - $B141) / $B141, "")</f>
        <v>6.1349693251532434E-3</v>
      </c>
      <c r="L141" s="18">
        <f>IF(ISNUMBER(J141), $B145 * K141, "")</f>
        <v>613.49693251532437</v>
      </c>
      <c r="M141" s="31">
        <v>16.399999999999999</v>
      </c>
      <c r="N141" s="32">
        <f t="shared" ref="N141:N144" si="77">IF(ISNUMBER(M141), (M141 - $B141) / $B141, "")</f>
        <v>6.1349693251532434E-3</v>
      </c>
      <c r="O141" s="18">
        <f>IF(ISNUMBER(M141), $B145 * N141, "")</f>
        <v>613.49693251532437</v>
      </c>
      <c r="Q141" s="238"/>
      <c r="R141" s="238"/>
      <c r="S141" s="238"/>
    </row>
    <row r="142" spans="1:19" ht="17.25" thickBot="1">
      <c r="A142" s="125" t="s">
        <v>204</v>
      </c>
      <c r="B142" s="126">
        <v>13.8</v>
      </c>
      <c r="C142" s="77">
        <v>-2.1276595700000001E-2</v>
      </c>
      <c r="D142" s="15">
        <v>13.9</v>
      </c>
      <c r="E142" s="32">
        <f t="shared" si="74"/>
        <v>7.246376811594177E-3</v>
      </c>
      <c r="F142" s="18">
        <f>IF(ISNUMBER(D142), $B145 * E142, "")</f>
        <v>724.63768115941775</v>
      </c>
      <c r="G142" s="31">
        <v>14.1</v>
      </c>
      <c r="H142" s="32">
        <f t="shared" si="75"/>
        <v>2.1739130434782532E-2</v>
      </c>
      <c r="I142" s="101">
        <f>IF(ISNUMBER(G142), $B145 * H142, "")</f>
        <v>2173.9130434782533</v>
      </c>
      <c r="J142" s="15">
        <v>13.9</v>
      </c>
      <c r="K142" s="32">
        <f t="shared" si="76"/>
        <v>7.246376811594177E-3</v>
      </c>
      <c r="L142" s="18">
        <f>IF(ISNUMBER(J142), $B145 * K142, "")</f>
        <v>724.63768115941775</v>
      </c>
      <c r="M142" s="31">
        <v>13.8</v>
      </c>
      <c r="N142" s="32">
        <f t="shared" si="77"/>
        <v>0</v>
      </c>
      <c r="O142" s="18">
        <f>IF(ISNUMBER(M142), $B145 * N142, "")</f>
        <v>0</v>
      </c>
      <c r="Q142" s="238"/>
      <c r="R142" s="238"/>
      <c r="S142" s="238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7"/>
      <c r="R143" s="228"/>
      <c r="S143" s="22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30"/>
      <c r="R144" s="231"/>
      <c r="S144" s="232"/>
    </row>
    <row r="145" spans="1:19" ht="17.25" thickBot="1">
      <c r="A145" s="132" t="s">
        <v>270</v>
      </c>
      <c r="B145" s="291">
        <f>$B$37</f>
        <v>100000</v>
      </c>
      <c r="C145" s="292"/>
      <c r="D145" s="26" t="s">
        <v>271</v>
      </c>
      <c r="E145" s="27">
        <f>IF(COUNT(E125:E144), SUM(E125:E144) / COUNT(E125:E144), 0)</f>
        <v>1.0499711488569726E-2</v>
      </c>
      <c r="F145" s="28">
        <f>SUM(F125:F144)</f>
        <v>18899.480679425509</v>
      </c>
      <c r="G145" s="26" t="s">
        <v>271</v>
      </c>
      <c r="H145" s="27">
        <f>IF(COUNT(H125:H144), SUM(H125:H144) / COUNT(H125:H144), 0)</f>
        <v>2.3749086375347221E-2</v>
      </c>
      <c r="I145" s="28">
        <f>SUM(I125:I144)</f>
        <v>42748.355475624987</v>
      </c>
      <c r="J145" s="26" t="s">
        <v>271</v>
      </c>
      <c r="K145" s="27">
        <f>IF(COUNT(K125:K144), SUM(K125:K144) / COUNT(K125:K144), 0)</f>
        <v>1.0409503938114661E-2</v>
      </c>
      <c r="L145" s="28">
        <f>SUM(L125:L144)</f>
        <v>18737.107088606386</v>
      </c>
      <c r="M145" s="26" t="s">
        <v>271</v>
      </c>
      <c r="N145" s="27">
        <f>IF(COUNT(N125:N144), SUM(N125:N144) / COUNT(N125:N144), 0)</f>
        <v>7.5554972559257732E-3</v>
      </c>
      <c r="O145" s="28">
        <f>SUM(O125:O144)</f>
        <v>13599.895060666389</v>
      </c>
      <c r="Q145" s="233"/>
      <c r="R145" s="234"/>
      <c r="S145" s="23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48"/>
      <c r="R148" s="248"/>
      <c r="S148" s="248"/>
    </row>
    <row r="149" spans="1:19" ht="17.25" thickBot="1">
      <c r="A149" s="193" t="s">
        <v>267</v>
      </c>
      <c r="B149" s="249" t="s">
        <v>49</v>
      </c>
      <c r="C149" s="251"/>
      <c r="D149" s="249" t="s">
        <v>58</v>
      </c>
      <c r="E149" s="250"/>
      <c r="F149" s="251"/>
      <c r="G149" s="252">
        <f>_xlfn.IFNA(VLOOKUP(B149, 현재가테이블!$B$2:$D$200, 2, FALSE), "-")</f>
        <v>54440000</v>
      </c>
      <c r="H149" s="253"/>
      <c r="I149" s="254"/>
      <c r="J149" s="249" t="s">
        <v>59</v>
      </c>
      <c r="K149" s="250"/>
      <c r="L149" s="251"/>
      <c r="M149" s="255">
        <f>_xlfn.IFNA(VLOOKUP(B149, 현재가테이블!$B$2:$D$200, 3, FALSE), "-")</f>
        <v>1.07123628E-2</v>
      </c>
      <c r="N149" s="256"/>
      <c r="O149" s="257"/>
      <c r="Q149" s="248"/>
      <c r="R149" s="248"/>
      <c r="S149" s="248"/>
    </row>
    <row r="150" spans="1:19" ht="17.25" thickBot="1">
      <c r="A150" s="293" t="s">
        <v>55</v>
      </c>
      <c r="B150" s="289" t="str">
        <f>TEXT($G$1, "[$-ko-KR]yyyy-mm-dd(ddd) ") &amp; "오전 00:00"</f>
        <v>2021-08-10(화) 오전 00:00</v>
      </c>
      <c r="C150" s="290"/>
      <c r="D150" s="262" t="str">
        <f>TEXT($G$1, "[$-ko-KR]yyyy-mm-dd(ddd) ") &amp; "오후 14:00"</f>
        <v>2021-08-10(화) 오후 14:00</v>
      </c>
      <c r="E150" s="263"/>
      <c r="F150" s="264"/>
      <c r="G150" s="262" t="str">
        <f>TEXT($G$1, "[$-ko-KR]yyyy-mm-dd(ddd) ") &amp; "오후 19:00"</f>
        <v>2021-08-10(화) 오후 19:00</v>
      </c>
      <c r="H150" s="263"/>
      <c r="I150" s="264"/>
      <c r="J150" s="262" t="str">
        <f>TEXT($G$1, "[$-ko-KR]yyyy-mm-dd(ddd) ") &amp; "오후 21:00"</f>
        <v>2021-08-10(화) 오후 21:00</v>
      </c>
      <c r="K150" s="263"/>
      <c r="L150" s="264"/>
      <c r="M150" s="262" t="str">
        <f>TEXT($G$1+1, "[$-ko-KR]yyyy-mm-dd(ddd) ") &amp; "오전 00:00"</f>
        <v>2021-08-11(수) 오전 00:00</v>
      </c>
      <c r="N150" s="263"/>
      <c r="O150" s="264"/>
      <c r="Q150" s="248"/>
      <c r="R150" s="248"/>
      <c r="S150" s="248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4" t="s">
        <v>58</v>
      </c>
      <c r="H151" s="195" t="s">
        <v>268</v>
      </c>
      <c r="I151" s="19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8"/>
      <c r="R151" s="238"/>
      <c r="S151" s="238"/>
    </row>
    <row r="152" spans="1:19" ht="17.25" thickBot="1">
      <c r="A152" s="123" t="s">
        <v>144</v>
      </c>
      <c r="B152" s="124">
        <v>109</v>
      </c>
      <c r="C152" s="76">
        <v>0</v>
      </c>
      <c r="D152" s="13">
        <v>109</v>
      </c>
      <c r="E152" s="14">
        <f>IF(ISNUMBER(D152), (D152 - $B152) / $B152, "")</f>
        <v>0</v>
      </c>
      <c r="F152" s="16">
        <f>IF(ISNUMBER(D152), $B172 * E152, "")</f>
        <v>0</v>
      </c>
      <c r="G152" s="29">
        <v>111</v>
      </c>
      <c r="H152" s="14">
        <f>IF(ISNUMBER(G152), (G152 - $B152) / $B152, "")</f>
        <v>1.834862385321101E-2</v>
      </c>
      <c r="I152" s="100">
        <f>IF(ISNUMBER(G152), $B172 * H152, "")</f>
        <v>1834.8623853211011</v>
      </c>
      <c r="J152" s="13">
        <v>113</v>
      </c>
      <c r="K152" s="14">
        <f>IF(ISNUMBER(J152), (J152 - $B152) / $B152, "")</f>
        <v>3.669724770642202E-2</v>
      </c>
      <c r="L152" s="16">
        <f>IF(ISNUMBER(J152), $B172 * K152, "")</f>
        <v>3669.7247706422022</v>
      </c>
      <c r="M152" s="29">
        <v>109</v>
      </c>
      <c r="N152" s="14">
        <f>IF(ISNUMBER(M152), (M152 - $B152) / $B152, "")</f>
        <v>0</v>
      </c>
      <c r="O152" s="16">
        <f>IF(ISNUMBER(M152), $B172 * N152, "")</f>
        <v>0</v>
      </c>
      <c r="Q152" s="248"/>
      <c r="R152" s="248"/>
      <c r="S152" s="248"/>
    </row>
    <row r="153" spans="1:19" ht="17.25" thickBot="1">
      <c r="A153" s="125" t="s">
        <v>130</v>
      </c>
      <c r="B153" s="126">
        <v>101</v>
      </c>
      <c r="C153" s="77">
        <v>0</v>
      </c>
      <c r="D153" s="15">
        <v>101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105</v>
      </c>
      <c r="H153" s="32">
        <f t="shared" ref="H153:H156" si="79">IF(ISNUMBER(G153), (G153 - $B153) / $B153, "")</f>
        <v>3.9603960396039604E-2</v>
      </c>
      <c r="I153" s="101">
        <f>IF(ISNUMBER(G153), $B172 * H153, "")</f>
        <v>3960.3960396039606</v>
      </c>
      <c r="J153" s="15">
        <v>103</v>
      </c>
      <c r="K153" s="32">
        <f t="shared" ref="K153:K156" si="80">IF(ISNUMBER(J153), (J153 - $B153) / $B153, "")</f>
        <v>1.9801980198019802E-2</v>
      </c>
      <c r="L153" s="18">
        <f>IF(ISNUMBER(J153), $B172 * K153, "")</f>
        <v>1980.1980198019803</v>
      </c>
      <c r="M153" s="31">
        <v>103</v>
      </c>
      <c r="N153" s="32">
        <f t="shared" ref="N153:N156" si="81">IF(ISNUMBER(M153), (M153 - $B153) / $B153, "")</f>
        <v>1.9801980198019802E-2</v>
      </c>
      <c r="O153" s="18">
        <f>IF(ISNUMBER(M153), $B172 * N153, "")</f>
        <v>1980.1980198019803</v>
      </c>
      <c r="Q153" s="248"/>
      <c r="R153" s="248"/>
      <c r="S153" s="248"/>
    </row>
    <row r="154" spans="1:19" ht="17.25" thickBot="1">
      <c r="A154" s="125" t="s">
        <v>114</v>
      </c>
      <c r="B154" s="126">
        <v>714</v>
      </c>
      <c r="C154" s="77">
        <v>-2.7932960999999998E-3</v>
      </c>
      <c r="D154" s="15">
        <v>718</v>
      </c>
      <c r="E154" s="32">
        <f t="shared" si="78"/>
        <v>5.6022408963585435E-3</v>
      </c>
      <c r="F154" s="18">
        <f>IF(ISNUMBER(D154), $B172 * E154, "")</f>
        <v>560.2240896358544</v>
      </c>
      <c r="G154" s="31">
        <v>737</v>
      </c>
      <c r="H154" s="32">
        <f t="shared" si="79"/>
        <v>3.2212885154061621E-2</v>
      </c>
      <c r="I154" s="101">
        <f>IF(ISNUMBER(G154), $B172 * H154, "")</f>
        <v>3221.2885154061623</v>
      </c>
      <c r="J154" s="15">
        <v>796</v>
      </c>
      <c r="K154" s="32">
        <f t="shared" si="80"/>
        <v>0.11484593837535013</v>
      </c>
      <c r="L154" s="18">
        <f>IF(ISNUMBER(J154), $B172 * K154, "")</f>
        <v>11484.593837535014</v>
      </c>
      <c r="M154" s="31">
        <v>773</v>
      </c>
      <c r="N154" s="32">
        <f t="shared" si="81"/>
        <v>8.2633053221288513E-2</v>
      </c>
      <c r="O154" s="18">
        <f>IF(ISNUMBER(M154), $B172 * N154, "")</f>
        <v>8263.3053221288519</v>
      </c>
      <c r="Q154" s="238"/>
      <c r="R154" s="238"/>
      <c r="S154" s="238"/>
    </row>
    <row r="155" spans="1:19" ht="17.25" thickBot="1">
      <c r="A155" s="125" t="s">
        <v>124</v>
      </c>
      <c r="B155" s="126">
        <v>334</v>
      </c>
      <c r="C155" s="77">
        <v>-2.9850746000000001E-3</v>
      </c>
      <c r="D155" s="15">
        <v>361</v>
      </c>
      <c r="E155" s="32">
        <f t="shared" si="78"/>
        <v>8.0838323353293412E-2</v>
      </c>
      <c r="F155" s="18">
        <f>IF(ISNUMBER(D155), $B172 * E155, "")</f>
        <v>8083.8323353293408</v>
      </c>
      <c r="G155" s="31">
        <v>359</v>
      </c>
      <c r="H155" s="32">
        <f t="shared" si="79"/>
        <v>7.4850299401197598E-2</v>
      </c>
      <c r="I155" s="101">
        <f>IF(ISNUMBER(G155), $B172 * H155, "")</f>
        <v>7485.0299401197599</v>
      </c>
      <c r="J155" s="15">
        <v>356</v>
      </c>
      <c r="K155" s="32">
        <f t="shared" si="80"/>
        <v>6.5868263473053898E-2</v>
      </c>
      <c r="L155" s="18">
        <f>IF(ISNUMBER(J155), $B172 * K155, "")</f>
        <v>6586.8263473053894</v>
      </c>
      <c r="M155" s="31">
        <v>354</v>
      </c>
      <c r="N155" s="32">
        <f t="shared" si="81"/>
        <v>5.9880239520958084E-2</v>
      </c>
      <c r="O155" s="18">
        <f>IF(ISNUMBER(M155), $B172 * N155, "")</f>
        <v>5988.0239520958085</v>
      </c>
      <c r="Q155" s="238"/>
      <c r="R155" s="238"/>
      <c r="S155" s="238"/>
    </row>
    <row r="156" spans="1:19" ht="17.25" thickBot="1">
      <c r="A156" s="127" t="s">
        <v>184</v>
      </c>
      <c r="B156" s="128">
        <v>992</v>
      </c>
      <c r="C156" s="78">
        <v>-3.0150754E-3</v>
      </c>
      <c r="D156" s="20">
        <v>997</v>
      </c>
      <c r="E156" s="21">
        <f t="shared" si="78"/>
        <v>5.0403225806451612E-3</v>
      </c>
      <c r="F156" s="22">
        <f>IF(ISNUMBER(D156), $B172 * E156, "")</f>
        <v>504.0322580645161</v>
      </c>
      <c r="G156" s="30">
        <v>1000</v>
      </c>
      <c r="H156" s="21">
        <f t="shared" si="79"/>
        <v>8.0645161290322578E-3</v>
      </c>
      <c r="I156" s="105">
        <f>IF(ISNUMBER(G156), $B172 * H156, "")</f>
        <v>806.45161290322574</v>
      </c>
      <c r="J156" s="20">
        <v>992</v>
      </c>
      <c r="K156" s="21">
        <f t="shared" si="80"/>
        <v>0</v>
      </c>
      <c r="L156" s="22">
        <f>IF(ISNUMBER(J156), $B172 * K156, "")</f>
        <v>0</v>
      </c>
      <c r="M156" s="30">
        <v>992</v>
      </c>
      <c r="N156" s="21">
        <f t="shared" si="81"/>
        <v>0</v>
      </c>
      <c r="O156" s="22">
        <f>IF(ISNUMBER(M156), $B172 * N156, "")</f>
        <v>0</v>
      </c>
      <c r="Q156" s="238"/>
      <c r="R156" s="238"/>
      <c r="S156" s="238"/>
    </row>
    <row r="157" spans="1:19" ht="17.25" thickBot="1">
      <c r="A157" s="125" t="s">
        <v>164</v>
      </c>
      <c r="B157" s="129">
        <v>308</v>
      </c>
      <c r="C157" s="80">
        <v>-3.2362459999999999E-3</v>
      </c>
      <c r="D157" s="106">
        <v>308</v>
      </c>
      <c r="E157" s="107">
        <f>IF(ISNUMBER(D157), (D157 - $B157) / $B157, "")</f>
        <v>0</v>
      </c>
      <c r="F157" s="108">
        <f>IF(ISNUMBER(D157), $B172 * E157, "")</f>
        <v>0</v>
      </c>
      <c r="G157" s="109">
        <v>311</v>
      </c>
      <c r="H157" s="107">
        <f>IF(ISNUMBER(G157), (G157 - $B157) / $B157, "")</f>
        <v>9.74025974025974E-3</v>
      </c>
      <c r="I157" s="110">
        <f>IF(ISNUMBER(G157), $B172 * H157, "")</f>
        <v>974.02597402597405</v>
      </c>
      <c r="J157" s="106">
        <v>307</v>
      </c>
      <c r="K157" s="107">
        <f>IF(ISNUMBER(J157), (J157 - $B157) / $B157, "")</f>
        <v>-3.246753246753247E-3</v>
      </c>
      <c r="L157" s="108">
        <f>IF(ISNUMBER(J157), $B172 * K157, "")</f>
        <v>-324.6753246753247</v>
      </c>
      <c r="M157" s="109">
        <v>309</v>
      </c>
      <c r="N157" s="107">
        <f>IF(ISNUMBER(M157), (M157 - $B157) / $B157, "")</f>
        <v>3.246753246753247E-3</v>
      </c>
      <c r="O157" s="108">
        <f>IF(ISNUMBER(M157), $B172 * N157, "")</f>
        <v>324.6753246753247</v>
      </c>
      <c r="Q157" s="238"/>
      <c r="R157" s="238"/>
      <c r="S157" s="238"/>
    </row>
    <row r="158" spans="1:19" ht="17.25" thickBot="1">
      <c r="A158" s="125" t="s">
        <v>254</v>
      </c>
      <c r="B158" s="126">
        <v>289</v>
      </c>
      <c r="C158" s="77">
        <v>-3.4482759000000001E-3</v>
      </c>
      <c r="D158" s="15">
        <v>295</v>
      </c>
      <c r="E158" s="32">
        <f t="shared" ref="E158:E161" si="82">IF(ISNUMBER(D158), (D158 - $B158) / $B158, "")</f>
        <v>2.0761245674740483E-2</v>
      </c>
      <c r="F158" s="18">
        <f>IF(ISNUMBER(D158), $B172 * E158, "")</f>
        <v>2076.1245674740485</v>
      </c>
      <c r="G158" s="31">
        <v>298</v>
      </c>
      <c r="H158" s="32">
        <f t="shared" ref="H158:H161" si="83">IF(ISNUMBER(G158), (G158 - $B158) / $B158, "")</f>
        <v>3.1141868512110725E-2</v>
      </c>
      <c r="I158" s="101">
        <f>IF(ISNUMBER(G158), $B172 * H158, "")</f>
        <v>3114.1868512110723</v>
      </c>
      <c r="J158" s="15">
        <v>297</v>
      </c>
      <c r="K158" s="32">
        <f t="shared" ref="K158:K161" si="84">IF(ISNUMBER(J158), (J158 - $B158) / $B158, "")</f>
        <v>2.768166089965398E-2</v>
      </c>
      <c r="L158" s="18">
        <f>IF(ISNUMBER(J158), $B172 * K158, "")</f>
        <v>2768.166089965398</v>
      </c>
      <c r="M158" s="31">
        <v>295</v>
      </c>
      <c r="N158" s="32">
        <f t="shared" ref="N158:N161" si="85">IF(ISNUMBER(M158), (M158 - $B158) / $B158, "")</f>
        <v>2.0761245674740483E-2</v>
      </c>
      <c r="O158" s="18">
        <f>IF(ISNUMBER(M158), $B172 * N158, "")</f>
        <v>2076.1245674740485</v>
      </c>
      <c r="Q158" s="238"/>
      <c r="R158" s="238"/>
      <c r="S158" s="238"/>
    </row>
    <row r="159" spans="1:19" ht="17.25" thickBot="1">
      <c r="A159" s="125" t="s">
        <v>236</v>
      </c>
      <c r="B159" s="126">
        <v>603</v>
      </c>
      <c r="C159" s="77">
        <v>-8.2236841999999994E-3</v>
      </c>
      <c r="D159" s="15">
        <v>604</v>
      </c>
      <c r="E159" s="32">
        <f t="shared" si="82"/>
        <v>1.658374792703151E-3</v>
      </c>
      <c r="F159" s="18">
        <f>IF(ISNUMBER(D159), $B172 * E159, "")</f>
        <v>165.8374792703151</v>
      </c>
      <c r="G159" s="31">
        <v>607</v>
      </c>
      <c r="H159" s="32">
        <f t="shared" si="83"/>
        <v>6.6334991708126038E-3</v>
      </c>
      <c r="I159" s="101">
        <f>IF(ISNUMBER(G159), $B172 * H159, "")</f>
        <v>663.3499170812604</v>
      </c>
      <c r="J159" s="15">
        <v>602</v>
      </c>
      <c r="K159" s="32">
        <f t="shared" si="84"/>
        <v>-1.658374792703151E-3</v>
      </c>
      <c r="L159" s="18">
        <f>IF(ISNUMBER(J159), $B172 * K159, "")</f>
        <v>-165.8374792703151</v>
      </c>
      <c r="M159" s="31">
        <v>603</v>
      </c>
      <c r="N159" s="32">
        <f t="shared" si="85"/>
        <v>0</v>
      </c>
      <c r="O159" s="18">
        <f>IF(ISNUMBER(M159), $B172 * N159, "")</f>
        <v>0</v>
      </c>
      <c r="Q159" s="238"/>
      <c r="R159" s="238"/>
      <c r="S159" s="238"/>
    </row>
    <row r="160" spans="1:19" ht="17.25" thickBot="1">
      <c r="A160" s="125" t="s">
        <v>230</v>
      </c>
      <c r="B160" s="126">
        <v>202</v>
      </c>
      <c r="C160" s="77">
        <v>-9.8039215999999995E-3</v>
      </c>
      <c r="D160" s="15">
        <v>203</v>
      </c>
      <c r="E160" s="32">
        <f t="shared" si="82"/>
        <v>4.9504950495049506E-3</v>
      </c>
      <c r="F160" s="18">
        <f>IF(ISNUMBER(D160), $B172 * E160, "")</f>
        <v>495.04950495049508</v>
      </c>
      <c r="G160" s="31">
        <v>204</v>
      </c>
      <c r="H160" s="32">
        <f t="shared" si="83"/>
        <v>9.9009900990099011E-3</v>
      </c>
      <c r="I160" s="101">
        <f>IF(ISNUMBER(G160), $B172 * H160, "")</f>
        <v>990.09900990099015</v>
      </c>
      <c r="J160" s="15">
        <v>206</v>
      </c>
      <c r="K160" s="32">
        <f t="shared" si="84"/>
        <v>1.9801980198019802E-2</v>
      </c>
      <c r="L160" s="18">
        <f>IF(ISNUMBER(J160), $B172 * K160, "")</f>
        <v>1980.1980198019803</v>
      </c>
      <c r="M160" s="31">
        <v>205</v>
      </c>
      <c r="N160" s="32">
        <f t="shared" si="85"/>
        <v>1.4851485148514851E-2</v>
      </c>
      <c r="O160" s="18">
        <f>IF(ISNUMBER(M160), $B172 * N160, "")</f>
        <v>1485.1485148514851</v>
      </c>
      <c r="Q160" s="33"/>
      <c r="R160" s="33"/>
    </row>
    <row r="161" spans="1:19" ht="17.25" thickBot="1">
      <c r="A161" s="130" t="s">
        <v>174</v>
      </c>
      <c r="B161" s="131">
        <v>342</v>
      </c>
      <c r="C161" s="79">
        <v>-1.15606936E-2</v>
      </c>
      <c r="D161" s="24">
        <v>344</v>
      </c>
      <c r="E161" s="25">
        <f t="shared" si="82"/>
        <v>5.8479532163742687E-3</v>
      </c>
      <c r="F161" s="104">
        <f>IF(ISNUMBER(D161), $B172 * E161, "")</f>
        <v>584.79532163742692</v>
      </c>
      <c r="G161" s="102">
        <v>348</v>
      </c>
      <c r="H161" s="25">
        <f t="shared" si="83"/>
        <v>1.7543859649122806E-2</v>
      </c>
      <c r="I161" s="103">
        <f>IF(ISNUMBER(G161), $B172 * H161, "")</f>
        <v>1754.3859649122805</v>
      </c>
      <c r="J161" s="24">
        <v>344</v>
      </c>
      <c r="K161" s="25">
        <f t="shared" si="84"/>
        <v>5.8479532163742687E-3</v>
      </c>
      <c r="L161" s="104">
        <f>IF(ISNUMBER(J161), $B172 * K161, "")</f>
        <v>584.79532163742692</v>
      </c>
      <c r="M161" s="102">
        <v>351</v>
      </c>
      <c r="N161" s="25">
        <f t="shared" si="85"/>
        <v>2.6315789473684209E-2</v>
      </c>
      <c r="O161" s="104">
        <f>IF(ISNUMBER(M161), $B172 * N161, "")</f>
        <v>2631.5789473684208</v>
      </c>
      <c r="Q161" s="239"/>
      <c r="R161" s="240"/>
      <c r="S161" s="241"/>
    </row>
    <row r="162" spans="1:19">
      <c r="A162" s="123" t="s">
        <v>192</v>
      </c>
      <c r="B162" s="124">
        <v>227</v>
      </c>
      <c r="C162" s="76">
        <v>-1.30434783E-2</v>
      </c>
      <c r="D162" s="13">
        <v>228</v>
      </c>
      <c r="E162" s="14">
        <f>IF(ISNUMBER(D162), (D162 - $B162) / $B162, "")</f>
        <v>4.4052863436123352E-3</v>
      </c>
      <c r="F162" s="16">
        <f>IF(ISNUMBER(D162), $B172 * E162, "")</f>
        <v>440.52863436123351</v>
      </c>
      <c r="G162" s="29">
        <v>229</v>
      </c>
      <c r="H162" s="14">
        <f>IF(ISNUMBER(G162), (G162 - $B162) / $B162, "")</f>
        <v>8.8105726872246704E-3</v>
      </c>
      <c r="I162" s="100">
        <f>IF(ISNUMBER(G162), $B172 * H162, "")</f>
        <v>881.05726872246703</v>
      </c>
      <c r="J162" s="13">
        <v>226</v>
      </c>
      <c r="K162" s="14">
        <f>IF(ISNUMBER(J162), (J162 - $B162) / $B162, "")</f>
        <v>-4.4052863436123352E-3</v>
      </c>
      <c r="L162" s="16">
        <f>IF(ISNUMBER(J162), $B172 * K162, "")</f>
        <v>-440.52863436123351</v>
      </c>
      <c r="M162" s="29">
        <v>226</v>
      </c>
      <c r="N162" s="14">
        <f>IF(ISNUMBER(M162), (M162 - $B162) / $B162, "")</f>
        <v>-4.4052863436123352E-3</v>
      </c>
      <c r="O162" s="16">
        <f>IF(ISNUMBER(M162), $B172 * N162, "")</f>
        <v>-440.52863436123351</v>
      </c>
      <c r="Q162" s="242"/>
      <c r="R162" s="243"/>
      <c r="S162" s="244"/>
    </row>
    <row r="163" spans="1:19" ht="17.25" thickBot="1">
      <c r="A163" s="125" t="s">
        <v>220</v>
      </c>
      <c r="B163" s="126">
        <v>209</v>
      </c>
      <c r="C163" s="77">
        <v>-1.4150943399999999E-2</v>
      </c>
      <c r="D163" s="15">
        <v>211</v>
      </c>
      <c r="E163" s="32">
        <f t="shared" ref="E163:E166" si="86">IF(ISNUMBER(D163), (D163 - $B163) / $B163, "")</f>
        <v>9.5693779904306216E-3</v>
      </c>
      <c r="F163" s="18">
        <f>IF(ISNUMBER(D163), $B172 * E163, "")</f>
        <v>956.93779904306211</v>
      </c>
      <c r="G163" s="31">
        <v>211</v>
      </c>
      <c r="H163" s="32">
        <f t="shared" ref="H163:H166" si="87">IF(ISNUMBER(G163), (G163 - $B163) / $B163, "")</f>
        <v>9.5693779904306216E-3</v>
      </c>
      <c r="I163" s="101">
        <f>IF(ISNUMBER(G163), $B172 * H163, "")</f>
        <v>956.93779904306211</v>
      </c>
      <c r="J163" s="15">
        <v>212</v>
      </c>
      <c r="K163" s="32">
        <f t="shared" ref="K163:K166" si="88">IF(ISNUMBER(J163), (J163 - $B163) / $B163, "")</f>
        <v>1.4354066985645933E-2</v>
      </c>
      <c r="L163" s="18">
        <f>IF(ISNUMBER(J163), $B172 * K163, "")</f>
        <v>1435.4066985645934</v>
      </c>
      <c r="M163" s="31">
        <v>212</v>
      </c>
      <c r="N163" s="32">
        <f t="shared" ref="N163:N166" si="89">IF(ISNUMBER(M163), (M163 - $B163) / $B163, "")</f>
        <v>1.4354066985645933E-2</v>
      </c>
      <c r="O163" s="18">
        <f>IF(ISNUMBER(M163), $B172 * N163, "")</f>
        <v>1435.4066985645934</v>
      </c>
      <c r="Q163" s="245"/>
      <c r="R163" s="246"/>
      <c r="S163" s="247"/>
    </row>
    <row r="164" spans="1:19" ht="17.25" thickBot="1">
      <c r="A164" s="125" t="s">
        <v>200</v>
      </c>
      <c r="B164" s="126">
        <v>136</v>
      </c>
      <c r="C164" s="77">
        <v>-1.44927536E-2</v>
      </c>
      <c r="D164" s="15">
        <v>141</v>
      </c>
      <c r="E164" s="32">
        <f t="shared" si="86"/>
        <v>3.6764705882352942E-2</v>
      </c>
      <c r="F164" s="18">
        <f>IF(ISNUMBER(D164), $B172 * E164, "")</f>
        <v>3676.4705882352941</v>
      </c>
      <c r="G164" s="31">
        <v>143</v>
      </c>
      <c r="H164" s="32">
        <f t="shared" si="87"/>
        <v>5.1470588235294115E-2</v>
      </c>
      <c r="I164" s="101">
        <f>IF(ISNUMBER(G164), $B172 * H164, "")</f>
        <v>5147.0588235294117</v>
      </c>
      <c r="J164" s="15">
        <v>143</v>
      </c>
      <c r="K164" s="32">
        <f t="shared" si="88"/>
        <v>5.1470588235294115E-2</v>
      </c>
      <c r="L164" s="18">
        <f>IF(ISNUMBER(J164), $B172 * K164, "")</f>
        <v>5147.0588235294117</v>
      </c>
      <c r="M164" s="31">
        <v>141</v>
      </c>
      <c r="N164" s="32">
        <f t="shared" si="89"/>
        <v>3.6764705882352942E-2</v>
      </c>
      <c r="O164" s="18">
        <f>IF(ISNUMBER(M164), $B172 * N164, "")</f>
        <v>3676.4705882352941</v>
      </c>
      <c r="Q164" s="238"/>
      <c r="R164" s="238"/>
      <c r="S164" s="238"/>
    </row>
    <row r="165" spans="1:19" ht="17.25" thickBot="1">
      <c r="A165" s="125" t="s">
        <v>206</v>
      </c>
      <c r="B165" s="126">
        <v>317</v>
      </c>
      <c r="C165" s="77">
        <v>-1.8575851399999999E-2</v>
      </c>
      <c r="D165" s="15">
        <v>319</v>
      </c>
      <c r="E165" s="32">
        <f t="shared" si="86"/>
        <v>6.3091482649842269E-3</v>
      </c>
      <c r="F165" s="18">
        <f>IF(ISNUMBER(D165), $B172 * E165, "")</f>
        <v>630.91482649842271</v>
      </c>
      <c r="G165" s="31">
        <v>320</v>
      </c>
      <c r="H165" s="32">
        <f t="shared" si="87"/>
        <v>9.4637223974763408E-3</v>
      </c>
      <c r="I165" s="101">
        <f>IF(ISNUMBER(G165), $B172 * H165, "")</f>
        <v>946.37223974763413</v>
      </c>
      <c r="J165" s="15">
        <v>318</v>
      </c>
      <c r="K165" s="32">
        <f t="shared" si="88"/>
        <v>3.1545741324921135E-3</v>
      </c>
      <c r="L165" s="18">
        <f>IF(ISNUMBER(J165), $B172 * K165, "")</f>
        <v>315.45741324921136</v>
      </c>
      <c r="M165" s="31">
        <v>318</v>
      </c>
      <c r="N165" s="32">
        <f t="shared" si="89"/>
        <v>3.1545741324921135E-3</v>
      </c>
      <c r="O165" s="18">
        <f>IF(ISNUMBER(M165), $B172 * N165, "")</f>
        <v>315.45741324921136</v>
      </c>
      <c r="Q165" s="248"/>
      <c r="R165" s="248"/>
      <c r="S165" s="248"/>
    </row>
    <row r="166" spans="1:19" ht="17.25" thickBot="1">
      <c r="A166" s="127" t="s">
        <v>194</v>
      </c>
      <c r="B166" s="128">
        <v>141</v>
      </c>
      <c r="C166" s="78">
        <v>-2.08333333E-2</v>
      </c>
      <c r="D166" s="20">
        <v>144</v>
      </c>
      <c r="E166" s="21">
        <f t="shared" si="86"/>
        <v>2.1276595744680851E-2</v>
      </c>
      <c r="F166" s="22">
        <f>IF(ISNUMBER(D166), $B172 * E166, "")</f>
        <v>2127.6595744680849</v>
      </c>
      <c r="G166" s="30">
        <v>144</v>
      </c>
      <c r="H166" s="21">
        <f t="shared" si="87"/>
        <v>2.1276595744680851E-2</v>
      </c>
      <c r="I166" s="105">
        <f>IF(ISNUMBER(G166), $B172 * H166, "")</f>
        <v>2127.6595744680849</v>
      </c>
      <c r="J166" s="20">
        <v>142</v>
      </c>
      <c r="K166" s="21">
        <f t="shared" si="88"/>
        <v>7.0921985815602835E-3</v>
      </c>
      <c r="L166" s="22">
        <f>IF(ISNUMBER(J166), $B172 * K166, "")</f>
        <v>709.21985815602841</v>
      </c>
      <c r="M166" s="30">
        <v>143</v>
      </c>
      <c r="N166" s="21">
        <f t="shared" si="89"/>
        <v>1.4184397163120567E-2</v>
      </c>
      <c r="O166" s="22">
        <f>IF(ISNUMBER(M166), $B172 * N166, "")</f>
        <v>1418.4397163120568</v>
      </c>
      <c r="Q166" s="248"/>
      <c r="R166" s="248"/>
      <c r="S166" s="248"/>
    </row>
    <row r="167" spans="1:19" ht="17.25" thickBot="1">
      <c r="A167" s="125" t="s">
        <v>228</v>
      </c>
      <c r="B167" s="129">
        <v>389</v>
      </c>
      <c r="C167" s="80">
        <v>-2.2613065299999999E-2</v>
      </c>
      <c r="D167" s="106">
        <v>392</v>
      </c>
      <c r="E167" s="107">
        <f>IF(ISNUMBER(D167), (D167 - $B167) / $B167, "")</f>
        <v>7.7120822622107968E-3</v>
      </c>
      <c r="F167" s="108">
        <f>IF(ISNUMBER(D167), $B172 * E167, "")</f>
        <v>771.20822622107971</v>
      </c>
      <c r="G167" s="109">
        <v>392</v>
      </c>
      <c r="H167" s="107">
        <f>IF(ISNUMBER(G167), (G167 - $B167) / $B167, "")</f>
        <v>7.7120822622107968E-3</v>
      </c>
      <c r="I167" s="110">
        <f>IF(ISNUMBER(G167), $B172 * H167, "")</f>
        <v>771.20822622107971</v>
      </c>
      <c r="J167" s="106">
        <v>387</v>
      </c>
      <c r="K167" s="107">
        <f>IF(ISNUMBER(J167), (J167 - $B167) / $B167, "")</f>
        <v>-5.1413881748071976E-3</v>
      </c>
      <c r="L167" s="108">
        <f>IF(ISNUMBER(J167), $B172 * K167, "")</f>
        <v>-514.13881748071981</v>
      </c>
      <c r="M167" s="109">
        <v>388</v>
      </c>
      <c r="N167" s="107">
        <f>IF(ISNUMBER(M167), (M167 - $B167) / $B167, "")</f>
        <v>-2.5706940874035988E-3</v>
      </c>
      <c r="O167" s="108">
        <f>IF(ISNUMBER(M167), $B172 * N167, "")</f>
        <v>-257.0694087403599</v>
      </c>
      <c r="Q167" s="238"/>
      <c r="R167" s="238"/>
      <c r="S167" s="238"/>
    </row>
    <row r="168" spans="1:19" ht="17.25" thickBot="1">
      <c r="A168" s="125" t="s">
        <v>110</v>
      </c>
      <c r="B168" s="126">
        <v>189</v>
      </c>
      <c r="C168" s="77">
        <v>-3.0769230799999998E-2</v>
      </c>
      <c r="D168" s="15">
        <v>189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192</v>
      </c>
      <c r="H168" s="32">
        <f t="shared" ref="H168:H171" si="91">IF(ISNUMBER(G168), (G168 - $B168) / $B168, "")</f>
        <v>1.5873015873015872E-2</v>
      </c>
      <c r="I168" s="101">
        <f>IF(ISNUMBER(G168), $B172 * H168, "")</f>
        <v>1587.3015873015872</v>
      </c>
      <c r="J168" s="15">
        <v>187</v>
      </c>
      <c r="K168" s="32">
        <f t="shared" ref="K168:K171" si="92">IF(ISNUMBER(J168), (J168 - $B168) / $B168, "")</f>
        <v>-1.0582010582010581E-2</v>
      </c>
      <c r="L168" s="18">
        <f>IF(ISNUMBER(J168), $B172 * K168, "")</f>
        <v>-1058.2010582010582</v>
      </c>
      <c r="M168" s="31">
        <v>188</v>
      </c>
      <c r="N168" s="32">
        <f t="shared" ref="N168:N171" si="93">IF(ISNUMBER(M168), (M168 - $B168) / $B168, "")</f>
        <v>-5.2910052910052907E-3</v>
      </c>
      <c r="O168" s="18">
        <f>IF(ISNUMBER(M168), $B172 * N168, "")</f>
        <v>-529.10052910052912</v>
      </c>
      <c r="Q168" s="238"/>
      <c r="R168" s="238"/>
      <c r="S168" s="238"/>
    </row>
    <row r="169" spans="1:19" ht="17.25" thickBot="1">
      <c r="A169" s="125" t="s">
        <v>232</v>
      </c>
      <c r="B169" s="126">
        <v>515</v>
      </c>
      <c r="C169" s="77">
        <v>-3.9179104499999999E-2</v>
      </c>
      <c r="D169" s="15">
        <v>512</v>
      </c>
      <c r="E169" s="32">
        <f t="shared" si="90"/>
        <v>-5.8252427184466021E-3</v>
      </c>
      <c r="F169" s="18">
        <f>IF(ISNUMBER(D169), $B172 * E169, "")</f>
        <v>-582.52427184466023</v>
      </c>
      <c r="G169" s="31">
        <v>515</v>
      </c>
      <c r="H169" s="32">
        <f t="shared" si="91"/>
        <v>0</v>
      </c>
      <c r="I169" s="101">
        <f>IF(ISNUMBER(G169), $B172 * H169, "")</f>
        <v>0</v>
      </c>
      <c r="J169" s="15">
        <v>511</v>
      </c>
      <c r="K169" s="32">
        <f t="shared" si="92"/>
        <v>-7.7669902912621356E-3</v>
      </c>
      <c r="L169" s="18">
        <f>IF(ISNUMBER(J169), $B172 * K169, "")</f>
        <v>-776.69902912621353</v>
      </c>
      <c r="M169" s="31">
        <v>512</v>
      </c>
      <c r="N169" s="32">
        <f t="shared" si="93"/>
        <v>-5.8252427184466021E-3</v>
      </c>
      <c r="O169" s="18">
        <f>IF(ISNUMBER(M169), $B172 * N169, "")</f>
        <v>-582.52427184466023</v>
      </c>
      <c r="Q169" s="238"/>
      <c r="R169" s="238"/>
      <c r="S169" s="238"/>
    </row>
    <row r="170" spans="1:19">
      <c r="A170" s="125" t="s">
        <v>222</v>
      </c>
      <c r="B170" s="126">
        <v>153</v>
      </c>
      <c r="C170" s="77">
        <v>-4.9689441000000001E-2</v>
      </c>
      <c r="D170" s="15">
        <v>151</v>
      </c>
      <c r="E170" s="32">
        <f t="shared" si="90"/>
        <v>-1.3071895424836602E-2</v>
      </c>
      <c r="F170" s="18">
        <f>IF(ISNUMBER(D170), $B172 * E170, "")</f>
        <v>-1307.1895424836603</v>
      </c>
      <c r="G170" s="31">
        <v>151</v>
      </c>
      <c r="H170" s="32">
        <f t="shared" si="91"/>
        <v>-1.3071895424836602E-2</v>
      </c>
      <c r="I170" s="101">
        <f>IF(ISNUMBER(G170), $B172 * H170, "")</f>
        <v>-1307.1895424836603</v>
      </c>
      <c r="J170" s="15">
        <v>150</v>
      </c>
      <c r="K170" s="32">
        <f t="shared" si="92"/>
        <v>-1.9607843137254902E-2</v>
      </c>
      <c r="L170" s="18">
        <f>IF(ISNUMBER(J170), $B172 * K170, "")</f>
        <v>-1960.7843137254902</v>
      </c>
      <c r="M170" s="31">
        <v>150</v>
      </c>
      <c r="N170" s="32">
        <f t="shared" si="93"/>
        <v>-1.9607843137254902E-2</v>
      </c>
      <c r="O170" s="18">
        <f>IF(ISNUMBER(M170), $B172 * N170, "")</f>
        <v>-1960.7843137254902</v>
      </c>
      <c r="Q170" s="227"/>
      <c r="R170" s="228"/>
      <c r="S170" s="229"/>
    </row>
    <row r="171" spans="1:19" ht="17.25" thickBot="1">
      <c r="A171" s="130" t="s">
        <v>166</v>
      </c>
      <c r="B171" s="131">
        <v>263</v>
      </c>
      <c r="C171" s="79">
        <v>-5.3956834500000002E-2</v>
      </c>
      <c r="D171" s="24">
        <v>263</v>
      </c>
      <c r="E171" s="25">
        <f t="shared" si="90"/>
        <v>0</v>
      </c>
      <c r="F171" s="104">
        <f>IF(ISNUMBER(D171), $B172 * E171, "")</f>
        <v>0</v>
      </c>
      <c r="G171" s="102">
        <v>263</v>
      </c>
      <c r="H171" s="25">
        <f t="shared" si="91"/>
        <v>0</v>
      </c>
      <c r="I171" s="103">
        <f>IF(ISNUMBER(G171), $B172 * H171, "")</f>
        <v>0</v>
      </c>
      <c r="J171" s="24">
        <v>260</v>
      </c>
      <c r="K171" s="25">
        <f t="shared" si="92"/>
        <v>-1.1406844106463879E-2</v>
      </c>
      <c r="L171" s="104">
        <f>IF(ISNUMBER(J171), $B172 * K171, "")</f>
        <v>-1140.684410646388</v>
      </c>
      <c r="M171" s="102">
        <v>260</v>
      </c>
      <c r="N171" s="25">
        <f t="shared" si="93"/>
        <v>-1.1406844106463879E-2</v>
      </c>
      <c r="O171" s="104">
        <f>IF(ISNUMBER(M171), $B172 * N171, "")</f>
        <v>-1140.684410646388</v>
      </c>
      <c r="Q171" s="230"/>
      <c r="R171" s="231"/>
      <c r="S171" s="232"/>
    </row>
    <row r="172" spans="1:19" ht="17.25" thickBot="1">
      <c r="A172" s="132" t="s">
        <v>270</v>
      </c>
      <c r="B172" s="291">
        <f>$B$37</f>
        <v>100000</v>
      </c>
      <c r="C172" s="292"/>
      <c r="D172" s="26" t="s">
        <v>271</v>
      </c>
      <c r="E172" s="27">
        <f>IF(COUNT(E152:E171), SUM(E152:E171) / COUNT(E152:E171), 0)</f>
        <v>9.5919506954304269E-3</v>
      </c>
      <c r="F172" s="28">
        <f>SUM(F152:F171)</f>
        <v>19183.901390860847</v>
      </c>
      <c r="G172" s="26" t="s">
        <v>271</v>
      </c>
      <c r="H172" s="27">
        <f>IF(COUNT(H152:H171), SUM(H152:H171) / COUNT(H152:H171), 0)</f>
        <v>1.7957241093517727E-2</v>
      </c>
      <c r="I172" s="28">
        <f>SUM(I152:I171)</f>
        <v>35914.482187035464</v>
      </c>
      <c r="J172" s="26" t="s">
        <v>271</v>
      </c>
      <c r="K172" s="27">
        <f>IF(COUNT(K152:K171), SUM(K152:K171) / COUNT(K152:K171), 0)</f>
        <v>1.514004806635095E-2</v>
      </c>
      <c r="L172" s="28">
        <f>SUM(L152:L171)</f>
        <v>30280.096132701899</v>
      </c>
      <c r="M172" s="26" t="s">
        <v>271</v>
      </c>
      <c r="N172" s="27">
        <f>IF(COUNT(N152:N171), SUM(N152:N171) / COUNT(N152:N171), 0)</f>
        <v>1.2342068748169208E-2</v>
      </c>
      <c r="O172" s="28">
        <f>SUM(O152:O171)</f>
        <v>24684.137496338415</v>
      </c>
      <c r="Q172" s="233"/>
      <c r="R172" s="234"/>
      <c r="S172" s="23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48"/>
      <c r="R175" s="248"/>
      <c r="S175" s="248"/>
    </row>
    <row r="176" spans="1:19" ht="17.25" thickBot="1">
      <c r="A176" s="193" t="s">
        <v>267</v>
      </c>
      <c r="B176" s="249" t="s">
        <v>49</v>
      </c>
      <c r="C176" s="251"/>
      <c r="D176" s="249" t="s">
        <v>58</v>
      </c>
      <c r="E176" s="250"/>
      <c r="F176" s="251"/>
      <c r="G176" s="252">
        <f>_xlfn.IFNA(VLOOKUP(B176, 현재가테이블!$B$2:$D$200, 2, FALSE), "-")</f>
        <v>54440000</v>
      </c>
      <c r="H176" s="253"/>
      <c r="I176" s="254"/>
      <c r="J176" s="249" t="s">
        <v>59</v>
      </c>
      <c r="K176" s="250"/>
      <c r="L176" s="251"/>
      <c r="M176" s="255">
        <f>_xlfn.IFNA(VLOOKUP(B176, 현재가테이블!$B$2:$D$200, 3, FALSE), "-")</f>
        <v>1.07123628E-2</v>
      </c>
      <c r="N176" s="256"/>
      <c r="O176" s="257"/>
      <c r="Q176" s="248"/>
      <c r="R176" s="248"/>
      <c r="S176" s="248"/>
    </row>
    <row r="177" spans="1:19" ht="17.25" thickBot="1">
      <c r="A177" s="293" t="s">
        <v>55</v>
      </c>
      <c r="B177" s="289" t="str">
        <f>TEXT($G$1, "[$-ko-KR]yyyy-mm-dd(ddd) ") &amp; "오전 00:00"</f>
        <v>2021-08-10(화) 오전 00:00</v>
      </c>
      <c r="C177" s="290"/>
      <c r="D177" s="262" t="str">
        <f>TEXT($G$1, "[$-ko-KR]yyyy-mm-dd(ddd) ") &amp; "오후 14:00"</f>
        <v>2021-08-10(화) 오후 14:00</v>
      </c>
      <c r="E177" s="263"/>
      <c r="F177" s="264"/>
      <c r="G177" s="262" t="str">
        <f>TEXT($G$1, "[$-ko-KR]yyyy-mm-dd(ddd) ") &amp; "오후 19:00"</f>
        <v>2021-08-10(화) 오후 19:00</v>
      </c>
      <c r="H177" s="263"/>
      <c r="I177" s="264"/>
      <c r="J177" s="262" t="str">
        <f>TEXT($G$1, "[$-ko-KR]yyyy-mm-dd(ddd) ") &amp; "오후 21:00"</f>
        <v>2021-08-10(화) 오후 21:00</v>
      </c>
      <c r="K177" s="263"/>
      <c r="L177" s="264"/>
      <c r="M177" s="262" t="str">
        <f>TEXT($G$1+1, "[$-ko-KR]yyyy-mm-dd(ddd) ") &amp; "오전 00:00"</f>
        <v>2021-08-11(수) 오전 00:00</v>
      </c>
      <c r="N177" s="263"/>
      <c r="O177" s="264"/>
      <c r="Q177" s="248"/>
      <c r="R177" s="248"/>
      <c r="S177" s="248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4" t="s">
        <v>58</v>
      </c>
      <c r="H178" s="195" t="s">
        <v>268</v>
      </c>
      <c r="I178" s="19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8"/>
      <c r="R178" s="238"/>
      <c r="S178" s="238"/>
    </row>
    <row r="179" spans="1:19" ht="17.25" thickBot="1">
      <c r="A179" s="123" t="s">
        <v>230</v>
      </c>
      <c r="B179" s="124">
        <v>202</v>
      </c>
      <c r="C179" s="76">
        <v>-9.8039215999999995E-3</v>
      </c>
      <c r="D179" s="13">
        <v>203</v>
      </c>
      <c r="E179" s="14">
        <f>IF(ISNUMBER(D179), (D179 - $B179) / $B179, "")</f>
        <v>4.9504950495049506E-3</v>
      </c>
      <c r="F179" s="16">
        <f>IF(ISNUMBER(D179), $B199 * E179, "")</f>
        <v>495.04950495049508</v>
      </c>
      <c r="G179" s="29">
        <v>204</v>
      </c>
      <c r="H179" s="14">
        <f>IF(ISNUMBER(G179), (G179 - $B179) / $B179, "")</f>
        <v>9.9009900990099011E-3</v>
      </c>
      <c r="I179" s="100">
        <f>IF(ISNUMBER(G179), $B199 * H179, "")</f>
        <v>990.09900990099015</v>
      </c>
      <c r="J179" s="13">
        <v>206</v>
      </c>
      <c r="K179" s="14">
        <f>IF(ISNUMBER(J179), (J179 - $B179) / $B179, "")</f>
        <v>1.9801980198019802E-2</v>
      </c>
      <c r="L179" s="16">
        <f>IF(ISNUMBER(J179), $B199 * K179, "")</f>
        <v>1980.1980198019803</v>
      </c>
      <c r="M179" s="29">
        <v>205</v>
      </c>
      <c r="N179" s="14">
        <f>IF(ISNUMBER(M179), (M179 - $B179) / $B179, "")</f>
        <v>1.4851485148514851E-2</v>
      </c>
      <c r="O179" s="16">
        <f>IF(ISNUMBER(M179), $B199 * N179, "")</f>
        <v>1485.1485148514851</v>
      </c>
      <c r="Q179" s="248"/>
      <c r="R179" s="248"/>
      <c r="S179" s="248"/>
    </row>
    <row r="180" spans="1:19" ht="17.25" thickBot="1">
      <c r="A180" s="125" t="s">
        <v>234</v>
      </c>
      <c r="B180" s="126">
        <v>69.099999999999994</v>
      </c>
      <c r="C180" s="77">
        <v>-1.0028653300000001E-2</v>
      </c>
      <c r="D180" s="15">
        <v>70.5</v>
      </c>
      <c r="E180" s="32">
        <f t="shared" ref="E180:E183" si="94">IF(ISNUMBER(D180), (D180 - $B180) / $B180, "")</f>
        <v>2.0260492040521067E-2</v>
      </c>
      <c r="F180" s="18">
        <f>IF(ISNUMBER(D180), $B199 * E180, "")</f>
        <v>2026.0492040521067</v>
      </c>
      <c r="G180" s="31">
        <v>71.2</v>
      </c>
      <c r="H180" s="32">
        <f t="shared" ref="H180:H183" si="95">IF(ISNUMBER(G180), (G180 - $B180) / $B180, "")</f>
        <v>3.0390738060781602E-2</v>
      </c>
      <c r="I180" s="101">
        <f>IF(ISNUMBER(G180), $B199 * H180, "")</f>
        <v>3039.07380607816</v>
      </c>
      <c r="J180" s="15">
        <v>69.8</v>
      </c>
      <c r="K180" s="32">
        <f t="shared" ref="K180:K183" si="96">IF(ISNUMBER(J180), (J180 - $B180) / $B180, "")</f>
        <v>1.0130246020260534E-2</v>
      </c>
      <c r="L180" s="18">
        <f>IF(ISNUMBER(J180), $B199 * K180, "")</f>
        <v>1013.0246020260533</v>
      </c>
      <c r="M180" s="31">
        <v>70</v>
      </c>
      <c r="N180" s="32">
        <f t="shared" ref="N180:N183" si="97">IF(ISNUMBER(M180), (M180 - $B180) / $B180, "")</f>
        <v>1.3024602026049287E-2</v>
      </c>
      <c r="O180" s="18">
        <f>IF(ISNUMBER(M180), $B199 * N180, "")</f>
        <v>1302.4602026049288</v>
      </c>
      <c r="Q180" s="248"/>
      <c r="R180" s="248"/>
      <c r="S180" s="248"/>
    </row>
    <row r="181" spans="1:19" ht="17.25" thickBot="1">
      <c r="A181" s="125" t="s">
        <v>122</v>
      </c>
      <c r="B181" s="126">
        <v>29.3</v>
      </c>
      <c r="C181" s="77">
        <v>-1.01351351E-2</v>
      </c>
      <c r="D181" s="15">
        <v>31.1</v>
      </c>
      <c r="E181" s="32">
        <f t="shared" si="94"/>
        <v>6.1433447098976135E-2</v>
      </c>
      <c r="F181" s="18">
        <f>IF(ISNUMBER(D181), $B199 * E181, "")</f>
        <v>6143.3447098976139</v>
      </c>
      <c r="G181" s="31">
        <v>31.2</v>
      </c>
      <c r="H181" s="32">
        <f t="shared" si="95"/>
        <v>6.4846416382252511E-2</v>
      </c>
      <c r="I181" s="101">
        <f>IF(ISNUMBER(G181), $B199 * H181, "")</f>
        <v>6484.641638225251</v>
      </c>
      <c r="J181" s="15">
        <v>31.2</v>
      </c>
      <c r="K181" s="32">
        <f t="shared" si="96"/>
        <v>6.4846416382252511E-2</v>
      </c>
      <c r="L181" s="18">
        <f>IF(ISNUMBER(J181), $B199 * K181, "")</f>
        <v>6484.641638225251</v>
      </c>
      <c r="M181" s="31">
        <v>30.1</v>
      </c>
      <c r="N181" s="32">
        <f t="shared" si="97"/>
        <v>2.7303754266211629E-2</v>
      </c>
      <c r="O181" s="18">
        <f>IF(ISNUMBER(M181), $B199 * N181, "")</f>
        <v>2730.3754266211627</v>
      </c>
      <c r="Q181" s="238"/>
      <c r="R181" s="238"/>
      <c r="S181" s="238"/>
    </row>
    <row r="182" spans="1:19" ht="17.25" thickBot="1">
      <c r="A182" s="125" t="s">
        <v>202</v>
      </c>
      <c r="B182" s="126">
        <v>85.6</v>
      </c>
      <c r="C182" s="77">
        <v>-1.1547344100000001E-2</v>
      </c>
      <c r="D182" s="15">
        <v>85.9</v>
      </c>
      <c r="E182" s="32">
        <f t="shared" si="94"/>
        <v>3.5046728971963948E-3</v>
      </c>
      <c r="F182" s="18">
        <f>IF(ISNUMBER(D182), $B199 * E182, "")</f>
        <v>350.4672897196395</v>
      </c>
      <c r="G182" s="31">
        <v>91.4</v>
      </c>
      <c r="H182" s="32">
        <f t="shared" si="95"/>
        <v>6.7757009345794525E-2</v>
      </c>
      <c r="I182" s="101">
        <f>IF(ISNUMBER(G182), $B199 * H182, "")</f>
        <v>6775.7009345794522</v>
      </c>
      <c r="J182" s="15">
        <v>89.4</v>
      </c>
      <c r="K182" s="32">
        <f t="shared" si="96"/>
        <v>4.4392523364486118E-2</v>
      </c>
      <c r="L182" s="18">
        <f>IF(ISNUMBER(J182), $B199 * K182, "")</f>
        <v>4439.2523364486115</v>
      </c>
      <c r="M182" s="31">
        <v>89.8</v>
      </c>
      <c r="N182" s="32">
        <f t="shared" si="97"/>
        <v>4.9065420560747697E-2</v>
      </c>
      <c r="O182" s="18">
        <f>IF(ISNUMBER(M182), $B199 * N182, "")</f>
        <v>4906.5420560747698</v>
      </c>
      <c r="Q182" s="238"/>
      <c r="R182" s="238"/>
      <c r="S182" s="238"/>
    </row>
    <row r="183" spans="1:19" ht="17.25" thickBot="1">
      <c r="A183" s="127" t="s">
        <v>174</v>
      </c>
      <c r="B183" s="128">
        <v>342</v>
      </c>
      <c r="C183" s="78">
        <v>-1.15606936E-2</v>
      </c>
      <c r="D183" s="20">
        <v>344</v>
      </c>
      <c r="E183" s="21">
        <f t="shared" si="94"/>
        <v>5.8479532163742687E-3</v>
      </c>
      <c r="F183" s="22">
        <f>IF(ISNUMBER(D183), $B199 * E183, "")</f>
        <v>584.79532163742692</v>
      </c>
      <c r="G183" s="30">
        <v>348</v>
      </c>
      <c r="H183" s="21">
        <f t="shared" si="95"/>
        <v>1.7543859649122806E-2</v>
      </c>
      <c r="I183" s="105">
        <f>IF(ISNUMBER(G183), $B199 * H183, "")</f>
        <v>1754.3859649122805</v>
      </c>
      <c r="J183" s="20">
        <v>344</v>
      </c>
      <c r="K183" s="21">
        <f t="shared" si="96"/>
        <v>5.8479532163742687E-3</v>
      </c>
      <c r="L183" s="22">
        <f>IF(ISNUMBER(J183), $B199 * K183, "")</f>
        <v>584.79532163742692</v>
      </c>
      <c r="M183" s="30">
        <v>351</v>
      </c>
      <c r="N183" s="21">
        <f t="shared" si="97"/>
        <v>2.6315789473684209E-2</v>
      </c>
      <c r="O183" s="22">
        <f>IF(ISNUMBER(M183), $B199 * N183, "")</f>
        <v>2631.5789473684208</v>
      </c>
      <c r="Q183" s="238"/>
      <c r="R183" s="238"/>
      <c r="S183" s="238"/>
    </row>
    <row r="184" spans="1:19" ht="17.25" thickBot="1">
      <c r="A184" s="125" t="s">
        <v>178</v>
      </c>
      <c r="B184" s="129">
        <v>16.3</v>
      </c>
      <c r="C184" s="80">
        <v>-1.2121212100000001E-2</v>
      </c>
      <c r="D184" s="106">
        <v>16.399999999999999</v>
      </c>
      <c r="E184" s="107">
        <f>IF(ISNUMBER(D184), (D184 - $B184) / $B184, "")</f>
        <v>6.1349693251532434E-3</v>
      </c>
      <c r="F184" s="108">
        <f>IF(ISNUMBER(D184), $B199 * E184, "")</f>
        <v>613.49693251532437</v>
      </c>
      <c r="G184" s="109">
        <v>16.600000000000001</v>
      </c>
      <c r="H184" s="107">
        <f>IF(ISNUMBER(G184), (G184 - $B184) / $B184, "")</f>
        <v>1.8404907975460166E-2</v>
      </c>
      <c r="I184" s="110">
        <f>IF(ISNUMBER(G184), $B199 * H184, "")</f>
        <v>1840.4907975460167</v>
      </c>
      <c r="J184" s="106">
        <v>16.399999999999999</v>
      </c>
      <c r="K184" s="107">
        <f>IF(ISNUMBER(J184), (J184 - $B184) / $B184, "")</f>
        <v>6.1349693251532434E-3</v>
      </c>
      <c r="L184" s="108">
        <f>IF(ISNUMBER(J184), $B199 * K184, "")</f>
        <v>613.49693251532437</v>
      </c>
      <c r="M184" s="109">
        <v>16.399999999999999</v>
      </c>
      <c r="N184" s="107">
        <f>IF(ISNUMBER(M184), (M184 - $B184) / $B184, "")</f>
        <v>6.1349693251532434E-3</v>
      </c>
      <c r="O184" s="108">
        <f>IF(ISNUMBER(M184), $B199 * N184, "")</f>
        <v>613.49693251532437</v>
      </c>
      <c r="Q184" s="238"/>
      <c r="R184" s="238"/>
      <c r="S184" s="238"/>
    </row>
    <row r="185" spans="1:19" ht="17.25" thickBot="1">
      <c r="A185" s="125" t="s">
        <v>192</v>
      </c>
      <c r="B185" s="126">
        <v>227</v>
      </c>
      <c r="C185" s="77">
        <v>-1.30434783E-2</v>
      </c>
      <c r="D185" s="15">
        <v>228</v>
      </c>
      <c r="E185" s="32">
        <f t="shared" ref="E185:E188" si="98">IF(ISNUMBER(D185), (D185 - $B185) / $B185, "")</f>
        <v>4.4052863436123352E-3</v>
      </c>
      <c r="F185" s="18">
        <f>IF(ISNUMBER(D185), $B199 * E185, "")</f>
        <v>440.52863436123351</v>
      </c>
      <c r="G185" s="31">
        <v>229</v>
      </c>
      <c r="H185" s="32">
        <f t="shared" ref="H185:H188" si="99">IF(ISNUMBER(G185), (G185 - $B185) / $B185, "")</f>
        <v>8.8105726872246704E-3</v>
      </c>
      <c r="I185" s="101">
        <f>IF(ISNUMBER(G185), $B199 * H185, "")</f>
        <v>881.05726872246703</v>
      </c>
      <c r="J185" s="15">
        <v>226</v>
      </c>
      <c r="K185" s="32">
        <f t="shared" ref="K185:K188" si="100">IF(ISNUMBER(J185), (J185 - $B185) / $B185, "")</f>
        <v>-4.4052863436123352E-3</v>
      </c>
      <c r="L185" s="18">
        <f>IF(ISNUMBER(J185), $B199 * K185, "")</f>
        <v>-440.52863436123351</v>
      </c>
      <c r="M185" s="31">
        <v>226</v>
      </c>
      <c r="N185" s="32">
        <f t="shared" ref="N185:N188" si="101">IF(ISNUMBER(M185), (M185 - $B185) / $B185, "")</f>
        <v>-4.4052863436123352E-3</v>
      </c>
      <c r="O185" s="18">
        <f>IF(ISNUMBER(M185), $B199 * N185, "")</f>
        <v>-440.52863436123351</v>
      </c>
      <c r="Q185" s="238"/>
      <c r="R185" s="238"/>
      <c r="S185" s="238"/>
    </row>
    <row r="186" spans="1:19" ht="17.25" thickBot="1">
      <c r="A186" s="125" t="s">
        <v>220</v>
      </c>
      <c r="B186" s="126">
        <v>209</v>
      </c>
      <c r="C186" s="77">
        <v>-1.4150943399999999E-2</v>
      </c>
      <c r="D186" s="15">
        <v>211</v>
      </c>
      <c r="E186" s="32">
        <f t="shared" si="98"/>
        <v>9.5693779904306216E-3</v>
      </c>
      <c r="F186" s="18">
        <f>IF(ISNUMBER(D186), $B199 * E186, "")</f>
        <v>956.93779904306211</v>
      </c>
      <c r="G186" s="31">
        <v>211</v>
      </c>
      <c r="H186" s="32">
        <f t="shared" si="99"/>
        <v>9.5693779904306216E-3</v>
      </c>
      <c r="I186" s="101">
        <f>IF(ISNUMBER(G186), $B199 * H186, "")</f>
        <v>956.93779904306211</v>
      </c>
      <c r="J186" s="15">
        <v>212</v>
      </c>
      <c r="K186" s="32">
        <f t="shared" si="100"/>
        <v>1.4354066985645933E-2</v>
      </c>
      <c r="L186" s="18">
        <f>IF(ISNUMBER(J186), $B199 * K186, "")</f>
        <v>1435.4066985645934</v>
      </c>
      <c r="M186" s="31">
        <v>212</v>
      </c>
      <c r="N186" s="32">
        <f t="shared" si="101"/>
        <v>1.4354066985645933E-2</v>
      </c>
      <c r="O186" s="18">
        <f>IF(ISNUMBER(M186), $B199 * N186, "")</f>
        <v>1435.4066985645934</v>
      </c>
      <c r="Q186" s="238"/>
      <c r="R186" s="238"/>
      <c r="S186" s="238"/>
    </row>
    <row r="187" spans="1:19" ht="17.25" thickBot="1">
      <c r="A187" s="125" t="s">
        <v>200</v>
      </c>
      <c r="B187" s="126">
        <v>136</v>
      </c>
      <c r="C187" s="77">
        <v>-1.44927536E-2</v>
      </c>
      <c r="D187" s="15">
        <v>141</v>
      </c>
      <c r="E187" s="32">
        <f t="shared" si="98"/>
        <v>3.6764705882352942E-2</v>
      </c>
      <c r="F187" s="18">
        <f>IF(ISNUMBER(D187), $B199 * E187, "")</f>
        <v>3676.4705882352941</v>
      </c>
      <c r="G187" s="31">
        <v>143</v>
      </c>
      <c r="H187" s="32">
        <f t="shared" si="99"/>
        <v>5.1470588235294115E-2</v>
      </c>
      <c r="I187" s="101">
        <f>IF(ISNUMBER(G187), $B199 * H187, "")</f>
        <v>5147.0588235294117</v>
      </c>
      <c r="J187" s="15">
        <v>143</v>
      </c>
      <c r="K187" s="32">
        <f t="shared" si="100"/>
        <v>5.1470588235294115E-2</v>
      </c>
      <c r="L187" s="18">
        <f>IF(ISNUMBER(J187), $B199 * K187, "")</f>
        <v>5147.0588235294117</v>
      </c>
      <c r="M187" s="31">
        <v>141</v>
      </c>
      <c r="N187" s="32">
        <f t="shared" si="101"/>
        <v>3.6764705882352942E-2</v>
      </c>
      <c r="O187" s="18">
        <f>IF(ISNUMBER(M187), $B199 * N187, "")</f>
        <v>3676.4705882352941</v>
      </c>
      <c r="Q187" s="33"/>
      <c r="R187" s="33"/>
    </row>
    <row r="188" spans="1:19" ht="17.25" thickBot="1">
      <c r="A188" s="130" t="s">
        <v>206</v>
      </c>
      <c r="B188" s="131">
        <v>317</v>
      </c>
      <c r="C188" s="79">
        <v>-1.8575851399999999E-2</v>
      </c>
      <c r="D188" s="24">
        <v>319</v>
      </c>
      <c r="E188" s="25">
        <f t="shared" si="98"/>
        <v>6.3091482649842269E-3</v>
      </c>
      <c r="F188" s="104">
        <f>IF(ISNUMBER(D188), $B199 * E188, "")</f>
        <v>630.91482649842271</v>
      </c>
      <c r="G188" s="102">
        <v>320</v>
      </c>
      <c r="H188" s="25">
        <f t="shared" si="99"/>
        <v>9.4637223974763408E-3</v>
      </c>
      <c r="I188" s="103">
        <f>IF(ISNUMBER(G188), $B199 * H188, "")</f>
        <v>946.37223974763413</v>
      </c>
      <c r="J188" s="24">
        <v>318</v>
      </c>
      <c r="K188" s="25">
        <f t="shared" si="100"/>
        <v>3.1545741324921135E-3</v>
      </c>
      <c r="L188" s="104">
        <f>IF(ISNUMBER(J188), $B199 * K188, "")</f>
        <v>315.45741324921136</v>
      </c>
      <c r="M188" s="102">
        <v>318</v>
      </c>
      <c r="N188" s="25">
        <f t="shared" si="101"/>
        <v>3.1545741324921135E-3</v>
      </c>
      <c r="O188" s="104">
        <f>IF(ISNUMBER(M188), $B199 * N188, "")</f>
        <v>315.45741324921136</v>
      </c>
      <c r="Q188" s="239"/>
      <c r="R188" s="240"/>
      <c r="S188" s="241"/>
    </row>
    <row r="189" spans="1:19">
      <c r="A189" s="123" t="s">
        <v>172</v>
      </c>
      <c r="B189" s="124">
        <v>2615</v>
      </c>
      <c r="C189" s="76">
        <v>-1.8761726100000001E-2</v>
      </c>
      <c r="D189" s="13">
        <v>2815</v>
      </c>
      <c r="E189" s="14">
        <f>IF(ISNUMBER(D189), (D189 - $B189) / $B189, "")</f>
        <v>7.6481835564053538E-2</v>
      </c>
      <c r="F189" s="16">
        <f>IF(ISNUMBER(D189), $B199 * E189, "")</f>
        <v>7648.1835564053536</v>
      </c>
      <c r="G189" s="29">
        <v>2790</v>
      </c>
      <c r="H189" s="14">
        <f>IF(ISNUMBER(G189), (G189 - $B189) / $B189, "")</f>
        <v>6.6921606118546847E-2</v>
      </c>
      <c r="I189" s="100">
        <f>IF(ISNUMBER(G189), $B199 * H189, "")</f>
        <v>6692.1606118546852</v>
      </c>
      <c r="J189" s="13">
        <v>2730</v>
      </c>
      <c r="K189" s="14">
        <f>IF(ISNUMBER(J189), (J189 - $B189) / $B189, "")</f>
        <v>4.3977055449330782E-2</v>
      </c>
      <c r="L189" s="16">
        <f>IF(ISNUMBER(J189), $B199 * K189, "")</f>
        <v>4397.7055449330783</v>
      </c>
      <c r="M189" s="29">
        <v>2695</v>
      </c>
      <c r="N189" s="14">
        <f>IF(ISNUMBER(M189), (M189 - $B189) / $B189, "")</f>
        <v>3.0592734225621414E-2</v>
      </c>
      <c r="O189" s="16">
        <f>IF(ISNUMBER(M189), $B199 * N189, "")</f>
        <v>3059.2734225621416</v>
      </c>
      <c r="Q189" s="242"/>
      <c r="R189" s="243"/>
      <c r="S189" s="244"/>
    </row>
    <row r="190" spans="1:19" ht="17.25" thickBot="1">
      <c r="A190" s="125" t="s">
        <v>194</v>
      </c>
      <c r="B190" s="126">
        <v>141</v>
      </c>
      <c r="C190" s="77">
        <v>-2.08333333E-2</v>
      </c>
      <c r="D190" s="15">
        <v>144</v>
      </c>
      <c r="E190" s="32">
        <f t="shared" ref="E190:E193" si="102">IF(ISNUMBER(D190), (D190 - $B190) / $B190, "")</f>
        <v>2.1276595744680851E-2</v>
      </c>
      <c r="F190" s="18">
        <f>IF(ISNUMBER(D190), $B199 * E190, "")</f>
        <v>2127.6595744680849</v>
      </c>
      <c r="G190" s="31">
        <v>144</v>
      </c>
      <c r="H190" s="32">
        <f t="shared" ref="H190:H193" si="103">IF(ISNUMBER(G190), (G190 - $B190) / $B190, "")</f>
        <v>2.1276595744680851E-2</v>
      </c>
      <c r="I190" s="101">
        <f>IF(ISNUMBER(G190), $B199 * H190, "")</f>
        <v>2127.6595744680849</v>
      </c>
      <c r="J190" s="15">
        <v>142</v>
      </c>
      <c r="K190" s="32">
        <f t="shared" ref="K190:K193" si="104">IF(ISNUMBER(J190), (J190 - $B190) / $B190, "")</f>
        <v>7.0921985815602835E-3</v>
      </c>
      <c r="L190" s="18">
        <f>IF(ISNUMBER(J190), $B199 * K190, "")</f>
        <v>709.21985815602841</v>
      </c>
      <c r="M190" s="31">
        <v>143</v>
      </c>
      <c r="N190" s="32">
        <f t="shared" ref="N190:N193" si="105">IF(ISNUMBER(M190), (M190 - $B190) / $B190, "")</f>
        <v>1.4184397163120567E-2</v>
      </c>
      <c r="O190" s="18">
        <f>IF(ISNUMBER(M190), $B199 * N190, "")</f>
        <v>1418.4397163120568</v>
      </c>
      <c r="Q190" s="245"/>
      <c r="R190" s="246"/>
      <c r="S190" s="247"/>
    </row>
    <row r="191" spans="1:19" ht="17.25" thickBot="1">
      <c r="A191" s="125" t="s">
        <v>204</v>
      </c>
      <c r="B191" s="126">
        <v>13.8</v>
      </c>
      <c r="C191" s="77">
        <v>-2.1276595700000001E-2</v>
      </c>
      <c r="D191" s="15">
        <v>13.9</v>
      </c>
      <c r="E191" s="32">
        <f t="shared" si="102"/>
        <v>7.246376811594177E-3</v>
      </c>
      <c r="F191" s="18">
        <f>IF(ISNUMBER(D191), $B199 * E191, "")</f>
        <v>724.63768115941775</v>
      </c>
      <c r="G191" s="31">
        <v>14.1</v>
      </c>
      <c r="H191" s="32">
        <f t="shared" si="103"/>
        <v>2.1739130434782532E-2</v>
      </c>
      <c r="I191" s="101">
        <f>IF(ISNUMBER(G191), $B199 * H191, "")</f>
        <v>2173.9130434782533</v>
      </c>
      <c r="J191" s="15">
        <v>13.9</v>
      </c>
      <c r="K191" s="32">
        <f t="shared" si="104"/>
        <v>7.246376811594177E-3</v>
      </c>
      <c r="L191" s="18">
        <f>IF(ISNUMBER(J191), $B199 * K191, "")</f>
        <v>724.63768115941775</v>
      </c>
      <c r="M191" s="31">
        <v>13.8</v>
      </c>
      <c r="N191" s="32">
        <f t="shared" si="105"/>
        <v>0</v>
      </c>
      <c r="O191" s="18">
        <f>IF(ISNUMBER(M191), $B199 * N191, "")</f>
        <v>0</v>
      </c>
      <c r="Q191" s="238"/>
      <c r="R191" s="238"/>
      <c r="S191" s="238"/>
    </row>
    <row r="192" spans="1:19" ht="17.25" thickBot="1">
      <c r="A192" s="125" t="s">
        <v>228</v>
      </c>
      <c r="B192" s="126">
        <v>389</v>
      </c>
      <c r="C192" s="77">
        <v>-2.2613065299999999E-2</v>
      </c>
      <c r="D192" s="15">
        <v>392</v>
      </c>
      <c r="E192" s="32">
        <f t="shared" si="102"/>
        <v>7.7120822622107968E-3</v>
      </c>
      <c r="F192" s="18">
        <f>IF(ISNUMBER(D192), $B199 * E192, "")</f>
        <v>771.20822622107971</v>
      </c>
      <c r="G192" s="31">
        <v>392</v>
      </c>
      <c r="H192" s="32">
        <f t="shared" si="103"/>
        <v>7.7120822622107968E-3</v>
      </c>
      <c r="I192" s="101">
        <f>IF(ISNUMBER(G192), $B199 * H192, "")</f>
        <v>771.20822622107971</v>
      </c>
      <c r="J192" s="15">
        <v>387</v>
      </c>
      <c r="K192" s="32">
        <f t="shared" si="104"/>
        <v>-5.1413881748071976E-3</v>
      </c>
      <c r="L192" s="18">
        <f>IF(ISNUMBER(J192), $B199 * K192, "")</f>
        <v>-514.13881748071981</v>
      </c>
      <c r="M192" s="31">
        <v>388</v>
      </c>
      <c r="N192" s="32">
        <f t="shared" si="105"/>
        <v>-2.5706940874035988E-3</v>
      </c>
      <c r="O192" s="18">
        <f>IF(ISNUMBER(M192), $B199 * N192, "")</f>
        <v>-257.0694087403599</v>
      </c>
      <c r="Q192" s="248"/>
      <c r="R192" s="248"/>
      <c r="S192" s="248"/>
    </row>
    <row r="193" spans="1:19" ht="17.25" thickBot="1">
      <c r="A193" s="127" t="s">
        <v>142</v>
      </c>
      <c r="B193" s="128">
        <v>10380</v>
      </c>
      <c r="C193" s="78">
        <v>-2.5352112699999999E-2</v>
      </c>
      <c r="D193" s="20">
        <v>10440</v>
      </c>
      <c r="E193" s="21">
        <f t="shared" si="102"/>
        <v>5.7803468208092483E-3</v>
      </c>
      <c r="F193" s="22">
        <f>IF(ISNUMBER(D193), $B199 * E193, "")</f>
        <v>578.03468208092488</v>
      </c>
      <c r="G193" s="30">
        <v>10470</v>
      </c>
      <c r="H193" s="21">
        <f t="shared" si="103"/>
        <v>8.670520231213872E-3</v>
      </c>
      <c r="I193" s="105">
        <f>IF(ISNUMBER(G193), $B199 * H193, "")</f>
        <v>867.05202312138715</v>
      </c>
      <c r="J193" s="20">
        <v>10360</v>
      </c>
      <c r="K193" s="21">
        <f t="shared" si="104"/>
        <v>-1.9267822736030828E-3</v>
      </c>
      <c r="L193" s="22">
        <f>IF(ISNUMBER(J193), $B199 * K193, "")</f>
        <v>-192.67822736030828</v>
      </c>
      <c r="M193" s="30">
        <v>10370</v>
      </c>
      <c r="N193" s="21">
        <f t="shared" si="105"/>
        <v>-9.6339113680154141E-4</v>
      </c>
      <c r="O193" s="22">
        <f>IF(ISNUMBER(M193), $B199 * N193, "")</f>
        <v>-96.339113680154142</v>
      </c>
      <c r="Q193" s="248"/>
      <c r="R193" s="248"/>
      <c r="S193" s="248"/>
    </row>
    <row r="194" spans="1:19" ht="17.25" thickBot="1">
      <c r="A194" s="125" t="s">
        <v>110</v>
      </c>
      <c r="B194" s="129">
        <v>189</v>
      </c>
      <c r="C194" s="80">
        <v>-3.0769230799999998E-2</v>
      </c>
      <c r="D194" s="106">
        <v>189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192</v>
      </c>
      <c r="H194" s="107">
        <f>IF(ISNUMBER(G194), (G194 - $B194) / $B194, "")</f>
        <v>1.5873015873015872E-2</v>
      </c>
      <c r="I194" s="110">
        <f>IF(ISNUMBER(G194), $B199 * H194, "")</f>
        <v>1587.3015873015872</v>
      </c>
      <c r="J194" s="106">
        <v>187</v>
      </c>
      <c r="K194" s="107">
        <f>IF(ISNUMBER(J194), (J194 - $B194) / $B194, "")</f>
        <v>-1.0582010582010581E-2</v>
      </c>
      <c r="L194" s="108">
        <f>IF(ISNUMBER(J194), $B199 * K194, "")</f>
        <v>-1058.2010582010582</v>
      </c>
      <c r="M194" s="109">
        <v>188</v>
      </c>
      <c r="N194" s="107">
        <f>IF(ISNUMBER(M194), (M194 - $B194) / $B194, "")</f>
        <v>-5.2910052910052907E-3</v>
      </c>
      <c r="O194" s="108">
        <f>IF(ISNUMBER(M194), $B199 * N194, "")</f>
        <v>-529.10052910052912</v>
      </c>
      <c r="Q194" s="238"/>
      <c r="R194" s="238"/>
      <c r="S194" s="238"/>
    </row>
    <row r="195" spans="1:19" ht="17.25" thickBot="1">
      <c r="A195" s="125" t="s">
        <v>196</v>
      </c>
      <c r="B195" s="126">
        <v>4335</v>
      </c>
      <c r="C195" s="77">
        <v>-3.88026608E-2</v>
      </c>
      <c r="D195" s="15">
        <v>4390</v>
      </c>
      <c r="E195" s="32">
        <f t="shared" ref="E195:E198" si="106">IF(ISNUMBER(D195), (D195 - $B195) / $B195, "")</f>
        <v>1.2687427912341407E-2</v>
      </c>
      <c r="F195" s="18">
        <f>IF(ISNUMBER(D195), $B199 * E195, "")</f>
        <v>1268.7427912341407</v>
      </c>
      <c r="G195" s="31">
        <v>4415</v>
      </c>
      <c r="H195" s="32">
        <f t="shared" ref="H195:H198" si="107">IF(ISNUMBER(G195), (G195 - $B195) / $B195, "")</f>
        <v>1.845444059976932E-2</v>
      </c>
      <c r="I195" s="101">
        <f>IF(ISNUMBER(G195), $B199 * H195, "")</f>
        <v>1845.4440599769321</v>
      </c>
      <c r="J195" s="15">
        <v>4520</v>
      </c>
      <c r="K195" s="32">
        <f t="shared" ref="K195:K198" si="108">IF(ISNUMBER(J195), (J195 - $B195) / $B195, "")</f>
        <v>4.2675893886966548E-2</v>
      </c>
      <c r="L195" s="18">
        <f>IF(ISNUMBER(J195), $B199 * K195, "")</f>
        <v>4267.5893886966551</v>
      </c>
      <c r="M195" s="31">
        <v>4455</v>
      </c>
      <c r="N195" s="32">
        <f t="shared" ref="N195:N198" si="109">IF(ISNUMBER(M195), (M195 - $B195) / $B195, "")</f>
        <v>2.768166089965398E-2</v>
      </c>
      <c r="O195" s="18">
        <f>IF(ISNUMBER(M195), $B199 * N195, "")</f>
        <v>2768.166089965398</v>
      </c>
      <c r="Q195" s="238"/>
      <c r="R195" s="238"/>
      <c r="S195" s="238"/>
    </row>
    <row r="196" spans="1:19" ht="17.25" thickBot="1">
      <c r="A196" s="125" t="s">
        <v>232</v>
      </c>
      <c r="B196" s="126">
        <v>515</v>
      </c>
      <c r="C196" s="77">
        <v>-3.9179104499999999E-2</v>
      </c>
      <c r="D196" s="15">
        <v>512</v>
      </c>
      <c r="E196" s="32">
        <f t="shared" si="106"/>
        <v>-5.8252427184466021E-3</v>
      </c>
      <c r="F196" s="18">
        <f>IF(ISNUMBER(D196), $B199 * E196, "")</f>
        <v>-582.52427184466023</v>
      </c>
      <c r="G196" s="31">
        <v>515</v>
      </c>
      <c r="H196" s="32">
        <f t="shared" si="107"/>
        <v>0</v>
      </c>
      <c r="I196" s="101">
        <f>IF(ISNUMBER(G196), $B199 * H196, "")</f>
        <v>0</v>
      </c>
      <c r="J196" s="15">
        <v>511</v>
      </c>
      <c r="K196" s="32">
        <f t="shared" si="108"/>
        <v>-7.7669902912621356E-3</v>
      </c>
      <c r="L196" s="18">
        <f>IF(ISNUMBER(J196), $B199 * K196, "")</f>
        <v>-776.69902912621353</v>
      </c>
      <c r="M196" s="31">
        <v>512</v>
      </c>
      <c r="N196" s="32">
        <f t="shared" si="109"/>
        <v>-5.8252427184466021E-3</v>
      </c>
      <c r="O196" s="18">
        <f>IF(ISNUMBER(M196), $B199 * N196, "")</f>
        <v>-582.52427184466023</v>
      </c>
      <c r="Q196" s="238"/>
      <c r="R196" s="238"/>
      <c r="S196" s="238"/>
    </row>
    <row r="197" spans="1:19">
      <c r="A197" s="125" t="s">
        <v>222</v>
      </c>
      <c r="B197" s="126">
        <v>153</v>
      </c>
      <c r="C197" s="77">
        <v>-4.9689441000000001E-2</v>
      </c>
      <c r="D197" s="15">
        <v>151</v>
      </c>
      <c r="E197" s="32">
        <f t="shared" si="106"/>
        <v>-1.3071895424836602E-2</v>
      </c>
      <c r="F197" s="18">
        <f>IF(ISNUMBER(D197), $B199 * E197, "")</f>
        <v>-1307.1895424836603</v>
      </c>
      <c r="G197" s="31">
        <v>151</v>
      </c>
      <c r="H197" s="32">
        <f t="shared" si="107"/>
        <v>-1.3071895424836602E-2</v>
      </c>
      <c r="I197" s="101">
        <f>IF(ISNUMBER(G197), $B199 * H197, "")</f>
        <v>-1307.1895424836603</v>
      </c>
      <c r="J197" s="15">
        <v>150</v>
      </c>
      <c r="K197" s="32">
        <f t="shared" si="108"/>
        <v>-1.9607843137254902E-2</v>
      </c>
      <c r="L197" s="18">
        <f>IF(ISNUMBER(J197), $B199 * K197, "")</f>
        <v>-1960.7843137254902</v>
      </c>
      <c r="M197" s="31">
        <v>150</v>
      </c>
      <c r="N197" s="32">
        <f t="shared" si="109"/>
        <v>-1.9607843137254902E-2</v>
      </c>
      <c r="O197" s="18">
        <f>IF(ISNUMBER(M197), $B199 * N197, "")</f>
        <v>-1960.7843137254902</v>
      </c>
      <c r="Q197" s="227"/>
      <c r="R197" s="228"/>
      <c r="S197" s="229"/>
    </row>
    <row r="198" spans="1:19" ht="17.25" thickBot="1">
      <c r="A198" s="130" t="s">
        <v>166</v>
      </c>
      <c r="B198" s="131">
        <v>263</v>
      </c>
      <c r="C198" s="79">
        <v>-5.3956834500000002E-2</v>
      </c>
      <c r="D198" s="24">
        <v>263</v>
      </c>
      <c r="E198" s="25">
        <f t="shared" si="106"/>
        <v>0</v>
      </c>
      <c r="F198" s="104">
        <f>IF(ISNUMBER(D198), $B199 * E198, "")</f>
        <v>0</v>
      </c>
      <c r="G198" s="102">
        <v>263</v>
      </c>
      <c r="H198" s="25">
        <f t="shared" si="107"/>
        <v>0</v>
      </c>
      <c r="I198" s="103">
        <f>IF(ISNUMBER(G198), $B199 * H198, "")</f>
        <v>0</v>
      </c>
      <c r="J198" s="24">
        <v>260</v>
      </c>
      <c r="K198" s="25">
        <f t="shared" si="108"/>
        <v>-1.1406844106463879E-2</v>
      </c>
      <c r="L198" s="104">
        <f>IF(ISNUMBER(J198), $B199 * K198, "")</f>
        <v>-1140.684410646388</v>
      </c>
      <c r="M198" s="102">
        <v>260</v>
      </c>
      <c r="N198" s="25">
        <f t="shared" si="109"/>
        <v>-1.1406844106463879E-2</v>
      </c>
      <c r="O198" s="104">
        <f>IF(ISNUMBER(M198), $B199 * N198, "")</f>
        <v>-1140.684410646388</v>
      </c>
      <c r="Q198" s="230"/>
      <c r="R198" s="231"/>
      <c r="S198" s="232"/>
    </row>
    <row r="199" spans="1:19" ht="17.25" thickBot="1">
      <c r="A199" s="132" t="s">
        <v>270</v>
      </c>
      <c r="B199" s="291">
        <f>$B$37</f>
        <v>100000</v>
      </c>
      <c r="C199" s="292"/>
      <c r="D199" s="26" t="s">
        <v>271</v>
      </c>
      <c r="E199" s="27">
        <f>IF(COUNT(E179:E198), SUM(E179:E198) / COUNT(E179:E198), 0)</f>
        <v>1.357340375407565E-2</v>
      </c>
      <c r="F199" s="28">
        <f>SUM(F179:F198)</f>
        <v>27146.807508151302</v>
      </c>
      <c r="G199" s="26" t="s">
        <v>271</v>
      </c>
      <c r="H199" s="27">
        <f>IF(COUNT(H179:H198), SUM(H179:H198) / COUNT(H179:H198), 0)</f>
        <v>2.1786683933111541E-2</v>
      </c>
      <c r="I199" s="28">
        <f>SUM(I179:I198)</f>
        <v>43573.367866223081</v>
      </c>
      <c r="J199" s="26" t="s">
        <v>271</v>
      </c>
      <c r="K199" s="27">
        <f>IF(COUNT(K179:K198), SUM(K179:K198) / COUNT(K179:K198), 0)</f>
        <v>1.3014384884020815E-2</v>
      </c>
      <c r="L199" s="28">
        <f>SUM(L179:L198)</f>
        <v>26028.769768041635</v>
      </c>
      <c r="M199" s="26" t="s">
        <v>271</v>
      </c>
      <c r="N199" s="27">
        <f>IF(COUNT(N179:N198), SUM(N179:N198) / COUNT(N179:N198), 0)</f>
        <v>1.0667892663412989E-2</v>
      </c>
      <c r="O199" s="28">
        <f>SUM(O179:O198)</f>
        <v>21335.785326825975</v>
      </c>
      <c r="Q199" s="233"/>
      <c r="R199" s="234"/>
      <c r="S199" s="23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6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6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6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5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5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5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5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5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5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5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52" priority="157">
      <formula>AND($N17 &gt; 0, ISNUMBER($N17))</formula>
    </cfRule>
    <cfRule type="expression" dxfId="1451" priority="158">
      <formula>AND($N17 = 0 * ISNUMBER($N17))</formula>
    </cfRule>
    <cfRule type="expression" dxfId="1450" priority="159">
      <formula>AND($N17 &lt; 0, ISNUMBER($N17))</formula>
    </cfRule>
  </conditionalFormatting>
  <conditionalFormatting sqref="A17:F36">
    <cfRule type="expression" dxfId="1449" priority="166">
      <formula>AND($E17 &gt; 0, ISNUMBER($E17))</formula>
    </cfRule>
    <cfRule type="expression" dxfId="1448" priority="167">
      <formula>AND($E17 = 0 * ISNUMBER($E17))</formula>
    </cfRule>
    <cfRule type="expression" dxfId="1447" priority="168">
      <formula>AND($E17 &lt; 0, ISNUMBER($E17))</formula>
    </cfRule>
  </conditionalFormatting>
  <conditionalFormatting sqref="A17:C36 G17:I36">
    <cfRule type="expression" dxfId="1446" priority="163">
      <formula>AND($H17 &gt; 0, ISNUMBER($H17))</formula>
    </cfRule>
    <cfRule type="expression" dxfId="1445" priority="164">
      <formula>AND($H17 = 0 * ISNUMBER($H17))</formula>
    </cfRule>
    <cfRule type="expression" dxfId="1444" priority="165">
      <formula>AND($H17 &lt; 0, ISNUMBER($H17))</formula>
    </cfRule>
  </conditionalFormatting>
  <conditionalFormatting sqref="A17:C36 J17:L36">
    <cfRule type="expression" dxfId="1443" priority="160">
      <formula>AND($K17 &gt; 0, ISNUMBER($K17))</formula>
    </cfRule>
    <cfRule type="expression" dxfId="1442" priority="161">
      <formula>AND($K17 = 0 * ISNUMBER($K17))</formula>
    </cfRule>
    <cfRule type="expression" dxfId="1441" priority="162">
      <formula>AND($K17 &lt; 0, ISNUMBER($K17))</formula>
    </cfRule>
  </conditionalFormatting>
  <conditionalFormatting sqref="D15:F16 E37:F37">
    <cfRule type="expression" dxfId="1440" priority="154">
      <formula>$E$37 &gt; 0</formula>
    </cfRule>
    <cfRule type="expression" dxfId="1439" priority="155">
      <formula>$E$37 = 0</formula>
    </cfRule>
    <cfRule type="expression" dxfId="1438" priority="156">
      <formula>$E$37 &lt; 0</formula>
    </cfRule>
  </conditionalFormatting>
  <conditionalFormatting sqref="G15:I16 H37:I37">
    <cfRule type="expression" dxfId="1437" priority="151">
      <formula>$H$37 &gt; 0</formula>
    </cfRule>
    <cfRule type="expression" dxfId="1436" priority="152">
      <formula>$H$37 = 0</formula>
    </cfRule>
    <cfRule type="expression" dxfId="1435" priority="153">
      <formula>$H$37 &lt; 0</formula>
    </cfRule>
  </conditionalFormatting>
  <conditionalFormatting sqref="J15:L16 K37:L37">
    <cfRule type="expression" dxfId="1434" priority="148">
      <formula>$K$37 &gt; 0</formula>
    </cfRule>
    <cfRule type="expression" dxfId="1433" priority="149">
      <formula>$K$37 = 0</formula>
    </cfRule>
    <cfRule type="expression" dxfId="1432" priority="150">
      <formula>$K$37 &lt; 0</formula>
    </cfRule>
  </conditionalFormatting>
  <conditionalFormatting sqref="M15:O16 N37:O37">
    <cfRule type="expression" dxfId="1431" priority="145">
      <formula>$N$37 &gt; 0</formula>
    </cfRule>
    <cfRule type="expression" dxfId="1430" priority="146">
      <formula>$N$37 = 0</formula>
    </cfRule>
    <cfRule type="expression" dxfId="1429" priority="147">
      <formula>$N$37 &lt; 0</formula>
    </cfRule>
  </conditionalFormatting>
  <conditionalFormatting sqref="A44:C63 M44:O63">
    <cfRule type="expression" dxfId="1428" priority="133">
      <formula>AND($N44 &gt; 0, ISNUMBER($N44))</formula>
    </cfRule>
    <cfRule type="expression" dxfId="1427" priority="134">
      <formula>AND($N44 = 0 * ISNUMBER($N44))</formula>
    </cfRule>
    <cfRule type="expression" dxfId="1426" priority="135">
      <formula>AND($N44 &lt; 0, ISNUMBER($N44))</formula>
    </cfRule>
  </conditionalFormatting>
  <conditionalFormatting sqref="A44:F63">
    <cfRule type="expression" dxfId="1425" priority="142">
      <formula>AND($E44 &gt; 0, ISNUMBER($E44))</formula>
    </cfRule>
    <cfRule type="expression" dxfId="1424" priority="143">
      <formula>AND($E44 = 0 * ISNUMBER($E44))</formula>
    </cfRule>
    <cfRule type="expression" dxfId="1423" priority="144">
      <formula>AND($E44 &lt; 0, ISNUMBER($E44))</formula>
    </cfRule>
  </conditionalFormatting>
  <conditionalFormatting sqref="A44:C63 G44:I63">
    <cfRule type="expression" dxfId="1422" priority="139">
      <formula>AND($H44 &gt; 0, ISNUMBER($H44))</formula>
    </cfRule>
    <cfRule type="expression" dxfId="1421" priority="140">
      <formula>AND($H44 = 0 * ISNUMBER($H44))</formula>
    </cfRule>
    <cfRule type="expression" dxfId="1420" priority="141">
      <formula>AND($H44 &lt; 0, ISNUMBER($H44))</formula>
    </cfRule>
  </conditionalFormatting>
  <conditionalFormatting sqref="A44:C63 J44:L63">
    <cfRule type="expression" dxfId="1419" priority="136">
      <formula>AND($K44 &gt; 0, ISNUMBER($K44))</formula>
    </cfRule>
    <cfRule type="expression" dxfId="1418" priority="137">
      <formula>AND($K44 = 0 * ISNUMBER($K44))</formula>
    </cfRule>
    <cfRule type="expression" dxfId="1417" priority="138">
      <formula>AND($K44 &lt; 0, ISNUMBER($K44))</formula>
    </cfRule>
  </conditionalFormatting>
  <conditionalFormatting sqref="D42:F43 E64:F64">
    <cfRule type="expression" dxfId="1416" priority="130">
      <formula>$E$64 &gt; 0</formula>
    </cfRule>
    <cfRule type="expression" dxfId="1415" priority="131">
      <formula>$E$64 = 0</formula>
    </cfRule>
    <cfRule type="expression" dxfId="1414" priority="132">
      <formula>$E$64 &lt; 0</formula>
    </cfRule>
  </conditionalFormatting>
  <conditionalFormatting sqref="G42:I43 H64:I64">
    <cfRule type="expression" dxfId="1413" priority="127">
      <formula>$H$64 &gt; 0</formula>
    </cfRule>
    <cfRule type="expression" dxfId="1412" priority="128">
      <formula>$H$64 = 0</formula>
    </cfRule>
    <cfRule type="expression" dxfId="1411" priority="129">
      <formula>$H$64 &lt; 0</formula>
    </cfRule>
  </conditionalFormatting>
  <conditionalFormatting sqref="J42:L43 K64:L64">
    <cfRule type="expression" dxfId="1410" priority="124">
      <formula>$K$64 &gt; 0</formula>
    </cfRule>
    <cfRule type="expression" dxfId="1409" priority="125">
      <formula>$K$64 = 0</formula>
    </cfRule>
    <cfRule type="expression" dxfId="1408" priority="126">
      <formula>$K$64 &lt; 0</formula>
    </cfRule>
  </conditionalFormatting>
  <conditionalFormatting sqref="M42:O43 N64:O64">
    <cfRule type="expression" dxfId="1407" priority="121">
      <formula>$N$64 &gt; 0</formula>
    </cfRule>
    <cfRule type="expression" dxfId="1406" priority="122">
      <formula>$N$64 = 0</formula>
    </cfRule>
    <cfRule type="expression" dxfId="1405" priority="123">
      <formula>$N$64 &lt; 0</formula>
    </cfRule>
  </conditionalFormatting>
  <conditionalFormatting sqref="A71:C90 M71:O90">
    <cfRule type="expression" dxfId="1404" priority="109">
      <formula>AND($N71 &gt; 0, ISNUMBER($N71))</formula>
    </cfRule>
    <cfRule type="expression" dxfId="1403" priority="110">
      <formula>AND($N71 = 0 * ISNUMBER($N71))</formula>
    </cfRule>
    <cfRule type="expression" dxfId="1402" priority="111">
      <formula>AND($N71 &lt; 0, ISNUMBER($N71))</formula>
    </cfRule>
  </conditionalFormatting>
  <conditionalFormatting sqref="A71:F90">
    <cfRule type="expression" dxfId="1401" priority="118">
      <formula>AND($E71 &gt; 0, ISNUMBER($E71))</formula>
    </cfRule>
    <cfRule type="expression" dxfId="1400" priority="119">
      <formula>AND($E71 = 0 * ISNUMBER($E71))</formula>
    </cfRule>
    <cfRule type="expression" dxfId="1399" priority="120">
      <formula>AND($E71 &lt; 0, ISNUMBER($E71))</formula>
    </cfRule>
  </conditionalFormatting>
  <conditionalFormatting sqref="A71:C90 G71:I90">
    <cfRule type="expression" dxfId="1398" priority="115">
      <formula>AND($H71 &gt; 0, ISNUMBER($H71))</formula>
    </cfRule>
    <cfRule type="expression" dxfId="1397" priority="116">
      <formula>AND($H71 = 0 * ISNUMBER($H71))</formula>
    </cfRule>
    <cfRule type="expression" dxfId="1396" priority="117">
      <formula>AND($H71 &lt; 0, ISNUMBER($H71))</formula>
    </cfRule>
  </conditionalFormatting>
  <conditionalFormatting sqref="A71:C90 J71:L90">
    <cfRule type="expression" dxfId="1395" priority="112">
      <formula>AND($K71 &gt; 0, ISNUMBER($K71))</formula>
    </cfRule>
    <cfRule type="expression" dxfId="1394" priority="113">
      <formula>AND($K71 = 0 * ISNUMBER($K71))</formula>
    </cfRule>
    <cfRule type="expression" dxfId="1393" priority="114">
      <formula>AND($K71 &lt; 0, ISNUMBER($K71))</formula>
    </cfRule>
  </conditionalFormatting>
  <conditionalFormatting sqref="D69:F70 E91:F91">
    <cfRule type="expression" dxfId="1392" priority="106">
      <formula>$E$91 &gt; 0</formula>
    </cfRule>
    <cfRule type="expression" dxfId="1391" priority="107">
      <formula>$E$91 = 0</formula>
    </cfRule>
    <cfRule type="expression" dxfId="1390" priority="108">
      <formula>$E$91 &lt; 0</formula>
    </cfRule>
  </conditionalFormatting>
  <conditionalFormatting sqref="G69:I70 H91:I91">
    <cfRule type="expression" dxfId="1389" priority="103">
      <formula>$H$91 &gt; 0</formula>
    </cfRule>
    <cfRule type="expression" dxfId="1388" priority="104">
      <formula>$H$91 = 0</formula>
    </cfRule>
    <cfRule type="expression" dxfId="1387" priority="105">
      <formula>$H$91 &lt; 0</formula>
    </cfRule>
  </conditionalFormatting>
  <conditionalFormatting sqref="J69:L70 K91:L91">
    <cfRule type="expression" dxfId="1386" priority="100">
      <formula>$K$91 &gt; 0</formula>
    </cfRule>
    <cfRule type="expression" dxfId="1385" priority="101">
      <formula>$K$91 = 0</formula>
    </cfRule>
    <cfRule type="expression" dxfId="1384" priority="102">
      <formula>$K$91 &lt; 0</formula>
    </cfRule>
  </conditionalFormatting>
  <conditionalFormatting sqref="M69:O70 N91:O91">
    <cfRule type="expression" dxfId="1383" priority="97">
      <formula>$N$91 &gt; 0</formula>
    </cfRule>
    <cfRule type="expression" dxfId="1382" priority="98">
      <formula>$N$91 = 0</formula>
    </cfRule>
    <cfRule type="expression" dxfId="1381" priority="99">
      <formula>$N$91 &lt; 0</formula>
    </cfRule>
  </conditionalFormatting>
  <conditionalFormatting sqref="A98:C117 M98:O117">
    <cfRule type="expression" dxfId="1380" priority="85">
      <formula>AND($N98 &gt; 0, ISNUMBER($N98))</formula>
    </cfRule>
    <cfRule type="expression" dxfId="1379" priority="86">
      <formula>AND($N98 = 0 * ISNUMBER($N98))</formula>
    </cfRule>
    <cfRule type="expression" dxfId="1378" priority="87">
      <formula>AND($N98 &lt; 0, ISNUMBER($N98))</formula>
    </cfRule>
  </conditionalFormatting>
  <conditionalFormatting sqref="A98:F117">
    <cfRule type="expression" dxfId="1377" priority="94">
      <formula>AND($E98 &gt; 0, ISNUMBER($E98))</formula>
    </cfRule>
    <cfRule type="expression" dxfId="1376" priority="95">
      <formula>AND($E98 = 0 * ISNUMBER($E98))</formula>
    </cfRule>
    <cfRule type="expression" dxfId="1375" priority="96">
      <formula>AND($E98 &lt; 0, ISNUMBER($E98))</formula>
    </cfRule>
  </conditionalFormatting>
  <conditionalFormatting sqref="A98:C117 G98:I117">
    <cfRule type="expression" dxfId="1374" priority="91">
      <formula>AND($H98 &gt; 0, ISNUMBER($H98))</formula>
    </cfRule>
    <cfRule type="expression" dxfId="1373" priority="92">
      <formula>AND($H98 = 0 * ISNUMBER($H98))</formula>
    </cfRule>
    <cfRule type="expression" dxfId="1372" priority="93">
      <formula>AND($H98 &lt; 0, ISNUMBER($H98))</formula>
    </cfRule>
  </conditionalFormatting>
  <conditionalFormatting sqref="A98:C117 J98:L117">
    <cfRule type="expression" dxfId="1371" priority="88">
      <formula>AND($K98 &gt; 0, ISNUMBER($K98))</formula>
    </cfRule>
    <cfRule type="expression" dxfId="1370" priority="89">
      <formula>AND($K98 = 0 * ISNUMBER($K98))</formula>
    </cfRule>
    <cfRule type="expression" dxfId="1369" priority="90">
      <formula>AND($K98 &lt; 0, ISNUMBER($K98))</formula>
    </cfRule>
  </conditionalFormatting>
  <conditionalFormatting sqref="D96:F97 E118:F118">
    <cfRule type="expression" dxfId="1368" priority="82">
      <formula>$E$118 &gt; 0</formula>
    </cfRule>
    <cfRule type="expression" dxfId="1367" priority="83">
      <formula>$E$118 = 0</formula>
    </cfRule>
    <cfRule type="expression" dxfId="1366" priority="84">
      <formula>$E$118 &lt; 0</formula>
    </cfRule>
  </conditionalFormatting>
  <conditionalFormatting sqref="G96:I97 H118:I118">
    <cfRule type="expression" dxfId="1365" priority="79">
      <formula>$H$118 &gt; 0</formula>
    </cfRule>
    <cfRule type="expression" dxfId="1364" priority="80">
      <formula>$H$118 = 0</formula>
    </cfRule>
    <cfRule type="expression" dxfId="1363" priority="81">
      <formula>$H$118 &lt; 0</formula>
    </cfRule>
  </conditionalFormatting>
  <conditionalFormatting sqref="J96:L97 K118:L118">
    <cfRule type="expression" dxfId="1362" priority="76">
      <formula>$K$118 &gt; 0</formula>
    </cfRule>
    <cfRule type="expression" dxfId="1361" priority="77">
      <formula>$K$118 = 0</formula>
    </cfRule>
    <cfRule type="expression" dxfId="1360" priority="78">
      <formula>$K$118 &lt; 0</formula>
    </cfRule>
  </conditionalFormatting>
  <conditionalFormatting sqref="M96:O97 N118:O118">
    <cfRule type="expression" dxfId="1359" priority="73">
      <formula>$N$118 &gt; 0</formula>
    </cfRule>
    <cfRule type="expression" dxfId="1358" priority="74">
      <formula>$N$118 = 0</formula>
    </cfRule>
    <cfRule type="expression" dxfId="1357" priority="75">
      <formula>$N$118 &lt; 0</formula>
    </cfRule>
  </conditionalFormatting>
  <conditionalFormatting sqref="A125:C144 M125:O144">
    <cfRule type="expression" dxfId="1356" priority="61">
      <formula>AND($N125 &gt; 0, ISNUMBER($N125))</formula>
    </cfRule>
    <cfRule type="expression" dxfId="1355" priority="62">
      <formula>AND($N125 = 0 * ISNUMBER($N125))</formula>
    </cfRule>
    <cfRule type="expression" dxfId="1354" priority="63">
      <formula>AND($N125 &lt; 0, ISNUMBER($N125))</formula>
    </cfRule>
  </conditionalFormatting>
  <conditionalFormatting sqref="A125:F144">
    <cfRule type="expression" dxfId="1353" priority="70">
      <formula>AND($E125 &gt; 0, ISNUMBER($E125))</formula>
    </cfRule>
    <cfRule type="expression" dxfId="1352" priority="71">
      <formula>AND($E125 = 0 * ISNUMBER($E125))</formula>
    </cfRule>
    <cfRule type="expression" dxfId="1351" priority="72">
      <formula>AND($E125 &lt; 0, ISNUMBER($E125))</formula>
    </cfRule>
  </conditionalFormatting>
  <conditionalFormatting sqref="A125:C144 G125:I144">
    <cfRule type="expression" dxfId="1350" priority="67">
      <formula>AND($H125 &gt; 0, ISNUMBER($H125))</formula>
    </cfRule>
    <cfRule type="expression" dxfId="1349" priority="68">
      <formula>AND($H125 = 0 * ISNUMBER($H125))</formula>
    </cfRule>
    <cfRule type="expression" dxfId="1348" priority="69">
      <formula>AND($H125 &lt; 0, ISNUMBER($H125))</formula>
    </cfRule>
  </conditionalFormatting>
  <conditionalFormatting sqref="A125:C144 J125:L144">
    <cfRule type="expression" dxfId="1347" priority="64">
      <formula>AND($K125 &gt; 0, ISNUMBER($K125))</formula>
    </cfRule>
    <cfRule type="expression" dxfId="1346" priority="65">
      <formula>AND($K125 = 0 * ISNUMBER($K125))</formula>
    </cfRule>
    <cfRule type="expression" dxfId="1345" priority="66">
      <formula>AND($K125 &lt; 0, ISNUMBER($K125))</formula>
    </cfRule>
  </conditionalFormatting>
  <conditionalFormatting sqref="D123:F124 E145:F145">
    <cfRule type="expression" dxfId="1344" priority="58">
      <formula>$E$145 &gt; 0</formula>
    </cfRule>
    <cfRule type="expression" dxfId="1343" priority="59">
      <formula>$E$145 = 0</formula>
    </cfRule>
    <cfRule type="expression" dxfId="1342" priority="60">
      <formula>$E$145 &lt; 0</formula>
    </cfRule>
  </conditionalFormatting>
  <conditionalFormatting sqref="G123:I124 H145:I145">
    <cfRule type="expression" dxfId="1341" priority="55">
      <formula>$H$145 &gt; 0</formula>
    </cfRule>
    <cfRule type="expression" dxfId="1340" priority="56">
      <formula>$H$145 = 0</formula>
    </cfRule>
    <cfRule type="expression" dxfId="1339" priority="57">
      <formula>$H$145 &lt; 0</formula>
    </cfRule>
  </conditionalFormatting>
  <conditionalFormatting sqref="J123:L124 K145:L145">
    <cfRule type="expression" dxfId="1338" priority="52">
      <formula>$K$145 &gt; 0</formula>
    </cfRule>
    <cfRule type="expression" dxfId="1337" priority="53">
      <formula>$K$145 = 0</formula>
    </cfRule>
    <cfRule type="expression" dxfId="1336" priority="54">
      <formula>$K$145 &lt; 0</formula>
    </cfRule>
  </conditionalFormatting>
  <conditionalFormatting sqref="M123:O124 N145:O145">
    <cfRule type="expression" dxfId="1335" priority="49">
      <formula>$N$145 &gt; 0</formula>
    </cfRule>
    <cfRule type="expression" dxfId="1334" priority="50">
      <formula>$N$145 = 0</formula>
    </cfRule>
    <cfRule type="expression" dxfId="1333" priority="51">
      <formula>$N$145 &lt; 0</formula>
    </cfRule>
  </conditionalFormatting>
  <conditionalFormatting sqref="A152:C171 M152:O171">
    <cfRule type="expression" dxfId="1332" priority="37">
      <formula>AND($N152 &gt; 0, ISNUMBER($N152))</formula>
    </cfRule>
    <cfRule type="expression" dxfId="1331" priority="38">
      <formula>AND($N152 = 0 * ISNUMBER($N152))</formula>
    </cfRule>
    <cfRule type="expression" dxfId="1330" priority="39">
      <formula>AND($N152 &lt; 0, ISNUMBER($N152))</formula>
    </cfRule>
  </conditionalFormatting>
  <conditionalFormatting sqref="A152:F171">
    <cfRule type="expression" dxfId="1329" priority="46">
      <formula>AND($E152 &gt; 0, ISNUMBER($E152))</formula>
    </cfRule>
    <cfRule type="expression" dxfId="1328" priority="47">
      <formula>AND($E152 = 0 * ISNUMBER($E152))</formula>
    </cfRule>
    <cfRule type="expression" dxfId="1327" priority="48">
      <formula>AND($E152 &lt; 0, ISNUMBER($E152))</formula>
    </cfRule>
  </conditionalFormatting>
  <conditionalFormatting sqref="A152:C171 G152:I171">
    <cfRule type="expression" dxfId="1326" priority="43">
      <formula>AND($H152 &gt; 0, ISNUMBER($H152))</formula>
    </cfRule>
    <cfRule type="expression" dxfId="1325" priority="44">
      <formula>AND($H152 = 0 * ISNUMBER($H152))</formula>
    </cfRule>
    <cfRule type="expression" dxfId="1324" priority="45">
      <formula>AND($H152 &lt; 0, ISNUMBER($H152))</formula>
    </cfRule>
  </conditionalFormatting>
  <conditionalFormatting sqref="A152:C171 J152:L171">
    <cfRule type="expression" dxfId="1323" priority="40">
      <formula>AND($K152 &gt; 0, ISNUMBER($K152))</formula>
    </cfRule>
    <cfRule type="expression" dxfId="1322" priority="41">
      <formula>AND($K152 = 0 * ISNUMBER($K152))</formula>
    </cfRule>
    <cfRule type="expression" dxfId="1321" priority="42">
      <formula>AND($K152 &lt; 0, ISNUMBER($K152))</formula>
    </cfRule>
  </conditionalFormatting>
  <conditionalFormatting sqref="D150:F151 E172:F172">
    <cfRule type="expression" dxfId="1320" priority="34">
      <formula>$E$172 &gt; 0</formula>
    </cfRule>
    <cfRule type="expression" dxfId="1319" priority="35">
      <formula>$E$172 = 0</formula>
    </cfRule>
    <cfRule type="expression" dxfId="1318" priority="36">
      <formula>$E$172 &lt; 0</formula>
    </cfRule>
  </conditionalFormatting>
  <conditionalFormatting sqref="G150:I151 H172:I172">
    <cfRule type="expression" dxfId="1317" priority="31">
      <formula>$H$172 &gt; 0</formula>
    </cfRule>
    <cfRule type="expression" dxfId="1316" priority="32">
      <formula>$H$172 = 0</formula>
    </cfRule>
    <cfRule type="expression" dxfId="1315" priority="33">
      <formula>$H$172 &lt; 0</formula>
    </cfRule>
  </conditionalFormatting>
  <conditionalFormatting sqref="J150:L151 K172:L172">
    <cfRule type="expression" dxfId="1314" priority="28">
      <formula>$K$172 &gt; 0</formula>
    </cfRule>
    <cfRule type="expression" dxfId="1313" priority="29">
      <formula>$K$172 = 0</formula>
    </cfRule>
    <cfRule type="expression" dxfId="1312" priority="30">
      <formula>$K$172 &lt; 0</formula>
    </cfRule>
  </conditionalFormatting>
  <conditionalFormatting sqref="M150:O151 N172:O172">
    <cfRule type="expression" dxfId="1311" priority="25">
      <formula>$N$172 &gt; 0</formula>
    </cfRule>
    <cfRule type="expression" dxfId="1310" priority="26">
      <formula>$N$172 = 0</formula>
    </cfRule>
    <cfRule type="expression" dxfId="1309" priority="27">
      <formula>$N$172 &lt; 0</formula>
    </cfRule>
  </conditionalFormatting>
  <conditionalFormatting sqref="A179:C198 M179:O198">
    <cfRule type="expression" dxfId="1308" priority="13">
      <formula>AND($N179 &gt; 0, ISNUMBER($N179))</formula>
    </cfRule>
    <cfRule type="expression" dxfId="1307" priority="14">
      <formula>AND($N179 = 0 * ISNUMBER($N179))</formula>
    </cfRule>
    <cfRule type="expression" dxfId="1306" priority="15">
      <formula>AND($N179 &lt; 0, ISNUMBER($N179))</formula>
    </cfRule>
  </conditionalFormatting>
  <conditionalFormatting sqref="A179:F198">
    <cfRule type="expression" dxfId="1305" priority="22">
      <formula>AND($E179 &gt; 0, ISNUMBER($E179))</formula>
    </cfRule>
    <cfRule type="expression" dxfId="1304" priority="23">
      <formula>AND($E179 = 0 * ISNUMBER($E179))</formula>
    </cfRule>
    <cfRule type="expression" dxfId="1303" priority="24">
      <formula>AND($E179 &lt; 0, ISNUMBER($E179))</formula>
    </cfRule>
  </conditionalFormatting>
  <conditionalFormatting sqref="A179:C198 G179:I198">
    <cfRule type="expression" dxfId="1302" priority="19">
      <formula>AND($H179 &gt; 0, ISNUMBER($H179))</formula>
    </cfRule>
    <cfRule type="expression" dxfId="1301" priority="20">
      <formula>AND($H179 = 0 * ISNUMBER($H179))</formula>
    </cfRule>
    <cfRule type="expression" dxfId="1300" priority="21">
      <formula>AND($H179 &lt; 0, ISNUMBER($H179))</formula>
    </cfRule>
  </conditionalFormatting>
  <conditionalFormatting sqref="A179:C198 J179:L198">
    <cfRule type="expression" dxfId="1299" priority="16">
      <formula>AND($K179 &gt; 0, ISNUMBER($K179))</formula>
    </cfRule>
    <cfRule type="expression" dxfId="1298" priority="17">
      <formula>AND($K179 = 0 * ISNUMBER($K179))</formula>
    </cfRule>
    <cfRule type="expression" dxfId="1297" priority="18">
      <formula>AND($K179 &lt; 0, ISNUMBER($K179))</formula>
    </cfRule>
  </conditionalFormatting>
  <conditionalFormatting sqref="D177:F178 E199:F199">
    <cfRule type="expression" dxfId="1296" priority="10">
      <formula>$E$199 &gt; 0</formula>
    </cfRule>
    <cfRule type="expression" dxfId="1295" priority="11">
      <formula>$E$199 = 0</formula>
    </cfRule>
    <cfRule type="expression" dxfId="1294" priority="12">
      <formula>$E$199 &lt; 0</formula>
    </cfRule>
  </conditionalFormatting>
  <conditionalFormatting sqref="G177:I178 H199:I199">
    <cfRule type="expression" dxfId="1293" priority="7">
      <formula>$H$199 &gt; 0</formula>
    </cfRule>
    <cfRule type="expression" dxfId="1292" priority="8">
      <formula>$H$199 = 0</formula>
    </cfRule>
    <cfRule type="expression" dxfId="1291" priority="9">
      <formula>$H$199 &lt; 0</formula>
    </cfRule>
  </conditionalFormatting>
  <conditionalFormatting sqref="J177:L178 K199:L199">
    <cfRule type="expression" dxfId="1290" priority="4">
      <formula>$K$199 &gt; 0</formula>
    </cfRule>
    <cfRule type="expression" dxfId="1289" priority="5">
      <formula>$K$199 = 0</formula>
    </cfRule>
    <cfRule type="expression" dxfId="1288" priority="6">
      <formula>$K$199 &lt; 0</formula>
    </cfRule>
  </conditionalFormatting>
  <conditionalFormatting sqref="M177:O178 N199:O199">
    <cfRule type="expression" dxfId="1287" priority="1">
      <formula>$N$199 &gt; 0</formula>
    </cfRule>
    <cfRule type="expression" dxfId="1286" priority="2">
      <formula>$N$199 = 0</formula>
    </cfRule>
    <cfRule type="expression" dxfId="128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E017F-C2EF-444D-BBE3-F9EDD481E644}">
  <sheetPr codeName="Sheet17"/>
  <dimension ref="A1:S199"/>
  <sheetViews>
    <sheetView topLeftCell="A179" zoomScaleNormal="100" workbookViewId="0">
      <selection activeCell="D194" sqref="D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7.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80">
        <v>44419</v>
      </c>
      <c r="H1" s="281"/>
      <c r="I1" s="282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83" t="s">
        <v>8</v>
      </c>
      <c r="C2" s="284"/>
      <c r="D2" s="284"/>
      <c r="E2" s="284"/>
      <c r="F2" s="285"/>
      <c r="G2" s="277" t="s">
        <v>46</v>
      </c>
      <c r="H2" s="278"/>
      <c r="I2" s="279"/>
      <c r="J2" s="1" t="s">
        <v>3</v>
      </c>
      <c r="K2" s="283" t="s">
        <v>320</v>
      </c>
      <c r="L2" s="284"/>
      <c r="M2" s="284"/>
      <c r="N2" s="284"/>
      <c r="O2" s="285"/>
      <c r="Q2" s="2" t="s">
        <v>6</v>
      </c>
      <c r="R2" s="3">
        <v>0.375</v>
      </c>
    </row>
    <row r="3" spans="1:19" ht="17.25" customHeight="1" thickBot="1">
      <c r="A3" s="118" t="s">
        <v>7</v>
      </c>
      <c r="B3" s="274" t="s">
        <v>328</v>
      </c>
      <c r="C3" s="275"/>
      <c r="D3" s="275"/>
      <c r="E3" s="275"/>
      <c r="F3" s="276"/>
      <c r="G3" s="27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145,482 KRW (7.27%)</v>
      </c>
      <c r="H3" s="271"/>
      <c r="I3" s="272"/>
      <c r="J3" s="4" t="s">
        <v>7</v>
      </c>
      <c r="K3" s="274" t="s">
        <v>321</v>
      </c>
      <c r="L3" s="275"/>
      <c r="M3" s="275"/>
      <c r="N3" s="275"/>
      <c r="O3" s="27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4" t="s">
        <v>16</v>
      </c>
      <c r="C4" s="275"/>
      <c r="D4" s="275"/>
      <c r="E4" s="275"/>
      <c r="F4" s="276"/>
      <c r="G4" s="277" t="s">
        <v>44</v>
      </c>
      <c r="H4" s="278"/>
      <c r="I4" s="279"/>
      <c r="J4" s="4" t="s">
        <v>11</v>
      </c>
      <c r="K4" s="274" t="s">
        <v>322</v>
      </c>
      <c r="L4" s="275"/>
      <c r="M4" s="275"/>
      <c r="N4" s="275"/>
      <c r="O4" s="27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4" t="s">
        <v>319</v>
      </c>
      <c r="C5" s="275"/>
      <c r="D5" s="275"/>
      <c r="E5" s="275"/>
      <c r="F5" s="276"/>
      <c r="G5" s="27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148,711 KRW (8.26%)</v>
      </c>
      <c r="H5" s="271"/>
      <c r="I5" s="272"/>
      <c r="J5" s="4" t="s">
        <v>15</v>
      </c>
      <c r="K5" s="274" t="s">
        <v>323</v>
      </c>
      <c r="L5" s="275"/>
      <c r="M5" s="275"/>
      <c r="N5" s="275"/>
      <c r="O5" s="276"/>
    </row>
    <row r="6" spans="1:19">
      <c r="A6" s="118" t="s">
        <v>18</v>
      </c>
      <c r="B6" s="274"/>
      <c r="C6" s="275"/>
      <c r="D6" s="275"/>
      <c r="E6" s="275"/>
      <c r="F6" s="276"/>
      <c r="G6" s="277" t="s">
        <v>45</v>
      </c>
      <c r="H6" s="278"/>
      <c r="I6" s="279"/>
      <c r="J6" s="4" t="s">
        <v>18</v>
      </c>
      <c r="K6" s="274" t="s">
        <v>324</v>
      </c>
      <c r="L6" s="275"/>
      <c r="M6" s="275"/>
      <c r="N6" s="275"/>
      <c r="O6" s="276"/>
    </row>
    <row r="7" spans="1:19" ht="17.25" thickBot="1">
      <c r="A7" s="118" t="s">
        <v>21</v>
      </c>
      <c r="B7" s="274"/>
      <c r="C7" s="275"/>
      <c r="D7" s="275"/>
      <c r="E7" s="275"/>
      <c r="F7" s="276"/>
      <c r="G7" s="27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135,186 KRW (6.76%)</v>
      </c>
      <c r="H7" s="271"/>
      <c r="I7" s="272"/>
      <c r="J7" s="4" t="s">
        <v>21</v>
      </c>
      <c r="K7" s="274" t="s">
        <v>325</v>
      </c>
      <c r="L7" s="275"/>
      <c r="M7" s="275"/>
      <c r="N7" s="275"/>
      <c r="O7" s="276"/>
    </row>
    <row r="8" spans="1:19" ht="17.25" thickBot="1">
      <c r="A8" s="118" t="s">
        <v>24</v>
      </c>
      <c r="B8" s="274"/>
      <c r="C8" s="275"/>
      <c r="D8" s="275"/>
      <c r="E8" s="275"/>
      <c r="F8" s="276"/>
      <c r="G8" s="277" t="s">
        <v>255</v>
      </c>
      <c r="H8" s="278"/>
      <c r="I8" s="279"/>
      <c r="J8" s="4" t="s">
        <v>24</v>
      </c>
      <c r="K8" s="274"/>
      <c r="L8" s="275"/>
      <c r="M8" s="275"/>
      <c r="N8" s="275"/>
      <c r="O8" s="276"/>
      <c r="Q8" s="249" t="s">
        <v>27</v>
      </c>
      <c r="R8" s="251"/>
    </row>
    <row r="9" spans="1:19" ht="17.25" thickBot="1">
      <c r="A9" s="118" t="s">
        <v>28</v>
      </c>
      <c r="B9" s="274"/>
      <c r="C9" s="275"/>
      <c r="D9" s="275"/>
      <c r="E9" s="275"/>
      <c r="F9" s="276"/>
      <c r="G9" s="27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108,441 KRW (5.42%)</v>
      </c>
      <c r="H9" s="271"/>
      <c r="I9" s="272"/>
      <c r="J9" s="4" t="s">
        <v>28</v>
      </c>
      <c r="K9" s="274"/>
      <c r="L9" s="275"/>
      <c r="M9" s="275"/>
      <c r="N9" s="275"/>
      <c r="O9" s="276"/>
      <c r="Q9" s="2" t="s">
        <v>29</v>
      </c>
      <c r="R9" s="6">
        <v>10</v>
      </c>
    </row>
    <row r="10" spans="1:19">
      <c r="A10" s="118" t="s">
        <v>30</v>
      </c>
      <c r="B10" s="274"/>
      <c r="C10" s="275"/>
      <c r="D10" s="275"/>
      <c r="E10" s="275"/>
      <c r="F10" s="276"/>
      <c r="G10" s="277" t="s">
        <v>47</v>
      </c>
      <c r="H10" s="278"/>
      <c r="I10" s="279"/>
      <c r="J10" s="4" t="s">
        <v>30</v>
      </c>
      <c r="K10" s="274" t="s">
        <v>326</v>
      </c>
      <c r="L10" s="275"/>
      <c r="M10" s="275"/>
      <c r="N10" s="275"/>
      <c r="O10" s="276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7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1"/>
      <c r="I11" s="272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48"/>
      <c r="R13" s="248"/>
      <c r="S13" s="248"/>
    </row>
    <row r="14" spans="1:19" ht="17.25" customHeight="1" thickBot="1">
      <c r="A14" s="197" t="s">
        <v>35</v>
      </c>
      <c r="B14" s="249" t="s">
        <v>36</v>
      </c>
      <c r="C14" s="251"/>
      <c r="D14" s="249" t="s">
        <v>37</v>
      </c>
      <c r="E14" s="250"/>
      <c r="F14" s="251"/>
      <c r="G14" s="252">
        <f>_xlfn.IFNA(VLOOKUP(B14, 현재가테이블!$B$2:$D$200, 2, FALSE), "-")</f>
        <v>54440000</v>
      </c>
      <c r="H14" s="253"/>
      <c r="I14" s="254"/>
      <c r="J14" s="249" t="s">
        <v>38</v>
      </c>
      <c r="K14" s="250"/>
      <c r="L14" s="251"/>
      <c r="M14" s="255">
        <f>_xlfn.IFNA(VLOOKUP(B14, 현재가테이블!$B$2:$D$200, 3, FALSE), "-")</f>
        <v>1.07123628E-2</v>
      </c>
      <c r="N14" s="256"/>
      <c r="O14" s="257"/>
      <c r="Q14" s="248"/>
      <c r="R14" s="248"/>
      <c r="S14" s="248"/>
    </row>
    <row r="15" spans="1:19" ht="17.25" customHeight="1" thickBot="1">
      <c r="A15" s="286" t="s">
        <v>39</v>
      </c>
      <c r="B15" s="287" t="str">
        <f>TEXT($G$1, "[$-ko-KR]yyyy-mm-dd(ddd) ") &amp; "오전 00:00"</f>
        <v>2021-08-11(수) 오전 00:00</v>
      </c>
      <c r="C15" s="288"/>
      <c r="D15" s="262" t="str">
        <f>TEXT($G$1, "[$-ko-KR]yyyy-mm-dd(ddd) ") &amp; "오후 14:00"</f>
        <v>2021-08-11(수) 오후 14:00</v>
      </c>
      <c r="E15" s="263"/>
      <c r="F15" s="264"/>
      <c r="G15" s="262" t="str">
        <f>TEXT($G$1, "[$-ko-KR]yyyy-mm-dd(ddd) ") &amp; "오후 19:00"</f>
        <v>2021-08-11(수) 오후 19:00</v>
      </c>
      <c r="H15" s="263"/>
      <c r="I15" s="264"/>
      <c r="J15" s="262" t="str">
        <f>TEXT($G$1, "[$-ko-KR]yyyy-mm-dd(ddd) ") &amp; "오후 21:00"</f>
        <v>2021-08-11(수) 오후 21:00</v>
      </c>
      <c r="K15" s="263"/>
      <c r="L15" s="264"/>
      <c r="M15" s="262" t="str">
        <f>TEXT($G$1+1, "[$-ko-KR]yyyy-mm-dd(ddd) ") &amp; "오전 00:00"</f>
        <v>2021-08-12(목) 오전 00:00</v>
      </c>
      <c r="N15" s="263"/>
      <c r="O15" s="264"/>
      <c r="Q15" s="248"/>
      <c r="R15" s="248"/>
      <c r="S15" s="248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8"/>
      <c r="R17" s="248"/>
      <c r="S17" s="24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8"/>
      <c r="R18" s="248"/>
      <c r="S18" s="24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8"/>
      <c r="R19" s="238"/>
      <c r="S19" s="23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8"/>
      <c r="R20" s="238"/>
      <c r="S20" s="23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8"/>
      <c r="R21" s="238"/>
      <c r="S21" s="23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8"/>
      <c r="R22" s="238"/>
      <c r="S22" s="23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8"/>
      <c r="R23" s="238"/>
      <c r="S23" s="23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8"/>
      <c r="R24" s="238"/>
      <c r="S24" s="23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9"/>
      <c r="R26" s="240"/>
      <c r="S26" s="24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2"/>
      <c r="R27" s="243"/>
      <c r="S27" s="24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5"/>
      <c r="R28" s="246"/>
      <c r="S28" s="24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8"/>
      <c r="R29" s="238"/>
      <c r="S29" s="23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8"/>
      <c r="R30" s="248"/>
      <c r="S30" s="24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8"/>
      <c r="R31" s="248"/>
      <c r="S31" s="24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8"/>
      <c r="R32" s="238"/>
      <c r="S32" s="23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7"/>
      <c r="R35" s="228"/>
      <c r="S35" s="22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0"/>
      <c r="R36" s="231"/>
      <c r="S36" s="232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3"/>
      <c r="R37" s="234"/>
      <c r="S37" s="23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48"/>
      <c r="R40" s="248"/>
      <c r="S40" s="248"/>
    </row>
    <row r="41" spans="1:19" ht="17.25" customHeight="1" thickBot="1">
      <c r="A41" s="197" t="s">
        <v>267</v>
      </c>
      <c r="B41" s="249" t="s">
        <v>49</v>
      </c>
      <c r="C41" s="251"/>
      <c r="D41" s="249" t="s">
        <v>58</v>
      </c>
      <c r="E41" s="250"/>
      <c r="F41" s="251"/>
      <c r="G41" s="252">
        <f>_xlfn.IFNA(VLOOKUP(B41, 현재가테이블!$B$2:$D$200, 2, FALSE), "-")</f>
        <v>54440000</v>
      </c>
      <c r="H41" s="253"/>
      <c r="I41" s="254"/>
      <c r="J41" s="249" t="s">
        <v>59</v>
      </c>
      <c r="K41" s="250"/>
      <c r="L41" s="251"/>
      <c r="M41" s="255">
        <f>_xlfn.IFNA(VLOOKUP(B41, 현재가테이블!$B$2:$D$200, 3, FALSE), "-")</f>
        <v>1.07123628E-2</v>
      </c>
      <c r="N41" s="256"/>
      <c r="O41" s="257"/>
      <c r="Q41" s="248"/>
      <c r="R41" s="248"/>
      <c r="S41" s="248"/>
    </row>
    <row r="42" spans="1:19" ht="17.25" customHeight="1" thickBot="1">
      <c r="A42" s="293" t="s">
        <v>55</v>
      </c>
      <c r="B42" s="289" t="str">
        <f>TEXT($G$1, "[$-ko-KR]yyyy-mm-dd(ddd) ") &amp; "오전 00:00"</f>
        <v>2021-08-11(수) 오전 00:00</v>
      </c>
      <c r="C42" s="290"/>
      <c r="D42" s="262" t="str">
        <f>TEXT($G$1, "[$-ko-KR]yyyy-mm-dd(ddd) ") &amp; "오후 14:00"</f>
        <v>2021-08-11(수) 오후 14:00</v>
      </c>
      <c r="E42" s="263"/>
      <c r="F42" s="264"/>
      <c r="G42" s="262" t="str">
        <f>TEXT($G$1, "[$-ko-KR]yyyy-mm-dd(ddd) ") &amp; "오후 19:00"</f>
        <v>2021-08-11(수) 오후 19:00</v>
      </c>
      <c r="H42" s="263"/>
      <c r="I42" s="264"/>
      <c r="J42" s="262" t="str">
        <f>TEXT($G$1, "[$-ko-KR]yyyy-mm-dd(ddd) ") &amp; "오후 21:00"</f>
        <v>2021-08-11(수) 오후 21:00</v>
      </c>
      <c r="K42" s="263"/>
      <c r="L42" s="264"/>
      <c r="M42" s="262" t="str">
        <f>TEXT($G$1+1, "[$-ko-KR]yyyy-mm-dd(ddd) ") &amp; "오전 00:00"</f>
        <v>2021-08-12(목) 오전 00:00</v>
      </c>
      <c r="N42" s="263"/>
      <c r="O42" s="264"/>
      <c r="Q42" s="248"/>
      <c r="R42" s="248"/>
      <c r="S42" s="248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8" t="s">
        <v>58</v>
      </c>
      <c r="H43" s="199" t="s">
        <v>268</v>
      </c>
      <c r="I43" s="20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8"/>
      <c r="R43" s="238"/>
      <c r="S43" s="238"/>
    </row>
    <row r="44" spans="1:19" ht="17.25" customHeight="1" thickBot="1">
      <c r="A44" s="123" t="s">
        <v>240</v>
      </c>
      <c r="B44" s="124">
        <v>66.900000000000006</v>
      </c>
      <c r="C44" s="76">
        <v>3.7209302299999997E-2</v>
      </c>
      <c r="D44" s="13">
        <v>67.5</v>
      </c>
      <c r="E44" s="14">
        <f>IF(ISNUMBER(D44), (D44 - $B44) / $B44, "")</f>
        <v>8.9686098654707669E-3</v>
      </c>
      <c r="F44" s="16">
        <f>IF(ISNUMBER(D44), $B64 * E44, "")</f>
        <v>896.86098654707666</v>
      </c>
      <c r="G44" s="29">
        <v>68.7</v>
      </c>
      <c r="H44" s="14">
        <f>IF(ISNUMBER(G44), (G44 - $B44) / $B44, "")</f>
        <v>2.6905829596412512E-2</v>
      </c>
      <c r="I44" s="100">
        <f>IF(ISNUMBER(G44), $B64 * H44, "")</f>
        <v>2690.5829596412514</v>
      </c>
      <c r="J44" s="13">
        <v>69.2</v>
      </c>
      <c r="K44" s="14">
        <f>IF(ISNUMBER(J44), (J44 - $B44) / $B44, "")</f>
        <v>3.4379671150971555E-2</v>
      </c>
      <c r="L44" s="16">
        <f>IF(ISNUMBER(J44), $B64 * K44, "")</f>
        <v>3437.9671150971553</v>
      </c>
      <c r="M44" s="29">
        <v>69.8</v>
      </c>
      <c r="N44" s="14">
        <f>IF(ISNUMBER(M44), (M44 - $B44) / $B44, "")</f>
        <v>4.3348281016442322E-2</v>
      </c>
      <c r="O44" s="16">
        <f>IF(ISNUMBER(M44), $B64 * N44, "")</f>
        <v>4334.8281016442324</v>
      </c>
      <c r="Q44" s="248"/>
      <c r="R44" s="248"/>
      <c r="S44" s="248"/>
    </row>
    <row r="45" spans="1:19" ht="17.25" customHeight="1" thickBot="1">
      <c r="A45" s="125" t="s">
        <v>202</v>
      </c>
      <c r="B45" s="126">
        <v>89.8</v>
      </c>
      <c r="C45" s="77">
        <v>2.8636884299999998E-2</v>
      </c>
      <c r="D45" s="15">
        <v>92.9</v>
      </c>
      <c r="E45" s="32">
        <f t="shared" ref="E45:E48" si="14">IF(ISNUMBER(D45), (D45 - $B45) / $B45, "")</f>
        <v>3.4521158129176041E-2</v>
      </c>
      <c r="F45" s="18">
        <f>IF(ISNUMBER(D45), $B64 * E45, "")</f>
        <v>3452.1158129176042</v>
      </c>
      <c r="G45" s="31">
        <v>98.8</v>
      </c>
      <c r="H45" s="32">
        <f t="shared" ref="H45:H48" si="15">IF(ISNUMBER(G45), (G45 - $B45) / $B45, "")</f>
        <v>0.1002227171492205</v>
      </c>
      <c r="I45" s="101">
        <f>IF(ISNUMBER(G45), $B64 * H45, "")</f>
        <v>10022.27171492205</v>
      </c>
      <c r="J45" s="15">
        <v>96.1</v>
      </c>
      <c r="K45" s="32">
        <f t="shared" ref="K45:K48" si="16">IF(ISNUMBER(J45), (J45 - $B45) / $B45, "")</f>
        <v>7.0155902004454318E-2</v>
      </c>
      <c r="L45" s="18">
        <f>IF(ISNUMBER(J45), $B64 * K45, "")</f>
        <v>7015.5902004454319</v>
      </c>
      <c r="M45" s="31">
        <v>96.6</v>
      </c>
      <c r="N45" s="32">
        <f t="shared" ref="N45:N48" si="17">IF(ISNUMBER(M45), (M45 - $B45) / $B45, "")</f>
        <v>7.5723830734966566E-2</v>
      </c>
      <c r="O45" s="18">
        <f>IF(ISNUMBER(M45), $B64 * N45, "")</f>
        <v>7572.3830734966568</v>
      </c>
      <c r="Q45" s="248"/>
      <c r="R45" s="248"/>
      <c r="S45" s="248"/>
    </row>
    <row r="46" spans="1:19" ht="17.25" customHeight="1" thickBot="1">
      <c r="A46" s="125" t="s">
        <v>122</v>
      </c>
      <c r="B46" s="126">
        <v>30.1</v>
      </c>
      <c r="C46" s="77">
        <v>6.6889632000000001E-3</v>
      </c>
      <c r="D46" s="15">
        <v>31.2</v>
      </c>
      <c r="E46" s="32">
        <f t="shared" si="14"/>
        <v>3.6544850498338798E-2</v>
      </c>
      <c r="F46" s="18">
        <f>IF(ISNUMBER(D46), $B64 * E46, "")</f>
        <v>3654.4850498338797</v>
      </c>
      <c r="G46" s="31">
        <v>31.5</v>
      </c>
      <c r="H46" s="32">
        <f t="shared" si="15"/>
        <v>4.6511627906976695E-2</v>
      </c>
      <c r="I46" s="101">
        <f>IF(ISNUMBER(G46), $B64 * H46, "")</f>
        <v>4651.1627906976692</v>
      </c>
      <c r="J46" s="15">
        <v>31.4</v>
      </c>
      <c r="K46" s="32">
        <f t="shared" si="16"/>
        <v>4.3189368770764021E-2</v>
      </c>
      <c r="L46" s="18">
        <f>IF(ISNUMBER(J46), $B64 * K46, "")</f>
        <v>4318.9368770764022</v>
      </c>
      <c r="M46" s="31">
        <v>32.700000000000003</v>
      </c>
      <c r="N46" s="32">
        <f t="shared" si="17"/>
        <v>8.6378737541528278E-2</v>
      </c>
      <c r="O46" s="18">
        <f>IF(ISNUMBER(M46), $B64 * N46, "")</f>
        <v>8637.873754152828</v>
      </c>
      <c r="Q46" s="238"/>
      <c r="R46" s="238"/>
      <c r="S46" s="238"/>
    </row>
    <row r="47" spans="1:19" ht="17.25" customHeight="1" thickBot="1">
      <c r="A47" s="125" t="s">
        <v>152</v>
      </c>
      <c r="B47" s="126">
        <v>84.7</v>
      </c>
      <c r="C47" s="77">
        <v>0</v>
      </c>
      <c r="D47" s="15">
        <v>89.5</v>
      </c>
      <c r="E47" s="32">
        <f t="shared" si="14"/>
        <v>5.6670602125147546E-2</v>
      </c>
      <c r="F47" s="18">
        <f>IF(ISNUMBER(D47), $B64 * E47, "")</f>
        <v>5667.0602125147543</v>
      </c>
      <c r="G47" s="31">
        <v>93.7</v>
      </c>
      <c r="H47" s="32">
        <f t="shared" si="15"/>
        <v>0.10625737898465171</v>
      </c>
      <c r="I47" s="101">
        <f>IF(ISNUMBER(G47), $B64 * H47, "")</f>
        <v>10625.737898465171</v>
      </c>
      <c r="J47" s="15">
        <v>94.6</v>
      </c>
      <c r="K47" s="32">
        <f t="shared" si="16"/>
        <v>0.11688311688311678</v>
      </c>
      <c r="L47" s="18">
        <f>IF(ISNUMBER(J47), $B64 * K47, "")</f>
        <v>11688.311688311678</v>
      </c>
      <c r="M47" s="31">
        <v>97.1</v>
      </c>
      <c r="N47" s="32">
        <f t="shared" si="17"/>
        <v>0.14639905548996449</v>
      </c>
      <c r="O47" s="18">
        <f>IF(ISNUMBER(M47), $B64 * N47, "")</f>
        <v>14639.905548996448</v>
      </c>
      <c r="Q47" s="238"/>
      <c r="R47" s="238"/>
      <c r="S47" s="238"/>
    </row>
    <row r="48" spans="1:19" ht="17.25" customHeight="1" thickBot="1">
      <c r="A48" s="127" t="s">
        <v>65</v>
      </c>
      <c r="B48" s="128">
        <v>32.1</v>
      </c>
      <c r="C48" s="78">
        <v>-3.1055901000000001E-3</v>
      </c>
      <c r="D48" s="20">
        <v>35</v>
      </c>
      <c r="E48" s="21">
        <f t="shared" si="14"/>
        <v>9.0342679127725811E-2</v>
      </c>
      <c r="F48" s="22">
        <f>IF(ISNUMBER(D48), $B64 * E48, "")</f>
        <v>9034.2679127725805</v>
      </c>
      <c r="G48" s="30">
        <v>35.299999999999997</v>
      </c>
      <c r="H48" s="21">
        <f t="shared" si="15"/>
        <v>9.968847352024908E-2</v>
      </c>
      <c r="I48" s="105">
        <f>IF(ISNUMBER(G48), $B64 * H48, "")</f>
        <v>9968.8473520249081</v>
      </c>
      <c r="J48" s="20">
        <v>34.9</v>
      </c>
      <c r="K48" s="21">
        <f t="shared" si="16"/>
        <v>8.7227414330217981E-2</v>
      </c>
      <c r="L48" s="22">
        <f>IF(ISNUMBER(J48), $B64 * K48, "")</f>
        <v>8722.741433021798</v>
      </c>
      <c r="M48" s="30">
        <v>35.6</v>
      </c>
      <c r="N48" s="21">
        <f t="shared" si="17"/>
        <v>0.10903426791277258</v>
      </c>
      <c r="O48" s="22">
        <f>IF(ISNUMBER(M48), $B64 * N48, "")</f>
        <v>10903.426791277258</v>
      </c>
      <c r="Q48" s="238"/>
      <c r="R48" s="238"/>
      <c r="S48" s="238"/>
    </row>
    <row r="49" spans="1:19" ht="17.25" customHeight="1" thickBot="1">
      <c r="A49" s="125" t="s">
        <v>148</v>
      </c>
      <c r="B49" s="129">
        <v>19.3</v>
      </c>
      <c r="C49" s="80">
        <v>-5.1546392E-3</v>
      </c>
      <c r="D49" s="106">
        <v>20.5</v>
      </c>
      <c r="E49" s="107">
        <f>IF(ISNUMBER(D49), (D49 - $B49) / $B49, "")</f>
        <v>6.2176165803108772E-2</v>
      </c>
      <c r="F49" s="108">
        <f>IF(ISNUMBER(D49), $B64 * E49, "")</f>
        <v>6217.616580310877</v>
      </c>
      <c r="G49" s="109">
        <v>20.9</v>
      </c>
      <c r="H49" s="107">
        <f>IF(ISNUMBER(G49), (G49 - $B49) / $B49, "")</f>
        <v>8.290155440414497E-2</v>
      </c>
      <c r="I49" s="110">
        <f>IF(ISNUMBER(G49), $B64 * H49, "")</f>
        <v>8290.1554404144972</v>
      </c>
      <c r="J49" s="106">
        <v>20.6</v>
      </c>
      <c r="K49" s="107">
        <f>IF(ISNUMBER(J49), (J49 - $B49) / $B49, "")</f>
        <v>6.7357512953367907E-2</v>
      </c>
      <c r="L49" s="108">
        <f>IF(ISNUMBER(J49), $B64 * K49, "")</f>
        <v>6735.7512953367905</v>
      </c>
      <c r="M49" s="109">
        <v>21.6</v>
      </c>
      <c r="N49" s="107">
        <f>IF(ISNUMBER(M49), (M49 - $B49) / $B49, "")</f>
        <v>0.11917098445595858</v>
      </c>
      <c r="O49" s="108">
        <f>IF(ISNUMBER(M49), $B64 * N49, "")</f>
        <v>11917.098445595859</v>
      </c>
      <c r="Q49" s="238"/>
      <c r="R49" s="238"/>
      <c r="S49" s="238"/>
    </row>
    <row r="50" spans="1:19" ht="17.25" customHeight="1" thickBot="1">
      <c r="A50" s="125" t="s">
        <v>98</v>
      </c>
      <c r="B50" s="126">
        <v>4.3899999999999997</v>
      </c>
      <c r="C50" s="77">
        <v>-6.7873302999999999E-3</v>
      </c>
      <c r="D50" s="15">
        <v>4.6100000000000003</v>
      </c>
      <c r="E50" s="32">
        <f t="shared" ref="E50:E53" si="18">IF(ISNUMBER(D50), (D50 - $B50) / $B50, "")</f>
        <v>5.0113895216401062E-2</v>
      </c>
      <c r="F50" s="18">
        <f>IF(ISNUMBER(D50), $B64 * E50, "")</f>
        <v>5011.3895216401061</v>
      </c>
      <c r="G50" s="31">
        <v>5.03</v>
      </c>
      <c r="H50" s="32">
        <f t="shared" ref="H50:H53" si="19">IF(ISNUMBER(G50), (G50 - $B50) / $B50, "")</f>
        <v>0.14578587699316642</v>
      </c>
      <c r="I50" s="101">
        <f>IF(ISNUMBER(G50), $B64 * H50, "")</f>
        <v>14578.587699316642</v>
      </c>
      <c r="J50" s="15">
        <v>4.9800000000000004</v>
      </c>
      <c r="K50" s="32">
        <f t="shared" ref="K50:K53" si="20">IF(ISNUMBER(J50), (J50 - $B50) / $B50, "")</f>
        <v>0.13439635535307534</v>
      </c>
      <c r="L50" s="18">
        <f>IF(ISNUMBER(J50), $B64 * K50, "")</f>
        <v>13439.635535307534</v>
      </c>
      <c r="M50" s="31">
        <v>5.26</v>
      </c>
      <c r="N50" s="32">
        <f t="shared" ref="N50:N53" si="21">IF(ISNUMBER(M50), (M50 - $B50) / $B50, "")</f>
        <v>0.19817767653758547</v>
      </c>
      <c r="O50" s="18">
        <f>IF(ISNUMBER(M50), $B64 * N50, "")</f>
        <v>19817.767653758547</v>
      </c>
      <c r="Q50" s="238"/>
      <c r="R50" s="238"/>
      <c r="S50" s="238"/>
    </row>
    <row r="51" spans="1:19" ht="17.25" customHeight="1" thickBot="1">
      <c r="A51" s="125" t="s">
        <v>188</v>
      </c>
      <c r="B51" s="126">
        <v>12.3</v>
      </c>
      <c r="C51" s="77">
        <v>-8.0645161000000003E-3</v>
      </c>
      <c r="D51" s="15">
        <v>12.6</v>
      </c>
      <c r="E51" s="32">
        <f t="shared" si="18"/>
        <v>2.4390243902438935E-2</v>
      </c>
      <c r="F51" s="18">
        <f>IF(ISNUMBER(D51), $B64 * E51, "")</f>
        <v>2439.0243902438933</v>
      </c>
      <c r="G51" s="31">
        <v>12.8</v>
      </c>
      <c r="H51" s="32">
        <f t="shared" si="19"/>
        <v>4.065040650406504E-2</v>
      </c>
      <c r="I51" s="101">
        <f>IF(ISNUMBER(G51), $B64 * H51, "")</f>
        <v>4065.040650406504</v>
      </c>
      <c r="J51" s="15">
        <v>12.7</v>
      </c>
      <c r="K51" s="32">
        <f t="shared" si="20"/>
        <v>3.2520325203251918E-2</v>
      </c>
      <c r="L51" s="18">
        <f>IF(ISNUMBER(J51), $B64 * K51, "")</f>
        <v>3252.0325203251919</v>
      </c>
      <c r="M51" s="31">
        <v>13.2</v>
      </c>
      <c r="N51" s="32">
        <f t="shared" si="21"/>
        <v>7.3170731707316958E-2</v>
      </c>
      <c r="O51" s="18">
        <f>IF(ISNUMBER(M51), $B64 * N51, "")</f>
        <v>7317.0731707316954</v>
      </c>
      <c r="Q51" s="238"/>
      <c r="R51" s="238"/>
      <c r="S51" s="238"/>
    </row>
    <row r="52" spans="1:19" ht="17.25" customHeight="1" thickBot="1">
      <c r="A52" s="125" t="s">
        <v>178</v>
      </c>
      <c r="B52" s="126">
        <v>16.399999999999999</v>
      </c>
      <c r="C52" s="77">
        <v>-1.20481928E-2</v>
      </c>
      <c r="D52" s="15">
        <v>16.8</v>
      </c>
      <c r="E52" s="32">
        <f t="shared" si="18"/>
        <v>2.4390243902439157E-2</v>
      </c>
      <c r="F52" s="18">
        <f>IF(ISNUMBER(D52), $B64 * E52, "")</f>
        <v>2439.0243902439156</v>
      </c>
      <c r="G52" s="31">
        <v>17.100000000000001</v>
      </c>
      <c r="H52" s="32">
        <f t="shared" si="19"/>
        <v>4.2682926829268469E-2</v>
      </c>
      <c r="I52" s="101">
        <f>IF(ISNUMBER(G52), $B64 * H52, "")</f>
        <v>4268.2926829268472</v>
      </c>
      <c r="J52" s="15">
        <v>17</v>
      </c>
      <c r="K52" s="32">
        <f t="shared" si="20"/>
        <v>3.6585365853658625E-2</v>
      </c>
      <c r="L52" s="18">
        <f>IF(ISNUMBER(J52), $B64 * K52, "")</f>
        <v>3658.5365853658623</v>
      </c>
      <c r="M52" s="31">
        <v>17.3</v>
      </c>
      <c r="N52" s="32">
        <f t="shared" si="21"/>
        <v>5.4878048780487937E-2</v>
      </c>
      <c r="O52" s="18">
        <f>IF(ISNUMBER(M52), $B64 * N52, "")</f>
        <v>5487.8048780487934</v>
      </c>
      <c r="Q52" s="33"/>
      <c r="R52" s="33"/>
    </row>
    <row r="53" spans="1:19" ht="17.25" customHeight="1" thickBot="1">
      <c r="A53" s="130" t="s">
        <v>72</v>
      </c>
      <c r="B53" s="131">
        <v>22.2</v>
      </c>
      <c r="C53" s="79">
        <v>-1.33333333E-2</v>
      </c>
      <c r="D53" s="24">
        <v>22.8</v>
      </c>
      <c r="E53" s="25">
        <f t="shared" si="18"/>
        <v>2.7027027027027091E-2</v>
      </c>
      <c r="F53" s="104">
        <f>IF(ISNUMBER(D53), $B64 * E53, "")</f>
        <v>2702.7027027027093</v>
      </c>
      <c r="G53" s="102">
        <v>23.2</v>
      </c>
      <c r="H53" s="25">
        <f t="shared" si="19"/>
        <v>4.504504504504505E-2</v>
      </c>
      <c r="I53" s="103">
        <f>IF(ISNUMBER(G53), $B64 * H53, "")</f>
        <v>4504.5045045045053</v>
      </c>
      <c r="J53" s="24">
        <v>23</v>
      </c>
      <c r="K53" s="25">
        <f t="shared" si="20"/>
        <v>3.603603603603607E-2</v>
      </c>
      <c r="L53" s="104">
        <f>IF(ISNUMBER(J53), $B64 * K53, "")</f>
        <v>3603.6036036036071</v>
      </c>
      <c r="M53" s="102">
        <v>23.5</v>
      </c>
      <c r="N53" s="25">
        <f t="shared" si="21"/>
        <v>5.8558558558558592E-2</v>
      </c>
      <c r="O53" s="104">
        <f>IF(ISNUMBER(M53), $B64 * N53, "")</f>
        <v>5855.8558558558589</v>
      </c>
      <c r="Q53" s="239"/>
      <c r="R53" s="240"/>
      <c r="S53" s="241"/>
    </row>
    <row r="54" spans="1:19" ht="17.25" customHeight="1">
      <c r="A54" s="123" t="s">
        <v>234</v>
      </c>
      <c r="B54" s="124">
        <v>70</v>
      </c>
      <c r="C54" s="76">
        <v>-1.68539326E-2</v>
      </c>
      <c r="D54" s="13">
        <v>71.5</v>
      </c>
      <c r="E54" s="14">
        <f>IF(ISNUMBER(D54), (D54 - $B54) / $B54, "")</f>
        <v>2.1428571428571429E-2</v>
      </c>
      <c r="F54" s="16">
        <f>IF(ISNUMBER(D54), $B64 * E54, "")</f>
        <v>2142.8571428571427</v>
      </c>
      <c r="G54" s="29">
        <v>72.7</v>
      </c>
      <c r="H54" s="14">
        <f>IF(ISNUMBER(G54), (G54 - $B54) / $B54, "")</f>
        <v>3.8571428571428611E-2</v>
      </c>
      <c r="I54" s="100">
        <f>IF(ISNUMBER(G54), $B64 * H54, "")</f>
        <v>3857.142857142861</v>
      </c>
      <c r="J54" s="13">
        <v>72.2</v>
      </c>
      <c r="K54" s="14">
        <f>IF(ISNUMBER(J54), (J54 - $B54) / $B54, "")</f>
        <v>3.1428571428571472E-2</v>
      </c>
      <c r="L54" s="16">
        <f>IF(ISNUMBER(J54), $B64 * K54, "")</f>
        <v>3142.8571428571472</v>
      </c>
      <c r="M54" s="29">
        <v>73.8</v>
      </c>
      <c r="N54" s="14">
        <f>IF(ISNUMBER(M54), (M54 - $B54) / $B54, "")</f>
        <v>5.4285714285714243E-2</v>
      </c>
      <c r="O54" s="16">
        <f>IF(ISNUMBER(M54), $B64 * N54, "")</f>
        <v>5428.5714285714239</v>
      </c>
      <c r="Q54" s="242"/>
      <c r="R54" s="243"/>
      <c r="S54" s="244"/>
    </row>
    <row r="55" spans="1:19" ht="17.25" customHeight="1" thickBot="1">
      <c r="A55" s="125" t="s">
        <v>210</v>
      </c>
      <c r="B55" s="126">
        <v>11.6</v>
      </c>
      <c r="C55" s="77">
        <v>-1.6949152499999998E-2</v>
      </c>
      <c r="D55" s="15">
        <v>12</v>
      </c>
      <c r="E55" s="32">
        <f t="shared" ref="E55:E58" si="22">IF(ISNUMBER(D55), (D55 - $B55) / $B55, "")</f>
        <v>3.4482758620689689E-2</v>
      </c>
      <c r="F55" s="18">
        <f>IF(ISNUMBER(D55), $B64 * E55, "")</f>
        <v>3448.2758620689688</v>
      </c>
      <c r="G55" s="31">
        <v>12</v>
      </c>
      <c r="H55" s="32">
        <f t="shared" ref="H55:H58" si="23">IF(ISNUMBER(G55), (G55 - $B55) / $B55, "")</f>
        <v>3.4482758620689689E-2</v>
      </c>
      <c r="I55" s="101">
        <f>IF(ISNUMBER(G55), $B64 * H55, "")</f>
        <v>3448.2758620689688</v>
      </c>
      <c r="J55" s="15">
        <v>12.1</v>
      </c>
      <c r="K55" s="32">
        <f t="shared" ref="K55:K58" si="24">IF(ISNUMBER(J55), (J55 - $B55) / $B55, "")</f>
        <v>4.3103448275862072E-2</v>
      </c>
      <c r="L55" s="18">
        <f>IF(ISNUMBER(J55), $B64 * K55, "")</f>
        <v>4310.3448275862074</v>
      </c>
      <c r="M55" s="31">
        <v>12.3</v>
      </c>
      <c r="N55" s="32">
        <f t="shared" ref="N55:N58" si="25">IF(ISNUMBER(M55), (M55 - $B55) / $B55, "")</f>
        <v>6.0344827586206989E-2</v>
      </c>
      <c r="O55" s="18">
        <f>IF(ISNUMBER(M55), $B64 * N55, "")</f>
        <v>6034.4827586206993</v>
      </c>
      <c r="Q55" s="245"/>
      <c r="R55" s="246"/>
      <c r="S55" s="247"/>
    </row>
    <row r="56" spans="1:19" ht="17.25" customHeight="1" thickBot="1">
      <c r="A56" s="125" t="s">
        <v>190</v>
      </c>
      <c r="B56" s="126">
        <v>17.100000000000001</v>
      </c>
      <c r="C56" s="77">
        <v>-1.7241379300000002E-2</v>
      </c>
      <c r="D56" s="15">
        <v>17.5</v>
      </c>
      <c r="E56" s="32">
        <f t="shared" si="22"/>
        <v>2.3391812865496991E-2</v>
      </c>
      <c r="F56" s="18">
        <f>IF(ISNUMBER(D56), $B64 * E56, "")</f>
        <v>2339.1812865496991</v>
      </c>
      <c r="G56" s="31">
        <v>17.600000000000001</v>
      </c>
      <c r="H56" s="32">
        <f t="shared" si="23"/>
        <v>2.9239766081871343E-2</v>
      </c>
      <c r="I56" s="101">
        <f>IF(ISNUMBER(G56), $B64 * H56, "")</f>
        <v>2923.9766081871344</v>
      </c>
      <c r="J56" s="15">
        <v>17.399999999999999</v>
      </c>
      <c r="K56" s="32">
        <f t="shared" si="24"/>
        <v>1.754385964912264E-2</v>
      </c>
      <c r="L56" s="18">
        <f>IF(ISNUMBER(J56), $B64 * K56, "")</f>
        <v>1754.3859649122639</v>
      </c>
      <c r="M56" s="31">
        <v>18</v>
      </c>
      <c r="N56" s="32">
        <f t="shared" si="25"/>
        <v>5.2631578947368335E-2</v>
      </c>
      <c r="O56" s="18">
        <f>IF(ISNUMBER(M56), $B64 * N56, "")</f>
        <v>5263.1578947368334</v>
      </c>
      <c r="Q56" s="238"/>
      <c r="R56" s="238"/>
      <c r="S56" s="238"/>
    </row>
    <row r="57" spans="1:19" ht="17.25" customHeight="1" thickBot="1">
      <c r="A57" s="125" t="s">
        <v>250</v>
      </c>
      <c r="B57" s="126">
        <v>70</v>
      </c>
      <c r="C57" s="77">
        <v>-1.8232819099999999E-2</v>
      </c>
      <c r="D57" s="15">
        <v>73.400000000000006</v>
      </c>
      <c r="E57" s="32">
        <f t="shared" si="22"/>
        <v>4.8571428571428654E-2</v>
      </c>
      <c r="F57" s="18">
        <f>IF(ISNUMBER(D57), $B64 * E57, "")</f>
        <v>4857.1428571428651</v>
      </c>
      <c r="G57" s="31">
        <v>75.8</v>
      </c>
      <c r="H57" s="32">
        <f t="shared" si="23"/>
        <v>8.285714285714281E-2</v>
      </c>
      <c r="I57" s="101">
        <f>IF(ISNUMBER(G57), $B64 * H57, "")</f>
        <v>8285.7142857142808</v>
      </c>
      <c r="J57" s="15">
        <v>75.7</v>
      </c>
      <c r="K57" s="32">
        <f t="shared" si="24"/>
        <v>8.1428571428571475E-2</v>
      </c>
      <c r="L57" s="18">
        <f>IF(ISNUMBER(J57), $B64 * K57, "")</f>
        <v>8142.8571428571477</v>
      </c>
      <c r="M57" s="31">
        <v>77.5</v>
      </c>
      <c r="N57" s="32">
        <f t="shared" si="25"/>
        <v>0.10714285714285714</v>
      </c>
      <c r="O57" s="18">
        <f>IF(ISNUMBER(M57), $B64 * N57, "")</f>
        <v>10714.285714285714</v>
      </c>
      <c r="Q57" s="248"/>
      <c r="R57" s="248"/>
      <c r="S57" s="248"/>
    </row>
    <row r="58" spans="1:19" ht="17.25" customHeight="1" thickBot="1">
      <c r="A58" s="127" t="s">
        <v>216</v>
      </c>
      <c r="B58" s="128">
        <v>10.5</v>
      </c>
      <c r="C58" s="78">
        <v>-1.8691588799999999E-2</v>
      </c>
      <c r="D58" s="20">
        <v>10.7</v>
      </c>
      <c r="E58" s="21">
        <f t="shared" si="22"/>
        <v>1.904761904761898E-2</v>
      </c>
      <c r="F58" s="22">
        <f>IF(ISNUMBER(D58), $B64 * E58, "")</f>
        <v>1904.761904761898</v>
      </c>
      <c r="G58" s="30">
        <v>11</v>
      </c>
      <c r="H58" s="21">
        <f t="shared" si="23"/>
        <v>4.7619047619047616E-2</v>
      </c>
      <c r="I58" s="105">
        <f>IF(ISNUMBER(G58), $B64 * H58, "")</f>
        <v>4761.9047619047615</v>
      </c>
      <c r="J58" s="20">
        <v>10.9</v>
      </c>
      <c r="K58" s="21">
        <f t="shared" si="24"/>
        <v>3.8095238095238126E-2</v>
      </c>
      <c r="L58" s="22">
        <f>IF(ISNUMBER(J58), $B64 * K58, "")</f>
        <v>3809.5238095238128</v>
      </c>
      <c r="M58" s="30">
        <v>11.2</v>
      </c>
      <c r="N58" s="21">
        <f t="shared" si="25"/>
        <v>6.6666666666666596E-2</v>
      </c>
      <c r="O58" s="22">
        <f>IF(ISNUMBER(M58), $B64 * N58, "")</f>
        <v>6666.6666666666597</v>
      </c>
      <c r="Q58" s="248"/>
      <c r="R58" s="248"/>
      <c r="S58" s="248"/>
    </row>
    <row r="59" spans="1:19" ht="17.25" customHeight="1" thickBot="1">
      <c r="A59" s="125" t="s">
        <v>150</v>
      </c>
      <c r="B59" s="129">
        <v>12.6</v>
      </c>
      <c r="C59" s="80">
        <v>-2.3255814E-2</v>
      </c>
      <c r="D59" s="106">
        <v>13</v>
      </c>
      <c r="E59" s="107">
        <f>IF(ISNUMBER(D59), (D59 - $B59) / $B59, "")</f>
        <v>3.1746031746031772E-2</v>
      </c>
      <c r="F59" s="108">
        <f>IF(ISNUMBER(D59), $B64 * E59, "")</f>
        <v>3174.6031746031772</v>
      </c>
      <c r="G59" s="109">
        <v>13</v>
      </c>
      <c r="H59" s="107">
        <f>IF(ISNUMBER(G59), (G59 - $B59) / $B59, "")</f>
        <v>3.1746031746031772E-2</v>
      </c>
      <c r="I59" s="110">
        <f>IF(ISNUMBER(G59), $B64 * H59, "")</f>
        <v>3174.6031746031772</v>
      </c>
      <c r="J59" s="106">
        <v>12.9</v>
      </c>
      <c r="K59" s="107">
        <f>IF(ISNUMBER(J59), (J59 - $B59) / $B59, "")</f>
        <v>2.3809523809523867E-2</v>
      </c>
      <c r="L59" s="108">
        <f>IF(ISNUMBER(J59), $B64 * K59, "")</f>
        <v>2380.9523809523866</v>
      </c>
      <c r="M59" s="109">
        <v>13.3</v>
      </c>
      <c r="N59" s="107">
        <f>IF(ISNUMBER(M59), (M59 - $B59) / $B59, "")</f>
        <v>5.5555555555555643E-2</v>
      </c>
      <c r="O59" s="108">
        <f>IF(ISNUMBER(M59), $B64 * N59, "")</f>
        <v>5555.5555555555638</v>
      </c>
      <c r="Q59" s="238"/>
      <c r="R59" s="238"/>
      <c r="S59" s="238"/>
    </row>
    <row r="60" spans="1:19" ht="17.25" customHeight="1" thickBot="1">
      <c r="A60" s="125" t="s">
        <v>204</v>
      </c>
      <c r="B60" s="126">
        <v>13.8</v>
      </c>
      <c r="C60" s="77">
        <v>-2.8169014100000001E-2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14.2</v>
      </c>
      <c r="H60" s="32">
        <f t="shared" ref="H60:H63" si="27">IF(ISNUMBER(G60), (G60 - $B60) / $B60, "")</f>
        <v>2.8985507246376708E-2</v>
      </c>
      <c r="I60" s="101">
        <f>IF(ISNUMBER(G60), $B64 * H60, "")</f>
        <v>2898.550724637671</v>
      </c>
      <c r="J60" s="15">
        <v>14.2</v>
      </c>
      <c r="K60" s="32">
        <f t="shared" ref="K60:K63" si="28">IF(ISNUMBER(J60), (J60 - $B60) / $B60, "")</f>
        <v>2.8985507246376708E-2</v>
      </c>
      <c r="L60" s="18">
        <f>IF(ISNUMBER(J60), $B64 * K60, "")</f>
        <v>2898.550724637671</v>
      </c>
      <c r="M60" s="31">
        <v>14.6</v>
      </c>
      <c r="N60" s="32">
        <f t="shared" ref="N60:N63" si="29">IF(ISNUMBER(M60), (M60 - $B60) / $B60, "")</f>
        <v>5.7971014492753541E-2</v>
      </c>
      <c r="O60" s="18">
        <f>IF(ISNUMBER(M60), $B64 * N60, "")</f>
        <v>5797.1014492753538</v>
      </c>
      <c r="Q60" s="238"/>
      <c r="R60" s="238"/>
      <c r="S60" s="238"/>
    </row>
    <row r="61" spans="1:19" ht="17.25" customHeight="1" thickBot="1">
      <c r="A61" s="125" t="s">
        <v>208</v>
      </c>
      <c r="B61" s="126">
        <v>13.3</v>
      </c>
      <c r="C61" s="77">
        <v>-2.9197080300000001E-2</v>
      </c>
      <c r="D61" s="15">
        <v>13.5</v>
      </c>
      <c r="E61" s="32">
        <f t="shared" si="26"/>
        <v>1.5037593984962351E-2</v>
      </c>
      <c r="F61" s="18">
        <f>IF(ISNUMBER(D61), $B64 * E61, "")</f>
        <v>1503.7593984962352</v>
      </c>
      <c r="G61" s="31">
        <v>13.7</v>
      </c>
      <c r="H61" s="32">
        <f t="shared" si="27"/>
        <v>3.0075187969924703E-2</v>
      </c>
      <c r="I61" s="101">
        <f>IF(ISNUMBER(G61), $B64 * H61, "")</f>
        <v>3007.5187969924705</v>
      </c>
      <c r="J61" s="15">
        <v>13.6</v>
      </c>
      <c r="K61" s="32">
        <f t="shared" si="28"/>
        <v>2.2556390977443528E-2</v>
      </c>
      <c r="L61" s="18">
        <f>IF(ISNUMBER(J61), $B64 * K61, "")</f>
        <v>2255.639097744353</v>
      </c>
      <c r="M61" s="31">
        <v>14.2</v>
      </c>
      <c r="N61" s="32">
        <f t="shared" si="29"/>
        <v>6.7669172932330712E-2</v>
      </c>
      <c r="O61" s="18">
        <f>IF(ISNUMBER(M61), $B64 * N61, "")</f>
        <v>6766.9172932330712</v>
      </c>
      <c r="Q61" s="238"/>
      <c r="R61" s="238"/>
      <c r="S61" s="238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7"/>
      <c r="R62" s="228"/>
      <c r="S62" s="229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30"/>
      <c r="R63" s="231"/>
      <c r="S63" s="232"/>
    </row>
    <row r="64" spans="1:19" ht="17.25" customHeight="1" thickBot="1">
      <c r="A64" s="132" t="s">
        <v>270</v>
      </c>
      <c r="B64" s="291">
        <f>$B$37</f>
        <v>100000</v>
      </c>
      <c r="C64" s="292"/>
      <c r="D64" s="26" t="s">
        <v>271</v>
      </c>
      <c r="E64" s="27">
        <f>IF(COUNT(E44:E63), SUM(E44:E63) / COUNT(E44:E63), 0)</f>
        <v>3.5435377728247258E-2</v>
      </c>
      <c r="F64" s="28">
        <f>SUM(F44:F63)</f>
        <v>63783.679910845065</v>
      </c>
      <c r="G64" s="26" t="s">
        <v>271</v>
      </c>
      <c r="H64" s="27">
        <f>IF(COUNT(H44:H63), SUM(H44:H63) / COUNT(H44:H63), 0)</f>
        <v>5.8901594869206333E-2</v>
      </c>
      <c r="I64" s="28">
        <f>SUM(I44:I63)</f>
        <v>106022.87076457139</v>
      </c>
      <c r="J64" s="26" t="s">
        <v>271</v>
      </c>
      <c r="K64" s="27">
        <f>IF(COUNT(K44:K63), SUM(K44:K63) / COUNT(K44:K63), 0)</f>
        <v>5.2537898858312476E-2</v>
      </c>
      <c r="L64" s="28">
        <f>SUM(L44:L63)</f>
        <v>94568.217944962424</v>
      </c>
      <c r="M64" s="26" t="s">
        <v>271</v>
      </c>
      <c r="N64" s="27">
        <f>IF(COUNT(N44:N63), SUM(N44:N63) / COUNT(N44:N63), 0)</f>
        <v>8.2617086685835284E-2</v>
      </c>
      <c r="O64" s="28">
        <f>SUM(O44:O63)</f>
        <v>148710.75603450349</v>
      </c>
      <c r="Q64" s="233"/>
      <c r="R64" s="234"/>
      <c r="S64" s="23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48"/>
      <c r="R67" s="248"/>
      <c r="S67" s="248"/>
    </row>
    <row r="68" spans="1:19" ht="17.25" thickBot="1">
      <c r="A68" s="197" t="s">
        <v>267</v>
      </c>
      <c r="B68" s="249" t="s">
        <v>49</v>
      </c>
      <c r="C68" s="251"/>
      <c r="D68" s="249" t="s">
        <v>58</v>
      </c>
      <c r="E68" s="250"/>
      <c r="F68" s="251"/>
      <c r="G68" s="252">
        <f>_xlfn.IFNA(VLOOKUP(B68, 현재가테이블!$B$2:$D$200, 2, FALSE), "-")</f>
        <v>54440000</v>
      </c>
      <c r="H68" s="253"/>
      <c r="I68" s="254"/>
      <c r="J68" s="249" t="s">
        <v>59</v>
      </c>
      <c r="K68" s="250"/>
      <c r="L68" s="251"/>
      <c r="M68" s="255">
        <f>_xlfn.IFNA(VLOOKUP(B68, 현재가테이블!$B$2:$D$200, 3, FALSE), "-")</f>
        <v>1.07123628E-2</v>
      </c>
      <c r="N68" s="256"/>
      <c r="O68" s="257"/>
      <c r="Q68" s="248"/>
      <c r="R68" s="248"/>
      <c r="S68" s="248"/>
    </row>
    <row r="69" spans="1:19" ht="17.25" thickBot="1">
      <c r="A69" s="293" t="s">
        <v>55</v>
      </c>
      <c r="B69" s="289" t="str">
        <f>TEXT($G$1, "[$-ko-KR]yyyy-mm-dd(ddd) ") &amp; "오전 00:00"</f>
        <v>2021-08-11(수) 오전 00:00</v>
      </c>
      <c r="C69" s="290"/>
      <c r="D69" s="262" t="str">
        <f>TEXT($G$1, "[$-ko-KR]yyyy-mm-dd(ddd) ") &amp; "오후 14:00"</f>
        <v>2021-08-11(수) 오후 14:00</v>
      </c>
      <c r="E69" s="263"/>
      <c r="F69" s="264"/>
      <c r="G69" s="262" t="str">
        <f>TEXT($G$1, "[$-ko-KR]yyyy-mm-dd(ddd) ") &amp; "오후 19:00"</f>
        <v>2021-08-11(수) 오후 19:00</v>
      </c>
      <c r="H69" s="263"/>
      <c r="I69" s="264"/>
      <c r="J69" s="262" t="str">
        <f>TEXT($G$1, "[$-ko-KR]yyyy-mm-dd(ddd) ") &amp; "오후 21:00"</f>
        <v>2021-08-11(수) 오후 21:00</v>
      </c>
      <c r="K69" s="263"/>
      <c r="L69" s="264"/>
      <c r="M69" s="262" t="str">
        <f>TEXT($G$1+1, "[$-ko-KR]yyyy-mm-dd(ddd) ") &amp; "오전 00:00"</f>
        <v>2021-08-12(목) 오전 00:00</v>
      </c>
      <c r="N69" s="263"/>
      <c r="O69" s="264"/>
      <c r="Q69" s="248"/>
      <c r="R69" s="248"/>
      <c r="S69" s="248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8" t="s">
        <v>58</v>
      </c>
      <c r="H70" s="199" t="s">
        <v>268</v>
      </c>
      <c r="I70" s="20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8"/>
      <c r="R70" s="238"/>
      <c r="S70" s="238"/>
    </row>
    <row r="71" spans="1:19" ht="17.25" thickBot="1">
      <c r="A71" s="123" t="s">
        <v>61</v>
      </c>
      <c r="B71" s="124">
        <v>941</v>
      </c>
      <c r="C71" s="76">
        <v>9.4186046499999995E-2</v>
      </c>
      <c r="D71" s="13">
        <v>957</v>
      </c>
      <c r="E71" s="14">
        <f>IF(ISNUMBER(D71), (D71 - $B71) / $B71, "")</f>
        <v>1.7003188097768331E-2</v>
      </c>
      <c r="F71" s="16">
        <f>IF(ISNUMBER(D71), $B91 * E71, "")</f>
        <v>1700.3188097768329</v>
      </c>
      <c r="G71" s="29">
        <v>959</v>
      </c>
      <c r="H71" s="14">
        <f>IF(ISNUMBER(G71), (G71 - $B71) / $B71, "")</f>
        <v>1.9128586609989374E-2</v>
      </c>
      <c r="I71" s="100">
        <f>IF(ISNUMBER(G71), $B91 * H71, "")</f>
        <v>1912.8586609989375</v>
      </c>
      <c r="J71" s="13">
        <v>945</v>
      </c>
      <c r="K71" s="14">
        <f>IF(ISNUMBER(J71), (J71 - $B71) / $B71, "")</f>
        <v>4.2507970244420826E-3</v>
      </c>
      <c r="L71" s="16">
        <f>IF(ISNUMBER(J71), $B91 * K71, "")</f>
        <v>425.07970244420824</v>
      </c>
      <c r="M71" s="29">
        <v>980</v>
      </c>
      <c r="N71" s="14">
        <f>IF(ISNUMBER(M71), (M71 - $B71) / $B71, "")</f>
        <v>4.1445270988310308E-2</v>
      </c>
      <c r="O71" s="16">
        <f>IF(ISNUMBER(M71), $B91 * N71, "")</f>
        <v>4144.5270988310303</v>
      </c>
      <c r="Q71" s="248"/>
      <c r="R71" s="248"/>
      <c r="S71" s="248"/>
    </row>
    <row r="72" spans="1:19" ht="17.25" thickBot="1">
      <c r="A72" s="125" t="s">
        <v>114</v>
      </c>
      <c r="B72" s="126">
        <v>773</v>
      </c>
      <c r="C72" s="77">
        <v>7.5104311500000007E-2</v>
      </c>
      <c r="D72" s="15">
        <v>814</v>
      </c>
      <c r="E72" s="32">
        <f t="shared" ref="E72:E75" si="30">IF(ISNUMBER(D72), (D72 - $B72) / $B72, "")</f>
        <v>5.3040103492884863E-2</v>
      </c>
      <c r="F72" s="18">
        <f>IF(ISNUMBER(D72), $B91 * E72, "")</f>
        <v>5304.0103492884864</v>
      </c>
      <c r="G72" s="31">
        <v>798</v>
      </c>
      <c r="H72" s="32">
        <f t="shared" ref="H72:H75" si="31">IF(ISNUMBER(G72), (G72 - $B72) / $B72, "")</f>
        <v>3.2341526520051747E-2</v>
      </c>
      <c r="I72" s="101">
        <f>IF(ISNUMBER(G72), $B91 * H72, "")</f>
        <v>3234.1526520051748</v>
      </c>
      <c r="J72" s="15">
        <v>781</v>
      </c>
      <c r="K72" s="32">
        <f t="shared" ref="K72:K75" si="32">IF(ISNUMBER(J72), (J72 - $B72) / $B72, "")</f>
        <v>1.034928848641656E-2</v>
      </c>
      <c r="L72" s="18">
        <f>IF(ISNUMBER(J72), $B91 * K72, "")</f>
        <v>1034.928848641656</v>
      </c>
      <c r="M72" s="31">
        <v>785</v>
      </c>
      <c r="N72" s="32">
        <f t="shared" ref="N72:N75" si="33">IF(ISNUMBER(M72), (M72 - $B72) / $B72, "")</f>
        <v>1.5523932729624839E-2</v>
      </c>
      <c r="O72" s="18">
        <f>IF(ISNUMBER(M72), $B91 * N72, "")</f>
        <v>1552.3932729624839</v>
      </c>
      <c r="Q72" s="248"/>
      <c r="R72" s="248"/>
      <c r="S72" s="248"/>
    </row>
    <row r="73" spans="1:19" ht="17.25" thickBot="1">
      <c r="A73" s="125" t="s">
        <v>124</v>
      </c>
      <c r="B73" s="126">
        <v>354</v>
      </c>
      <c r="C73" s="77">
        <v>4.4247787599999998E-2</v>
      </c>
      <c r="D73" s="15">
        <v>362</v>
      </c>
      <c r="E73" s="32">
        <f t="shared" si="30"/>
        <v>2.2598870056497175E-2</v>
      </c>
      <c r="F73" s="18">
        <f>IF(ISNUMBER(D73), $B91 * E73, "")</f>
        <v>2259.8870056497176</v>
      </c>
      <c r="G73" s="31">
        <v>388</v>
      </c>
      <c r="H73" s="32">
        <f t="shared" si="31"/>
        <v>9.6045197740112997E-2</v>
      </c>
      <c r="I73" s="101">
        <f>IF(ISNUMBER(G73), $B91 * H73, "")</f>
        <v>9604.5197740112999</v>
      </c>
      <c r="J73" s="15">
        <v>383</v>
      </c>
      <c r="K73" s="32">
        <f t="shared" si="32"/>
        <v>8.1920903954802254E-2</v>
      </c>
      <c r="L73" s="18">
        <f>IF(ISNUMBER(J73), $B91 * K73, "")</f>
        <v>8192.0903954802252</v>
      </c>
      <c r="M73" s="31">
        <v>393</v>
      </c>
      <c r="N73" s="32">
        <f t="shared" si="33"/>
        <v>0.11016949152542373</v>
      </c>
      <c r="O73" s="18">
        <f>IF(ISNUMBER(M73), $B91 * N73, "")</f>
        <v>11016.949152542373</v>
      </c>
      <c r="Q73" s="238"/>
      <c r="R73" s="238"/>
      <c r="S73" s="238"/>
    </row>
    <row r="74" spans="1:19" ht="17.25" thickBot="1">
      <c r="A74" s="125" t="s">
        <v>132</v>
      </c>
      <c r="B74" s="126">
        <v>110</v>
      </c>
      <c r="C74" s="77">
        <v>3.7735849100000003E-2</v>
      </c>
      <c r="D74" s="15">
        <v>116</v>
      </c>
      <c r="E74" s="32">
        <f t="shared" si="30"/>
        <v>5.4545454545454543E-2</v>
      </c>
      <c r="F74" s="18">
        <f>IF(ISNUMBER(D74), $B91 * E74, "")</f>
        <v>5454.545454545454</v>
      </c>
      <c r="G74" s="31">
        <v>117</v>
      </c>
      <c r="H74" s="32">
        <f t="shared" si="31"/>
        <v>6.363636363636363E-2</v>
      </c>
      <c r="I74" s="101">
        <f>IF(ISNUMBER(G74), $B91 * H74, "")</f>
        <v>6363.6363636363631</v>
      </c>
      <c r="J74" s="15">
        <v>115</v>
      </c>
      <c r="K74" s="32">
        <f t="shared" si="32"/>
        <v>4.5454545454545456E-2</v>
      </c>
      <c r="L74" s="18">
        <f>IF(ISNUMBER(J74), $B91 * K74, "")</f>
        <v>4545.454545454546</v>
      </c>
      <c r="M74" s="31">
        <v>119</v>
      </c>
      <c r="N74" s="32">
        <f t="shared" si="33"/>
        <v>8.1818181818181818E-2</v>
      </c>
      <c r="O74" s="18">
        <f>IF(ISNUMBER(M74), $B91 * N74, "")</f>
        <v>8181.818181818182</v>
      </c>
      <c r="Q74" s="238"/>
      <c r="R74" s="238"/>
      <c r="S74" s="238"/>
    </row>
    <row r="75" spans="1:19" ht="17.25" thickBot="1">
      <c r="A75" s="127" t="s">
        <v>86</v>
      </c>
      <c r="B75" s="128">
        <v>367</v>
      </c>
      <c r="C75" s="78">
        <v>3.3802816899999998E-2</v>
      </c>
      <c r="D75" s="20">
        <v>378</v>
      </c>
      <c r="E75" s="21">
        <f t="shared" si="30"/>
        <v>2.9972752043596729E-2</v>
      </c>
      <c r="F75" s="22">
        <f>IF(ISNUMBER(D75), $B91 * E75, "")</f>
        <v>2997.2752043596729</v>
      </c>
      <c r="G75" s="30">
        <v>386</v>
      </c>
      <c r="H75" s="21">
        <f t="shared" si="31"/>
        <v>5.1771117166212535E-2</v>
      </c>
      <c r="I75" s="105">
        <f>IF(ISNUMBER(G75), $B91 * H75, "")</f>
        <v>5177.1117166212534</v>
      </c>
      <c r="J75" s="20">
        <v>380</v>
      </c>
      <c r="K75" s="21">
        <f t="shared" si="32"/>
        <v>3.5422343324250684E-2</v>
      </c>
      <c r="L75" s="22">
        <f>IF(ISNUMBER(J75), $B91 * K75, "")</f>
        <v>3542.2343324250683</v>
      </c>
      <c r="M75" s="30">
        <v>386</v>
      </c>
      <c r="N75" s="21">
        <f t="shared" si="33"/>
        <v>5.1771117166212535E-2</v>
      </c>
      <c r="O75" s="22">
        <f>IF(ISNUMBER(M75), $B91 * N75, "")</f>
        <v>5177.1117166212534</v>
      </c>
      <c r="Q75" s="238"/>
      <c r="R75" s="238"/>
      <c r="S75" s="238"/>
    </row>
    <row r="76" spans="1:19" ht="17.25" thickBot="1">
      <c r="A76" s="125" t="s">
        <v>200</v>
      </c>
      <c r="B76" s="129">
        <v>141</v>
      </c>
      <c r="C76" s="80">
        <v>2.1739130400000001E-2</v>
      </c>
      <c r="D76" s="106">
        <v>145</v>
      </c>
      <c r="E76" s="107">
        <f>IF(ISNUMBER(D76), (D76 - $B76) / $B76, "")</f>
        <v>2.8368794326241134E-2</v>
      </c>
      <c r="F76" s="108">
        <f>IF(ISNUMBER(D76), $B91 * E76, "")</f>
        <v>2836.8794326241136</v>
      </c>
      <c r="G76" s="109">
        <v>145</v>
      </c>
      <c r="H76" s="107">
        <f>IF(ISNUMBER(G76), (G76 - $B76) / $B76, "")</f>
        <v>2.8368794326241134E-2</v>
      </c>
      <c r="I76" s="110">
        <f>IF(ISNUMBER(G76), $B91 * H76, "")</f>
        <v>2836.8794326241136</v>
      </c>
      <c r="J76" s="106">
        <v>143</v>
      </c>
      <c r="K76" s="107">
        <f>IF(ISNUMBER(J76), (J76 - $B76) / $B76, "")</f>
        <v>1.4184397163120567E-2</v>
      </c>
      <c r="L76" s="108">
        <f>IF(ISNUMBER(J76), $B91 * K76, "")</f>
        <v>1418.4397163120568</v>
      </c>
      <c r="M76" s="109">
        <v>147</v>
      </c>
      <c r="N76" s="107">
        <f>IF(ISNUMBER(M76), (M76 - $B76) / $B76, "")</f>
        <v>4.2553191489361701E-2</v>
      </c>
      <c r="O76" s="108">
        <f>IF(ISNUMBER(M76), $B91 * N76, "")</f>
        <v>4255.3191489361698</v>
      </c>
      <c r="Q76" s="238"/>
      <c r="R76" s="238"/>
      <c r="S76" s="238"/>
    </row>
    <row r="77" spans="1:19" ht="17.25" thickBot="1">
      <c r="A77" s="125" t="s">
        <v>51</v>
      </c>
      <c r="B77" s="126">
        <v>348</v>
      </c>
      <c r="C77" s="77">
        <v>1.75438596E-2</v>
      </c>
      <c r="D77" s="15">
        <v>374</v>
      </c>
      <c r="E77" s="32">
        <f t="shared" ref="E77:E80" si="34">IF(ISNUMBER(D77), (D77 - $B77) / $B77, "")</f>
        <v>7.4712643678160925E-2</v>
      </c>
      <c r="F77" s="18">
        <f>IF(ISNUMBER(D77), $B91 * E77, "")</f>
        <v>7471.2643678160921</v>
      </c>
      <c r="G77" s="31">
        <v>374</v>
      </c>
      <c r="H77" s="32">
        <f t="shared" ref="H77:H80" si="35">IF(ISNUMBER(G77), (G77 - $B77) / $B77, "")</f>
        <v>7.4712643678160925E-2</v>
      </c>
      <c r="I77" s="101">
        <f>IF(ISNUMBER(G77), $B91 * H77, "")</f>
        <v>7471.2643678160921</v>
      </c>
      <c r="J77" s="15">
        <v>370</v>
      </c>
      <c r="K77" s="32">
        <f t="shared" ref="K77:K80" si="36">IF(ISNUMBER(J77), (J77 - $B77) / $B77, "")</f>
        <v>6.3218390804597707E-2</v>
      </c>
      <c r="L77" s="18">
        <f>IF(ISNUMBER(J77), $B91 * K77, "")</f>
        <v>6321.8390804597711</v>
      </c>
      <c r="M77" s="31">
        <v>381</v>
      </c>
      <c r="N77" s="32">
        <f t="shared" ref="N77:N80" si="37">IF(ISNUMBER(M77), (M77 - $B77) / $B77, "")</f>
        <v>9.4827586206896547E-2</v>
      </c>
      <c r="O77" s="18">
        <f>IF(ISNUMBER(M77), $B91 * N77, "")</f>
        <v>9482.758620689654</v>
      </c>
      <c r="Q77" s="238"/>
      <c r="R77" s="238"/>
      <c r="S77" s="238"/>
    </row>
    <row r="78" spans="1:19" ht="17.25" thickBot="1">
      <c r="A78" s="125" t="s">
        <v>90</v>
      </c>
      <c r="B78" s="126">
        <v>949</v>
      </c>
      <c r="C78" s="77">
        <v>1.4973261999999999E-2</v>
      </c>
      <c r="D78" s="15">
        <v>1025</v>
      </c>
      <c r="E78" s="32">
        <f t="shared" si="34"/>
        <v>8.0084299262381448E-2</v>
      </c>
      <c r="F78" s="18">
        <f>IF(ISNUMBER(D78), $B91 * E78, "")</f>
        <v>8008.4299262381446</v>
      </c>
      <c r="G78" s="31">
        <v>1035</v>
      </c>
      <c r="H78" s="32">
        <f t="shared" si="35"/>
        <v>9.0621707060063228E-2</v>
      </c>
      <c r="I78" s="101">
        <f>IF(ISNUMBER(G78), $B91 * H78, "")</f>
        <v>9062.1707060063236</v>
      </c>
      <c r="J78" s="15">
        <v>1010</v>
      </c>
      <c r="K78" s="32">
        <f t="shared" si="36"/>
        <v>6.4278187565858805E-2</v>
      </c>
      <c r="L78" s="18">
        <f>IF(ISNUMBER(J78), $B91 * K78, "")</f>
        <v>6427.8187565858807</v>
      </c>
      <c r="M78" s="31">
        <v>1060</v>
      </c>
      <c r="N78" s="32">
        <f t="shared" si="37"/>
        <v>0.11696522655426765</v>
      </c>
      <c r="O78" s="18">
        <f>IF(ISNUMBER(M78), $B91 * N78, "")</f>
        <v>11696.522655426765</v>
      </c>
      <c r="Q78" s="238"/>
      <c r="R78" s="238"/>
      <c r="S78" s="238"/>
    </row>
    <row r="79" spans="1:19" ht="17.25" thickBot="1">
      <c r="A79" s="125" t="s">
        <v>80</v>
      </c>
      <c r="B79" s="126">
        <v>814</v>
      </c>
      <c r="C79" s="77">
        <v>1.24378109E-2</v>
      </c>
      <c r="D79" s="15">
        <v>848</v>
      </c>
      <c r="E79" s="32">
        <f t="shared" si="34"/>
        <v>4.1769041769041768E-2</v>
      </c>
      <c r="F79" s="18">
        <f>IF(ISNUMBER(D79), $B91 * E79, "")</f>
        <v>4176.9041769041769</v>
      </c>
      <c r="G79" s="15">
        <v>851</v>
      </c>
      <c r="H79" s="32">
        <f t="shared" si="35"/>
        <v>4.5454545454545456E-2</v>
      </c>
      <c r="I79" s="18">
        <f>IF(ISNUMBER(G79), $B91 * H79, "")</f>
        <v>4545.454545454546</v>
      </c>
      <c r="J79" s="15">
        <v>851</v>
      </c>
      <c r="K79" s="32">
        <f t="shared" si="36"/>
        <v>4.5454545454545456E-2</v>
      </c>
      <c r="L79" s="18">
        <f>IF(ISNUMBER(J79), $B91 * K79, "")</f>
        <v>4545.454545454546</v>
      </c>
      <c r="M79" s="31">
        <v>866</v>
      </c>
      <c r="N79" s="32">
        <f t="shared" si="37"/>
        <v>6.3882063882063883E-2</v>
      </c>
      <c r="O79" s="18">
        <f>IF(ISNUMBER(M79), $B91 * N79, "")</f>
        <v>6388.2063882063885</v>
      </c>
      <c r="Q79" s="33"/>
      <c r="R79" s="33"/>
    </row>
    <row r="80" spans="1:19" ht="17.25" thickBot="1">
      <c r="A80" s="130" t="s">
        <v>162</v>
      </c>
      <c r="B80" s="131">
        <v>102</v>
      </c>
      <c r="C80" s="79">
        <v>9.9009900999999997E-3</v>
      </c>
      <c r="D80" s="24">
        <v>108</v>
      </c>
      <c r="E80" s="25">
        <f t="shared" si="34"/>
        <v>5.8823529411764705E-2</v>
      </c>
      <c r="F80" s="104">
        <f>IF(ISNUMBER(D80), $B91 * E80, "")</f>
        <v>5882.3529411764703</v>
      </c>
      <c r="G80" s="24">
        <v>111</v>
      </c>
      <c r="H80" s="25">
        <f t="shared" si="35"/>
        <v>8.8235294117647065E-2</v>
      </c>
      <c r="I80" s="104">
        <f>IF(ISNUMBER(G80), $B91 * H80, "")</f>
        <v>8823.5294117647063</v>
      </c>
      <c r="J80" s="24">
        <v>109</v>
      </c>
      <c r="K80" s="25">
        <f t="shared" si="36"/>
        <v>6.8627450980392163E-2</v>
      </c>
      <c r="L80" s="104">
        <f>IF(ISNUMBER(J80), $B91 * K80, "")</f>
        <v>6862.7450980392159</v>
      </c>
      <c r="M80" s="102">
        <v>117</v>
      </c>
      <c r="N80" s="25">
        <f t="shared" si="37"/>
        <v>0.14705882352941177</v>
      </c>
      <c r="O80" s="104">
        <f>IF(ISNUMBER(M80), $B91 * N80, "")</f>
        <v>14705.882352941177</v>
      </c>
      <c r="Q80" s="239"/>
      <c r="R80" s="240"/>
      <c r="S80" s="241"/>
    </row>
    <row r="81" spans="1:19">
      <c r="A81" s="123" t="s">
        <v>174</v>
      </c>
      <c r="B81" s="124">
        <v>351</v>
      </c>
      <c r="C81" s="76">
        <v>8.6206896999999998E-3</v>
      </c>
      <c r="D81" s="13">
        <v>355</v>
      </c>
      <c r="E81" s="14">
        <f>IF(ISNUMBER(D81), (D81 - $B81) / $B81, "")</f>
        <v>1.1396011396011397E-2</v>
      </c>
      <c r="F81" s="16">
        <f>IF(ISNUMBER(D81), $B91 * E81, "")</f>
        <v>1139.6011396011397</v>
      </c>
      <c r="G81" s="29">
        <v>355</v>
      </c>
      <c r="H81" s="14">
        <f>IF(ISNUMBER(G81), (G81 - $B81) / $B81, "")</f>
        <v>1.1396011396011397E-2</v>
      </c>
      <c r="I81" s="100">
        <f>IF(ISNUMBER(G81), $B91 * H81, "")</f>
        <v>1139.6011396011397</v>
      </c>
      <c r="J81" s="13">
        <v>353</v>
      </c>
      <c r="K81" s="14">
        <f>IF(ISNUMBER(J81), (J81 - $B81) / $B81, "")</f>
        <v>5.6980056980056983E-3</v>
      </c>
      <c r="L81" s="16">
        <f>IF(ISNUMBER(J81), $B91 * K81, "")</f>
        <v>569.80056980056986</v>
      </c>
      <c r="M81" s="29">
        <v>360</v>
      </c>
      <c r="N81" s="14">
        <f>IF(ISNUMBER(M81), (M81 - $B81) / $B81, "")</f>
        <v>2.564102564102564E-2</v>
      </c>
      <c r="O81" s="16">
        <f>IF(ISNUMBER(M81), $B91 * N81, "")</f>
        <v>2564.102564102564</v>
      </c>
      <c r="Q81" s="242"/>
      <c r="R81" s="243"/>
      <c r="S81" s="244"/>
    </row>
    <row r="82" spans="1:19" ht="17.25" thickBot="1">
      <c r="A82" s="125" t="s">
        <v>54</v>
      </c>
      <c r="B82" s="126">
        <v>255</v>
      </c>
      <c r="C82" s="77">
        <v>3.9370079000000001E-3</v>
      </c>
      <c r="D82" s="15">
        <v>262</v>
      </c>
      <c r="E82" s="32">
        <f t="shared" ref="E82:E85" si="38">IF(ISNUMBER(D82), (D82 - $B82) / $B82, "")</f>
        <v>2.7450980392156862E-2</v>
      </c>
      <c r="F82" s="18">
        <f>IF(ISNUMBER(D82), $B91 * E82, "")</f>
        <v>2745.0980392156862</v>
      </c>
      <c r="G82" s="206">
        <v>265</v>
      </c>
      <c r="H82" s="32">
        <f t="shared" ref="H82:H85" si="39">IF(ISNUMBER(G82), (G82 - $B82) / $B82, "")</f>
        <v>3.9215686274509803E-2</v>
      </c>
      <c r="I82" s="101">
        <f>IF(ISNUMBER(G82), $B91 * H82, "")</f>
        <v>3921.5686274509803</v>
      </c>
      <c r="J82" s="15">
        <v>261</v>
      </c>
      <c r="K82" s="32">
        <f t="shared" ref="K82:K85" si="40">IF(ISNUMBER(J82), (J82 - $B82) / $B82, "")</f>
        <v>2.3529411764705882E-2</v>
      </c>
      <c r="L82" s="18">
        <f>IF(ISNUMBER(J82), $B91 * K82, "")</f>
        <v>2352.9411764705883</v>
      </c>
      <c r="M82" s="31">
        <v>266</v>
      </c>
      <c r="N82" s="32">
        <f t="shared" ref="N82:N85" si="41">IF(ISNUMBER(M82), (M82 - $B82) / $B82, "")</f>
        <v>4.3137254901960784E-2</v>
      </c>
      <c r="O82" s="18">
        <f>IF(ISNUMBER(M82), $B91 * N82, "")</f>
        <v>4313.7254901960787</v>
      </c>
      <c r="Q82" s="245"/>
      <c r="R82" s="246"/>
      <c r="S82" s="247"/>
    </row>
    <row r="83" spans="1:19" ht="17.25" thickBot="1">
      <c r="A83" s="125" t="s">
        <v>254</v>
      </c>
      <c r="B83" s="126">
        <v>295</v>
      </c>
      <c r="C83" s="77">
        <v>3.4013605000000001E-3</v>
      </c>
      <c r="D83" s="15">
        <v>306</v>
      </c>
      <c r="E83" s="32">
        <f t="shared" si="38"/>
        <v>3.7288135593220341E-2</v>
      </c>
      <c r="F83" s="18">
        <f>IF(ISNUMBER(D83), $B91 * E83, "")</f>
        <v>3728.8135593220341</v>
      </c>
      <c r="G83" s="31">
        <v>308</v>
      </c>
      <c r="H83" s="32">
        <f t="shared" si="39"/>
        <v>4.4067796610169491E-2</v>
      </c>
      <c r="I83" s="101">
        <f>IF(ISNUMBER(G83), $B91 * H83, "")</f>
        <v>4406.7796610169489</v>
      </c>
      <c r="J83" s="15">
        <v>304</v>
      </c>
      <c r="K83" s="32">
        <f t="shared" si="40"/>
        <v>3.0508474576271188E-2</v>
      </c>
      <c r="L83" s="18">
        <f>IF(ISNUMBER(J83), $B91 * K83, "")</f>
        <v>3050.8474576271187</v>
      </c>
      <c r="M83" s="31">
        <v>314</v>
      </c>
      <c r="N83" s="32">
        <f t="shared" si="41"/>
        <v>6.4406779661016947E-2</v>
      </c>
      <c r="O83" s="18">
        <f>IF(ISNUMBER(M83), $B91 * N83, "")</f>
        <v>6440.6779661016944</v>
      </c>
      <c r="Q83" s="238"/>
      <c r="R83" s="238"/>
      <c r="S83" s="238"/>
    </row>
    <row r="84" spans="1:19" ht="17.25" thickBot="1">
      <c r="A84" s="125" t="s">
        <v>252</v>
      </c>
      <c r="B84" s="126">
        <v>993</v>
      </c>
      <c r="C84" s="77">
        <v>0</v>
      </c>
      <c r="D84" s="15">
        <v>1000</v>
      </c>
      <c r="E84" s="32">
        <f t="shared" si="38"/>
        <v>7.0493454179254783E-3</v>
      </c>
      <c r="F84" s="18">
        <f>IF(ISNUMBER(D84), $B91 * E84, "")</f>
        <v>704.93454179254786</v>
      </c>
      <c r="G84" s="31">
        <v>1005</v>
      </c>
      <c r="H84" s="32">
        <f t="shared" si="39"/>
        <v>1.2084592145015106E-2</v>
      </c>
      <c r="I84" s="101">
        <f>IF(ISNUMBER(G84), $B91 * H84, "")</f>
        <v>1208.4592145015106</v>
      </c>
      <c r="J84" s="15">
        <v>997</v>
      </c>
      <c r="K84" s="32">
        <f t="shared" si="40"/>
        <v>4.0281973816717019E-3</v>
      </c>
      <c r="L84" s="18">
        <f>IF(ISNUMBER(J84), $B91 * K84, "")</f>
        <v>402.81973816717021</v>
      </c>
      <c r="M84" s="31">
        <v>1020</v>
      </c>
      <c r="N84" s="32">
        <f t="shared" si="41"/>
        <v>2.7190332326283987E-2</v>
      </c>
      <c r="O84" s="18">
        <f>IF(ISNUMBER(M84), $B91 * N84, "")</f>
        <v>2719.0332326283988</v>
      </c>
      <c r="Q84" s="248"/>
      <c r="R84" s="248"/>
      <c r="S84" s="248"/>
    </row>
    <row r="85" spans="1:19" ht="17.25" thickBot="1">
      <c r="A85" s="127" t="s">
        <v>220</v>
      </c>
      <c r="B85" s="128">
        <v>212</v>
      </c>
      <c r="C85" s="78">
        <v>0</v>
      </c>
      <c r="D85" s="20">
        <v>222</v>
      </c>
      <c r="E85" s="21">
        <f t="shared" si="38"/>
        <v>4.716981132075472E-2</v>
      </c>
      <c r="F85" s="22">
        <f>IF(ISNUMBER(D85), $B91 * E85, "")</f>
        <v>4716.9811320754725</v>
      </c>
      <c r="G85" s="206">
        <v>220</v>
      </c>
      <c r="H85" s="21">
        <f t="shared" si="39"/>
        <v>3.7735849056603772E-2</v>
      </c>
      <c r="I85" s="105">
        <f>IF(ISNUMBER(G85), $B91 * H85, "")</f>
        <v>3773.584905660377</v>
      </c>
      <c r="J85" s="20">
        <v>218</v>
      </c>
      <c r="K85" s="21">
        <f t="shared" si="40"/>
        <v>2.8301886792452831E-2</v>
      </c>
      <c r="L85" s="22">
        <f>IF(ISNUMBER(J85), $B91 * K85, "")</f>
        <v>2830.1886792452833</v>
      </c>
      <c r="M85" s="30">
        <v>222</v>
      </c>
      <c r="N85" s="21">
        <f t="shared" si="41"/>
        <v>4.716981132075472E-2</v>
      </c>
      <c r="O85" s="22">
        <f>IF(ISNUMBER(M85), $B91 * N85, "")</f>
        <v>4716.9811320754725</v>
      </c>
      <c r="Q85" s="248"/>
      <c r="R85" s="248"/>
      <c r="S85" s="248"/>
    </row>
    <row r="86" spans="1:19" ht="17.25" thickBot="1">
      <c r="A86" s="125" t="s">
        <v>230</v>
      </c>
      <c r="B86" s="129">
        <v>205</v>
      </c>
      <c r="C86" s="80">
        <v>0</v>
      </c>
      <c r="D86" s="106">
        <v>214</v>
      </c>
      <c r="E86" s="107">
        <f>IF(ISNUMBER(D86), (D86 - $B86) / $B86, "")</f>
        <v>4.3902439024390241E-2</v>
      </c>
      <c r="F86" s="108">
        <f>IF(ISNUMBER(D86), $B91 * E86, "")</f>
        <v>4390.2439024390242</v>
      </c>
      <c r="G86" s="109">
        <v>215</v>
      </c>
      <c r="H86" s="107">
        <f>IF(ISNUMBER(G86), (G86 - $B86) / $B86, "")</f>
        <v>4.878048780487805E-2</v>
      </c>
      <c r="I86" s="110">
        <f>IF(ISNUMBER(G86), $B91 * H86, "")</f>
        <v>4878.0487804878048</v>
      </c>
      <c r="J86" s="106">
        <v>213</v>
      </c>
      <c r="K86" s="107">
        <f>IF(ISNUMBER(J86), (J86 - $B86) / $B86, "")</f>
        <v>3.9024390243902439E-2</v>
      </c>
      <c r="L86" s="108">
        <f>IF(ISNUMBER(J86), $B91 * K86, "")</f>
        <v>3902.439024390244</v>
      </c>
      <c r="M86" s="109">
        <v>221</v>
      </c>
      <c r="N86" s="107">
        <f>IF(ISNUMBER(M86), (M86 - $B86) / $B86, "")</f>
        <v>7.8048780487804878E-2</v>
      </c>
      <c r="O86" s="108">
        <f>IF(ISNUMBER(M86), $B91 * N86, "")</f>
        <v>7804.8780487804879</v>
      </c>
      <c r="Q86" s="238"/>
      <c r="R86" s="238"/>
      <c r="S86" s="238"/>
    </row>
    <row r="87" spans="1:19" ht="17.25" thickBot="1">
      <c r="A87" s="125" t="s">
        <v>130</v>
      </c>
      <c r="B87" s="126">
        <v>103</v>
      </c>
      <c r="C87" s="77">
        <v>0</v>
      </c>
      <c r="D87" s="15">
        <v>108</v>
      </c>
      <c r="E87" s="32">
        <f t="shared" ref="E87:E90" si="42">IF(ISNUMBER(D87), (D87 - $B87) / $B87, "")</f>
        <v>4.8543689320388349E-2</v>
      </c>
      <c r="F87" s="18">
        <f>IF(ISNUMBER(D87), $B91 * E87, "")</f>
        <v>4854.3689320388348</v>
      </c>
      <c r="G87" s="15">
        <v>110</v>
      </c>
      <c r="H87" s="32">
        <f t="shared" ref="H87:H90" si="43">IF(ISNUMBER(G87), (G87 - $B87) / $B87, "")</f>
        <v>6.7961165048543687E-2</v>
      </c>
      <c r="I87" s="101">
        <f>IF(ISNUMBER(G87), $B91 * H87, "")</f>
        <v>6796.1165048543689</v>
      </c>
      <c r="J87" s="15">
        <v>108</v>
      </c>
      <c r="K87" s="32">
        <f t="shared" ref="K87:K90" si="44">IF(ISNUMBER(J87), (J87 - $B87) / $B87, "")</f>
        <v>4.8543689320388349E-2</v>
      </c>
      <c r="L87" s="18">
        <f>IF(ISNUMBER(J87), $B91 * K87, "")</f>
        <v>4854.3689320388348</v>
      </c>
      <c r="M87" s="31">
        <v>113</v>
      </c>
      <c r="N87" s="32">
        <f t="shared" ref="N87:N90" si="45">IF(ISNUMBER(M87), (M87 - $B87) / $B87, "")</f>
        <v>9.7087378640776698E-2</v>
      </c>
      <c r="O87" s="18">
        <f>IF(ISNUMBER(M87), $B91 * N87, "")</f>
        <v>9708.7378640776697</v>
      </c>
      <c r="Q87" s="238"/>
      <c r="R87" s="238"/>
      <c r="S87" s="238"/>
    </row>
    <row r="88" spans="1:19" ht="17.25" thickBot="1">
      <c r="A88" s="125" t="s">
        <v>128</v>
      </c>
      <c r="B88" s="126">
        <v>122</v>
      </c>
      <c r="C88" s="77">
        <v>0</v>
      </c>
      <c r="D88" s="15">
        <v>128</v>
      </c>
      <c r="E88" s="32">
        <f t="shared" si="42"/>
        <v>4.9180327868852458E-2</v>
      </c>
      <c r="F88" s="18">
        <f>IF(ISNUMBER(D88), $B91 * E88, "")</f>
        <v>4918.0327868852455</v>
      </c>
      <c r="G88" s="15">
        <v>128</v>
      </c>
      <c r="H88" s="32">
        <f t="shared" si="43"/>
        <v>4.9180327868852458E-2</v>
      </c>
      <c r="I88" s="101">
        <f>IF(ISNUMBER(G88), $B91 * H88, "")</f>
        <v>4918.0327868852455</v>
      </c>
      <c r="J88" s="15">
        <v>127</v>
      </c>
      <c r="K88" s="32">
        <f t="shared" si="44"/>
        <v>4.0983606557377046E-2</v>
      </c>
      <c r="L88" s="18">
        <f>IF(ISNUMBER(J88), $B91 * K88, "")</f>
        <v>4098.3606557377043</v>
      </c>
      <c r="M88" s="31">
        <v>133</v>
      </c>
      <c r="N88" s="32">
        <f t="shared" si="45"/>
        <v>9.0163934426229511E-2</v>
      </c>
      <c r="O88" s="18">
        <f>IF(ISNUMBER(M88), $B91 * N88, "")</f>
        <v>9016.3934426229516</v>
      </c>
      <c r="Q88" s="238"/>
      <c r="R88" s="238"/>
      <c r="S88" s="238"/>
    </row>
    <row r="89" spans="1:19">
      <c r="A89" s="125" t="s">
        <v>118</v>
      </c>
      <c r="B89" s="126">
        <v>162</v>
      </c>
      <c r="C89" s="77">
        <v>0</v>
      </c>
      <c r="D89" s="15">
        <v>166</v>
      </c>
      <c r="E89" s="32">
        <f t="shared" si="42"/>
        <v>2.4691358024691357E-2</v>
      </c>
      <c r="F89" s="18">
        <f>IF(ISNUMBER(D89), $B91 * E89, "")</f>
        <v>2469.1358024691358</v>
      </c>
      <c r="G89" s="206">
        <v>169</v>
      </c>
      <c r="H89" s="32">
        <f t="shared" si="43"/>
        <v>4.3209876543209874E-2</v>
      </c>
      <c r="I89" s="101">
        <f>IF(ISNUMBER(G89), $B91 * H89, "")</f>
        <v>4320.9876543209875</v>
      </c>
      <c r="J89" s="15">
        <v>168</v>
      </c>
      <c r="K89" s="32">
        <f t="shared" si="44"/>
        <v>3.7037037037037035E-2</v>
      </c>
      <c r="L89" s="18">
        <f>IF(ISNUMBER(J89), $B91 * K89, "")</f>
        <v>3703.7037037037035</v>
      </c>
      <c r="M89" s="31">
        <v>171</v>
      </c>
      <c r="N89" s="32">
        <f t="shared" si="45"/>
        <v>5.5555555555555552E-2</v>
      </c>
      <c r="O89" s="18">
        <f>IF(ISNUMBER(M89), $B91 * N89, "")</f>
        <v>5555.5555555555557</v>
      </c>
      <c r="Q89" s="227"/>
      <c r="R89" s="228"/>
      <c r="S89" s="229"/>
    </row>
    <row r="90" spans="1:19" ht="17.25" thickBot="1">
      <c r="A90" s="130" t="s">
        <v>138</v>
      </c>
      <c r="B90" s="131">
        <v>383</v>
      </c>
      <c r="C90" s="79">
        <v>-2.6041667E-3</v>
      </c>
      <c r="D90" s="24">
        <v>391</v>
      </c>
      <c r="E90" s="25">
        <f t="shared" si="42"/>
        <v>2.0887728459530026E-2</v>
      </c>
      <c r="F90" s="104">
        <f>IF(ISNUMBER(D90), $B91 * E90, "")</f>
        <v>2088.7728459530026</v>
      </c>
      <c r="G90" s="102">
        <v>390</v>
      </c>
      <c r="H90" s="25">
        <f t="shared" si="43"/>
        <v>1.8276762402088774E-2</v>
      </c>
      <c r="I90" s="103">
        <f>IF(ISNUMBER(G90), $B91 * H90, "")</f>
        <v>1827.6762402088773</v>
      </c>
      <c r="J90" s="24">
        <v>388</v>
      </c>
      <c r="K90" s="25">
        <f t="shared" si="44"/>
        <v>1.3054830287206266E-2</v>
      </c>
      <c r="L90" s="104">
        <f>IF(ISNUMBER(J90), $B91 * K90, "")</f>
        <v>1305.4830287206266</v>
      </c>
      <c r="M90" s="102">
        <v>405</v>
      </c>
      <c r="N90" s="25">
        <f t="shared" si="45"/>
        <v>5.7441253263707574E-2</v>
      </c>
      <c r="O90" s="104">
        <f>IF(ISNUMBER(M90), $B91 * N90, "")</f>
        <v>5744.1253263707576</v>
      </c>
      <c r="Q90" s="230"/>
      <c r="R90" s="231"/>
      <c r="S90" s="232"/>
    </row>
    <row r="91" spans="1:19" ht="17.25" thickBot="1">
      <c r="A91" s="132" t="s">
        <v>270</v>
      </c>
      <c r="B91" s="291">
        <f>$B$37</f>
        <v>100000</v>
      </c>
      <c r="C91" s="292"/>
      <c r="D91" s="26" t="s">
        <v>271</v>
      </c>
      <c r="E91" s="27">
        <f>IF(COUNT(E71:E90), SUM(E71:E90) / COUNT(E71:E90), 0)</f>
        <v>3.8923925175085639E-2</v>
      </c>
      <c r="F91" s="28">
        <f>SUM(F71:F90)</f>
        <v>77847.850350171284</v>
      </c>
      <c r="G91" s="26" t="s">
        <v>271</v>
      </c>
      <c r="H91" s="27">
        <f>IF(COUNT(H71:H90), SUM(H71:H90) / COUNT(H71:H90), 0)</f>
        <v>4.8111216572963522E-2</v>
      </c>
      <c r="I91" s="28">
        <f>SUM(I71:I90)</f>
        <v>96222.433145927032</v>
      </c>
      <c r="J91" s="26" t="s">
        <v>271</v>
      </c>
      <c r="K91" s="27">
        <f>IF(COUNT(K71:K90), SUM(K71:K90) / COUNT(K71:K90), 0)</f>
        <v>3.5193518993599515E-2</v>
      </c>
      <c r="L91" s="28">
        <f>SUM(L71:L90)</f>
        <v>70387.03798719903</v>
      </c>
      <c r="M91" s="26" t="s">
        <v>271</v>
      </c>
      <c r="N91" s="27">
        <f>IF(COUNT(N71:N90), SUM(N71:N90) / COUNT(N71:N90), 0)</f>
        <v>6.7592849605743549E-2</v>
      </c>
      <c r="O91" s="28">
        <f>SUM(O71:O90)</f>
        <v>135185.69921148711</v>
      </c>
      <c r="Q91" s="233"/>
      <c r="R91" s="234"/>
      <c r="S91" s="23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48"/>
      <c r="R94" s="248"/>
      <c r="S94" s="248"/>
    </row>
    <row r="95" spans="1:19" ht="17.25" thickBot="1">
      <c r="A95" s="197" t="s">
        <v>267</v>
      </c>
      <c r="B95" s="249" t="s">
        <v>49</v>
      </c>
      <c r="C95" s="251"/>
      <c r="D95" s="249" t="s">
        <v>58</v>
      </c>
      <c r="E95" s="250"/>
      <c r="F95" s="251"/>
      <c r="G95" s="252">
        <f>_xlfn.IFNA(VLOOKUP(B95, 현재가테이블!$B$2:$D$200, 2, FALSE), "-")</f>
        <v>54440000</v>
      </c>
      <c r="H95" s="253"/>
      <c r="I95" s="254"/>
      <c r="J95" s="249" t="s">
        <v>59</v>
      </c>
      <c r="K95" s="250"/>
      <c r="L95" s="251"/>
      <c r="M95" s="255">
        <f>_xlfn.IFNA(VLOOKUP(B95, 현재가테이블!$B$2:$D$200, 3, FALSE), "-")</f>
        <v>1.07123628E-2</v>
      </c>
      <c r="N95" s="256"/>
      <c r="O95" s="257"/>
      <c r="Q95" s="248"/>
      <c r="R95" s="248"/>
      <c r="S95" s="248"/>
    </row>
    <row r="96" spans="1:19" ht="17.25" thickBot="1">
      <c r="A96" s="293" t="s">
        <v>55</v>
      </c>
      <c r="B96" s="289" t="str">
        <f>TEXT($G$1, "[$-ko-KR]yyyy-mm-dd(ddd) ") &amp; "오전 00:00"</f>
        <v>2021-08-11(수) 오전 00:00</v>
      </c>
      <c r="C96" s="290"/>
      <c r="D96" s="262" t="str">
        <f>TEXT($G$1, "[$-ko-KR]yyyy-mm-dd(ddd) ") &amp; "오후 14:00"</f>
        <v>2021-08-11(수) 오후 14:00</v>
      </c>
      <c r="E96" s="263"/>
      <c r="F96" s="264"/>
      <c r="G96" s="262" t="str">
        <f>TEXT($G$1, "[$-ko-KR]yyyy-mm-dd(ddd) ") &amp; "오후 19:00"</f>
        <v>2021-08-11(수) 오후 19:00</v>
      </c>
      <c r="H96" s="263"/>
      <c r="I96" s="264"/>
      <c r="J96" s="262" t="str">
        <f>TEXT($G$1, "[$-ko-KR]yyyy-mm-dd(ddd) ") &amp; "오후 21:00"</f>
        <v>2021-08-11(수) 오후 21:00</v>
      </c>
      <c r="K96" s="263"/>
      <c r="L96" s="264"/>
      <c r="M96" s="262" t="str">
        <f>TEXT($G$1+1, "[$-ko-KR]yyyy-mm-dd(ddd) ") &amp; "오전 00:00"</f>
        <v>2021-08-12(목) 오전 00:00</v>
      </c>
      <c r="N96" s="263"/>
      <c r="O96" s="264"/>
      <c r="Q96" s="248"/>
      <c r="R96" s="248"/>
      <c r="S96" s="248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8" t="s">
        <v>58</v>
      </c>
      <c r="H97" s="199" t="s">
        <v>268</v>
      </c>
      <c r="I97" s="20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8"/>
      <c r="R97" s="238"/>
      <c r="S97" s="238"/>
    </row>
    <row r="98" spans="1:19" ht="17.25" thickBot="1">
      <c r="A98" s="123" t="s">
        <v>154</v>
      </c>
      <c r="B98" s="124">
        <v>68420</v>
      </c>
      <c r="C98" s="76">
        <v>0.3744475693</v>
      </c>
      <c r="D98" s="13">
        <v>83930</v>
      </c>
      <c r="E98" s="14">
        <f>IF(ISNUMBER(D98), (D98 - $B98) / $B98, "")</f>
        <v>0.22668810289389069</v>
      </c>
      <c r="F98" s="16">
        <f>IF(ISNUMBER(D98), $B118 * E98, "")</f>
        <v>22668.810289389068</v>
      </c>
      <c r="G98" s="206">
        <v>80850</v>
      </c>
      <c r="H98" s="14">
        <f>IF(ISNUMBER(G98), (G98 - $B98) / $B98, "")</f>
        <v>0.18167202572347266</v>
      </c>
      <c r="I98" s="100">
        <f>IF(ISNUMBER(G98), $B118 * H98, "")</f>
        <v>18167.202572347265</v>
      </c>
      <c r="J98" s="13">
        <v>76580</v>
      </c>
      <c r="K98" s="14">
        <f>IF(ISNUMBER(J98), (J98 - $B98) / $B98, "")</f>
        <v>0.11926337328266588</v>
      </c>
      <c r="L98" s="16">
        <f>IF(ISNUMBER(J98), $B118 * K98, "")</f>
        <v>11926.337328266589</v>
      </c>
      <c r="M98" s="29">
        <v>76170</v>
      </c>
      <c r="N98" s="14">
        <f>IF(ISNUMBER(M98), (M98 - $B98) / $B98, "")</f>
        <v>0.11327097339959076</v>
      </c>
      <c r="O98" s="16">
        <f>IF(ISNUMBER(M98), $B118 * N98, "")</f>
        <v>11327.097339959077</v>
      </c>
      <c r="Q98" s="248"/>
      <c r="R98" s="248"/>
      <c r="S98" s="248"/>
    </row>
    <row r="99" spans="1:19" ht="17.25" thickBot="1">
      <c r="A99" s="125" t="s">
        <v>61</v>
      </c>
      <c r="B99" s="126">
        <v>941</v>
      </c>
      <c r="C99" s="77">
        <v>9.4186046499999995E-2</v>
      </c>
      <c r="D99" s="15">
        <v>957</v>
      </c>
      <c r="E99" s="32">
        <f t="shared" ref="E99:E102" si="46">IF(ISNUMBER(D99), (D99 - $B99) / $B99, "")</f>
        <v>1.7003188097768331E-2</v>
      </c>
      <c r="F99" s="18">
        <f>IF(ISNUMBER(D99), $B118 * E99, "")</f>
        <v>1700.3188097768329</v>
      </c>
      <c r="G99" s="31">
        <v>959</v>
      </c>
      <c r="H99" s="32">
        <f t="shared" ref="H99:H102" si="47">IF(ISNUMBER(G99), (G99 - $B99) / $B99, "")</f>
        <v>1.9128586609989374E-2</v>
      </c>
      <c r="I99" s="101">
        <f>IF(ISNUMBER(G99), $B118 * H99, "")</f>
        <v>1912.8586609989375</v>
      </c>
      <c r="J99" s="15">
        <v>945</v>
      </c>
      <c r="K99" s="32">
        <f t="shared" ref="K99:K102" si="48">IF(ISNUMBER(J99), (J99 - $B99) / $B99, "")</f>
        <v>4.2507970244420826E-3</v>
      </c>
      <c r="L99" s="18">
        <f>IF(ISNUMBER(J99), $B118 * K99, "")</f>
        <v>425.07970244420824</v>
      </c>
      <c r="M99" s="31">
        <v>980</v>
      </c>
      <c r="N99" s="32">
        <f t="shared" ref="N99:N102" si="49">IF(ISNUMBER(M99), (M99 - $B99) / $B99, "")</f>
        <v>4.1445270988310308E-2</v>
      </c>
      <c r="O99" s="18">
        <f>IF(ISNUMBER(M99), $B118 * N99, "")</f>
        <v>4144.5270988310303</v>
      </c>
      <c r="Q99" s="248"/>
      <c r="R99" s="248"/>
      <c r="S99" s="248"/>
    </row>
    <row r="100" spans="1:19" ht="17.25" thickBot="1">
      <c r="A100" s="125" t="s">
        <v>114</v>
      </c>
      <c r="B100" s="126">
        <v>773</v>
      </c>
      <c r="C100" s="77">
        <v>7.5104311500000007E-2</v>
      </c>
      <c r="D100" s="15">
        <v>814</v>
      </c>
      <c r="E100" s="32">
        <f t="shared" si="46"/>
        <v>5.3040103492884863E-2</v>
      </c>
      <c r="F100" s="18">
        <f>IF(ISNUMBER(D100), $B118 * E100, "")</f>
        <v>5304.0103492884864</v>
      </c>
      <c r="G100" s="31">
        <v>798</v>
      </c>
      <c r="H100" s="32">
        <f t="shared" si="47"/>
        <v>3.2341526520051747E-2</v>
      </c>
      <c r="I100" s="101">
        <f>IF(ISNUMBER(G100), $B118 * H100, "")</f>
        <v>3234.1526520051748</v>
      </c>
      <c r="J100" s="15">
        <v>781</v>
      </c>
      <c r="K100" s="32">
        <f t="shared" si="48"/>
        <v>1.034928848641656E-2</v>
      </c>
      <c r="L100" s="18">
        <f>IF(ISNUMBER(J100), $B118 * K100, "")</f>
        <v>1034.928848641656</v>
      </c>
      <c r="M100" s="31">
        <v>785</v>
      </c>
      <c r="N100" s="32">
        <f t="shared" si="49"/>
        <v>1.5523932729624839E-2</v>
      </c>
      <c r="O100" s="18">
        <f>IF(ISNUMBER(M100), $B118 * N100, "")</f>
        <v>1552.3932729624839</v>
      </c>
      <c r="Q100" s="238"/>
      <c r="R100" s="238"/>
      <c r="S100" s="238"/>
    </row>
    <row r="101" spans="1:19" ht="17.25" thickBot="1">
      <c r="A101" s="125" t="s">
        <v>214</v>
      </c>
      <c r="B101" s="126">
        <v>1220</v>
      </c>
      <c r="C101" s="77">
        <v>7.0175438600000001E-2</v>
      </c>
      <c r="D101" s="15">
        <v>1200</v>
      </c>
      <c r="E101" s="32">
        <f t="shared" si="46"/>
        <v>-1.6393442622950821E-2</v>
      </c>
      <c r="F101" s="18">
        <f>IF(ISNUMBER(D101), $B118 * E101, "")</f>
        <v>-1639.344262295082</v>
      </c>
      <c r="G101" s="31">
        <v>1230</v>
      </c>
      <c r="H101" s="32">
        <f t="shared" si="47"/>
        <v>8.1967213114754103E-3</v>
      </c>
      <c r="I101" s="101">
        <f>IF(ISNUMBER(G101), $B118 * H101, "")</f>
        <v>819.67213114754099</v>
      </c>
      <c r="J101" s="15">
        <v>1225</v>
      </c>
      <c r="K101" s="32">
        <f t="shared" si="48"/>
        <v>4.0983606557377051E-3</v>
      </c>
      <c r="L101" s="18">
        <f>IF(ISNUMBER(J101), $B118 * K101, "")</f>
        <v>409.8360655737705</v>
      </c>
      <c r="M101" s="31">
        <v>1215</v>
      </c>
      <c r="N101" s="32">
        <f t="shared" si="49"/>
        <v>-4.0983606557377051E-3</v>
      </c>
      <c r="O101" s="18">
        <f>IF(ISNUMBER(M101), $B118 * N101, "")</f>
        <v>-409.8360655737705</v>
      </c>
      <c r="Q101" s="238"/>
      <c r="R101" s="238"/>
      <c r="S101" s="238"/>
    </row>
    <row r="102" spans="1:19" ht="17.25" thickBot="1">
      <c r="A102" s="127" t="s">
        <v>186</v>
      </c>
      <c r="B102" s="128">
        <v>10050</v>
      </c>
      <c r="C102" s="78">
        <v>6.9148936199999997E-2</v>
      </c>
      <c r="D102" s="20">
        <v>10070</v>
      </c>
      <c r="E102" s="21">
        <f t="shared" si="46"/>
        <v>1.990049751243781E-3</v>
      </c>
      <c r="F102" s="22">
        <f>IF(ISNUMBER(D102), $B118 * E102, "")</f>
        <v>199.00497512437809</v>
      </c>
      <c r="G102" s="30">
        <v>10080</v>
      </c>
      <c r="H102" s="21">
        <f t="shared" si="47"/>
        <v>2.9850746268656717E-3</v>
      </c>
      <c r="I102" s="105">
        <f>IF(ISNUMBER(G102), $B118 * H102, "")</f>
        <v>298.50746268656718</v>
      </c>
      <c r="J102" s="20">
        <v>9945</v>
      </c>
      <c r="K102" s="21">
        <f t="shared" si="48"/>
        <v>-1.0447761194029851E-2</v>
      </c>
      <c r="L102" s="22">
        <f>IF(ISNUMBER(J102), $B118 * K102, "")</f>
        <v>-1044.7761194029852</v>
      </c>
      <c r="M102" s="30">
        <v>10130</v>
      </c>
      <c r="N102" s="21">
        <f t="shared" si="49"/>
        <v>7.9601990049751239E-3</v>
      </c>
      <c r="O102" s="22">
        <f>IF(ISNUMBER(M102), $B118 * N102, "")</f>
        <v>796.01990049751237</v>
      </c>
      <c r="Q102" s="238"/>
      <c r="R102" s="238"/>
      <c r="S102" s="238"/>
    </row>
    <row r="103" spans="1:19" ht="17.25" thickBot="1">
      <c r="A103" s="125" t="s">
        <v>82</v>
      </c>
      <c r="B103" s="129">
        <v>1790</v>
      </c>
      <c r="C103" s="80">
        <v>5.91715976E-2</v>
      </c>
      <c r="D103" s="106">
        <v>2015</v>
      </c>
      <c r="E103" s="107">
        <f>IF(ISNUMBER(D103), (D103 - $B103) / $B103, "")</f>
        <v>0.12569832402234637</v>
      </c>
      <c r="F103" s="108">
        <f>IF(ISNUMBER(D103), $B118 * E103, "")</f>
        <v>12569.832402234637</v>
      </c>
      <c r="G103" s="106">
        <v>2045</v>
      </c>
      <c r="H103" s="107">
        <f>IF(ISNUMBER(G103), (G103 - $B103) / $B103, "")</f>
        <v>0.14245810055865921</v>
      </c>
      <c r="I103" s="108">
        <f>IF(ISNUMBER(G103), $B118 * H103, "")</f>
        <v>14245.810055865921</v>
      </c>
      <c r="J103" s="106">
        <v>2035</v>
      </c>
      <c r="K103" s="107">
        <f>IF(ISNUMBER(J103), (J103 - $B103) / $B103, "")</f>
        <v>0.13687150837988826</v>
      </c>
      <c r="L103" s="108">
        <f>IF(ISNUMBER(J103), $B118 * K103, "")</f>
        <v>13687.150837988826</v>
      </c>
      <c r="M103" s="109">
        <v>2145</v>
      </c>
      <c r="N103" s="107">
        <f>IF(ISNUMBER(M103), (M103 - $B103) / $B103, "")</f>
        <v>0.19832402234636873</v>
      </c>
      <c r="O103" s="108">
        <f>IF(ISNUMBER(M103), $B118 * N103, "")</f>
        <v>19832.402234636873</v>
      </c>
      <c r="Q103" s="238"/>
      <c r="R103" s="238"/>
      <c r="S103" s="238"/>
    </row>
    <row r="104" spans="1:19" ht="17.25" thickBot="1">
      <c r="A104" s="125" t="s">
        <v>124</v>
      </c>
      <c r="B104" s="126">
        <v>354</v>
      </c>
      <c r="C104" s="77">
        <v>4.4247787599999998E-2</v>
      </c>
      <c r="D104" s="15">
        <v>362</v>
      </c>
      <c r="E104" s="32">
        <f t="shared" ref="E104:E107" si="50">IF(ISNUMBER(D104), (D104 - $B104) / $B104, "")</f>
        <v>2.2598870056497175E-2</v>
      </c>
      <c r="F104" s="18">
        <f>IF(ISNUMBER(D104), $B118 * E104, "")</f>
        <v>2259.8870056497176</v>
      </c>
      <c r="G104" s="15">
        <v>388</v>
      </c>
      <c r="H104" s="32">
        <f>IF(ISNUMBER(G104), (G104 - $B104) / $B104, "")</f>
        <v>9.6045197740112997E-2</v>
      </c>
      <c r="I104" s="18">
        <f>IF(ISNUMBER(G104), $B118 * H104, "")</f>
        <v>9604.5197740112999</v>
      </c>
      <c r="J104" s="15">
        <v>383</v>
      </c>
      <c r="K104" s="32">
        <f t="shared" ref="K104:K107" si="51">IF(ISNUMBER(J104), (J104 - $B104) / $B104, "")</f>
        <v>8.1920903954802254E-2</v>
      </c>
      <c r="L104" s="18">
        <f>IF(ISNUMBER(J104), $B118 * K104, "")</f>
        <v>8192.0903954802252</v>
      </c>
      <c r="M104" s="31">
        <v>393</v>
      </c>
      <c r="N104" s="32">
        <f t="shared" ref="N104:N107" si="52">IF(ISNUMBER(M104), (M104 - $B104) / $B104, "")</f>
        <v>0.11016949152542373</v>
      </c>
      <c r="O104" s="18">
        <f>IF(ISNUMBER(M104), $B118 * N104, "")</f>
        <v>11016.949152542373</v>
      </c>
      <c r="Q104" s="238"/>
      <c r="R104" s="238"/>
      <c r="S104" s="238"/>
    </row>
    <row r="105" spans="1:19" ht="17.25" thickBot="1">
      <c r="A105" s="125" t="s">
        <v>198</v>
      </c>
      <c r="B105" s="126">
        <v>26480</v>
      </c>
      <c r="C105" s="77">
        <v>4.2930287499999997E-2</v>
      </c>
      <c r="D105" s="15">
        <v>28790</v>
      </c>
      <c r="E105" s="32">
        <f t="shared" si="50"/>
        <v>8.723564954682779E-2</v>
      </c>
      <c r="F105" s="18">
        <f>IF(ISNUMBER(D105), $B118 * E105, "")</f>
        <v>8723.564954682779</v>
      </c>
      <c r="G105" s="31">
        <v>28170</v>
      </c>
      <c r="H105" s="32">
        <f t="shared" ref="H105:H107" si="53">IF(ISNUMBER(G105), (G105 - $B105) / $B105, "")</f>
        <v>6.3821752265861023E-2</v>
      </c>
      <c r="I105" s="101">
        <f>IF(ISNUMBER(G105), $B118 * H105, "")</f>
        <v>6382.1752265861023</v>
      </c>
      <c r="J105" s="15">
        <v>27530</v>
      </c>
      <c r="K105" s="32">
        <f t="shared" si="51"/>
        <v>3.9652567975830819E-2</v>
      </c>
      <c r="L105" s="18">
        <f>IF(ISNUMBER(J105), $B118 * K105, "")</f>
        <v>3965.2567975830821</v>
      </c>
      <c r="M105" s="31">
        <v>27810</v>
      </c>
      <c r="N105" s="32">
        <f t="shared" si="52"/>
        <v>5.0226586102719031E-2</v>
      </c>
      <c r="O105" s="18">
        <f>IF(ISNUMBER(M105), $B118 * N105, "")</f>
        <v>5022.6586102719029</v>
      </c>
      <c r="Q105" s="238"/>
      <c r="R105" s="238"/>
      <c r="S105" s="238"/>
    </row>
    <row r="106" spans="1:19" ht="17.25" thickBot="1">
      <c r="A106" s="125" t="s">
        <v>132</v>
      </c>
      <c r="B106" s="126">
        <v>110</v>
      </c>
      <c r="C106" s="77">
        <v>3.7735849100000003E-2</v>
      </c>
      <c r="D106" s="15">
        <v>116</v>
      </c>
      <c r="E106" s="32">
        <f t="shared" si="50"/>
        <v>5.4545454545454543E-2</v>
      </c>
      <c r="F106" s="18">
        <f>IF(ISNUMBER(D106), $B118 * E106, "")</f>
        <v>5454.545454545454</v>
      </c>
      <c r="G106" s="31">
        <v>117</v>
      </c>
      <c r="H106" s="32">
        <f t="shared" si="53"/>
        <v>6.363636363636363E-2</v>
      </c>
      <c r="I106" s="101">
        <f>IF(ISNUMBER(G106), $B118 * H106, "")</f>
        <v>6363.6363636363631</v>
      </c>
      <c r="J106" s="15">
        <v>115</v>
      </c>
      <c r="K106" s="32">
        <f t="shared" si="51"/>
        <v>4.5454545454545456E-2</v>
      </c>
      <c r="L106" s="18">
        <f>IF(ISNUMBER(J106), $B118 * K106, "")</f>
        <v>4545.454545454546</v>
      </c>
      <c r="M106" s="31">
        <v>119</v>
      </c>
      <c r="N106" s="32">
        <f t="shared" si="52"/>
        <v>8.1818181818181818E-2</v>
      </c>
      <c r="O106" s="18">
        <f>IF(ISNUMBER(M106), $B118 * N106, "")</f>
        <v>8181.818181818182</v>
      </c>
      <c r="Q106" s="33"/>
      <c r="R106" s="33"/>
    </row>
    <row r="107" spans="1:19" ht="17.25" thickBot="1">
      <c r="A107" s="130" t="s">
        <v>240</v>
      </c>
      <c r="B107" s="131">
        <v>66.900000000000006</v>
      </c>
      <c r="C107" s="79">
        <v>3.7209302299999997E-2</v>
      </c>
      <c r="D107" s="24">
        <v>67.5</v>
      </c>
      <c r="E107" s="25">
        <f t="shared" si="50"/>
        <v>8.9686098654707669E-3</v>
      </c>
      <c r="F107" s="104">
        <f>IF(ISNUMBER(D107), $B118 * E107, "")</f>
        <v>896.86098654707666</v>
      </c>
      <c r="G107" s="102">
        <v>68.7</v>
      </c>
      <c r="H107" s="25">
        <f t="shared" si="53"/>
        <v>2.6905829596412512E-2</v>
      </c>
      <c r="I107" s="103">
        <f>IF(ISNUMBER(G107), $B118 * H107, "")</f>
        <v>2690.5829596412514</v>
      </c>
      <c r="J107" s="24">
        <v>69.2</v>
      </c>
      <c r="K107" s="25">
        <f t="shared" si="51"/>
        <v>3.4379671150971555E-2</v>
      </c>
      <c r="L107" s="104">
        <f>IF(ISNUMBER(J107), $B118 * K107, "")</f>
        <v>3437.9671150971553</v>
      </c>
      <c r="M107" s="102">
        <v>69.8</v>
      </c>
      <c r="N107" s="25">
        <f t="shared" si="52"/>
        <v>4.3348281016442322E-2</v>
      </c>
      <c r="O107" s="104">
        <f>IF(ISNUMBER(M107), $B118 * N107, "")</f>
        <v>4334.8281016442324</v>
      </c>
      <c r="Q107" s="239"/>
      <c r="R107" s="240"/>
      <c r="S107" s="241"/>
    </row>
    <row r="108" spans="1:19">
      <c r="A108" s="123" t="s">
        <v>86</v>
      </c>
      <c r="B108" s="124">
        <v>367</v>
      </c>
      <c r="C108" s="76">
        <v>3.3802816899999998E-2</v>
      </c>
      <c r="D108" s="13">
        <v>378</v>
      </c>
      <c r="E108" s="14">
        <f>IF(ISNUMBER(D108), (D108 - $B108) / $B108, "")</f>
        <v>2.9972752043596729E-2</v>
      </c>
      <c r="F108" s="16">
        <f>IF(ISNUMBER(D108), $B118 * E108, "")</f>
        <v>2997.2752043596729</v>
      </c>
      <c r="G108" s="29">
        <v>386</v>
      </c>
      <c r="H108" s="14">
        <f>IF(ISNUMBER(G108), (G108 - $B108) / $B108, "")</f>
        <v>5.1771117166212535E-2</v>
      </c>
      <c r="I108" s="100">
        <f>IF(ISNUMBER(G108), $B118 * H108, "")</f>
        <v>5177.1117166212534</v>
      </c>
      <c r="J108" s="13">
        <v>380</v>
      </c>
      <c r="K108" s="14">
        <f>IF(ISNUMBER(J108), (J108 - $B108) / $B108, "")</f>
        <v>3.5422343324250684E-2</v>
      </c>
      <c r="L108" s="16">
        <f>IF(ISNUMBER(J108), $B118 * K108, "")</f>
        <v>3542.2343324250683</v>
      </c>
      <c r="M108" s="29">
        <v>386</v>
      </c>
      <c r="N108" s="14">
        <f>IF(ISNUMBER(M108), (M108 - $B108) / $B108, "")</f>
        <v>5.1771117166212535E-2</v>
      </c>
      <c r="O108" s="16">
        <f>IF(ISNUMBER(M108), $B118 * N108, "")</f>
        <v>5177.1117166212534</v>
      </c>
      <c r="Q108" s="242"/>
      <c r="R108" s="243"/>
      <c r="S108" s="244"/>
    </row>
    <row r="109" spans="1:19" ht="17.25" thickBot="1">
      <c r="A109" s="125" t="s">
        <v>202</v>
      </c>
      <c r="B109" s="126">
        <v>89.8</v>
      </c>
      <c r="C109" s="77">
        <v>2.8636884299999998E-2</v>
      </c>
      <c r="D109" s="15">
        <v>92.9</v>
      </c>
      <c r="E109" s="32">
        <f t="shared" ref="E109:E112" si="54">IF(ISNUMBER(D109), (D109 - $B109) / $B109, "")</f>
        <v>3.4521158129176041E-2</v>
      </c>
      <c r="F109" s="18">
        <f>IF(ISNUMBER(D109), $B118 * E109, "")</f>
        <v>3452.1158129176042</v>
      </c>
      <c r="G109" s="31">
        <v>98.8</v>
      </c>
      <c r="H109" s="32">
        <f t="shared" ref="H109:H112" si="55">IF(ISNUMBER(G109), (G109 - $B109) / $B109, "")</f>
        <v>0.1002227171492205</v>
      </c>
      <c r="I109" s="101">
        <f>IF(ISNUMBER(G109), $B118 * H109, "")</f>
        <v>10022.27171492205</v>
      </c>
      <c r="J109" s="15">
        <v>96.1</v>
      </c>
      <c r="K109" s="32">
        <f t="shared" ref="K109:K112" si="56">IF(ISNUMBER(J109), (J109 - $B109) / $B109, "")</f>
        <v>7.0155902004454318E-2</v>
      </c>
      <c r="L109" s="18">
        <f>IF(ISNUMBER(J109), $B118 * K109, "")</f>
        <v>7015.5902004454319</v>
      </c>
      <c r="M109" s="31">
        <v>96.6</v>
      </c>
      <c r="N109" s="32">
        <f t="shared" ref="N109:N112" si="57">IF(ISNUMBER(M109), (M109 - $B109) / $B109, "")</f>
        <v>7.5723830734966566E-2</v>
      </c>
      <c r="O109" s="18">
        <f>IF(ISNUMBER(M109), $B118 * N109, "")</f>
        <v>7572.3830734966568</v>
      </c>
      <c r="Q109" s="245"/>
      <c r="R109" s="246"/>
      <c r="S109" s="247"/>
    </row>
    <row r="110" spans="1:19" ht="17.25" thickBot="1">
      <c r="A110" s="125" t="s">
        <v>156</v>
      </c>
      <c r="B110" s="126">
        <v>1800</v>
      </c>
      <c r="C110" s="77">
        <v>2.85714286E-2</v>
      </c>
      <c r="D110" s="15">
        <v>1875</v>
      </c>
      <c r="E110" s="32">
        <f t="shared" si="54"/>
        <v>4.1666666666666664E-2</v>
      </c>
      <c r="F110" s="18">
        <f>IF(ISNUMBER(D110), $B118 * E110, "")</f>
        <v>4166.6666666666661</v>
      </c>
      <c r="G110" s="31">
        <v>1880</v>
      </c>
      <c r="H110" s="32">
        <f t="shared" si="55"/>
        <v>4.4444444444444446E-2</v>
      </c>
      <c r="I110" s="101">
        <f>IF(ISNUMBER(G110), $B118 * H110, "")</f>
        <v>4444.4444444444443</v>
      </c>
      <c r="J110" s="15">
        <v>1850</v>
      </c>
      <c r="K110" s="32">
        <f t="shared" si="56"/>
        <v>2.7777777777777776E-2</v>
      </c>
      <c r="L110" s="18">
        <f>IF(ISNUMBER(J110), $B118 * K110, "")</f>
        <v>2777.7777777777778</v>
      </c>
      <c r="M110" s="31">
        <v>1915</v>
      </c>
      <c r="N110" s="32">
        <f t="shared" si="57"/>
        <v>6.3888888888888884E-2</v>
      </c>
      <c r="O110" s="18">
        <f>IF(ISNUMBER(M110), $B118 * N110, "")</f>
        <v>6388.8888888888887</v>
      </c>
      <c r="Q110" s="238"/>
      <c r="R110" s="238"/>
      <c r="S110" s="238"/>
    </row>
    <row r="111" spans="1:19" ht="17.25" thickBot="1">
      <c r="A111" s="125" t="s">
        <v>200</v>
      </c>
      <c r="B111" s="126">
        <v>141</v>
      </c>
      <c r="C111" s="77">
        <v>2.1739130400000001E-2</v>
      </c>
      <c r="D111" s="15">
        <v>145</v>
      </c>
      <c r="E111" s="32">
        <f t="shared" si="54"/>
        <v>2.8368794326241134E-2</v>
      </c>
      <c r="F111" s="18">
        <f>IF(ISNUMBER(D111), $B118 * E111, "")</f>
        <v>2836.8794326241136</v>
      </c>
      <c r="G111" s="31">
        <v>145</v>
      </c>
      <c r="H111" s="32">
        <f t="shared" si="55"/>
        <v>2.8368794326241134E-2</v>
      </c>
      <c r="I111" s="101">
        <f>IF(ISNUMBER(G111), $B118 * H111, "")</f>
        <v>2836.8794326241136</v>
      </c>
      <c r="J111" s="15">
        <v>143</v>
      </c>
      <c r="K111" s="32">
        <f t="shared" si="56"/>
        <v>1.4184397163120567E-2</v>
      </c>
      <c r="L111" s="18">
        <f>IF(ISNUMBER(J111), $B118 * K111, "")</f>
        <v>1418.4397163120568</v>
      </c>
      <c r="M111" s="31">
        <v>147</v>
      </c>
      <c r="N111" s="32">
        <f t="shared" si="57"/>
        <v>4.2553191489361701E-2</v>
      </c>
      <c r="O111" s="18">
        <f>IF(ISNUMBER(M111), $B118 * N111, "")</f>
        <v>4255.3191489361698</v>
      </c>
      <c r="Q111" s="248"/>
      <c r="R111" s="248"/>
      <c r="S111" s="248"/>
    </row>
    <row r="112" spans="1:19" ht="17.25" thickBot="1">
      <c r="A112" s="127" t="s">
        <v>76</v>
      </c>
      <c r="B112" s="128">
        <v>28190</v>
      </c>
      <c r="C112" s="78">
        <v>2.13768116E-2</v>
      </c>
      <c r="D112" s="20">
        <v>29120</v>
      </c>
      <c r="E112" s="21">
        <f t="shared" si="54"/>
        <v>3.2990422135509047E-2</v>
      </c>
      <c r="F112" s="22">
        <f>IF(ISNUMBER(D112), $B118 * E112, "")</f>
        <v>3299.0422135509048</v>
      </c>
      <c r="G112" s="30">
        <v>29860</v>
      </c>
      <c r="H112" s="21">
        <f t="shared" si="55"/>
        <v>5.9240865555161407E-2</v>
      </c>
      <c r="I112" s="105">
        <f>IF(ISNUMBER(G112), $B118 * H112, "")</f>
        <v>5924.0865555161408</v>
      </c>
      <c r="J112" s="20">
        <v>29900</v>
      </c>
      <c r="K112" s="21">
        <f t="shared" si="56"/>
        <v>6.0659808442710184E-2</v>
      </c>
      <c r="L112" s="22">
        <f>IF(ISNUMBER(J112), $B118 * K112, "")</f>
        <v>6065.9808442710182</v>
      </c>
      <c r="M112" s="30">
        <v>30510</v>
      </c>
      <c r="N112" s="21">
        <f t="shared" si="57"/>
        <v>8.2298687477829022E-2</v>
      </c>
      <c r="O112" s="22">
        <f>IF(ISNUMBER(M112), $B118 * N112, "")</f>
        <v>8229.8687477829026</v>
      </c>
      <c r="Q112" s="248"/>
      <c r="R112" s="248"/>
      <c r="S112" s="248"/>
    </row>
    <row r="113" spans="1:19" ht="17.25" thickBot="1">
      <c r="A113" s="125" t="s">
        <v>51</v>
      </c>
      <c r="B113" s="129">
        <v>348</v>
      </c>
      <c r="C113" s="80">
        <v>1.75438596E-2</v>
      </c>
      <c r="D113" s="106">
        <v>374</v>
      </c>
      <c r="E113" s="107">
        <f>IF(ISNUMBER(D113), (D113 - $B113) / $B113, "")</f>
        <v>7.4712643678160925E-2</v>
      </c>
      <c r="F113" s="108">
        <f>IF(ISNUMBER(D113), $B118 * E113, "")</f>
        <v>7471.2643678160921</v>
      </c>
      <c r="G113" s="106">
        <v>374</v>
      </c>
      <c r="H113" s="107">
        <f>IF(ISNUMBER(G113), (G113 - $B113) / $B113, "")</f>
        <v>7.4712643678160925E-2</v>
      </c>
      <c r="I113" s="110">
        <f>IF(ISNUMBER(G113), $B118 * H113, "")</f>
        <v>7471.2643678160921</v>
      </c>
      <c r="J113" s="106">
        <v>370</v>
      </c>
      <c r="K113" s="107">
        <f>IF(ISNUMBER(J113), (J113 - $B113) / $B113, "")</f>
        <v>6.3218390804597707E-2</v>
      </c>
      <c r="L113" s="108">
        <f>IF(ISNUMBER(J113), $B118 * K113, "")</f>
        <v>6321.8390804597711</v>
      </c>
      <c r="M113" s="109">
        <v>381</v>
      </c>
      <c r="N113" s="107">
        <f>IF(ISNUMBER(M113), (M113 - $B113) / $B113, "")</f>
        <v>9.4827586206896547E-2</v>
      </c>
      <c r="O113" s="108">
        <f>IF(ISNUMBER(M113), $B118 * N113, "")</f>
        <v>9482.758620689654</v>
      </c>
      <c r="Q113" s="238"/>
      <c r="R113" s="238"/>
      <c r="S113" s="238"/>
    </row>
    <row r="114" spans="1:19" ht="17.25" thickBot="1">
      <c r="A114" s="125" t="s">
        <v>140</v>
      </c>
      <c r="B114" s="126">
        <v>5810</v>
      </c>
      <c r="C114" s="77">
        <v>1.7513134900000001E-2</v>
      </c>
      <c r="D114" s="15">
        <v>6025</v>
      </c>
      <c r="E114" s="32">
        <f t="shared" ref="E114:E117" si="58">IF(ISNUMBER(D114), (D114 - $B114) / $B114, "")</f>
        <v>3.7005163511187607E-2</v>
      </c>
      <c r="F114" s="18">
        <f>IF(ISNUMBER(D114), $B118 * E114, "")</f>
        <v>3700.5163511187607</v>
      </c>
      <c r="G114" s="15">
        <v>6085</v>
      </c>
      <c r="H114" s="32">
        <f t="shared" ref="H114:H117" si="59">IF(ISNUMBER(G114), (G114 - $B114) / $B114, "")</f>
        <v>4.7332185886402756E-2</v>
      </c>
      <c r="I114" s="101">
        <f>IF(ISNUMBER(G114), $B118 * H114, "")</f>
        <v>4733.2185886402758</v>
      </c>
      <c r="J114" s="15">
        <v>6085</v>
      </c>
      <c r="K114" s="32">
        <f t="shared" ref="K114:K117" si="60">IF(ISNUMBER(J114), (J114 - $B114) / $B114, "")</f>
        <v>4.7332185886402756E-2</v>
      </c>
      <c r="L114" s="18">
        <f>IF(ISNUMBER(J114), $B118 * K114, "")</f>
        <v>4733.2185886402758</v>
      </c>
      <c r="M114" s="31">
        <v>6195</v>
      </c>
      <c r="N114" s="32">
        <f t="shared" ref="N114:N117" si="61">IF(ISNUMBER(M114), (M114 - $B114) / $B114, "")</f>
        <v>6.6265060240963861E-2</v>
      </c>
      <c r="O114" s="18">
        <f>IF(ISNUMBER(M114), $B118 * N114, "")</f>
        <v>6626.5060240963858</v>
      </c>
      <c r="Q114" s="238"/>
      <c r="R114" s="238"/>
      <c r="S114" s="238"/>
    </row>
    <row r="115" spans="1:19" ht="17.25" thickBot="1">
      <c r="A115" s="125" t="s">
        <v>90</v>
      </c>
      <c r="B115" s="126">
        <v>949</v>
      </c>
      <c r="C115" s="77">
        <v>1.4973261999999999E-2</v>
      </c>
      <c r="D115" s="15">
        <v>1025</v>
      </c>
      <c r="E115" s="32">
        <f t="shared" si="58"/>
        <v>8.0084299262381448E-2</v>
      </c>
      <c r="F115" s="18">
        <f>IF(ISNUMBER(D115), $B118 * E115, "")</f>
        <v>8008.4299262381446</v>
      </c>
      <c r="G115" s="15">
        <v>1035</v>
      </c>
      <c r="H115" s="32">
        <f t="shared" si="59"/>
        <v>9.0621707060063228E-2</v>
      </c>
      <c r="I115" s="101">
        <f>IF(ISNUMBER(G115), $B118 * H115, "")</f>
        <v>9062.1707060063236</v>
      </c>
      <c r="J115" s="15">
        <v>1010</v>
      </c>
      <c r="K115" s="32">
        <f t="shared" si="60"/>
        <v>6.4278187565858805E-2</v>
      </c>
      <c r="L115" s="18">
        <f>IF(ISNUMBER(J115), $B118 * K115, "")</f>
        <v>6427.8187565858807</v>
      </c>
      <c r="M115" s="31">
        <v>1060</v>
      </c>
      <c r="N115" s="32">
        <f t="shared" si="61"/>
        <v>0.11696522655426765</v>
      </c>
      <c r="O115" s="18">
        <f>IF(ISNUMBER(M115), $B118 * N115, "")</f>
        <v>11696.522655426765</v>
      </c>
      <c r="Q115" s="238"/>
      <c r="R115" s="238"/>
      <c r="S115" s="238"/>
    </row>
    <row r="116" spans="1:19">
      <c r="A116" s="125" t="s">
        <v>74</v>
      </c>
      <c r="B116" s="126">
        <v>15880</v>
      </c>
      <c r="C116" s="77">
        <v>1.40485313E-2</v>
      </c>
      <c r="D116" s="15">
        <v>17190</v>
      </c>
      <c r="E116" s="32">
        <f t="shared" si="58"/>
        <v>8.2493702770780858E-2</v>
      </c>
      <c r="F116" s="18">
        <f>IF(ISNUMBER(D116), $B118 * E116, "")</f>
        <v>8249.3702770780856</v>
      </c>
      <c r="G116" s="15">
        <v>17540</v>
      </c>
      <c r="H116" s="32">
        <f t="shared" si="59"/>
        <v>0.10453400503778337</v>
      </c>
      <c r="I116" s="101">
        <f>IF(ISNUMBER(G116), $B118 * H116, "")</f>
        <v>10453.400503778337</v>
      </c>
      <c r="J116" s="15">
        <v>17110</v>
      </c>
      <c r="K116" s="32">
        <f t="shared" si="60"/>
        <v>7.7455919395465991E-2</v>
      </c>
      <c r="L116" s="18">
        <f>IF(ISNUMBER(J116), $B118 * K116, "")</f>
        <v>7745.591939546599</v>
      </c>
      <c r="M116" s="31">
        <v>17420</v>
      </c>
      <c r="N116" s="32">
        <f t="shared" si="61"/>
        <v>9.697732997481108E-2</v>
      </c>
      <c r="O116" s="18">
        <f>IF(ISNUMBER(M116), $B118 * N116, "")</f>
        <v>9697.7329974811073</v>
      </c>
      <c r="Q116" s="227"/>
      <c r="R116" s="228"/>
      <c r="S116" s="229"/>
    </row>
    <row r="117" spans="1:19" ht="17.25" thickBot="1">
      <c r="A117" s="130" t="s">
        <v>69</v>
      </c>
      <c r="B117" s="131">
        <v>5305</v>
      </c>
      <c r="C117" s="79">
        <v>1.33715377E-2</v>
      </c>
      <c r="D117" s="24">
        <v>5870</v>
      </c>
      <c r="E117" s="25">
        <f t="shared" si="58"/>
        <v>0.10650329877474081</v>
      </c>
      <c r="F117" s="104">
        <f>IF(ISNUMBER(D117), $B118 * E117, "")</f>
        <v>10650.329877474082</v>
      </c>
      <c r="G117" s="102">
        <v>5790</v>
      </c>
      <c r="H117" s="25">
        <f t="shared" si="59"/>
        <v>9.1423185673892557E-2</v>
      </c>
      <c r="I117" s="103">
        <f>IF(ISNUMBER(G117), $B118 * H117, "")</f>
        <v>9142.3185673892549</v>
      </c>
      <c r="J117" s="24">
        <v>5730</v>
      </c>
      <c r="K117" s="25">
        <f t="shared" si="60"/>
        <v>8.0113100848256361E-2</v>
      </c>
      <c r="L117" s="104">
        <f>IF(ISNUMBER(J117), $B118 * K117, "")</f>
        <v>8011.3100848256363</v>
      </c>
      <c r="M117" s="102">
        <v>5865</v>
      </c>
      <c r="N117" s="25">
        <f t="shared" si="61"/>
        <v>0.1055607917059378</v>
      </c>
      <c r="O117" s="104">
        <f>IF(ISNUMBER(M117), $B118 * N117, "")</f>
        <v>10556.079170593779</v>
      </c>
      <c r="Q117" s="230"/>
      <c r="R117" s="231"/>
      <c r="S117" s="232"/>
    </row>
    <row r="118" spans="1:19" ht="17.25" thickBot="1">
      <c r="A118" s="132" t="s">
        <v>270</v>
      </c>
      <c r="B118" s="291">
        <f>$B$37</f>
        <v>100000</v>
      </c>
      <c r="C118" s="292"/>
      <c r="D118" s="26" t="s">
        <v>271</v>
      </c>
      <c r="E118" s="27">
        <f>IF(COUNT(E98:E117), SUM(E98:E117) / COUNT(E98:E117), 0)</f>
        <v>5.6484690547393732E-2</v>
      </c>
      <c r="F118" s="28">
        <f>SUM(F98:F117)</f>
        <v>112969.38109478746</v>
      </c>
      <c r="G118" s="26" t="s">
        <v>271</v>
      </c>
      <c r="H118" s="27">
        <f>IF(COUNT(H98:H117), SUM(H98:H117) / COUNT(H98:H117), 0)</f>
        <v>6.649314222834235E-2</v>
      </c>
      <c r="I118" s="28">
        <f>SUM(I98:I117)</f>
        <v>132986.28445668469</v>
      </c>
      <c r="J118" s="26" t="s">
        <v>271</v>
      </c>
      <c r="K118" s="27">
        <f>IF(COUNT(K98:K117), SUM(K98:K117) / COUNT(K98:K117), 0)</f>
        <v>5.0319563419208305E-2</v>
      </c>
      <c r="L118" s="28">
        <f>SUM(L98:L117)</f>
        <v>100639.12683841659</v>
      </c>
      <c r="M118" s="26" t="s">
        <v>271</v>
      </c>
      <c r="N118" s="27">
        <f>IF(COUNT(N98:N117), SUM(N98:N117) / COUNT(N98:N117), 0)</f>
        <v>7.2741014435801721E-2</v>
      </c>
      <c r="O118" s="28">
        <f>SUM(O98:O117)</f>
        <v>145482.02887160346</v>
      </c>
      <c r="Q118" s="233"/>
      <c r="R118" s="234"/>
      <c r="S118" s="23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48"/>
      <c r="R121" s="248"/>
      <c r="S121" s="248"/>
    </row>
    <row r="122" spans="1:19" ht="17.25" thickBot="1">
      <c r="A122" s="197" t="s">
        <v>267</v>
      </c>
      <c r="B122" s="249" t="s">
        <v>49</v>
      </c>
      <c r="C122" s="251"/>
      <c r="D122" s="249" t="s">
        <v>58</v>
      </c>
      <c r="E122" s="250"/>
      <c r="F122" s="251"/>
      <c r="G122" s="252">
        <f>_xlfn.IFNA(VLOOKUP(B122, 현재가테이블!$B$2:$D$200, 2, FALSE), "-")</f>
        <v>54440000</v>
      </c>
      <c r="H122" s="253"/>
      <c r="I122" s="254"/>
      <c r="J122" s="249" t="s">
        <v>59</v>
      </c>
      <c r="K122" s="250"/>
      <c r="L122" s="251"/>
      <c r="M122" s="255">
        <f>_xlfn.IFNA(VLOOKUP(B122, 현재가테이블!$B$2:$D$200, 3, FALSE), "-")</f>
        <v>1.07123628E-2</v>
      </c>
      <c r="N122" s="256"/>
      <c r="O122" s="257"/>
      <c r="Q122" s="248"/>
      <c r="R122" s="248"/>
      <c r="S122" s="248"/>
    </row>
    <row r="123" spans="1:19" ht="17.25" thickBot="1">
      <c r="A123" s="293" t="s">
        <v>55</v>
      </c>
      <c r="B123" s="289" t="str">
        <f>TEXT($G$1, "[$-ko-KR]yyyy-mm-dd(ddd) ") &amp; "오전 00:00"</f>
        <v>2021-08-11(수) 오전 00:00</v>
      </c>
      <c r="C123" s="290"/>
      <c r="D123" s="262" t="str">
        <f>TEXT($G$1, "[$-ko-KR]yyyy-mm-dd(ddd) ") &amp; "오후 14:00"</f>
        <v>2021-08-11(수) 오후 14:00</v>
      </c>
      <c r="E123" s="263"/>
      <c r="F123" s="264"/>
      <c r="G123" s="262" t="str">
        <f>TEXT($G$1, "[$-ko-KR]yyyy-mm-dd(ddd) ") &amp; "오후 19:00"</f>
        <v>2021-08-11(수) 오후 19:00</v>
      </c>
      <c r="H123" s="263"/>
      <c r="I123" s="264"/>
      <c r="J123" s="262" t="str">
        <f>TEXT($G$1, "[$-ko-KR]yyyy-mm-dd(ddd) ") &amp; "오후 21:00"</f>
        <v>2021-08-11(수) 오후 21:00</v>
      </c>
      <c r="K123" s="263"/>
      <c r="L123" s="264"/>
      <c r="M123" s="262" t="str">
        <f>TEXT($G$1+1, "[$-ko-KR]yyyy-mm-dd(ddd) ") &amp; "오전 00:00"</f>
        <v>2021-08-12(목) 오전 00:00</v>
      </c>
      <c r="N123" s="263"/>
      <c r="O123" s="264"/>
      <c r="Q123" s="248"/>
      <c r="R123" s="248"/>
      <c r="S123" s="248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8" t="s">
        <v>58</v>
      </c>
      <c r="H124" s="199" t="s">
        <v>268</v>
      </c>
      <c r="I124" s="20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8"/>
      <c r="R124" s="238"/>
      <c r="S124" s="238"/>
    </row>
    <row r="125" spans="1:19" ht="17.25" thickBot="1">
      <c r="A125" s="123" t="s">
        <v>240</v>
      </c>
      <c r="B125" s="124">
        <v>66.900000000000006</v>
      </c>
      <c r="C125" s="76">
        <v>3.7209302299999997E-2</v>
      </c>
      <c r="D125" s="13">
        <v>67.5</v>
      </c>
      <c r="E125" s="14">
        <f>IF(ISNUMBER(D125), (D125 - $B125) / $B125, "")</f>
        <v>8.9686098654707669E-3</v>
      </c>
      <c r="F125" s="16">
        <f>IF(ISNUMBER(D125), $B145 * E125, "")</f>
        <v>896.86098654707666</v>
      </c>
      <c r="G125" s="29">
        <v>68.7</v>
      </c>
      <c r="H125" s="14">
        <f>IF(ISNUMBER(G125), (G125 - $B125) / $B125, "")</f>
        <v>2.6905829596412512E-2</v>
      </c>
      <c r="I125" s="100">
        <f>IF(ISNUMBER(G125), $B145 * H125, "")</f>
        <v>2690.5829596412514</v>
      </c>
      <c r="J125" s="13">
        <v>69.2</v>
      </c>
      <c r="K125" s="14">
        <f>IF(ISNUMBER(J125), (J125 - $B125) / $B125, "")</f>
        <v>3.4379671150971555E-2</v>
      </c>
      <c r="L125" s="16">
        <f>IF(ISNUMBER(J125), $B145 * K125, "")</f>
        <v>3437.9671150971553</v>
      </c>
      <c r="M125" s="29">
        <v>69.8</v>
      </c>
      <c r="N125" s="14">
        <f>IF(ISNUMBER(M125), (M125 - $B125) / $B125, "")</f>
        <v>4.3348281016442322E-2</v>
      </c>
      <c r="O125" s="16">
        <f>IF(ISNUMBER(M125), $B145 * N125, "")</f>
        <v>4334.8281016442324</v>
      </c>
      <c r="Q125" s="248"/>
      <c r="R125" s="248"/>
      <c r="S125" s="248"/>
    </row>
    <row r="126" spans="1:19" ht="17.25" thickBot="1">
      <c r="A126" s="125" t="s">
        <v>202</v>
      </c>
      <c r="B126" s="126">
        <v>89.8</v>
      </c>
      <c r="C126" s="77">
        <v>2.8636884299999998E-2</v>
      </c>
      <c r="D126" s="15">
        <v>92.9</v>
      </c>
      <c r="E126" s="32">
        <f t="shared" ref="E126:E129" si="62">IF(ISNUMBER(D126), (D126 - $B126) / $B126, "")</f>
        <v>3.4521158129176041E-2</v>
      </c>
      <c r="F126" s="18">
        <f>IF(ISNUMBER(D126), $B145 * E126, "")</f>
        <v>3452.1158129176042</v>
      </c>
      <c r="G126" s="31">
        <v>98.8</v>
      </c>
      <c r="H126" s="32">
        <f t="shared" ref="H126:H129" si="63">IF(ISNUMBER(G126), (G126 - $B126) / $B126, "")</f>
        <v>0.1002227171492205</v>
      </c>
      <c r="I126" s="101">
        <f>IF(ISNUMBER(G126), $B145 * H126, "")</f>
        <v>10022.27171492205</v>
      </c>
      <c r="J126" s="15">
        <v>96.1</v>
      </c>
      <c r="K126" s="32">
        <f t="shared" ref="K126:K129" si="64">IF(ISNUMBER(J126), (J126 - $B126) / $B126, "")</f>
        <v>7.0155902004454318E-2</v>
      </c>
      <c r="L126" s="18">
        <f>IF(ISNUMBER(J126), $B145 * K126, "")</f>
        <v>7015.5902004454319</v>
      </c>
      <c r="M126" s="31">
        <v>96.6</v>
      </c>
      <c r="N126" s="32">
        <f t="shared" ref="N126:N129" si="65">IF(ISNUMBER(M126), (M126 - $B126) / $B126, "")</f>
        <v>7.5723830734966566E-2</v>
      </c>
      <c r="O126" s="18">
        <f>IF(ISNUMBER(M126), $B145 * N126, "")</f>
        <v>7572.3830734966568</v>
      </c>
      <c r="Q126" s="248"/>
      <c r="R126" s="248"/>
      <c r="S126" s="248"/>
    </row>
    <row r="127" spans="1:19" ht="17.25" thickBot="1">
      <c r="A127" s="125" t="s">
        <v>122</v>
      </c>
      <c r="B127" s="126">
        <v>30.1</v>
      </c>
      <c r="C127" s="77">
        <v>6.6889632000000001E-3</v>
      </c>
      <c r="D127" s="15">
        <v>31.2</v>
      </c>
      <c r="E127" s="32">
        <f t="shared" si="62"/>
        <v>3.6544850498338798E-2</v>
      </c>
      <c r="F127" s="18">
        <f>IF(ISNUMBER(D127), $B145 * E127, "")</f>
        <v>3654.4850498338797</v>
      </c>
      <c r="G127" s="31">
        <v>31.5</v>
      </c>
      <c r="H127" s="32">
        <f t="shared" si="63"/>
        <v>4.6511627906976695E-2</v>
      </c>
      <c r="I127" s="101">
        <f>IF(ISNUMBER(G127), $B145 * H127, "")</f>
        <v>4651.1627906976692</v>
      </c>
      <c r="J127" s="15">
        <v>31.4</v>
      </c>
      <c r="K127" s="32">
        <f t="shared" si="64"/>
        <v>4.3189368770764021E-2</v>
      </c>
      <c r="L127" s="18">
        <f>IF(ISNUMBER(J127), $B145 * K127, "")</f>
        <v>4318.9368770764022</v>
      </c>
      <c r="M127" s="31">
        <v>32.700000000000003</v>
      </c>
      <c r="N127" s="32">
        <f t="shared" si="65"/>
        <v>8.6378737541528278E-2</v>
      </c>
      <c r="O127" s="18">
        <f>IF(ISNUMBER(M127), $B145 * N127, "")</f>
        <v>8637.873754152828</v>
      </c>
      <c r="Q127" s="238"/>
      <c r="R127" s="238"/>
      <c r="S127" s="238"/>
    </row>
    <row r="128" spans="1:19" ht="17.25" thickBot="1">
      <c r="A128" s="125" t="s">
        <v>152</v>
      </c>
      <c r="B128" s="126">
        <v>84.7</v>
      </c>
      <c r="C128" s="77">
        <v>0</v>
      </c>
      <c r="D128" s="15">
        <v>89.5</v>
      </c>
      <c r="E128" s="32">
        <f t="shared" si="62"/>
        <v>5.6670602125147546E-2</v>
      </c>
      <c r="F128" s="18">
        <f>IF(ISNUMBER(D128), $B145 * E128, "")</f>
        <v>5667.0602125147543</v>
      </c>
      <c r="G128" s="31">
        <v>93.7</v>
      </c>
      <c r="H128" s="32">
        <f t="shared" si="63"/>
        <v>0.10625737898465171</v>
      </c>
      <c r="I128" s="101">
        <f>IF(ISNUMBER(G128), $B145 * H128, "")</f>
        <v>10625.737898465171</v>
      </c>
      <c r="J128" s="15">
        <v>94.6</v>
      </c>
      <c r="K128" s="32">
        <f t="shared" si="64"/>
        <v>0.11688311688311678</v>
      </c>
      <c r="L128" s="18">
        <f>IF(ISNUMBER(J128), $B145 * K128, "")</f>
        <v>11688.311688311678</v>
      </c>
      <c r="M128" s="31">
        <v>97.1</v>
      </c>
      <c r="N128" s="32">
        <f t="shared" si="65"/>
        <v>0.14639905548996449</v>
      </c>
      <c r="O128" s="18">
        <f>IF(ISNUMBER(M128), $B145 * N128, "")</f>
        <v>14639.905548996448</v>
      </c>
      <c r="Q128" s="238"/>
      <c r="R128" s="238"/>
      <c r="S128" s="238"/>
    </row>
    <row r="129" spans="1:19" ht="17.25" thickBot="1">
      <c r="A129" s="127" t="s">
        <v>65</v>
      </c>
      <c r="B129" s="128">
        <v>32.1</v>
      </c>
      <c r="C129" s="78">
        <v>-3.1055901000000001E-3</v>
      </c>
      <c r="D129" s="20">
        <v>35</v>
      </c>
      <c r="E129" s="21">
        <f t="shared" si="62"/>
        <v>9.0342679127725811E-2</v>
      </c>
      <c r="F129" s="22">
        <f>IF(ISNUMBER(D129), $B145 * E129, "")</f>
        <v>9034.2679127725805</v>
      </c>
      <c r="G129" s="30">
        <v>35.299999999999997</v>
      </c>
      <c r="H129" s="21">
        <f t="shared" si="63"/>
        <v>9.968847352024908E-2</v>
      </c>
      <c r="I129" s="105">
        <f>IF(ISNUMBER(G129), $B145 * H129, "")</f>
        <v>9968.8473520249081</v>
      </c>
      <c r="J129" s="20">
        <v>34.9</v>
      </c>
      <c r="K129" s="21">
        <f t="shared" si="64"/>
        <v>8.7227414330217981E-2</v>
      </c>
      <c r="L129" s="22">
        <f>IF(ISNUMBER(J129), $B145 * K129, "")</f>
        <v>8722.741433021798</v>
      </c>
      <c r="M129" s="30">
        <v>35.6</v>
      </c>
      <c r="N129" s="21">
        <f t="shared" si="65"/>
        <v>0.10903426791277258</v>
      </c>
      <c r="O129" s="22">
        <f>IF(ISNUMBER(M129), $B145 * N129, "")</f>
        <v>10903.426791277258</v>
      </c>
      <c r="Q129" s="238"/>
      <c r="R129" s="238"/>
      <c r="S129" s="238"/>
    </row>
    <row r="130" spans="1:19" ht="17.25" thickBot="1">
      <c r="A130" s="125" t="s">
        <v>148</v>
      </c>
      <c r="B130" s="129">
        <v>19.3</v>
      </c>
      <c r="C130" s="80">
        <v>-5.1546392E-3</v>
      </c>
      <c r="D130" s="106">
        <v>20.5</v>
      </c>
      <c r="E130" s="107">
        <f>IF(ISNUMBER(D130), (D130 - $B130) / $B130, "")</f>
        <v>6.2176165803108772E-2</v>
      </c>
      <c r="F130" s="108">
        <f>IF(ISNUMBER(D130), $B145 * E130, "")</f>
        <v>6217.616580310877</v>
      </c>
      <c r="G130" s="109">
        <v>20.9</v>
      </c>
      <c r="H130" s="107">
        <f>IF(ISNUMBER(G130), (G130 - $B130) / $B130, "")</f>
        <v>8.290155440414497E-2</v>
      </c>
      <c r="I130" s="110">
        <f>IF(ISNUMBER(G130), $B145 * H130, "")</f>
        <v>8290.1554404144972</v>
      </c>
      <c r="J130" s="106">
        <v>20.6</v>
      </c>
      <c r="K130" s="107">
        <f>IF(ISNUMBER(J130), (J130 - $B130) / $B130, "")</f>
        <v>6.7357512953367907E-2</v>
      </c>
      <c r="L130" s="108">
        <f>IF(ISNUMBER(J130), $B145 * K130, "")</f>
        <v>6735.7512953367905</v>
      </c>
      <c r="M130" s="109">
        <v>21.6</v>
      </c>
      <c r="N130" s="107">
        <f>IF(ISNUMBER(M130), (M130 - $B130) / $B130, "")</f>
        <v>0.11917098445595858</v>
      </c>
      <c r="O130" s="108">
        <f>IF(ISNUMBER(M130), $B145 * N130, "")</f>
        <v>11917.098445595859</v>
      </c>
      <c r="Q130" s="238"/>
      <c r="R130" s="238"/>
      <c r="S130" s="238"/>
    </row>
    <row r="131" spans="1:19" ht="17.25" thickBot="1">
      <c r="A131" s="125" t="s">
        <v>98</v>
      </c>
      <c r="B131" s="126">
        <v>4.3899999999999997</v>
      </c>
      <c r="C131" s="77">
        <v>-6.7873302999999999E-3</v>
      </c>
      <c r="D131" s="15">
        <v>4.6100000000000003</v>
      </c>
      <c r="E131" s="32">
        <f t="shared" ref="E131:E134" si="66">IF(ISNUMBER(D131), (D131 - $B131) / $B131, "")</f>
        <v>5.0113895216401062E-2</v>
      </c>
      <c r="F131" s="18">
        <f>IF(ISNUMBER(D131), $B145 * E131, "")</f>
        <v>5011.3895216401061</v>
      </c>
      <c r="G131" s="31">
        <v>5.03</v>
      </c>
      <c r="H131" s="32">
        <f t="shared" ref="H131:H134" si="67">IF(ISNUMBER(G131), (G131 - $B131) / $B131, "")</f>
        <v>0.14578587699316642</v>
      </c>
      <c r="I131" s="101">
        <f>IF(ISNUMBER(G131), $B145 * H131, "")</f>
        <v>14578.587699316642</v>
      </c>
      <c r="J131" s="15">
        <v>4.9800000000000004</v>
      </c>
      <c r="K131" s="32">
        <f t="shared" ref="K131:K134" si="68">IF(ISNUMBER(J131), (J131 - $B131) / $B131, "")</f>
        <v>0.13439635535307534</v>
      </c>
      <c r="L131" s="18">
        <f>IF(ISNUMBER(J131), $B145 * K131, "")</f>
        <v>13439.635535307534</v>
      </c>
      <c r="M131" s="31">
        <v>5.26</v>
      </c>
      <c r="N131" s="32">
        <f t="shared" ref="N131:N134" si="69">IF(ISNUMBER(M131), (M131 - $B131) / $B131, "")</f>
        <v>0.19817767653758547</v>
      </c>
      <c r="O131" s="18">
        <f>IF(ISNUMBER(M131), $B145 * N131, "")</f>
        <v>19817.767653758547</v>
      </c>
      <c r="Q131" s="238"/>
      <c r="R131" s="238"/>
      <c r="S131" s="238"/>
    </row>
    <row r="132" spans="1:19" ht="17.25" thickBot="1">
      <c r="A132" s="125" t="s">
        <v>188</v>
      </c>
      <c r="B132" s="126">
        <v>12.3</v>
      </c>
      <c r="C132" s="77">
        <v>-8.0645161000000003E-3</v>
      </c>
      <c r="D132" s="15">
        <v>12.6</v>
      </c>
      <c r="E132" s="32">
        <f t="shared" si="66"/>
        <v>2.4390243902438935E-2</v>
      </c>
      <c r="F132" s="18">
        <f>IF(ISNUMBER(D132), $B145 * E132, "")</f>
        <v>2439.0243902438933</v>
      </c>
      <c r="G132" s="31">
        <v>12.8</v>
      </c>
      <c r="H132" s="32">
        <f t="shared" si="67"/>
        <v>4.065040650406504E-2</v>
      </c>
      <c r="I132" s="101">
        <f>IF(ISNUMBER(G132), $B145 * H132, "")</f>
        <v>4065.040650406504</v>
      </c>
      <c r="J132" s="15">
        <v>12.7</v>
      </c>
      <c r="K132" s="32">
        <f t="shared" si="68"/>
        <v>3.2520325203251918E-2</v>
      </c>
      <c r="L132" s="18">
        <f>IF(ISNUMBER(J132), $B145 * K132, "")</f>
        <v>3252.0325203251919</v>
      </c>
      <c r="M132" s="31">
        <v>13.2</v>
      </c>
      <c r="N132" s="32">
        <f t="shared" si="69"/>
        <v>7.3170731707316958E-2</v>
      </c>
      <c r="O132" s="18">
        <f>IF(ISNUMBER(M132), $B145 * N132, "")</f>
        <v>7317.0731707316954</v>
      </c>
      <c r="Q132" s="238"/>
      <c r="R132" s="238"/>
      <c r="S132" s="238"/>
    </row>
    <row r="133" spans="1:19" ht="17.25" thickBot="1">
      <c r="A133" s="125" t="s">
        <v>178</v>
      </c>
      <c r="B133" s="126">
        <v>16.399999999999999</v>
      </c>
      <c r="C133" s="77">
        <v>-1.20481928E-2</v>
      </c>
      <c r="D133" s="15">
        <v>16.8</v>
      </c>
      <c r="E133" s="32">
        <f t="shared" si="66"/>
        <v>2.4390243902439157E-2</v>
      </c>
      <c r="F133" s="18">
        <f>IF(ISNUMBER(D133), $B145 * E133, "")</f>
        <v>2439.0243902439156</v>
      </c>
      <c r="G133" s="31">
        <v>17.100000000000001</v>
      </c>
      <c r="H133" s="32">
        <f t="shared" si="67"/>
        <v>4.2682926829268469E-2</v>
      </c>
      <c r="I133" s="101">
        <f>IF(ISNUMBER(G133), $B145 * H133, "")</f>
        <v>4268.2926829268472</v>
      </c>
      <c r="J133" s="15">
        <v>17</v>
      </c>
      <c r="K133" s="32">
        <f t="shared" si="68"/>
        <v>3.6585365853658625E-2</v>
      </c>
      <c r="L133" s="18">
        <f>IF(ISNUMBER(J133), $B145 * K133, "")</f>
        <v>3658.5365853658623</v>
      </c>
      <c r="M133" s="31">
        <v>17.3</v>
      </c>
      <c r="N133" s="32">
        <f t="shared" si="69"/>
        <v>5.4878048780487937E-2</v>
      </c>
      <c r="O133" s="18">
        <f>IF(ISNUMBER(M133), $B145 * N133, "")</f>
        <v>5487.8048780487934</v>
      </c>
      <c r="Q133" s="33"/>
      <c r="R133" s="33"/>
    </row>
    <row r="134" spans="1:19" ht="17.25" thickBot="1">
      <c r="A134" s="130" t="s">
        <v>72</v>
      </c>
      <c r="B134" s="131">
        <v>22.2</v>
      </c>
      <c r="C134" s="79">
        <v>-1.33333333E-2</v>
      </c>
      <c r="D134" s="24">
        <v>22.8</v>
      </c>
      <c r="E134" s="25">
        <f t="shared" si="66"/>
        <v>2.7027027027027091E-2</v>
      </c>
      <c r="F134" s="104">
        <f>IF(ISNUMBER(D134), $B145 * E134, "")</f>
        <v>2702.7027027027093</v>
      </c>
      <c r="G134" s="102">
        <v>23.2</v>
      </c>
      <c r="H134" s="25">
        <f t="shared" si="67"/>
        <v>4.504504504504505E-2</v>
      </c>
      <c r="I134" s="103">
        <f>IF(ISNUMBER(G134), $B145 * H134, "")</f>
        <v>4504.5045045045053</v>
      </c>
      <c r="J134" s="24">
        <v>23</v>
      </c>
      <c r="K134" s="25">
        <f t="shared" si="68"/>
        <v>3.603603603603607E-2</v>
      </c>
      <c r="L134" s="104">
        <f>IF(ISNUMBER(J134), $B145 * K134, "")</f>
        <v>3603.6036036036071</v>
      </c>
      <c r="M134" s="102">
        <v>23.5</v>
      </c>
      <c r="N134" s="25">
        <f t="shared" si="69"/>
        <v>5.8558558558558592E-2</v>
      </c>
      <c r="O134" s="104">
        <f>IF(ISNUMBER(M134), $B145 * N134, "")</f>
        <v>5855.8558558558589</v>
      </c>
      <c r="Q134" s="239"/>
      <c r="R134" s="240"/>
      <c r="S134" s="241"/>
    </row>
    <row r="135" spans="1:19">
      <c r="A135" s="123" t="s">
        <v>234</v>
      </c>
      <c r="B135" s="124">
        <v>70</v>
      </c>
      <c r="C135" s="76">
        <v>-1.68539326E-2</v>
      </c>
      <c r="D135" s="13">
        <v>71.5</v>
      </c>
      <c r="E135" s="14">
        <f>IF(ISNUMBER(D135), (D135 - $B135) / $B135, "")</f>
        <v>2.1428571428571429E-2</v>
      </c>
      <c r="F135" s="16">
        <f>IF(ISNUMBER(D135), $B145 * E135, "")</f>
        <v>2142.8571428571427</v>
      </c>
      <c r="G135" s="29">
        <v>72.7</v>
      </c>
      <c r="H135" s="14">
        <f>IF(ISNUMBER(G135), (G135 - $B135) / $B135, "")</f>
        <v>3.8571428571428611E-2</v>
      </c>
      <c r="I135" s="100">
        <f>IF(ISNUMBER(G135), $B145 * H135, "")</f>
        <v>3857.142857142861</v>
      </c>
      <c r="J135" s="13">
        <v>72.2</v>
      </c>
      <c r="K135" s="14">
        <f>IF(ISNUMBER(J135), (J135 - $B135) / $B135, "")</f>
        <v>3.1428571428571472E-2</v>
      </c>
      <c r="L135" s="16">
        <f>IF(ISNUMBER(J135), $B145 * K135, "")</f>
        <v>3142.8571428571472</v>
      </c>
      <c r="M135" s="29">
        <v>73.8</v>
      </c>
      <c r="N135" s="14">
        <f>IF(ISNUMBER(M135), (M135 - $B135) / $B135, "")</f>
        <v>5.4285714285714243E-2</v>
      </c>
      <c r="O135" s="16">
        <f>IF(ISNUMBER(M135), $B145 * N135, "")</f>
        <v>5428.5714285714239</v>
      </c>
      <c r="Q135" s="242"/>
      <c r="R135" s="243"/>
      <c r="S135" s="244"/>
    </row>
    <row r="136" spans="1:19" ht="17.25" thickBot="1">
      <c r="A136" s="125" t="s">
        <v>210</v>
      </c>
      <c r="B136" s="126">
        <v>11.6</v>
      </c>
      <c r="C136" s="77">
        <v>-1.6949152499999998E-2</v>
      </c>
      <c r="D136" s="15">
        <v>12</v>
      </c>
      <c r="E136" s="32">
        <f t="shared" ref="E136:E139" si="70">IF(ISNUMBER(D136), (D136 - $B136) / $B136, "")</f>
        <v>3.4482758620689689E-2</v>
      </c>
      <c r="F136" s="18">
        <f>IF(ISNUMBER(D136), $B145 * E136, "")</f>
        <v>3448.2758620689688</v>
      </c>
      <c r="G136" s="31">
        <v>12</v>
      </c>
      <c r="H136" s="32">
        <f t="shared" ref="H136:H139" si="71">IF(ISNUMBER(G136), (G136 - $B136) / $B136, "")</f>
        <v>3.4482758620689689E-2</v>
      </c>
      <c r="I136" s="101">
        <f>IF(ISNUMBER(G136), $B145 * H136, "")</f>
        <v>3448.2758620689688</v>
      </c>
      <c r="J136" s="15">
        <v>12.1</v>
      </c>
      <c r="K136" s="32">
        <f t="shared" ref="K136:K139" si="72">IF(ISNUMBER(J136), (J136 - $B136) / $B136, "")</f>
        <v>4.3103448275862072E-2</v>
      </c>
      <c r="L136" s="18">
        <f>IF(ISNUMBER(J136), $B145 * K136, "")</f>
        <v>4310.3448275862074</v>
      </c>
      <c r="M136" s="31">
        <v>12.3</v>
      </c>
      <c r="N136" s="32">
        <f t="shared" ref="N136:N139" si="73">IF(ISNUMBER(M136), (M136 - $B136) / $B136, "")</f>
        <v>6.0344827586206989E-2</v>
      </c>
      <c r="O136" s="18">
        <f>IF(ISNUMBER(M136), $B145 * N136, "")</f>
        <v>6034.4827586206993</v>
      </c>
      <c r="Q136" s="245"/>
      <c r="R136" s="246"/>
      <c r="S136" s="247"/>
    </row>
    <row r="137" spans="1:19" ht="17.25" thickBot="1">
      <c r="A137" s="125" t="s">
        <v>190</v>
      </c>
      <c r="B137" s="126">
        <v>17.100000000000001</v>
      </c>
      <c r="C137" s="77">
        <v>-1.7241379300000002E-2</v>
      </c>
      <c r="D137" s="15">
        <v>17.5</v>
      </c>
      <c r="E137" s="32">
        <f t="shared" si="70"/>
        <v>2.3391812865496991E-2</v>
      </c>
      <c r="F137" s="18">
        <f>IF(ISNUMBER(D137), $B145 * E137, "")</f>
        <v>2339.1812865496991</v>
      </c>
      <c r="G137" s="31">
        <v>17.600000000000001</v>
      </c>
      <c r="H137" s="32">
        <f t="shared" si="71"/>
        <v>2.9239766081871343E-2</v>
      </c>
      <c r="I137" s="101">
        <f>IF(ISNUMBER(G137), $B145 * H137, "")</f>
        <v>2923.9766081871344</v>
      </c>
      <c r="J137" s="15">
        <v>17.399999999999999</v>
      </c>
      <c r="K137" s="32">
        <f t="shared" si="72"/>
        <v>1.754385964912264E-2</v>
      </c>
      <c r="L137" s="18">
        <f>IF(ISNUMBER(J137), $B145 * K137, "")</f>
        <v>1754.3859649122639</v>
      </c>
      <c r="M137" s="31">
        <v>18</v>
      </c>
      <c r="N137" s="32">
        <f t="shared" si="73"/>
        <v>5.2631578947368335E-2</v>
      </c>
      <c r="O137" s="18">
        <f>IF(ISNUMBER(M137), $B145 * N137, "")</f>
        <v>5263.1578947368334</v>
      </c>
      <c r="Q137" s="238"/>
      <c r="R137" s="238"/>
      <c r="S137" s="238"/>
    </row>
    <row r="138" spans="1:19" ht="17.25" thickBot="1">
      <c r="A138" s="125" t="s">
        <v>250</v>
      </c>
      <c r="B138" s="126">
        <v>70</v>
      </c>
      <c r="C138" s="77">
        <v>-1.8232819099999999E-2</v>
      </c>
      <c r="D138" s="15">
        <v>73.400000000000006</v>
      </c>
      <c r="E138" s="32">
        <f t="shared" si="70"/>
        <v>4.8571428571428654E-2</v>
      </c>
      <c r="F138" s="18">
        <f>IF(ISNUMBER(D138), $B145 * E138, "")</f>
        <v>4857.1428571428651</v>
      </c>
      <c r="G138" s="31">
        <v>75.8</v>
      </c>
      <c r="H138" s="32">
        <f t="shared" si="71"/>
        <v>8.285714285714281E-2</v>
      </c>
      <c r="I138" s="101">
        <f>IF(ISNUMBER(G138), $B145 * H138, "")</f>
        <v>8285.7142857142808</v>
      </c>
      <c r="J138" s="15">
        <v>75.7</v>
      </c>
      <c r="K138" s="32">
        <f t="shared" si="72"/>
        <v>8.1428571428571475E-2</v>
      </c>
      <c r="L138" s="18">
        <f>IF(ISNUMBER(J138), $B145 * K138, "")</f>
        <v>8142.8571428571477</v>
      </c>
      <c r="M138" s="31">
        <v>77.5</v>
      </c>
      <c r="N138" s="32">
        <f t="shared" si="73"/>
        <v>0.10714285714285714</v>
      </c>
      <c r="O138" s="18">
        <f>IF(ISNUMBER(M138), $B145 * N138, "")</f>
        <v>10714.285714285714</v>
      </c>
      <c r="Q138" s="248"/>
      <c r="R138" s="248"/>
      <c r="S138" s="248"/>
    </row>
    <row r="139" spans="1:19" ht="17.25" thickBot="1">
      <c r="A139" s="127" t="s">
        <v>216</v>
      </c>
      <c r="B139" s="128">
        <v>10.5</v>
      </c>
      <c r="C139" s="78">
        <v>-1.8691588799999999E-2</v>
      </c>
      <c r="D139" s="20">
        <v>10.7</v>
      </c>
      <c r="E139" s="21">
        <f t="shared" si="70"/>
        <v>1.904761904761898E-2</v>
      </c>
      <c r="F139" s="22">
        <f>IF(ISNUMBER(D139), $B145 * E139, "")</f>
        <v>1904.761904761898</v>
      </c>
      <c r="G139" s="30">
        <v>11</v>
      </c>
      <c r="H139" s="21">
        <f t="shared" si="71"/>
        <v>4.7619047619047616E-2</v>
      </c>
      <c r="I139" s="105">
        <f>IF(ISNUMBER(G139), $B145 * H139, "")</f>
        <v>4761.9047619047615</v>
      </c>
      <c r="J139" s="20">
        <v>10.9</v>
      </c>
      <c r="K139" s="21">
        <f t="shared" si="72"/>
        <v>3.8095238095238126E-2</v>
      </c>
      <c r="L139" s="22">
        <f>IF(ISNUMBER(J139), $B145 * K139, "")</f>
        <v>3809.5238095238128</v>
      </c>
      <c r="M139" s="30">
        <v>11.2</v>
      </c>
      <c r="N139" s="21">
        <f t="shared" si="73"/>
        <v>6.6666666666666596E-2</v>
      </c>
      <c r="O139" s="22">
        <f>IF(ISNUMBER(M139), $B145 * N139, "")</f>
        <v>6666.6666666666597</v>
      </c>
      <c r="Q139" s="248"/>
      <c r="R139" s="248"/>
      <c r="S139" s="248"/>
    </row>
    <row r="140" spans="1:19" ht="17.25" thickBot="1">
      <c r="A140" s="125" t="s">
        <v>150</v>
      </c>
      <c r="B140" s="129">
        <v>12.6</v>
      </c>
      <c r="C140" s="80">
        <v>-2.3255814E-2</v>
      </c>
      <c r="D140" s="106">
        <v>13</v>
      </c>
      <c r="E140" s="107">
        <f>IF(ISNUMBER(D140), (D140 - $B140) / $B140, "")</f>
        <v>3.1746031746031772E-2</v>
      </c>
      <c r="F140" s="108">
        <f>IF(ISNUMBER(D140), $B145 * E140, "")</f>
        <v>3174.6031746031772</v>
      </c>
      <c r="G140" s="109">
        <v>13</v>
      </c>
      <c r="H140" s="107">
        <f>IF(ISNUMBER(G140), (G140 - $B140) / $B140, "")</f>
        <v>3.1746031746031772E-2</v>
      </c>
      <c r="I140" s="110">
        <f>IF(ISNUMBER(G140), $B145 * H140, "")</f>
        <v>3174.6031746031772</v>
      </c>
      <c r="J140" s="106">
        <v>12.9</v>
      </c>
      <c r="K140" s="107">
        <f>IF(ISNUMBER(J140), (J140 - $B140) / $B140, "")</f>
        <v>2.3809523809523867E-2</v>
      </c>
      <c r="L140" s="108">
        <f>IF(ISNUMBER(J140), $B145 * K140, "")</f>
        <v>2380.9523809523866</v>
      </c>
      <c r="M140" s="109">
        <v>13.3</v>
      </c>
      <c r="N140" s="107">
        <f>IF(ISNUMBER(M140), (M140 - $B140) / $B140, "")</f>
        <v>5.5555555555555643E-2</v>
      </c>
      <c r="O140" s="108">
        <f>IF(ISNUMBER(M140), $B145 * N140, "")</f>
        <v>5555.5555555555638</v>
      </c>
      <c r="Q140" s="238"/>
      <c r="R140" s="238"/>
      <c r="S140" s="238"/>
    </row>
    <row r="141" spans="1:19" ht="17.25" thickBot="1">
      <c r="A141" s="125" t="s">
        <v>204</v>
      </c>
      <c r="B141" s="126">
        <v>13.8</v>
      </c>
      <c r="C141" s="77">
        <v>-2.8169014100000001E-2</v>
      </c>
      <c r="D141" s="15">
        <v>14.2</v>
      </c>
      <c r="E141" s="32">
        <f t="shared" ref="E141:E144" si="74">IF(ISNUMBER(D141), (D141 - $B141) / $B141, "")</f>
        <v>2.8985507246376708E-2</v>
      </c>
      <c r="F141" s="18">
        <f>IF(ISNUMBER(D141), $B145 * E141, "")</f>
        <v>2898.550724637671</v>
      </c>
      <c r="G141" s="31">
        <v>14.2</v>
      </c>
      <c r="H141" s="32">
        <f t="shared" ref="H141:H144" si="75">IF(ISNUMBER(G141), (G141 - $B141) / $B141, "")</f>
        <v>2.8985507246376708E-2</v>
      </c>
      <c r="I141" s="101">
        <f>IF(ISNUMBER(G141), $B145 * H141, "")</f>
        <v>2898.550724637671</v>
      </c>
      <c r="J141" s="15">
        <v>14.2</v>
      </c>
      <c r="K141" s="32">
        <f t="shared" ref="K141:K144" si="76">IF(ISNUMBER(J141), (J141 - $B141) / $B141, "")</f>
        <v>2.8985507246376708E-2</v>
      </c>
      <c r="L141" s="18">
        <f>IF(ISNUMBER(J141), $B145 * K141, "")</f>
        <v>2898.550724637671</v>
      </c>
      <c r="M141" s="31">
        <v>14.6</v>
      </c>
      <c r="N141" s="32">
        <f t="shared" ref="N141:N144" si="77">IF(ISNUMBER(M141), (M141 - $B141) / $B141, "")</f>
        <v>5.7971014492753541E-2</v>
      </c>
      <c r="O141" s="18">
        <f>IF(ISNUMBER(M141), $B145 * N141, "")</f>
        <v>5797.1014492753538</v>
      </c>
      <c r="Q141" s="238"/>
      <c r="R141" s="238"/>
      <c r="S141" s="238"/>
    </row>
    <row r="142" spans="1:19" ht="17.25" thickBot="1">
      <c r="A142" s="125" t="s">
        <v>208</v>
      </c>
      <c r="B142" s="126">
        <v>13.3</v>
      </c>
      <c r="C142" s="77">
        <v>-2.9197080300000001E-2</v>
      </c>
      <c r="D142" s="15">
        <v>13.5</v>
      </c>
      <c r="E142" s="32">
        <f t="shared" si="74"/>
        <v>1.5037593984962351E-2</v>
      </c>
      <c r="F142" s="18">
        <f>IF(ISNUMBER(D142), $B145 * E142, "")</f>
        <v>1503.7593984962352</v>
      </c>
      <c r="G142" s="31">
        <v>13.7</v>
      </c>
      <c r="H142" s="32">
        <f t="shared" si="75"/>
        <v>3.0075187969924703E-2</v>
      </c>
      <c r="I142" s="101">
        <f>IF(ISNUMBER(G142), $B145 * H142, "")</f>
        <v>3007.5187969924705</v>
      </c>
      <c r="J142" s="15">
        <v>13.6</v>
      </c>
      <c r="K142" s="32">
        <f t="shared" si="76"/>
        <v>2.2556390977443528E-2</v>
      </c>
      <c r="L142" s="18">
        <f>IF(ISNUMBER(J142), $B145 * K142, "")</f>
        <v>2255.639097744353</v>
      </c>
      <c r="M142" s="31">
        <v>14.2</v>
      </c>
      <c r="N142" s="32">
        <f t="shared" si="77"/>
        <v>6.7669172932330712E-2</v>
      </c>
      <c r="O142" s="18">
        <f>IF(ISNUMBER(M142), $B145 * N142, "")</f>
        <v>6766.9172932330712</v>
      </c>
      <c r="Q142" s="238"/>
      <c r="R142" s="238"/>
      <c r="S142" s="238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7"/>
      <c r="R143" s="228"/>
      <c r="S143" s="229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30"/>
      <c r="R144" s="231"/>
      <c r="S144" s="232"/>
    </row>
    <row r="145" spans="1:19" ht="17.25" thickBot="1">
      <c r="A145" s="132" t="s">
        <v>270</v>
      </c>
      <c r="B145" s="291">
        <f>$B$37</f>
        <v>100000</v>
      </c>
      <c r="C145" s="292"/>
      <c r="D145" s="26" t="s">
        <v>271</v>
      </c>
      <c r="E145" s="27">
        <f>IF(COUNT(E125:E144), SUM(E125:E144) / COUNT(E125:E144), 0)</f>
        <v>3.5435377728247258E-2</v>
      </c>
      <c r="F145" s="28">
        <f>SUM(F125:F144)</f>
        <v>63783.679910845065</v>
      </c>
      <c r="G145" s="26" t="s">
        <v>271</v>
      </c>
      <c r="H145" s="27">
        <f>IF(COUNT(H125:H144), SUM(H125:H144) / COUNT(H125:H144), 0)</f>
        <v>5.8901594869206333E-2</v>
      </c>
      <c r="I145" s="28">
        <f>SUM(I125:I144)</f>
        <v>106022.87076457139</v>
      </c>
      <c r="J145" s="26" t="s">
        <v>271</v>
      </c>
      <c r="K145" s="27">
        <f>IF(COUNT(K125:K144), SUM(K125:K144) / COUNT(K125:K144), 0)</f>
        <v>5.2537898858312476E-2</v>
      </c>
      <c r="L145" s="28">
        <f>SUM(L125:L144)</f>
        <v>94568.217944962424</v>
      </c>
      <c r="M145" s="26" t="s">
        <v>271</v>
      </c>
      <c r="N145" s="27">
        <f>IF(COUNT(N125:N144), SUM(N125:N144) / COUNT(N125:N144), 0)</f>
        <v>8.2617086685835284E-2</v>
      </c>
      <c r="O145" s="28">
        <f>SUM(O125:O144)</f>
        <v>148710.75603450349</v>
      </c>
      <c r="Q145" s="233"/>
      <c r="R145" s="234"/>
      <c r="S145" s="23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48"/>
      <c r="R148" s="248"/>
      <c r="S148" s="248"/>
    </row>
    <row r="149" spans="1:19" ht="17.25" thickBot="1">
      <c r="A149" s="197" t="s">
        <v>267</v>
      </c>
      <c r="B149" s="249" t="s">
        <v>49</v>
      </c>
      <c r="C149" s="251"/>
      <c r="D149" s="249" t="s">
        <v>58</v>
      </c>
      <c r="E149" s="250"/>
      <c r="F149" s="251"/>
      <c r="G149" s="252">
        <f>_xlfn.IFNA(VLOOKUP(B149, 현재가테이블!$B$2:$D$200, 2, FALSE), "-")</f>
        <v>54440000</v>
      </c>
      <c r="H149" s="253"/>
      <c r="I149" s="254"/>
      <c r="J149" s="249" t="s">
        <v>59</v>
      </c>
      <c r="K149" s="250"/>
      <c r="L149" s="251"/>
      <c r="M149" s="255">
        <f>_xlfn.IFNA(VLOOKUP(B149, 현재가테이블!$B$2:$D$200, 3, FALSE), "-")</f>
        <v>1.07123628E-2</v>
      </c>
      <c r="N149" s="256"/>
      <c r="O149" s="257"/>
      <c r="Q149" s="248"/>
      <c r="R149" s="248"/>
      <c r="S149" s="248"/>
    </row>
    <row r="150" spans="1:19" ht="17.25" thickBot="1">
      <c r="A150" s="293" t="s">
        <v>55</v>
      </c>
      <c r="B150" s="289" t="str">
        <f>TEXT($G$1, "[$-ko-KR]yyyy-mm-dd(ddd) ") &amp; "오전 00:00"</f>
        <v>2021-08-11(수) 오전 00:00</v>
      </c>
      <c r="C150" s="290"/>
      <c r="D150" s="262" t="str">
        <f>TEXT($G$1, "[$-ko-KR]yyyy-mm-dd(ddd) ") &amp; "오후 14:00"</f>
        <v>2021-08-11(수) 오후 14:00</v>
      </c>
      <c r="E150" s="263"/>
      <c r="F150" s="264"/>
      <c r="G150" s="262" t="str">
        <f>TEXT($G$1, "[$-ko-KR]yyyy-mm-dd(ddd) ") &amp; "오후 19:00"</f>
        <v>2021-08-11(수) 오후 19:00</v>
      </c>
      <c r="H150" s="263"/>
      <c r="I150" s="264"/>
      <c r="J150" s="262" t="str">
        <f>TEXT($G$1, "[$-ko-KR]yyyy-mm-dd(ddd) ") &amp; "오후 21:00"</f>
        <v>2021-08-11(수) 오후 21:00</v>
      </c>
      <c r="K150" s="263"/>
      <c r="L150" s="264"/>
      <c r="M150" s="262" t="str">
        <f>TEXT($G$1+1, "[$-ko-KR]yyyy-mm-dd(ddd) ") &amp; "오전 00:00"</f>
        <v>2021-08-12(목) 오전 00:00</v>
      </c>
      <c r="N150" s="263"/>
      <c r="O150" s="264"/>
      <c r="Q150" s="248"/>
      <c r="R150" s="248"/>
      <c r="S150" s="248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8" t="s">
        <v>58</v>
      </c>
      <c r="H151" s="199" t="s">
        <v>268</v>
      </c>
      <c r="I151" s="20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8"/>
      <c r="R151" s="238"/>
      <c r="S151" s="238"/>
    </row>
    <row r="152" spans="1:19" ht="17.25" thickBot="1">
      <c r="A152" s="123" t="s">
        <v>128</v>
      </c>
      <c r="B152" s="124">
        <v>122</v>
      </c>
      <c r="C152" s="76">
        <v>0</v>
      </c>
      <c r="D152" s="13">
        <v>128</v>
      </c>
      <c r="E152" s="14">
        <f>IF(ISNUMBER(D152), (D152 - $B152) / $B152, "")</f>
        <v>4.9180327868852458E-2</v>
      </c>
      <c r="F152" s="16">
        <f>IF(ISNUMBER(D152), $B172 * E152, "")</f>
        <v>4918.0327868852455</v>
      </c>
      <c r="G152" s="29">
        <v>128</v>
      </c>
      <c r="H152" s="14">
        <f>IF(ISNUMBER(G152), (G152 - $B152) / $B152, "")</f>
        <v>4.9180327868852458E-2</v>
      </c>
      <c r="I152" s="100">
        <f>IF(ISNUMBER(G152), $B172 * H152, "")</f>
        <v>4918.0327868852455</v>
      </c>
      <c r="J152" s="13">
        <v>127</v>
      </c>
      <c r="K152" s="14">
        <f>IF(ISNUMBER(J152), (J152 - $B152) / $B152, "")</f>
        <v>4.0983606557377046E-2</v>
      </c>
      <c r="L152" s="16">
        <f>IF(ISNUMBER(J152), $B172 * K152, "")</f>
        <v>4098.3606557377043</v>
      </c>
      <c r="M152" s="29">
        <v>133</v>
      </c>
      <c r="N152" s="14">
        <f>IF(ISNUMBER(M152), (M152 - $B152) / $B152, "")</f>
        <v>9.0163934426229511E-2</v>
      </c>
      <c r="O152" s="16">
        <f>IF(ISNUMBER(M152), $B172 * N152, "")</f>
        <v>9016.3934426229516</v>
      </c>
      <c r="Q152" s="248"/>
      <c r="R152" s="248"/>
      <c r="S152" s="248"/>
    </row>
    <row r="153" spans="1:19" ht="17.25" thickBot="1">
      <c r="A153" s="125" t="s">
        <v>118</v>
      </c>
      <c r="B153" s="126">
        <v>162</v>
      </c>
      <c r="C153" s="77">
        <v>0</v>
      </c>
      <c r="D153" s="15">
        <v>166</v>
      </c>
      <c r="E153" s="32">
        <f t="shared" ref="E153:E156" si="78">IF(ISNUMBER(D153), (D153 - $B153) / $B153, "")</f>
        <v>2.4691358024691357E-2</v>
      </c>
      <c r="F153" s="18">
        <f>IF(ISNUMBER(D153), $B172 * E153, "")</f>
        <v>2469.1358024691358</v>
      </c>
      <c r="G153" s="31">
        <v>169</v>
      </c>
      <c r="H153" s="32">
        <f t="shared" ref="H153:H156" si="79">IF(ISNUMBER(G153), (G153 - $B153) / $B153, "")</f>
        <v>4.3209876543209874E-2</v>
      </c>
      <c r="I153" s="101">
        <f>IF(ISNUMBER(G153), $B172 * H153, "")</f>
        <v>4320.9876543209875</v>
      </c>
      <c r="J153" s="15">
        <v>168</v>
      </c>
      <c r="K153" s="32">
        <f t="shared" ref="K153:K156" si="80">IF(ISNUMBER(J153), (J153 - $B153) / $B153, "")</f>
        <v>3.7037037037037035E-2</v>
      </c>
      <c r="L153" s="18">
        <f>IF(ISNUMBER(J153), $B172 * K153, "")</f>
        <v>3703.7037037037035</v>
      </c>
      <c r="M153" s="31">
        <v>171</v>
      </c>
      <c r="N153" s="32">
        <f t="shared" ref="N153:N156" si="81">IF(ISNUMBER(M153), (M153 - $B153) / $B153, "")</f>
        <v>5.5555555555555552E-2</v>
      </c>
      <c r="O153" s="18">
        <f>IF(ISNUMBER(M153), $B172 * N153, "")</f>
        <v>5555.5555555555557</v>
      </c>
      <c r="Q153" s="248"/>
      <c r="R153" s="248"/>
      <c r="S153" s="248"/>
    </row>
    <row r="154" spans="1:19" ht="17.25" thickBot="1">
      <c r="A154" s="125" t="s">
        <v>138</v>
      </c>
      <c r="B154" s="126">
        <v>383</v>
      </c>
      <c r="C154" s="77">
        <v>-2.6041667E-3</v>
      </c>
      <c r="D154" s="15">
        <v>391</v>
      </c>
      <c r="E154" s="32">
        <f t="shared" si="78"/>
        <v>2.0887728459530026E-2</v>
      </c>
      <c r="F154" s="18">
        <f>IF(ISNUMBER(D154), $B172 * E154, "")</f>
        <v>2088.7728459530026</v>
      </c>
      <c r="G154" s="31">
        <v>390</v>
      </c>
      <c r="H154" s="32">
        <f t="shared" si="79"/>
        <v>1.8276762402088774E-2</v>
      </c>
      <c r="I154" s="101">
        <f>IF(ISNUMBER(G154), $B172 * H154, "")</f>
        <v>1827.6762402088773</v>
      </c>
      <c r="J154" s="15">
        <v>388</v>
      </c>
      <c r="K154" s="32">
        <f t="shared" si="80"/>
        <v>1.3054830287206266E-2</v>
      </c>
      <c r="L154" s="18">
        <f>IF(ISNUMBER(J154), $B172 * K154, "")</f>
        <v>1305.4830287206266</v>
      </c>
      <c r="M154" s="31">
        <v>405</v>
      </c>
      <c r="N154" s="32">
        <f t="shared" si="81"/>
        <v>5.7441253263707574E-2</v>
      </c>
      <c r="O154" s="18">
        <f>IF(ISNUMBER(M154), $B172 * N154, "")</f>
        <v>5744.1253263707576</v>
      </c>
      <c r="Q154" s="238"/>
      <c r="R154" s="238"/>
      <c r="S154" s="238"/>
    </row>
    <row r="155" spans="1:19" ht="17.25" thickBot="1">
      <c r="A155" s="125" t="s">
        <v>242</v>
      </c>
      <c r="B155" s="126">
        <v>483</v>
      </c>
      <c r="C155" s="77">
        <v>-6.1728395E-3</v>
      </c>
      <c r="D155" s="15">
        <v>489</v>
      </c>
      <c r="E155" s="32">
        <f t="shared" si="78"/>
        <v>1.2422360248447204E-2</v>
      </c>
      <c r="F155" s="18">
        <f>IF(ISNUMBER(D155), $B172 * E155, "")</f>
        <v>1242.2360248447203</v>
      </c>
      <c r="G155" s="31">
        <v>493</v>
      </c>
      <c r="H155" s="32">
        <f t="shared" si="79"/>
        <v>2.0703933747412008E-2</v>
      </c>
      <c r="I155" s="101">
        <f>IF(ISNUMBER(G155), $B172 * H155, "")</f>
        <v>2070.3933747412007</v>
      </c>
      <c r="J155" s="15">
        <v>489</v>
      </c>
      <c r="K155" s="32">
        <f t="shared" si="80"/>
        <v>1.2422360248447204E-2</v>
      </c>
      <c r="L155" s="18">
        <f>IF(ISNUMBER(J155), $B172 * K155, "")</f>
        <v>1242.2360248447203</v>
      </c>
      <c r="M155" s="31">
        <v>498</v>
      </c>
      <c r="N155" s="32">
        <f t="shared" si="81"/>
        <v>3.1055900621118012E-2</v>
      </c>
      <c r="O155" s="18">
        <f>IF(ISNUMBER(M155), $B172 * N155, "")</f>
        <v>3105.5900621118012</v>
      </c>
      <c r="Q155" s="238"/>
      <c r="R155" s="238"/>
      <c r="S155" s="238"/>
    </row>
    <row r="156" spans="1:19" ht="17.25" thickBot="1">
      <c r="A156" s="127" t="s">
        <v>144</v>
      </c>
      <c r="B156" s="128">
        <v>109</v>
      </c>
      <c r="C156" s="78">
        <v>-9.0909091000000008E-3</v>
      </c>
      <c r="D156" s="20">
        <v>113</v>
      </c>
      <c r="E156" s="21">
        <f t="shared" si="78"/>
        <v>3.669724770642202E-2</v>
      </c>
      <c r="F156" s="22">
        <f>IF(ISNUMBER(D156), $B172 * E156, "")</f>
        <v>3669.7247706422022</v>
      </c>
      <c r="G156" s="30">
        <v>115</v>
      </c>
      <c r="H156" s="21">
        <f t="shared" si="79"/>
        <v>5.5045871559633031E-2</v>
      </c>
      <c r="I156" s="105">
        <f>IF(ISNUMBER(G156), $B172 * H156, "")</f>
        <v>5504.5871559633033</v>
      </c>
      <c r="J156" s="20">
        <v>116</v>
      </c>
      <c r="K156" s="21">
        <f t="shared" si="80"/>
        <v>6.4220183486238536E-2</v>
      </c>
      <c r="L156" s="22">
        <f>IF(ISNUMBER(J156), $B172 * K156, "")</f>
        <v>6422.0183486238539</v>
      </c>
      <c r="M156" s="30">
        <v>117</v>
      </c>
      <c r="N156" s="21">
        <f t="shared" si="81"/>
        <v>7.3394495412844041E-2</v>
      </c>
      <c r="O156" s="22">
        <f>IF(ISNUMBER(M156), $B172 * N156, "")</f>
        <v>7339.4495412844044</v>
      </c>
      <c r="Q156" s="238"/>
      <c r="R156" s="238"/>
      <c r="S156" s="238"/>
    </row>
    <row r="157" spans="1:19" ht="17.25" thickBot="1">
      <c r="A157" s="125" t="s">
        <v>266</v>
      </c>
      <c r="B157" s="129">
        <v>289</v>
      </c>
      <c r="C157" s="80">
        <v>-1.02739726E-2</v>
      </c>
      <c r="D157" s="106">
        <v>310</v>
      </c>
      <c r="E157" s="107">
        <f>IF(ISNUMBER(D157), (D157 - $B157) / $B157, "")</f>
        <v>7.2664359861591699E-2</v>
      </c>
      <c r="F157" s="108">
        <f>IF(ISNUMBER(D157), $B172 * E157, "")</f>
        <v>7266.4359861591702</v>
      </c>
      <c r="G157" s="109">
        <v>309</v>
      </c>
      <c r="H157" s="107">
        <f>IF(ISNUMBER(G157), (G157 - $B157) / $B157, "")</f>
        <v>6.9204152249134954E-2</v>
      </c>
      <c r="I157" s="110">
        <f>IF(ISNUMBER(G157), $B172 * H157, "")</f>
        <v>6920.415224913495</v>
      </c>
      <c r="J157" s="106">
        <v>305</v>
      </c>
      <c r="K157" s="107">
        <f>IF(ISNUMBER(J157), (J157 - $B157) / $B157, "")</f>
        <v>5.536332179930796E-2</v>
      </c>
      <c r="L157" s="108">
        <f>IF(ISNUMBER(J157), $B172 * K157, "")</f>
        <v>5536.332179930796</v>
      </c>
      <c r="M157" s="109">
        <v>316</v>
      </c>
      <c r="N157" s="107">
        <f>IF(ISNUMBER(M157), (M157 - $B157) / $B157, "")</f>
        <v>9.3425605536332182E-2</v>
      </c>
      <c r="O157" s="108">
        <f>IF(ISNUMBER(M157), $B172 * N157, "")</f>
        <v>9342.5605536332187</v>
      </c>
      <c r="Q157" s="238"/>
      <c r="R157" s="238"/>
      <c r="S157" s="238"/>
    </row>
    <row r="158" spans="1:19" ht="17.25" thickBot="1">
      <c r="A158" s="125" t="s">
        <v>194</v>
      </c>
      <c r="B158" s="126">
        <v>143</v>
      </c>
      <c r="C158" s="77">
        <v>-1.3793103399999999E-2</v>
      </c>
      <c r="D158" s="15">
        <v>145</v>
      </c>
      <c r="E158" s="32">
        <f t="shared" ref="E158:E161" si="82">IF(ISNUMBER(D158), (D158 - $B158) / $B158, "")</f>
        <v>1.3986013986013986E-2</v>
      </c>
      <c r="F158" s="18">
        <f>IF(ISNUMBER(D158), $B172 * E158, "")</f>
        <v>1398.6013986013986</v>
      </c>
      <c r="G158" s="31">
        <v>147</v>
      </c>
      <c r="H158" s="32">
        <f t="shared" ref="H158:H161" si="83">IF(ISNUMBER(G158), (G158 - $B158) / $B158, "")</f>
        <v>2.7972027972027972E-2</v>
      </c>
      <c r="I158" s="101">
        <f>IF(ISNUMBER(G158), $B172 * H158, "")</f>
        <v>2797.2027972027972</v>
      </c>
      <c r="J158" s="15">
        <v>145</v>
      </c>
      <c r="K158" s="32">
        <f t="shared" ref="K158:K161" si="84">IF(ISNUMBER(J158), (J158 - $B158) / $B158, "")</f>
        <v>1.3986013986013986E-2</v>
      </c>
      <c r="L158" s="18">
        <f>IF(ISNUMBER(J158), $B172 * K158, "")</f>
        <v>1398.6013986013986</v>
      </c>
      <c r="M158" s="31">
        <v>148</v>
      </c>
      <c r="N158" s="32">
        <f t="shared" ref="N158:N161" si="85">IF(ISNUMBER(M158), (M158 - $B158) / $B158, "")</f>
        <v>3.4965034965034968E-2</v>
      </c>
      <c r="O158" s="18">
        <f>IF(ISNUMBER(M158), $B172 * N158, "")</f>
        <v>3496.5034965034965</v>
      </c>
      <c r="Q158" s="238"/>
      <c r="R158" s="238"/>
      <c r="S158" s="238"/>
    </row>
    <row r="159" spans="1:19" ht="17.25" thickBot="1">
      <c r="A159" s="125" t="s">
        <v>57</v>
      </c>
      <c r="B159" s="126">
        <v>207</v>
      </c>
      <c r="C159" s="77">
        <v>-1.42857143E-2</v>
      </c>
      <c r="D159" s="15">
        <v>221</v>
      </c>
      <c r="E159" s="32">
        <f t="shared" si="82"/>
        <v>6.7632850241545889E-2</v>
      </c>
      <c r="F159" s="18">
        <f>IF(ISNUMBER(D159), $B172 * E159, "")</f>
        <v>6763.2850241545884</v>
      </c>
      <c r="G159" s="31">
        <v>224</v>
      </c>
      <c r="H159" s="32">
        <f t="shared" si="83"/>
        <v>8.2125603864734303E-2</v>
      </c>
      <c r="I159" s="101">
        <f>IF(ISNUMBER(G159), $B172 * H159, "")</f>
        <v>8212.5603864734312</v>
      </c>
      <c r="J159" s="15">
        <v>221</v>
      </c>
      <c r="K159" s="32">
        <f t="shared" si="84"/>
        <v>6.7632850241545889E-2</v>
      </c>
      <c r="L159" s="18">
        <f>IF(ISNUMBER(J159), $B172 * K159, "")</f>
        <v>6763.2850241545884</v>
      </c>
      <c r="M159" s="31">
        <v>229</v>
      </c>
      <c r="N159" s="32">
        <f t="shared" si="85"/>
        <v>0.10628019323671498</v>
      </c>
      <c r="O159" s="18">
        <f>IF(ISNUMBER(M159), $B172 * N159, "")</f>
        <v>10628.019323671497</v>
      </c>
      <c r="Q159" s="238"/>
      <c r="R159" s="238"/>
      <c r="S159" s="238"/>
    </row>
    <row r="160" spans="1:19" ht="17.25" thickBot="1">
      <c r="A160" s="125" t="s">
        <v>236</v>
      </c>
      <c r="B160" s="126">
        <v>603</v>
      </c>
      <c r="C160" s="77">
        <v>-1.47058824E-2</v>
      </c>
      <c r="D160" s="15">
        <v>626</v>
      </c>
      <c r="E160" s="32">
        <f t="shared" si="82"/>
        <v>3.8142620232172471E-2</v>
      </c>
      <c r="F160" s="18">
        <f>IF(ISNUMBER(D160), $B172 * E160, "")</f>
        <v>3814.2620232172471</v>
      </c>
      <c r="G160" s="31">
        <v>631</v>
      </c>
      <c r="H160" s="32">
        <f t="shared" si="83"/>
        <v>4.6434494195688222E-2</v>
      </c>
      <c r="I160" s="101">
        <f>IF(ISNUMBER(G160), $B172 * H160, "")</f>
        <v>4643.4494195688221</v>
      </c>
      <c r="J160" s="15">
        <v>624</v>
      </c>
      <c r="K160" s="32">
        <f t="shared" si="84"/>
        <v>3.482587064676617E-2</v>
      </c>
      <c r="L160" s="18">
        <f>IF(ISNUMBER(J160), $B172 * K160, "")</f>
        <v>3482.587064676617</v>
      </c>
      <c r="M160" s="31">
        <v>644</v>
      </c>
      <c r="N160" s="32">
        <f t="shared" si="85"/>
        <v>6.7993366500829183E-2</v>
      </c>
      <c r="O160" s="18">
        <f>IF(ISNUMBER(M160), $B172 * N160, "")</f>
        <v>6799.3366500829179</v>
      </c>
      <c r="Q160" s="33"/>
      <c r="R160" s="33"/>
    </row>
    <row r="161" spans="1:19" ht="17.25" thickBot="1">
      <c r="A161" s="130" t="s">
        <v>206</v>
      </c>
      <c r="B161" s="131">
        <v>318</v>
      </c>
      <c r="C161" s="79">
        <v>-1.5479876199999999E-2</v>
      </c>
      <c r="D161" s="24">
        <v>353</v>
      </c>
      <c r="E161" s="25">
        <f t="shared" si="82"/>
        <v>0.11006289308176101</v>
      </c>
      <c r="F161" s="104">
        <f>IF(ISNUMBER(D161), $B172 * E161, "")</f>
        <v>11006.289308176101</v>
      </c>
      <c r="G161" s="102">
        <v>355</v>
      </c>
      <c r="H161" s="25">
        <f t="shared" si="83"/>
        <v>0.11635220125786164</v>
      </c>
      <c r="I161" s="103">
        <f>IF(ISNUMBER(G161), $B172 * H161, "")</f>
        <v>11635.220125786163</v>
      </c>
      <c r="J161" s="24">
        <v>351</v>
      </c>
      <c r="K161" s="25">
        <f t="shared" si="84"/>
        <v>0.10377358490566038</v>
      </c>
      <c r="L161" s="104">
        <f>IF(ISNUMBER(J161), $B172 * K161, "")</f>
        <v>10377.358490566039</v>
      </c>
      <c r="M161" s="102">
        <v>357</v>
      </c>
      <c r="N161" s="25">
        <f t="shared" si="85"/>
        <v>0.12264150943396226</v>
      </c>
      <c r="O161" s="104">
        <f>IF(ISNUMBER(M161), $B172 * N161, "")</f>
        <v>12264.150943396227</v>
      </c>
      <c r="Q161" s="239"/>
      <c r="R161" s="240"/>
      <c r="S161" s="241"/>
    </row>
    <row r="162" spans="1:19">
      <c r="A162" s="123" t="s">
        <v>164</v>
      </c>
      <c r="B162" s="124">
        <v>309</v>
      </c>
      <c r="C162" s="76">
        <v>-1.5923566900000002E-2</v>
      </c>
      <c r="D162" s="13">
        <v>320</v>
      </c>
      <c r="E162" s="14">
        <f>IF(ISNUMBER(D162), (D162 - $B162) / $B162, "")</f>
        <v>3.5598705501618123E-2</v>
      </c>
      <c r="F162" s="16">
        <f>IF(ISNUMBER(D162), $B172 * E162, "")</f>
        <v>3559.8705501618124</v>
      </c>
      <c r="G162" s="29">
        <v>323</v>
      </c>
      <c r="H162" s="14">
        <f>IF(ISNUMBER(G162), (G162 - $B162) / $B162, "")</f>
        <v>4.5307443365695796E-2</v>
      </c>
      <c r="I162" s="100">
        <f>IF(ISNUMBER(G162), $B172 * H162, "")</f>
        <v>4530.7443365695799</v>
      </c>
      <c r="J162" s="13">
        <v>323</v>
      </c>
      <c r="K162" s="14">
        <f>IF(ISNUMBER(J162), (J162 - $B162) / $B162, "")</f>
        <v>4.5307443365695796E-2</v>
      </c>
      <c r="L162" s="16">
        <f>IF(ISNUMBER(J162), $B172 * K162, "")</f>
        <v>4530.7443365695799</v>
      </c>
      <c r="M162" s="29">
        <v>328</v>
      </c>
      <c r="N162" s="14">
        <f>IF(ISNUMBER(M162), (M162 - $B162) / $B162, "")</f>
        <v>6.1488673139158574E-2</v>
      </c>
      <c r="O162" s="16">
        <f>IF(ISNUMBER(M162), $B172 * N162, "")</f>
        <v>6148.8673139158573</v>
      </c>
      <c r="Q162" s="242"/>
      <c r="R162" s="243"/>
      <c r="S162" s="244"/>
    </row>
    <row r="163" spans="1:19" ht="17.25" thickBot="1">
      <c r="A163" s="125" t="s">
        <v>184</v>
      </c>
      <c r="B163" s="126">
        <v>992</v>
      </c>
      <c r="C163" s="77">
        <v>-1.78217822E-2</v>
      </c>
      <c r="D163" s="15">
        <v>1000</v>
      </c>
      <c r="E163" s="32">
        <f t="shared" ref="E163:E166" si="86">IF(ISNUMBER(D163), (D163 - $B163) / $B163, "")</f>
        <v>8.0645161290322578E-3</v>
      </c>
      <c r="F163" s="18">
        <f>IF(ISNUMBER(D163), $B172 * E163, "")</f>
        <v>806.45161290322574</v>
      </c>
      <c r="G163" s="31">
        <v>1020</v>
      </c>
      <c r="H163" s="32">
        <f t="shared" ref="H163:H166" si="87">IF(ISNUMBER(G163), (G163 - $B163) / $B163, "")</f>
        <v>2.8225806451612902E-2</v>
      </c>
      <c r="I163" s="101">
        <f>IF(ISNUMBER(G163), $B172 * H163, "")</f>
        <v>2822.5806451612902</v>
      </c>
      <c r="J163" s="15">
        <v>1010</v>
      </c>
      <c r="K163" s="32">
        <f t="shared" ref="K163:K166" si="88">IF(ISNUMBER(J163), (J163 - $B163) / $B163, "")</f>
        <v>1.8145161290322582E-2</v>
      </c>
      <c r="L163" s="18">
        <f>IF(ISNUMBER(J163), $B172 * K163, "")</f>
        <v>1814.5161290322583</v>
      </c>
      <c r="M163" s="31">
        <v>1045</v>
      </c>
      <c r="N163" s="32">
        <f t="shared" ref="N163:N166" si="89">IF(ISNUMBER(M163), (M163 - $B163) / $B163, "")</f>
        <v>5.3427419354838711E-2</v>
      </c>
      <c r="O163" s="18">
        <f>IF(ISNUMBER(M163), $B172 * N163, "")</f>
        <v>5342.7419354838712</v>
      </c>
      <c r="Q163" s="245"/>
      <c r="R163" s="246"/>
      <c r="S163" s="247"/>
    </row>
    <row r="164" spans="1:19" ht="17.25" thickBot="1">
      <c r="A164" s="125" t="s">
        <v>238</v>
      </c>
      <c r="B164" s="126">
        <v>101</v>
      </c>
      <c r="C164" s="77">
        <v>-1.9417475699999999E-2</v>
      </c>
      <c r="D164" s="15">
        <v>106</v>
      </c>
      <c r="E164" s="32">
        <f t="shared" si="86"/>
        <v>4.9504950495049507E-2</v>
      </c>
      <c r="F164" s="18">
        <f>IF(ISNUMBER(D164), $B172 * E164, "")</f>
        <v>4950.4950495049507</v>
      </c>
      <c r="G164" s="31">
        <v>107</v>
      </c>
      <c r="H164" s="32">
        <f t="shared" si="87"/>
        <v>5.9405940594059403E-2</v>
      </c>
      <c r="I164" s="101">
        <f>IF(ISNUMBER(G164), $B172 * H164, "")</f>
        <v>5940.5940594059402</v>
      </c>
      <c r="J164" s="15">
        <v>107</v>
      </c>
      <c r="K164" s="32">
        <f t="shared" si="88"/>
        <v>5.9405940594059403E-2</v>
      </c>
      <c r="L164" s="18">
        <f>IF(ISNUMBER(J164), $B172 * K164, "")</f>
        <v>5940.5940594059402</v>
      </c>
      <c r="M164" s="31">
        <v>108</v>
      </c>
      <c r="N164" s="32">
        <f t="shared" si="89"/>
        <v>6.9306930693069313E-2</v>
      </c>
      <c r="O164" s="18">
        <f>IF(ISNUMBER(M164), $B172 * N164, "")</f>
        <v>6930.6930693069316</v>
      </c>
      <c r="Q164" s="238"/>
      <c r="R164" s="238"/>
      <c r="S164" s="238"/>
    </row>
    <row r="165" spans="1:19" ht="17.25" thickBot="1">
      <c r="A165" s="125" t="s">
        <v>228</v>
      </c>
      <c r="B165" s="126">
        <v>388</v>
      </c>
      <c r="C165" s="77">
        <v>-2.02020202E-2</v>
      </c>
      <c r="D165" s="15">
        <v>402</v>
      </c>
      <c r="E165" s="32">
        <f t="shared" si="86"/>
        <v>3.608247422680412E-2</v>
      </c>
      <c r="F165" s="18">
        <f>IF(ISNUMBER(D165), $B172 * E165, "")</f>
        <v>3608.247422680412</v>
      </c>
      <c r="G165" s="31">
        <v>401</v>
      </c>
      <c r="H165" s="32">
        <f t="shared" si="87"/>
        <v>3.3505154639175257E-2</v>
      </c>
      <c r="I165" s="101">
        <f>IF(ISNUMBER(G165), $B172 * H165, "")</f>
        <v>3350.5154639175257</v>
      </c>
      <c r="J165" s="15">
        <v>396</v>
      </c>
      <c r="K165" s="32">
        <f t="shared" si="88"/>
        <v>2.0618556701030927E-2</v>
      </c>
      <c r="L165" s="18">
        <f>IF(ISNUMBER(J165), $B172 * K165, "")</f>
        <v>2061.855670103093</v>
      </c>
      <c r="M165" s="31">
        <v>407</v>
      </c>
      <c r="N165" s="32">
        <f t="shared" si="89"/>
        <v>4.8969072164948453E-2</v>
      </c>
      <c r="O165" s="18">
        <f>IF(ISNUMBER(M165), $B172 * N165, "")</f>
        <v>4896.9072164948457</v>
      </c>
      <c r="Q165" s="248"/>
      <c r="R165" s="248"/>
      <c r="S165" s="248"/>
    </row>
    <row r="166" spans="1:19" ht="17.25" thickBot="1">
      <c r="A166" s="127" t="s">
        <v>110</v>
      </c>
      <c r="B166" s="128">
        <v>188</v>
      </c>
      <c r="C166" s="78">
        <v>-2.08333333E-2</v>
      </c>
      <c r="D166" s="20">
        <v>189</v>
      </c>
      <c r="E166" s="21">
        <f t="shared" si="86"/>
        <v>5.3191489361702126E-3</v>
      </c>
      <c r="F166" s="22">
        <f>IF(ISNUMBER(D166), $B172 * E166, "")</f>
        <v>531.91489361702122</v>
      </c>
      <c r="G166" s="30">
        <v>191</v>
      </c>
      <c r="H166" s="21">
        <f t="shared" si="87"/>
        <v>1.5957446808510637E-2</v>
      </c>
      <c r="I166" s="105">
        <f>IF(ISNUMBER(G166), $B172 * H166, "")</f>
        <v>1595.7446808510638</v>
      </c>
      <c r="J166" s="20">
        <v>189</v>
      </c>
      <c r="K166" s="21">
        <f t="shared" si="88"/>
        <v>5.3191489361702126E-3</v>
      </c>
      <c r="L166" s="22">
        <f>IF(ISNUMBER(J166), $B172 * K166, "")</f>
        <v>531.91489361702122</v>
      </c>
      <c r="M166" s="30">
        <v>192</v>
      </c>
      <c r="N166" s="21">
        <f t="shared" si="89"/>
        <v>2.1276595744680851E-2</v>
      </c>
      <c r="O166" s="22">
        <f>IF(ISNUMBER(M166), $B172 * N166, "")</f>
        <v>2127.6595744680849</v>
      </c>
      <c r="Q166" s="248"/>
      <c r="R166" s="248"/>
      <c r="S166" s="248"/>
    </row>
    <row r="167" spans="1:19" ht="17.25" thickBot="1">
      <c r="A167" s="125" t="s">
        <v>192</v>
      </c>
      <c r="B167" s="129">
        <v>226</v>
      </c>
      <c r="C167" s="80">
        <v>-2.1645021600000001E-2</v>
      </c>
      <c r="D167" s="106">
        <v>233</v>
      </c>
      <c r="E167" s="107">
        <f>IF(ISNUMBER(D167), (D167 - $B167) / $B167, "")</f>
        <v>3.0973451327433628E-2</v>
      </c>
      <c r="F167" s="108">
        <f>IF(ISNUMBER(D167), $B172 * E167, "")</f>
        <v>3097.3451327433627</v>
      </c>
      <c r="G167" s="109">
        <v>235</v>
      </c>
      <c r="H167" s="107">
        <f>IF(ISNUMBER(G167), (G167 - $B167) / $B167, "")</f>
        <v>3.9823008849557522E-2</v>
      </c>
      <c r="I167" s="110">
        <f>IF(ISNUMBER(G167), $B172 * H167, "")</f>
        <v>3982.3008849557523</v>
      </c>
      <c r="J167" s="106">
        <v>233</v>
      </c>
      <c r="K167" s="107">
        <f>IF(ISNUMBER(J167), (J167 - $B167) / $B167, "")</f>
        <v>3.0973451327433628E-2</v>
      </c>
      <c r="L167" s="108">
        <f>IF(ISNUMBER(J167), $B172 * K167, "")</f>
        <v>3097.3451327433627</v>
      </c>
      <c r="M167" s="109">
        <v>239</v>
      </c>
      <c r="N167" s="107">
        <f>IF(ISNUMBER(M167), (M167 - $B167) / $B167, "")</f>
        <v>5.7522123893805309E-2</v>
      </c>
      <c r="O167" s="108">
        <f>IF(ISNUMBER(M167), $B172 * N167, "")</f>
        <v>5752.212389380531</v>
      </c>
      <c r="Q167" s="238"/>
      <c r="R167" s="238"/>
      <c r="S167" s="238"/>
    </row>
    <row r="168" spans="1:19" ht="17.25" thickBot="1">
      <c r="A168" s="125" t="s">
        <v>232</v>
      </c>
      <c r="B168" s="126">
        <v>512</v>
      </c>
      <c r="C168" s="77">
        <v>-2.2900763399999999E-2</v>
      </c>
      <c r="D168" s="15">
        <v>528</v>
      </c>
      <c r="E168" s="32">
        <f t="shared" ref="E168:E171" si="90">IF(ISNUMBER(D168), (D168 - $B168) / $B168, "")</f>
        <v>3.125E-2</v>
      </c>
      <c r="F168" s="18">
        <f>IF(ISNUMBER(D168), $B172 * E168, "")</f>
        <v>3125</v>
      </c>
      <c r="G168" s="31">
        <v>528</v>
      </c>
      <c r="H168" s="32">
        <f t="shared" ref="H168:H171" si="91">IF(ISNUMBER(G168), (G168 - $B168) / $B168, "")</f>
        <v>3.125E-2</v>
      </c>
      <c r="I168" s="101">
        <f>IF(ISNUMBER(G168), $B172 * H168, "")</f>
        <v>3125</v>
      </c>
      <c r="J168" s="15">
        <v>522</v>
      </c>
      <c r="K168" s="32">
        <f t="shared" ref="K168:K171" si="92">IF(ISNUMBER(J168), (J168 - $B168) / $B168, "")</f>
        <v>1.953125E-2</v>
      </c>
      <c r="L168" s="18">
        <f>IF(ISNUMBER(J168), $B172 * K168, "")</f>
        <v>1953.125</v>
      </c>
      <c r="M168" s="31">
        <v>529</v>
      </c>
      <c r="N168" s="32">
        <f t="shared" ref="N168:N171" si="93">IF(ISNUMBER(M168), (M168 - $B168) / $B168, "")</f>
        <v>3.3203125E-2</v>
      </c>
      <c r="O168" s="18">
        <f>IF(ISNUMBER(M168), $B172 * N168, "")</f>
        <v>3320.3125</v>
      </c>
      <c r="Q168" s="238"/>
      <c r="R168" s="238"/>
      <c r="S168" s="238"/>
    </row>
    <row r="169" spans="1:19" ht="17.25" thickBot="1">
      <c r="A169" s="125" t="s">
        <v>218</v>
      </c>
      <c r="B169" s="126">
        <v>132</v>
      </c>
      <c r="C169" s="77">
        <v>-2.9411764699999999E-2</v>
      </c>
      <c r="D169" s="15">
        <v>135</v>
      </c>
      <c r="E169" s="32">
        <f t="shared" si="90"/>
        <v>2.2727272727272728E-2</v>
      </c>
      <c r="F169" s="18">
        <f>IF(ISNUMBER(D169), $B172 * E169, "")</f>
        <v>2272.727272727273</v>
      </c>
      <c r="G169" s="31">
        <v>136</v>
      </c>
      <c r="H169" s="32">
        <f t="shared" si="91"/>
        <v>3.0303030303030304E-2</v>
      </c>
      <c r="I169" s="101">
        <f>IF(ISNUMBER(G169), $B172 * H169, "")</f>
        <v>3030.3030303030305</v>
      </c>
      <c r="J169" s="15">
        <v>134</v>
      </c>
      <c r="K169" s="32">
        <f t="shared" si="92"/>
        <v>1.5151515151515152E-2</v>
      </c>
      <c r="L169" s="18">
        <f>IF(ISNUMBER(J169), $B172 * K169, "")</f>
        <v>1515.1515151515152</v>
      </c>
      <c r="M169" s="31">
        <v>137</v>
      </c>
      <c r="N169" s="32">
        <f t="shared" si="93"/>
        <v>3.787878787878788E-2</v>
      </c>
      <c r="O169" s="18">
        <f>IF(ISNUMBER(M169), $B172 * N169, "")</f>
        <v>3787.878787878788</v>
      </c>
      <c r="Q169" s="238"/>
      <c r="R169" s="238"/>
      <c r="S169" s="238"/>
    </row>
    <row r="170" spans="1:19">
      <c r="A170" s="125" t="s">
        <v>222</v>
      </c>
      <c r="B170" s="126">
        <v>150</v>
      </c>
      <c r="C170" s="77">
        <v>-3.2258064500000003E-2</v>
      </c>
      <c r="D170" s="15">
        <v>154</v>
      </c>
      <c r="E170" s="32">
        <f t="shared" si="90"/>
        <v>2.6666666666666668E-2</v>
      </c>
      <c r="F170" s="18">
        <f>IF(ISNUMBER(D170), $B172 * E170, "")</f>
        <v>2666.666666666667</v>
      </c>
      <c r="G170" s="31">
        <v>155</v>
      </c>
      <c r="H170" s="32">
        <f t="shared" si="91"/>
        <v>3.3333333333333333E-2</v>
      </c>
      <c r="I170" s="101">
        <f>IF(ISNUMBER(G170), $B172 * H170, "")</f>
        <v>3333.3333333333335</v>
      </c>
      <c r="J170" s="15">
        <v>152</v>
      </c>
      <c r="K170" s="32">
        <f t="shared" si="92"/>
        <v>1.3333333333333334E-2</v>
      </c>
      <c r="L170" s="18">
        <f>IF(ISNUMBER(J170), $B172 * K170, "")</f>
        <v>1333.3333333333335</v>
      </c>
      <c r="M170" s="31">
        <v>155</v>
      </c>
      <c r="N170" s="32">
        <f t="shared" si="93"/>
        <v>3.3333333333333333E-2</v>
      </c>
      <c r="O170" s="18">
        <f>IF(ISNUMBER(M170), $B172 * N170, "")</f>
        <v>3333.3333333333335</v>
      </c>
      <c r="Q170" s="227"/>
      <c r="R170" s="228"/>
      <c r="S170" s="229"/>
    </row>
    <row r="171" spans="1:19" ht="17.25" thickBot="1">
      <c r="A171" s="130" t="s">
        <v>166</v>
      </c>
      <c r="B171" s="131">
        <v>260</v>
      </c>
      <c r="C171" s="79">
        <v>-4.0590405900000001E-2</v>
      </c>
      <c r="D171" s="24">
        <v>263</v>
      </c>
      <c r="E171" s="25">
        <f t="shared" si="90"/>
        <v>1.1538461538461539E-2</v>
      </c>
      <c r="F171" s="104">
        <f>IF(ISNUMBER(D171), $B172 * E171, "")</f>
        <v>1153.8461538461538</v>
      </c>
      <c r="G171" s="102">
        <v>268</v>
      </c>
      <c r="H171" s="25">
        <f t="shared" si="91"/>
        <v>3.0769230769230771E-2</v>
      </c>
      <c r="I171" s="103">
        <f>IF(ISNUMBER(G171), $B172 * H171, "")</f>
        <v>3076.9230769230771</v>
      </c>
      <c r="J171" s="24">
        <v>265</v>
      </c>
      <c r="K171" s="25">
        <f t="shared" si="92"/>
        <v>1.9230769230769232E-2</v>
      </c>
      <c r="L171" s="104">
        <f>IF(ISNUMBER(J171), $B172 * K171, "")</f>
        <v>1923.0769230769231</v>
      </c>
      <c r="M171" s="102">
        <v>272</v>
      </c>
      <c r="N171" s="25">
        <f t="shared" si="93"/>
        <v>4.6153846153846156E-2</v>
      </c>
      <c r="O171" s="104">
        <f>IF(ISNUMBER(M171), $B172 * N171, "")</f>
        <v>4615.3846153846152</v>
      </c>
      <c r="Q171" s="230"/>
      <c r="R171" s="231"/>
      <c r="S171" s="232"/>
    </row>
    <row r="172" spans="1:19" ht="17.25" thickBot="1">
      <c r="A172" s="132" t="s">
        <v>270</v>
      </c>
      <c r="B172" s="291">
        <f>$B$37</f>
        <v>100000</v>
      </c>
      <c r="C172" s="292"/>
      <c r="D172" s="26" t="s">
        <v>271</v>
      </c>
      <c r="E172" s="27">
        <f>IF(COUNT(E152:E171), SUM(E152:E171) / COUNT(E152:E171), 0)</f>
        <v>3.520467036297685E-2</v>
      </c>
      <c r="F172" s="28">
        <f>SUM(F152:F171)</f>
        <v>70409.340725953705</v>
      </c>
      <c r="G172" s="26" t="s">
        <v>271</v>
      </c>
      <c r="H172" s="27">
        <f>IF(COUNT(H152:H171), SUM(H152:H171) / COUNT(H152:H171), 0)</f>
        <v>4.3819282338742452E-2</v>
      </c>
      <c r="I172" s="28">
        <f>SUM(I152:I171)</f>
        <v>87638.564677484901</v>
      </c>
      <c r="J172" s="26" t="s">
        <v>271</v>
      </c>
      <c r="K172" s="27">
        <f>IF(COUNT(K152:K171), SUM(K152:K171) / COUNT(K152:K171), 0)</f>
        <v>3.451581145629655E-2</v>
      </c>
      <c r="L172" s="28">
        <f>SUM(L152:L171)</f>
        <v>69031.622912593084</v>
      </c>
      <c r="M172" s="26" t="s">
        <v>271</v>
      </c>
      <c r="N172" s="27">
        <f>IF(COUNT(N152:N171), SUM(N152:N171) / COUNT(N152:N171), 0)</f>
        <v>5.9773837815439858E-2</v>
      </c>
      <c r="O172" s="28">
        <f>SUM(O152:O171)</f>
        <v>119547.67563087969</v>
      </c>
      <c r="Q172" s="233"/>
      <c r="R172" s="234"/>
      <c r="S172" s="23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48"/>
      <c r="R175" s="248"/>
      <c r="S175" s="248"/>
    </row>
    <row r="176" spans="1:19" ht="17.25" thickBot="1">
      <c r="A176" s="197" t="s">
        <v>267</v>
      </c>
      <c r="B176" s="249" t="s">
        <v>49</v>
      </c>
      <c r="C176" s="251"/>
      <c r="D176" s="249" t="s">
        <v>58</v>
      </c>
      <c r="E176" s="250"/>
      <c r="F176" s="251"/>
      <c r="G176" s="252">
        <f>_xlfn.IFNA(VLOOKUP(B176, 현재가테이블!$B$2:$D$200, 2, FALSE), "-")</f>
        <v>54440000</v>
      </c>
      <c r="H176" s="253"/>
      <c r="I176" s="254"/>
      <c r="J176" s="249" t="s">
        <v>59</v>
      </c>
      <c r="K176" s="250"/>
      <c r="L176" s="251"/>
      <c r="M176" s="255">
        <f>_xlfn.IFNA(VLOOKUP(B176, 현재가테이블!$B$2:$D$200, 3, FALSE), "-")</f>
        <v>1.07123628E-2</v>
      </c>
      <c r="N176" s="256"/>
      <c r="O176" s="257"/>
      <c r="Q176" s="248"/>
      <c r="R176" s="248"/>
      <c r="S176" s="248"/>
    </row>
    <row r="177" spans="1:19" ht="17.25" thickBot="1">
      <c r="A177" s="293" t="s">
        <v>55</v>
      </c>
      <c r="B177" s="289" t="str">
        <f>TEXT($G$1, "[$-ko-KR]yyyy-mm-dd(ddd) ") &amp; "오전 00:00"</f>
        <v>2021-08-11(수) 오전 00:00</v>
      </c>
      <c r="C177" s="290"/>
      <c r="D177" s="262" t="str">
        <f>TEXT($G$1, "[$-ko-KR]yyyy-mm-dd(ddd) ") &amp; "오후 14:00"</f>
        <v>2021-08-11(수) 오후 14:00</v>
      </c>
      <c r="E177" s="263"/>
      <c r="F177" s="264"/>
      <c r="G177" s="262" t="str">
        <f>TEXT($G$1, "[$-ko-KR]yyyy-mm-dd(ddd) ") &amp; "오후 19:00"</f>
        <v>2021-08-11(수) 오후 19:00</v>
      </c>
      <c r="H177" s="263"/>
      <c r="I177" s="264"/>
      <c r="J177" s="262" t="str">
        <f>TEXT($G$1, "[$-ko-KR]yyyy-mm-dd(ddd) ") &amp; "오후 21:00"</f>
        <v>2021-08-11(수) 오후 21:00</v>
      </c>
      <c r="K177" s="263"/>
      <c r="L177" s="264"/>
      <c r="M177" s="262" t="str">
        <f>TEXT($G$1+1, "[$-ko-KR]yyyy-mm-dd(ddd) ") &amp; "오전 00:00"</f>
        <v>2021-08-12(목) 오전 00:00</v>
      </c>
      <c r="N177" s="263"/>
      <c r="O177" s="264"/>
      <c r="Q177" s="248"/>
      <c r="R177" s="248"/>
      <c r="S177" s="248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8" t="s">
        <v>58</v>
      </c>
      <c r="H178" s="199" t="s">
        <v>268</v>
      </c>
      <c r="I178" s="20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8"/>
      <c r="R178" s="238"/>
      <c r="S178" s="238"/>
    </row>
    <row r="179" spans="1:19" ht="17.25" thickBot="1">
      <c r="A179" s="123" t="s">
        <v>216</v>
      </c>
      <c r="B179" s="124">
        <v>10.5</v>
      </c>
      <c r="C179" s="76">
        <v>-1.8691588799999999E-2</v>
      </c>
      <c r="D179" s="13">
        <v>10.7</v>
      </c>
      <c r="E179" s="14">
        <f>IF(ISNUMBER(D179), (D179 - $B179) / $B179, "")</f>
        <v>1.904761904761898E-2</v>
      </c>
      <c r="F179" s="16">
        <f>IF(ISNUMBER(D179), $B199 * E179, "")</f>
        <v>1904.761904761898</v>
      </c>
      <c r="G179" s="29">
        <v>11</v>
      </c>
      <c r="H179" s="14">
        <f>IF(ISNUMBER(G179), (G179 - $B179) / $B179, "")</f>
        <v>4.7619047619047616E-2</v>
      </c>
      <c r="I179" s="100">
        <f>IF(ISNUMBER(G179), $B199 * H179, "")</f>
        <v>4761.9047619047615</v>
      </c>
      <c r="J179" s="13">
        <v>10.9</v>
      </c>
      <c r="K179" s="14">
        <f>IF(ISNUMBER(J179), (J179 - $B179) / $B179, "")</f>
        <v>3.8095238095238126E-2</v>
      </c>
      <c r="L179" s="16">
        <f>IF(ISNUMBER(J179), $B199 * K179, "")</f>
        <v>3809.5238095238128</v>
      </c>
      <c r="M179" s="29">
        <v>11.2</v>
      </c>
      <c r="N179" s="14">
        <f>IF(ISNUMBER(M179), (M179 - $B179) / $B179, "")</f>
        <v>6.6666666666666596E-2</v>
      </c>
      <c r="O179" s="16">
        <f>IF(ISNUMBER(M179), $B199 * N179, "")</f>
        <v>6666.6666666666597</v>
      </c>
      <c r="Q179" s="248"/>
      <c r="R179" s="248"/>
      <c r="S179" s="248"/>
    </row>
    <row r="180" spans="1:19" ht="17.25" thickBot="1">
      <c r="A180" s="125" t="s">
        <v>160</v>
      </c>
      <c r="B180" s="126">
        <v>1300</v>
      </c>
      <c r="C180" s="77">
        <v>-1.8867924500000001E-2</v>
      </c>
      <c r="D180" s="15">
        <v>1355</v>
      </c>
      <c r="E180" s="32">
        <f t="shared" ref="E180:E183" si="94">IF(ISNUMBER(D180), (D180 - $B180) / $B180, "")</f>
        <v>4.230769230769231E-2</v>
      </c>
      <c r="F180" s="18">
        <f>IF(ISNUMBER(D180), $B199 * E180, "")</f>
        <v>4230.7692307692314</v>
      </c>
      <c r="G180" s="31">
        <v>1380</v>
      </c>
      <c r="H180" s="32">
        <f t="shared" ref="H180:H183" si="95">IF(ISNUMBER(G180), (G180 - $B180) / $B180, "")</f>
        <v>6.1538461538461542E-2</v>
      </c>
      <c r="I180" s="101">
        <f>IF(ISNUMBER(G180), $B199 * H180, "")</f>
        <v>6153.8461538461543</v>
      </c>
      <c r="J180" s="15">
        <v>1380</v>
      </c>
      <c r="K180" s="32">
        <f t="shared" ref="K180:K183" si="96">IF(ISNUMBER(J180), (J180 - $B180) / $B180, "")</f>
        <v>6.1538461538461542E-2</v>
      </c>
      <c r="L180" s="18">
        <f>IF(ISNUMBER(J180), $B199 * K180, "")</f>
        <v>6153.8461538461543</v>
      </c>
      <c r="M180" s="31">
        <v>1410</v>
      </c>
      <c r="N180" s="32">
        <f t="shared" ref="N180:N183" si="97">IF(ISNUMBER(M180), (M180 - $B180) / $B180, "")</f>
        <v>8.461538461538462E-2</v>
      </c>
      <c r="O180" s="18">
        <f>IF(ISNUMBER(M180), $B199 * N180, "")</f>
        <v>8461.5384615384628</v>
      </c>
      <c r="Q180" s="248"/>
      <c r="R180" s="248"/>
      <c r="S180" s="248"/>
    </row>
    <row r="181" spans="1:19" ht="17.25" thickBot="1">
      <c r="A181" s="125" t="s">
        <v>238</v>
      </c>
      <c r="B181" s="126">
        <v>101</v>
      </c>
      <c r="C181" s="77">
        <v>-1.9417475699999999E-2</v>
      </c>
      <c r="D181" s="15">
        <v>106</v>
      </c>
      <c r="E181" s="32">
        <f t="shared" si="94"/>
        <v>4.9504950495049507E-2</v>
      </c>
      <c r="F181" s="18">
        <f>IF(ISNUMBER(D181), $B199 * E181, "")</f>
        <v>4950.4950495049507</v>
      </c>
      <c r="G181" s="31">
        <v>107</v>
      </c>
      <c r="H181" s="32">
        <f t="shared" si="95"/>
        <v>5.9405940594059403E-2</v>
      </c>
      <c r="I181" s="101">
        <f>IF(ISNUMBER(G181), $B199 * H181, "")</f>
        <v>5940.5940594059402</v>
      </c>
      <c r="J181" s="15">
        <v>107</v>
      </c>
      <c r="K181" s="32">
        <f t="shared" si="96"/>
        <v>5.9405940594059403E-2</v>
      </c>
      <c r="L181" s="18">
        <f>IF(ISNUMBER(J181), $B199 * K181, "")</f>
        <v>5940.5940594059402</v>
      </c>
      <c r="M181" s="31">
        <v>108</v>
      </c>
      <c r="N181" s="32">
        <f t="shared" si="97"/>
        <v>6.9306930693069313E-2</v>
      </c>
      <c r="O181" s="18">
        <f>IF(ISNUMBER(M181), $B199 * N181, "")</f>
        <v>6930.6930693069316</v>
      </c>
      <c r="Q181" s="238"/>
      <c r="R181" s="238"/>
      <c r="S181" s="238"/>
    </row>
    <row r="182" spans="1:19" ht="17.25" thickBot="1">
      <c r="A182" s="125" t="s">
        <v>228</v>
      </c>
      <c r="B182" s="126">
        <v>388</v>
      </c>
      <c r="C182" s="77">
        <v>-2.02020202E-2</v>
      </c>
      <c r="D182" s="15">
        <v>402</v>
      </c>
      <c r="E182" s="32">
        <f t="shared" si="94"/>
        <v>3.608247422680412E-2</v>
      </c>
      <c r="F182" s="18">
        <f>IF(ISNUMBER(D182), $B199 * E182, "")</f>
        <v>3608.247422680412</v>
      </c>
      <c r="G182" s="31">
        <v>401</v>
      </c>
      <c r="H182" s="32">
        <f t="shared" si="95"/>
        <v>3.3505154639175257E-2</v>
      </c>
      <c r="I182" s="101">
        <f>IF(ISNUMBER(G182), $B199 * H182, "")</f>
        <v>3350.5154639175257</v>
      </c>
      <c r="J182" s="15">
        <v>396</v>
      </c>
      <c r="K182" s="32">
        <f t="shared" si="96"/>
        <v>2.0618556701030927E-2</v>
      </c>
      <c r="L182" s="18">
        <f>IF(ISNUMBER(J182), $B199 * K182, "")</f>
        <v>2061.855670103093</v>
      </c>
      <c r="M182" s="31">
        <v>407</v>
      </c>
      <c r="N182" s="32">
        <f t="shared" si="97"/>
        <v>4.8969072164948453E-2</v>
      </c>
      <c r="O182" s="18">
        <f>IF(ISNUMBER(M182), $B199 * N182, "")</f>
        <v>4896.9072164948457</v>
      </c>
      <c r="Q182" s="238"/>
      <c r="R182" s="238"/>
      <c r="S182" s="238"/>
    </row>
    <row r="183" spans="1:19" ht="17.25" thickBot="1">
      <c r="A183" s="127" t="s">
        <v>244</v>
      </c>
      <c r="B183" s="128">
        <v>1410</v>
      </c>
      <c r="C183" s="78">
        <v>-2.08333333E-2</v>
      </c>
      <c r="D183" s="20">
        <v>1445</v>
      </c>
      <c r="E183" s="21">
        <f t="shared" si="94"/>
        <v>2.4822695035460994E-2</v>
      </c>
      <c r="F183" s="22">
        <f>IF(ISNUMBER(D183), $B199 * E183, "")</f>
        <v>2482.2695035460993</v>
      </c>
      <c r="G183" s="30">
        <v>1465</v>
      </c>
      <c r="H183" s="21">
        <f t="shared" si="95"/>
        <v>3.9007092198581561E-2</v>
      </c>
      <c r="I183" s="105">
        <f>IF(ISNUMBER(G183), $B199 * H183, "")</f>
        <v>3900.7092198581563</v>
      </c>
      <c r="J183" s="20">
        <v>1505</v>
      </c>
      <c r="K183" s="21">
        <f t="shared" si="96"/>
        <v>6.7375886524822695E-2</v>
      </c>
      <c r="L183" s="22">
        <f>IF(ISNUMBER(J183), $B199 * K183, "")</f>
        <v>6737.5886524822699</v>
      </c>
      <c r="M183" s="30">
        <v>1495</v>
      </c>
      <c r="N183" s="21">
        <f t="shared" si="97"/>
        <v>6.0283687943262408E-2</v>
      </c>
      <c r="O183" s="22">
        <f>IF(ISNUMBER(M183), $B199 * N183, "")</f>
        <v>6028.3687943262412</v>
      </c>
      <c r="Q183" s="238"/>
      <c r="R183" s="238"/>
      <c r="S183" s="238"/>
    </row>
    <row r="184" spans="1:19" ht="17.25" thickBot="1">
      <c r="A184" s="125" t="s">
        <v>110</v>
      </c>
      <c r="B184" s="129">
        <v>188</v>
      </c>
      <c r="C184" s="80">
        <v>-2.08333333E-2</v>
      </c>
      <c r="D184" s="106">
        <v>189</v>
      </c>
      <c r="E184" s="107">
        <f>IF(ISNUMBER(D184), (D184 - $B184) / $B184, "")</f>
        <v>5.3191489361702126E-3</v>
      </c>
      <c r="F184" s="108">
        <f>IF(ISNUMBER(D184), $B199 * E184, "")</f>
        <v>531.91489361702122</v>
      </c>
      <c r="G184" s="109">
        <v>191</v>
      </c>
      <c r="H184" s="107">
        <f>IF(ISNUMBER(G184), (G184 - $B184) / $B184, "")</f>
        <v>1.5957446808510637E-2</v>
      </c>
      <c r="I184" s="110">
        <f>IF(ISNUMBER(G184), $B199 * H184, "")</f>
        <v>1595.7446808510638</v>
      </c>
      <c r="J184" s="106">
        <v>189</v>
      </c>
      <c r="K184" s="107">
        <f>IF(ISNUMBER(J184), (J184 - $B184) / $B184, "")</f>
        <v>5.3191489361702126E-3</v>
      </c>
      <c r="L184" s="108">
        <f>IF(ISNUMBER(J184), $B199 * K184, "")</f>
        <v>531.91489361702122</v>
      </c>
      <c r="M184" s="109">
        <v>192</v>
      </c>
      <c r="N184" s="107">
        <f>IF(ISNUMBER(M184), (M184 - $B184) / $B184, "")</f>
        <v>2.1276595744680851E-2</v>
      </c>
      <c r="O184" s="108">
        <f>IF(ISNUMBER(M184), $B199 * N184, "")</f>
        <v>2127.6595744680849</v>
      </c>
      <c r="Q184" s="238"/>
      <c r="R184" s="238"/>
      <c r="S184" s="238"/>
    </row>
    <row r="185" spans="1:19" ht="17.25" thickBot="1">
      <c r="A185" s="125" t="s">
        <v>192</v>
      </c>
      <c r="B185" s="126">
        <v>226</v>
      </c>
      <c r="C185" s="77">
        <v>-2.1645021600000001E-2</v>
      </c>
      <c r="D185" s="15">
        <v>233</v>
      </c>
      <c r="E185" s="32">
        <f t="shared" ref="E185:E188" si="98">IF(ISNUMBER(D185), (D185 - $B185) / $B185, "")</f>
        <v>3.0973451327433628E-2</v>
      </c>
      <c r="F185" s="18">
        <f>IF(ISNUMBER(D185), $B199 * E185, "")</f>
        <v>3097.3451327433627</v>
      </c>
      <c r="G185" s="31">
        <v>235</v>
      </c>
      <c r="H185" s="32">
        <f t="shared" ref="H185:H188" si="99">IF(ISNUMBER(G185), (G185 - $B185) / $B185, "")</f>
        <v>3.9823008849557522E-2</v>
      </c>
      <c r="I185" s="101">
        <f>IF(ISNUMBER(G185), $B199 * H185, "")</f>
        <v>3982.3008849557523</v>
      </c>
      <c r="J185" s="15">
        <v>233</v>
      </c>
      <c r="K185" s="32">
        <f t="shared" ref="K185:K188" si="100">IF(ISNUMBER(J185), (J185 - $B185) / $B185, "")</f>
        <v>3.0973451327433628E-2</v>
      </c>
      <c r="L185" s="18">
        <f>IF(ISNUMBER(J185), $B199 * K185, "")</f>
        <v>3097.3451327433627</v>
      </c>
      <c r="M185" s="31">
        <v>239</v>
      </c>
      <c r="N185" s="32">
        <f t="shared" ref="N185:N188" si="101">IF(ISNUMBER(M185), (M185 - $B185) / $B185, "")</f>
        <v>5.7522123893805309E-2</v>
      </c>
      <c r="O185" s="18">
        <f>IF(ISNUMBER(M185), $B199 * N185, "")</f>
        <v>5752.212389380531</v>
      </c>
      <c r="Q185" s="238"/>
      <c r="R185" s="238"/>
      <c r="S185" s="238"/>
    </row>
    <row r="186" spans="1:19" ht="17.25" thickBot="1">
      <c r="A186" s="125" t="s">
        <v>232</v>
      </c>
      <c r="B186" s="126">
        <v>512</v>
      </c>
      <c r="C186" s="77">
        <v>-2.2900763399999999E-2</v>
      </c>
      <c r="D186" s="15">
        <v>528</v>
      </c>
      <c r="E186" s="32">
        <f t="shared" si="98"/>
        <v>3.125E-2</v>
      </c>
      <c r="F186" s="18">
        <f>IF(ISNUMBER(D186), $B199 * E186, "")</f>
        <v>3125</v>
      </c>
      <c r="G186" s="31">
        <v>528</v>
      </c>
      <c r="H186" s="32">
        <f t="shared" si="99"/>
        <v>3.125E-2</v>
      </c>
      <c r="I186" s="101">
        <f>IF(ISNUMBER(G186), $B199 * H186, "")</f>
        <v>3125</v>
      </c>
      <c r="J186" s="15">
        <v>522</v>
      </c>
      <c r="K186" s="32">
        <f t="shared" si="100"/>
        <v>1.953125E-2</v>
      </c>
      <c r="L186" s="18">
        <f>IF(ISNUMBER(J186), $B199 * K186, "")</f>
        <v>1953.125</v>
      </c>
      <c r="M186" s="31">
        <v>529</v>
      </c>
      <c r="N186" s="32">
        <f t="shared" si="101"/>
        <v>3.3203125E-2</v>
      </c>
      <c r="O186" s="18">
        <f>IF(ISNUMBER(M186), $B199 * N186, "")</f>
        <v>3320.3125</v>
      </c>
      <c r="Q186" s="238"/>
      <c r="R186" s="238"/>
      <c r="S186" s="238"/>
    </row>
    <row r="187" spans="1:19" ht="17.25" thickBot="1">
      <c r="A187" s="125" t="s">
        <v>150</v>
      </c>
      <c r="B187" s="126">
        <v>12.6</v>
      </c>
      <c r="C187" s="77">
        <v>-2.3255814E-2</v>
      </c>
      <c r="D187" s="15">
        <v>13</v>
      </c>
      <c r="E187" s="32">
        <f t="shared" si="98"/>
        <v>3.1746031746031772E-2</v>
      </c>
      <c r="F187" s="18">
        <f>IF(ISNUMBER(D187), $B199 * E187, "")</f>
        <v>3174.6031746031772</v>
      </c>
      <c r="G187" s="31">
        <v>13</v>
      </c>
      <c r="H187" s="32">
        <f t="shared" si="99"/>
        <v>3.1746031746031772E-2</v>
      </c>
      <c r="I187" s="101">
        <f>IF(ISNUMBER(G187), $B199 * H187, "")</f>
        <v>3174.6031746031772</v>
      </c>
      <c r="J187" s="15">
        <v>12.9</v>
      </c>
      <c r="K187" s="32">
        <f t="shared" si="100"/>
        <v>2.3809523809523867E-2</v>
      </c>
      <c r="L187" s="18">
        <f>IF(ISNUMBER(J187), $B199 * K187, "")</f>
        <v>2380.9523809523866</v>
      </c>
      <c r="M187" s="31">
        <v>13.3</v>
      </c>
      <c r="N187" s="32">
        <f t="shared" si="101"/>
        <v>5.5555555555555643E-2</v>
      </c>
      <c r="O187" s="18">
        <f>IF(ISNUMBER(M187), $B199 * N187, "")</f>
        <v>5555.5555555555638</v>
      </c>
      <c r="Q187" s="33"/>
      <c r="R187" s="33"/>
    </row>
    <row r="188" spans="1:19" ht="17.25" thickBot="1">
      <c r="A188" s="130" t="s">
        <v>108</v>
      </c>
      <c r="B188" s="131">
        <v>1255</v>
      </c>
      <c r="C188" s="79">
        <v>-2.3346303499999999E-2</v>
      </c>
      <c r="D188" s="24">
        <v>1315</v>
      </c>
      <c r="E188" s="25">
        <f t="shared" si="98"/>
        <v>4.7808764940239043E-2</v>
      </c>
      <c r="F188" s="104">
        <f>IF(ISNUMBER(D188), $B199 * E188, "")</f>
        <v>4780.8764940239043</v>
      </c>
      <c r="G188" s="102">
        <v>1365</v>
      </c>
      <c r="H188" s="25">
        <f t="shared" si="99"/>
        <v>8.7649402390438252E-2</v>
      </c>
      <c r="I188" s="103">
        <f>IF(ISNUMBER(G188), $B199 * H188, "")</f>
        <v>8764.9402390438245</v>
      </c>
      <c r="J188" s="24">
        <v>1340</v>
      </c>
      <c r="K188" s="25">
        <f t="shared" si="100"/>
        <v>6.7729083665338641E-2</v>
      </c>
      <c r="L188" s="104">
        <f>IF(ISNUMBER(J188), $B199 * K188, "")</f>
        <v>6772.908366533864</v>
      </c>
      <c r="M188" s="102">
        <v>1375</v>
      </c>
      <c r="N188" s="25">
        <f t="shared" si="101"/>
        <v>9.5617529880478086E-2</v>
      </c>
      <c r="O188" s="104">
        <f>IF(ISNUMBER(M188), $B199 * N188, "")</f>
        <v>9561.7529880478087</v>
      </c>
      <c r="Q188" s="239"/>
      <c r="R188" s="240"/>
      <c r="S188" s="241"/>
    </row>
    <row r="189" spans="1:19">
      <c r="A189" s="123" t="s">
        <v>88</v>
      </c>
      <c r="B189" s="124">
        <v>188050</v>
      </c>
      <c r="C189" s="76">
        <v>-2.3877498099999998E-2</v>
      </c>
      <c r="D189" s="13">
        <v>188250</v>
      </c>
      <c r="E189" s="14">
        <f>IF(ISNUMBER(D189), (D189 - $B189) / $B189, "")</f>
        <v>1.0635469290082426E-3</v>
      </c>
      <c r="F189" s="16">
        <f>IF(ISNUMBER(D189), $B199 * E189, "")</f>
        <v>106.35469290082426</v>
      </c>
      <c r="G189" s="29">
        <v>189900</v>
      </c>
      <c r="H189" s="14">
        <f>IF(ISNUMBER(G189), (G189 - $B189) / $B189, "")</f>
        <v>9.8378090933262437E-3</v>
      </c>
      <c r="I189" s="100">
        <f>IF(ISNUMBER(G189), $B199 * H189, "")</f>
        <v>983.78090933262433</v>
      </c>
      <c r="J189" s="13">
        <v>189100</v>
      </c>
      <c r="K189" s="14">
        <f>IF(ISNUMBER(J189), (J189 - $B189) / $B189, "")</f>
        <v>5.5836213772932734E-3</v>
      </c>
      <c r="L189" s="16">
        <f>IF(ISNUMBER(J189), $B199 * K189, "")</f>
        <v>558.36213772932729</v>
      </c>
      <c r="M189" s="29">
        <v>192650</v>
      </c>
      <c r="N189" s="14">
        <f>IF(ISNUMBER(M189), (M189 - $B189) / $B189, "")</f>
        <v>2.4461579367189578E-2</v>
      </c>
      <c r="O189" s="16">
        <f>IF(ISNUMBER(M189), $B199 * N189, "")</f>
        <v>2446.1579367189579</v>
      </c>
      <c r="Q189" s="242"/>
      <c r="R189" s="243"/>
      <c r="S189" s="244"/>
    </row>
    <row r="190" spans="1:19" ht="17.25" thickBot="1">
      <c r="A190" s="125" t="s">
        <v>180</v>
      </c>
      <c r="B190" s="126">
        <v>12010</v>
      </c>
      <c r="C190" s="77">
        <v>-2.4370430500000002E-2</v>
      </c>
      <c r="D190" s="15">
        <v>12410</v>
      </c>
      <c r="E190" s="32">
        <f t="shared" ref="E190:E193" si="102">IF(ISNUMBER(D190), (D190 - $B190) / $B190, "")</f>
        <v>3.330557868442964E-2</v>
      </c>
      <c r="F190" s="18">
        <f>IF(ISNUMBER(D190), $B199 * E190, "")</f>
        <v>3330.5578684429638</v>
      </c>
      <c r="G190" s="31">
        <v>12570</v>
      </c>
      <c r="H190" s="32">
        <f t="shared" ref="H190:H193" si="103">IF(ISNUMBER(G190), (G190 - $B190) / $B190, "")</f>
        <v>4.6627810158201499E-2</v>
      </c>
      <c r="I190" s="101">
        <f>IF(ISNUMBER(G190), $B199 * H190, "")</f>
        <v>4662.7810158201501</v>
      </c>
      <c r="J190" s="15">
        <v>12450</v>
      </c>
      <c r="K190" s="32">
        <f t="shared" ref="K190:K193" si="104">IF(ISNUMBER(J190), (J190 - $B190) / $B190, "")</f>
        <v>3.6636136552872609E-2</v>
      </c>
      <c r="L190" s="18">
        <f>IF(ISNUMBER(J190), $B199 * K190, "")</f>
        <v>3663.6136552872608</v>
      </c>
      <c r="M190" s="31">
        <v>12740</v>
      </c>
      <c r="N190" s="32">
        <f t="shared" ref="N190:N193" si="105">IF(ISNUMBER(M190), (M190 - $B190) / $B190, "")</f>
        <v>6.0782681099084093E-2</v>
      </c>
      <c r="O190" s="18">
        <f>IF(ISNUMBER(M190), $B199 * N190, "")</f>
        <v>6078.2681099084093</v>
      </c>
      <c r="Q190" s="245"/>
      <c r="R190" s="246"/>
      <c r="S190" s="247"/>
    </row>
    <row r="191" spans="1:19" ht="17.25" thickBot="1">
      <c r="A191" s="125" t="s">
        <v>63</v>
      </c>
      <c r="B191" s="126">
        <v>51950</v>
      </c>
      <c r="C191" s="77">
        <v>-2.4962462500000001E-2</v>
      </c>
      <c r="D191" s="15">
        <v>56340</v>
      </c>
      <c r="E191" s="32">
        <f t="shared" si="102"/>
        <v>8.450433108758422E-2</v>
      </c>
      <c r="F191" s="18">
        <f>IF(ISNUMBER(D191), $B199 * E191, "")</f>
        <v>8450.4331087584214</v>
      </c>
      <c r="G191" s="31">
        <v>55930</v>
      </c>
      <c r="H191" s="32">
        <f t="shared" si="103"/>
        <v>7.6612127045235803E-2</v>
      </c>
      <c r="I191" s="101">
        <f>IF(ISNUMBER(G191), $B199 * H191, "")</f>
        <v>7661.2127045235802</v>
      </c>
      <c r="J191" s="15">
        <v>55380</v>
      </c>
      <c r="K191" s="32">
        <f t="shared" si="104"/>
        <v>6.6025024061597687E-2</v>
      </c>
      <c r="L191" s="18">
        <f>IF(ISNUMBER(J191), $B199 * K191, "")</f>
        <v>6602.5024061597687</v>
      </c>
      <c r="M191" s="31">
        <v>57080</v>
      </c>
      <c r="N191" s="32">
        <f t="shared" si="105"/>
        <v>9.8748796920115497E-2</v>
      </c>
      <c r="O191" s="18">
        <f>IF(ISNUMBER(M191), $B199 * N191, "")</f>
        <v>9874.8796920115492</v>
      </c>
      <c r="Q191" s="238"/>
      <c r="R191" s="238"/>
      <c r="S191" s="238"/>
    </row>
    <row r="192" spans="1:19" ht="17.25" thickBot="1">
      <c r="A192" s="125" t="s">
        <v>106</v>
      </c>
      <c r="B192" s="126">
        <v>66180</v>
      </c>
      <c r="C192" s="77">
        <v>-2.5474893200000001E-2</v>
      </c>
      <c r="D192" s="15">
        <v>66710</v>
      </c>
      <c r="E192" s="32">
        <f t="shared" si="102"/>
        <v>8.0084617709277727E-3</v>
      </c>
      <c r="F192" s="18">
        <f>IF(ISNUMBER(D192), $B199 * E192, "")</f>
        <v>800.84617709277722</v>
      </c>
      <c r="G192" s="31">
        <v>67310</v>
      </c>
      <c r="H192" s="32">
        <f t="shared" si="103"/>
        <v>1.707464490782714E-2</v>
      </c>
      <c r="I192" s="101">
        <f>IF(ISNUMBER(G192), $B199 * H192, "")</f>
        <v>1707.4644907827139</v>
      </c>
      <c r="J192" s="15">
        <v>66660</v>
      </c>
      <c r="K192" s="32">
        <f t="shared" si="104"/>
        <v>7.2529465095194923E-3</v>
      </c>
      <c r="L192" s="18">
        <f>IF(ISNUMBER(J192), $B199 * K192, "")</f>
        <v>725.29465095194928</v>
      </c>
      <c r="M192" s="31">
        <v>67570</v>
      </c>
      <c r="N192" s="32">
        <f t="shared" si="105"/>
        <v>2.1003324267150198E-2</v>
      </c>
      <c r="O192" s="18">
        <f>IF(ISNUMBER(M192), $B199 * N192, "")</f>
        <v>2100.3324267150197</v>
      </c>
      <c r="Q192" s="248"/>
      <c r="R192" s="248"/>
      <c r="S192" s="248"/>
    </row>
    <row r="193" spans="1:19" ht="17.25" thickBot="1">
      <c r="A193" s="127" t="s">
        <v>142</v>
      </c>
      <c r="B193" s="128">
        <v>10370</v>
      </c>
      <c r="C193" s="78">
        <v>-2.6291079799999999E-2</v>
      </c>
      <c r="D193" s="20">
        <v>10630</v>
      </c>
      <c r="E193" s="21">
        <f t="shared" si="102"/>
        <v>2.5072324011571841E-2</v>
      </c>
      <c r="F193" s="22">
        <f>IF(ISNUMBER(D193), $B199 * E193, "")</f>
        <v>2507.2324011571841</v>
      </c>
      <c r="G193" s="30">
        <v>10650</v>
      </c>
      <c r="H193" s="21">
        <f t="shared" si="103"/>
        <v>2.7000964320154291E-2</v>
      </c>
      <c r="I193" s="105">
        <f>IF(ISNUMBER(G193), $B199 * H193, "")</f>
        <v>2700.0964320154289</v>
      </c>
      <c r="J193" s="20">
        <v>10600</v>
      </c>
      <c r="K193" s="21">
        <f t="shared" si="104"/>
        <v>2.2179363548698167E-2</v>
      </c>
      <c r="L193" s="22">
        <f>IF(ISNUMBER(J193), $B199 * K193, "")</f>
        <v>2217.9363548698166</v>
      </c>
      <c r="M193" s="30">
        <v>10820</v>
      </c>
      <c r="N193" s="21">
        <f t="shared" si="105"/>
        <v>4.3394406943105111E-2</v>
      </c>
      <c r="O193" s="22">
        <f>IF(ISNUMBER(M193), $B199 * N193, "")</f>
        <v>4339.4406943105114</v>
      </c>
      <c r="Q193" s="248"/>
      <c r="R193" s="248"/>
      <c r="S193" s="248"/>
    </row>
    <row r="194" spans="1:19" ht="17.25" thickBot="1">
      <c r="A194" s="125" t="s">
        <v>204</v>
      </c>
      <c r="B194" s="129">
        <v>13.8</v>
      </c>
      <c r="C194" s="80">
        <v>-2.8169014100000001E-2</v>
      </c>
      <c r="D194" s="106">
        <v>14.2</v>
      </c>
      <c r="E194" s="107">
        <f>IF(ISNUMBER(D194), (D194 - $B194) / $B194, "")</f>
        <v>2.8985507246376708E-2</v>
      </c>
      <c r="F194" s="108">
        <f>IF(ISNUMBER(D194), $B199 * E194, "")</f>
        <v>2898.550724637671</v>
      </c>
      <c r="G194" s="109">
        <v>14.2</v>
      </c>
      <c r="H194" s="107">
        <f>IF(ISNUMBER(G194), (G194 - $B194) / $B194, "")</f>
        <v>2.8985507246376708E-2</v>
      </c>
      <c r="I194" s="110">
        <f>IF(ISNUMBER(G194), $B199 * H194, "")</f>
        <v>2898.550724637671</v>
      </c>
      <c r="J194" s="106">
        <v>14.2</v>
      </c>
      <c r="K194" s="107">
        <f>IF(ISNUMBER(J194), (J194 - $B194) / $B194, "")</f>
        <v>2.8985507246376708E-2</v>
      </c>
      <c r="L194" s="108">
        <f>IF(ISNUMBER(J194), $B199 * K194, "")</f>
        <v>2898.550724637671</v>
      </c>
      <c r="M194" s="109">
        <v>14.6</v>
      </c>
      <c r="N194" s="107">
        <f>IF(ISNUMBER(M194), (M194 - $B194) / $B194, "")</f>
        <v>5.7971014492753541E-2</v>
      </c>
      <c r="O194" s="108">
        <f>IF(ISNUMBER(M194), $B199 * N194, "")</f>
        <v>5797.1014492753538</v>
      </c>
      <c r="Q194" s="238"/>
      <c r="R194" s="238"/>
      <c r="S194" s="238"/>
    </row>
    <row r="195" spans="1:19" ht="17.25" thickBot="1">
      <c r="A195" s="125" t="s">
        <v>208</v>
      </c>
      <c r="B195" s="126">
        <v>13.3</v>
      </c>
      <c r="C195" s="77">
        <v>-2.9197080300000001E-2</v>
      </c>
      <c r="D195" s="15">
        <v>13.5</v>
      </c>
      <c r="E195" s="32">
        <f t="shared" ref="E195:E198" si="106">IF(ISNUMBER(D195), (D195 - $B195) / $B195, "")</f>
        <v>1.5037593984962351E-2</v>
      </c>
      <c r="F195" s="18">
        <f>IF(ISNUMBER(D195), $B199 * E195, "")</f>
        <v>1503.7593984962352</v>
      </c>
      <c r="G195" s="31">
        <v>13.7</v>
      </c>
      <c r="H195" s="32">
        <f t="shared" ref="H195:H198" si="107">IF(ISNUMBER(G195), (G195 - $B195) / $B195, "")</f>
        <v>3.0075187969924703E-2</v>
      </c>
      <c r="I195" s="101">
        <f>IF(ISNUMBER(G195), $B199 * H195, "")</f>
        <v>3007.5187969924705</v>
      </c>
      <c r="J195" s="15">
        <v>13.6</v>
      </c>
      <c r="K195" s="32">
        <f t="shared" ref="K195:K198" si="108">IF(ISNUMBER(J195), (J195 - $B195) / $B195, "")</f>
        <v>2.2556390977443528E-2</v>
      </c>
      <c r="L195" s="18">
        <f>IF(ISNUMBER(J195), $B199 * K195, "")</f>
        <v>2255.639097744353</v>
      </c>
      <c r="M195" s="31">
        <v>14.2</v>
      </c>
      <c r="N195" s="32">
        <f t="shared" ref="N195:N198" si="109">IF(ISNUMBER(M195), (M195 - $B195) / $B195, "")</f>
        <v>6.7669172932330712E-2</v>
      </c>
      <c r="O195" s="18">
        <f>IF(ISNUMBER(M195), $B199 * N195, "")</f>
        <v>6766.9172932330712</v>
      </c>
      <c r="Q195" s="238"/>
      <c r="R195" s="238"/>
      <c r="S195" s="238"/>
    </row>
    <row r="196" spans="1:19" ht="17.25" thickBot="1">
      <c r="A196" s="125" t="s">
        <v>218</v>
      </c>
      <c r="B196" s="126">
        <v>132</v>
      </c>
      <c r="C196" s="77">
        <v>-2.9411764699999999E-2</v>
      </c>
      <c r="D196" s="15">
        <v>135</v>
      </c>
      <c r="E196" s="32">
        <f t="shared" si="106"/>
        <v>2.2727272727272728E-2</v>
      </c>
      <c r="F196" s="18">
        <f>IF(ISNUMBER(D196), $B199 * E196, "")</f>
        <v>2272.727272727273</v>
      </c>
      <c r="G196" s="31">
        <v>136</v>
      </c>
      <c r="H196" s="32">
        <f t="shared" si="107"/>
        <v>3.0303030303030304E-2</v>
      </c>
      <c r="I196" s="101">
        <f>IF(ISNUMBER(G196), $B199 * H196, "")</f>
        <v>3030.3030303030305</v>
      </c>
      <c r="J196" s="15">
        <v>134</v>
      </c>
      <c r="K196" s="32">
        <f t="shared" si="108"/>
        <v>1.5151515151515152E-2</v>
      </c>
      <c r="L196" s="18">
        <f>IF(ISNUMBER(J196), $B199 * K196, "")</f>
        <v>1515.1515151515152</v>
      </c>
      <c r="M196" s="31">
        <v>137</v>
      </c>
      <c r="N196" s="32">
        <f t="shared" si="109"/>
        <v>3.787878787878788E-2</v>
      </c>
      <c r="O196" s="18">
        <f>IF(ISNUMBER(M196), $B199 * N196, "")</f>
        <v>3787.878787878788</v>
      </c>
      <c r="Q196" s="238"/>
      <c r="R196" s="238"/>
      <c r="S196" s="238"/>
    </row>
    <row r="197" spans="1:19">
      <c r="A197" s="125" t="s">
        <v>222</v>
      </c>
      <c r="B197" s="126">
        <v>150</v>
      </c>
      <c r="C197" s="77">
        <v>-3.2258064500000003E-2</v>
      </c>
      <c r="D197" s="15">
        <v>154</v>
      </c>
      <c r="E197" s="32">
        <f t="shared" si="106"/>
        <v>2.6666666666666668E-2</v>
      </c>
      <c r="F197" s="18">
        <f>IF(ISNUMBER(D197), $B199 * E197, "")</f>
        <v>2666.666666666667</v>
      </c>
      <c r="G197" s="31">
        <v>155</v>
      </c>
      <c r="H197" s="32">
        <f t="shared" si="107"/>
        <v>3.3333333333333333E-2</v>
      </c>
      <c r="I197" s="101">
        <f>IF(ISNUMBER(G197), $B199 * H197, "")</f>
        <v>3333.3333333333335</v>
      </c>
      <c r="J197" s="15">
        <v>152</v>
      </c>
      <c r="K197" s="32">
        <f t="shared" si="108"/>
        <v>1.3333333333333334E-2</v>
      </c>
      <c r="L197" s="18">
        <f>IF(ISNUMBER(J197), $B199 * K197, "")</f>
        <v>1333.3333333333335</v>
      </c>
      <c r="M197" s="31">
        <v>155</v>
      </c>
      <c r="N197" s="32">
        <f t="shared" si="109"/>
        <v>3.3333333333333333E-2</v>
      </c>
      <c r="O197" s="18">
        <f>IF(ISNUMBER(M197), $B199 * N197, "")</f>
        <v>3333.3333333333335</v>
      </c>
      <c r="Q197" s="227"/>
      <c r="R197" s="228"/>
      <c r="S197" s="229"/>
    </row>
    <row r="198" spans="1:19" ht="17.25" thickBot="1">
      <c r="A198" s="130" t="s">
        <v>166</v>
      </c>
      <c r="B198" s="131">
        <v>260</v>
      </c>
      <c r="C198" s="79">
        <v>-4.0590405900000001E-2</v>
      </c>
      <c r="D198" s="24">
        <v>263</v>
      </c>
      <c r="E198" s="25">
        <f t="shared" si="106"/>
        <v>1.1538461538461539E-2</v>
      </c>
      <c r="F198" s="104">
        <f>IF(ISNUMBER(D198), $B199 * E198, "")</f>
        <v>1153.8461538461538</v>
      </c>
      <c r="G198" s="102">
        <v>268</v>
      </c>
      <c r="H198" s="25">
        <f t="shared" si="107"/>
        <v>3.0769230769230771E-2</v>
      </c>
      <c r="I198" s="103">
        <f>IF(ISNUMBER(G198), $B199 * H198, "")</f>
        <v>3076.9230769230771</v>
      </c>
      <c r="J198" s="24">
        <v>265</v>
      </c>
      <c r="K198" s="25">
        <f t="shared" si="108"/>
        <v>1.9230769230769232E-2</v>
      </c>
      <c r="L198" s="104">
        <f>IF(ISNUMBER(J198), $B199 * K198, "")</f>
        <v>1923.0769230769231</v>
      </c>
      <c r="M198" s="102">
        <v>272</v>
      </c>
      <c r="N198" s="25">
        <f t="shared" si="109"/>
        <v>4.6153846153846156E-2</v>
      </c>
      <c r="O198" s="104">
        <f>IF(ISNUMBER(M198), $B199 * N198, "")</f>
        <v>4615.3846153846152</v>
      </c>
      <c r="Q198" s="230"/>
      <c r="R198" s="231"/>
      <c r="S198" s="232"/>
    </row>
    <row r="199" spans="1:19" ht="17.25" thickBot="1">
      <c r="A199" s="132" t="s">
        <v>270</v>
      </c>
      <c r="B199" s="291">
        <f>$B$37</f>
        <v>100000</v>
      </c>
      <c r="C199" s="292"/>
      <c r="D199" s="26" t="s">
        <v>271</v>
      </c>
      <c r="E199" s="27">
        <f>IF(COUNT(E179:E198), SUM(E179:E198) / COUNT(E179:E198), 0)</f>
        <v>2.878862863548811E-2</v>
      </c>
      <c r="F199" s="28">
        <f>SUM(F179:F198)</f>
        <v>57577.257270976224</v>
      </c>
      <c r="G199" s="26" t="s">
        <v>271</v>
      </c>
      <c r="H199" s="27">
        <f>IF(COUNT(H179:H198), SUM(H179:H198) / COUNT(H179:H198), 0)</f>
        <v>3.8906061576525222E-2</v>
      </c>
      <c r="I199" s="28">
        <f>SUM(I179:I198)</f>
        <v>77812.12315305043</v>
      </c>
      <c r="J199" s="26" t="s">
        <v>271</v>
      </c>
      <c r="K199" s="27">
        <f>IF(COUNT(K179:K198), SUM(K179:K198) / COUNT(K179:K198), 0)</f>
        <v>3.1566557459074919E-2</v>
      </c>
      <c r="L199" s="28">
        <f>SUM(L179:L198)</f>
        <v>63133.114918149819</v>
      </c>
      <c r="M199" s="26" t="s">
        <v>271</v>
      </c>
      <c r="N199" s="27">
        <f>IF(COUNT(N179:N198), SUM(N179:N198) / COUNT(N179:N198), 0)</f>
        <v>5.4220680777277389E-2</v>
      </c>
      <c r="O199" s="28">
        <f>SUM(O179:O198)</f>
        <v>108441.36155455472</v>
      </c>
      <c r="Q199" s="233"/>
      <c r="R199" s="234"/>
      <c r="S199" s="23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84" priority="219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83" priority="220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82" priority="217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81" priority="218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80" priority="215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79" priority="216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78" priority="213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77" priority="214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76" priority="211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75" priority="212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74" priority="199">
      <formula>AND($N17 &gt; 0, ISNUMBER($N17))</formula>
    </cfRule>
    <cfRule type="expression" dxfId="1273" priority="200">
      <formula>AND($N17 = 0 * ISNUMBER($N17))</formula>
    </cfRule>
    <cfRule type="expression" dxfId="1272" priority="201">
      <formula>AND($N17 &lt; 0, ISNUMBER($N17))</formula>
    </cfRule>
  </conditionalFormatting>
  <conditionalFormatting sqref="A17:F36">
    <cfRule type="expression" dxfId="1271" priority="208">
      <formula>AND($E17 &gt; 0, ISNUMBER($E17))</formula>
    </cfRule>
    <cfRule type="expression" dxfId="1270" priority="209">
      <formula>AND($E17 = 0 * ISNUMBER($E17))</formula>
    </cfRule>
    <cfRule type="expression" dxfId="1269" priority="210">
      <formula>AND($E17 &lt; 0, ISNUMBER($E17))</formula>
    </cfRule>
  </conditionalFormatting>
  <conditionalFormatting sqref="A17:C36 G17:I36">
    <cfRule type="expression" dxfId="1268" priority="205">
      <formula>AND($H17 &gt; 0, ISNUMBER($H17))</formula>
    </cfRule>
    <cfRule type="expression" dxfId="1267" priority="206">
      <formula>AND($H17 = 0 * ISNUMBER($H17))</formula>
    </cfRule>
    <cfRule type="expression" dxfId="1266" priority="207">
      <formula>AND($H17 &lt; 0, ISNUMBER($H17))</formula>
    </cfRule>
  </conditionalFormatting>
  <conditionalFormatting sqref="A17:C36 J17:L36">
    <cfRule type="expression" dxfId="1265" priority="202">
      <formula>AND($K17 &gt; 0, ISNUMBER($K17))</formula>
    </cfRule>
    <cfRule type="expression" dxfId="1264" priority="203">
      <formula>AND($K17 = 0 * ISNUMBER($K17))</formula>
    </cfRule>
    <cfRule type="expression" dxfId="1263" priority="204">
      <formula>AND($K17 &lt; 0, ISNUMBER($K17))</formula>
    </cfRule>
  </conditionalFormatting>
  <conditionalFormatting sqref="D15:F16 E37:F37">
    <cfRule type="expression" dxfId="1262" priority="196">
      <formula>$E$37 &gt; 0</formula>
    </cfRule>
    <cfRule type="expression" dxfId="1261" priority="197">
      <formula>$E$37 = 0</formula>
    </cfRule>
    <cfRule type="expression" dxfId="1260" priority="198">
      <formula>$E$37 &lt; 0</formula>
    </cfRule>
  </conditionalFormatting>
  <conditionalFormatting sqref="G15:I16 H37:I37">
    <cfRule type="expression" dxfId="1259" priority="193">
      <formula>$H$37 &gt; 0</formula>
    </cfRule>
    <cfRule type="expression" dxfId="1258" priority="194">
      <formula>$H$37 = 0</formula>
    </cfRule>
    <cfRule type="expression" dxfId="1257" priority="195">
      <formula>$H$37 &lt; 0</formula>
    </cfRule>
  </conditionalFormatting>
  <conditionalFormatting sqref="J15:L16 K37:L37">
    <cfRule type="expression" dxfId="1256" priority="190">
      <formula>$K$37 &gt; 0</formula>
    </cfRule>
    <cfRule type="expression" dxfId="1255" priority="191">
      <formula>$K$37 = 0</formula>
    </cfRule>
    <cfRule type="expression" dxfId="1254" priority="192">
      <formula>$K$37 &lt; 0</formula>
    </cfRule>
  </conditionalFormatting>
  <conditionalFormatting sqref="M15:O16 N37:O37">
    <cfRule type="expression" dxfId="1253" priority="187">
      <formula>$N$37 &gt; 0</formula>
    </cfRule>
    <cfRule type="expression" dxfId="1252" priority="188">
      <formula>$N$37 = 0</formula>
    </cfRule>
    <cfRule type="expression" dxfId="1251" priority="189">
      <formula>$N$37 &lt; 0</formula>
    </cfRule>
  </conditionalFormatting>
  <conditionalFormatting sqref="A44:C63 M44:O63">
    <cfRule type="expression" dxfId="1250" priority="175">
      <formula>AND($N44 &gt; 0, ISNUMBER($N44))</formula>
    </cfRule>
    <cfRule type="expression" dxfId="1249" priority="176">
      <formula>AND($N44 = 0 * ISNUMBER($N44))</formula>
    </cfRule>
    <cfRule type="expression" dxfId="1248" priority="177">
      <formula>AND($N44 &lt; 0, ISNUMBER($N44))</formula>
    </cfRule>
  </conditionalFormatting>
  <conditionalFormatting sqref="A44:F63">
    <cfRule type="expression" dxfId="1247" priority="184">
      <formula>AND($E44 &gt; 0, ISNUMBER($E44))</formula>
    </cfRule>
    <cfRule type="expression" dxfId="1246" priority="185">
      <formula>AND($E44 = 0 * ISNUMBER($E44))</formula>
    </cfRule>
    <cfRule type="expression" dxfId="1245" priority="186">
      <formula>AND($E44 &lt; 0, ISNUMBER($E44))</formula>
    </cfRule>
  </conditionalFormatting>
  <conditionalFormatting sqref="A44:C63 G44:I63">
    <cfRule type="expression" dxfId="1244" priority="181">
      <formula>AND($H44 &gt; 0, ISNUMBER($H44))</formula>
    </cfRule>
    <cfRule type="expression" dxfId="1243" priority="182">
      <formula>AND($H44 = 0 * ISNUMBER($H44))</formula>
    </cfRule>
    <cfRule type="expression" dxfId="1242" priority="183">
      <formula>AND($H44 &lt; 0, ISNUMBER($H44))</formula>
    </cfRule>
  </conditionalFormatting>
  <conditionalFormatting sqref="A44:C63 J44:L63">
    <cfRule type="expression" dxfId="1241" priority="178">
      <formula>AND($K44 &gt; 0, ISNUMBER($K44))</formula>
    </cfRule>
    <cfRule type="expression" dxfId="1240" priority="179">
      <formula>AND($K44 = 0 * ISNUMBER($K44))</formula>
    </cfRule>
    <cfRule type="expression" dxfId="1239" priority="180">
      <formula>AND($K44 &lt; 0, ISNUMBER($K44))</formula>
    </cfRule>
  </conditionalFormatting>
  <conditionalFormatting sqref="D42:F43 E64:F64">
    <cfRule type="expression" dxfId="1238" priority="172">
      <formula>$E$64 &gt; 0</formula>
    </cfRule>
    <cfRule type="expression" dxfId="1237" priority="173">
      <formula>$E$64 = 0</formula>
    </cfRule>
    <cfRule type="expression" dxfId="1236" priority="174">
      <formula>$E$64 &lt; 0</formula>
    </cfRule>
  </conditionalFormatting>
  <conditionalFormatting sqref="G42:I43 H64:I64">
    <cfRule type="expression" dxfId="1235" priority="169">
      <formula>$H$64 &gt; 0</formula>
    </cfRule>
    <cfRule type="expression" dxfId="1234" priority="170">
      <formula>$H$64 = 0</formula>
    </cfRule>
    <cfRule type="expression" dxfId="1233" priority="171">
      <formula>$H$64 &lt; 0</formula>
    </cfRule>
  </conditionalFormatting>
  <conditionalFormatting sqref="J42:L43 K64:L64">
    <cfRule type="expression" dxfId="1232" priority="166">
      <formula>$K$64 &gt; 0</formula>
    </cfRule>
    <cfRule type="expression" dxfId="1231" priority="167">
      <formula>$K$64 = 0</formula>
    </cfRule>
    <cfRule type="expression" dxfId="1230" priority="168">
      <formula>$K$64 &lt; 0</formula>
    </cfRule>
  </conditionalFormatting>
  <conditionalFormatting sqref="M42:O43 N64:O64">
    <cfRule type="expression" dxfId="1229" priority="163">
      <formula>$N$64 &gt; 0</formula>
    </cfRule>
    <cfRule type="expression" dxfId="1228" priority="164">
      <formula>$N$64 = 0</formula>
    </cfRule>
    <cfRule type="expression" dxfId="1227" priority="165">
      <formula>$N$64 &lt; 0</formula>
    </cfRule>
  </conditionalFormatting>
  <conditionalFormatting sqref="A71:C90 M71:O90">
    <cfRule type="expression" dxfId="1226" priority="151">
      <formula>AND($N71 &gt; 0, ISNUMBER($N71))</formula>
    </cfRule>
    <cfRule type="expression" dxfId="1225" priority="152">
      <formula>AND($N71 = 0 * ISNUMBER($N71))</formula>
    </cfRule>
    <cfRule type="expression" dxfId="1224" priority="153">
      <formula>AND($N71 &lt; 0, ISNUMBER($N71))</formula>
    </cfRule>
  </conditionalFormatting>
  <conditionalFormatting sqref="A71:F90">
    <cfRule type="expression" dxfId="1223" priority="160">
      <formula>AND($E71 &gt; 0, ISNUMBER($E71))</formula>
    </cfRule>
    <cfRule type="expression" dxfId="1222" priority="161">
      <formula>AND($E71 = 0 * ISNUMBER($E71))</formula>
    </cfRule>
    <cfRule type="expression" dxfId="1221" priority="162">
      <formula>AND($E71 &lt; 0, ISNUMBER($E71))</formula>
    </cfRule>
  </conditionalFormatting>
  <conditionalFormatting sqref="A71:C90 G71:I78 G81:I81 H79:I80 G83:I84 H82:I82 G86:I86 H85:I85 G90:I90 H87:I89">
    <cfRule type="expression" dxfId="1220" priority="157">
      <formula>AND($H71 &gt; 0, ISNUMBER($H71))</formula>
    </cfRule>
    <cfRule type="expression" dxfId="1219" priority="158">
      <formula>AND($H71 = 0 * ISNUMBER($H71))</formula>
    </cfRule>
    <cfRule type="expression" dxfId="1218" priority="159">
      <formula>AND($H71 &lt; 0, ISNUMBER($H71))</formula>
    </cfRule>
  </conditionalFormatting>
  <conditionalFormatting sqref="A71:C90 J71:L90">
    <cfRule type="expression" dxfId="1217" priority="154">
      <formula>AND($K71 &gt; 0, ISNUMBER($K71))</formula>
    </cfRule>
    <cfRule type="expression" dxfId="1216" priority="155">
      <formula>AND($K71 = 0 * ISNUMBER($K71))</formula>
    </cfRule>
    <cfRule type="expression" dxfId="1215" priority="156">
      <formula>AND($K71 &lt; 0, ISNUMBER($K71))</formula>
    </cfRule>
  </conditionalFormatting>
  <conditionalFormatting sqref="D69:F70 E91:F91">
    <cfRule type="expression" dxfId="1214" priority="148">
      <formula>$E$91 &gt; 0</formula>
    </cfRule>
    <cfRule type="expression" dxfId="1213" priority="149">
      <formula>$E$91 = 0</formula>
    </cfRule>
    <cfRule type="expression" dxfId="1212" priority="150">
      <formula>$E$91 &lt; 0</formula>
    </cfRule>
  </conditionalFormatting>
  <conditionalFormatting sqref="G69:I70 H91:I91">
    <cfRule type="expression" dxfId="1211" priority="145">
      <formula>$H$91 &gt; 0</formula>
    </cfRule>
    <cfRule type="expression" dxfId="1210" priority="146">
      <formula>$H$91 = 0</formula>
    </cfRule>
    <cfRule type="expression" dxfId="1209" priority="147">
      <formula>$H$91 &lt; 0</formula>
    </cfRule>
  </conditionalFormatting>
  <conditionalFormatting sqref="J69:L70 K91:L91">
    <cfRule type="expression" dxfId="1208" priority="142">
      <formula>$K$91 &gt; 0</formula>
    </cfRule>
    <cfRule type="expression" dxfId="1207" priority="143">
      <formula>$K$91 = 0</formula>
    </cfRule>
    <cfRule type="expression" dxfId="1206" priority="144">
      <formula>$K$91 &lt; 0</formula>
    </cfRule>
  </conditionalFormatting>
  <conditionalFormatting sqref="M69:O70 N91:O91">
    <cfRule type="expression" dxfId="1205" priority="139">
      <formula>$N$91 &gt; 0</formula>
    </cfRule>
    <cfRule type="expression" dxfId="1204" priority="140">
      <formula>$N$91 = 0</formula>
    </cfRule>
    <cfRule type="expression" dxfId="1203" priority="141">
      <formula>$N$91 &lt; 0</formula>
    </cfRule>
  </conditionalFormatting>
  <conditionalFormatting sqref="A98:C117 M98:O117">
    <cfRule type="expression" dxfId="1202" priority="127">
      <formula>AND($N98 &gt; 0, ISNUMBER($N98))</formula>
    </cfRule>
    <cfRule type="expression" dxfId="1201" priority="128">
      <formula>AND($N98 = 0 * ISNUMBER($N98))</formula>
    </cfRule>
    <cfRule type="expression" dxfId="1200" priority="129">
      <formula>AND($N98 &lt; 0, ISNUMBER($N98))</formula>
    </cfRule>
  </conditionalFormatting>
  <conditionalFormatting sqref="A98:F117">
    <cfRule type="expression" dxfId="1199" priority="136">
      <formula>AND($E98 &gt; 0, ISNUMBER($E98))</formula>
    </cfRule>
    <cfRule type="expression" dxfId="1198" priority="137">
      <formula>AND($E98 = 0 * ISNUMBER($E98))</formula>
    </cfRule>
    <cfRule type="expression" dxfId="1197" priority="138">
      <formula>AND($E98 &lt; 0, ISNUMBER($E98))</formula>
    </cfRule>
  </conditionalFormatting>
  <conditionalFormatting sqref="A98:C117 G99:I102 H98:I98 G106:I111 G114:I115 H112:I113 G117:I117 H116:I116 H103:I105">
    <cfRule type="expression" dxfId="1196" priority="133">
      <formula>AND($H98 &gt; 0, ISNUMBER($H98))</formula>
    </cfRule>
    <cfRule type="expression" dxfId="1195" priority="134">
      <formula>AND($H98 = 0 * ISNUMBER($H98))</formula>
    </cfRule>
    <cfRule type="expression" dxfId="1194" priority="135">
      <formula>AND($H98 &lt; 0, ISNUMBER($H98))</formula>
    </cfRule>
  </conditionalFormatting>
  <conditionalFormatting sqref="A98:C117 J98:L117">
    <cfRule type="expression" dxfId="1193" priority="130">
      <formula>AND($K98 &gt; 0, ISNUMBER($K98))</formula>
    </cfRule>
    <cfRule type="expression" dxfId="1192" priority="131">
      <formula>AND($K98 = 0 * ISNUMBER($K98))</formula>
    </cfRule>
    <cfRule type="expression" dxfId="1191" priority="132">
      <formula>AND($K98 &lt; 0, ISNUMBER($K98))</formula>
    </cfRule>
  </conditionalFormatting>
  <conditionalFormatting sqref="D96:F97 E118:F118">
    <cfRule type="expression" dxfId="1190" priority="124">
      <formula>$E$118 &gt; 0</formula>
    </cfRule>
    <cfRule type="expression" dxfId="1189" priority="125">
      <formula>$E$118 = 0</formula>
    </cfRule>
    <cfRule type="expression" dxfId="1188" priority="126">
      <formula>$E$118 &lt; 0</formula>
    </cfRule>
  </conditionalFormatting>
  <conditionalFormatting sqref="G96:I97 H118:I118">
    <cfRule type="expression" dxfId="1187" priority="121">
      <formula>$H$118 &gt; 0</formula>
    </cfRule>
    <cfRule type="expression" dxfId="1186" priority="122">
      <formula>$H$118 = 0</formula>
    </cfRule>
    <cfRule type="expression" dxfId="1185" priority="123">
      <formula>$H$118 &lt; 0</formula>
    </cfRule>
  </conditionalFormatting>
  <conditionalFormatting sqref="J96:L97 K118:L118">
    <cfRule type="expression" dxfId="1184" priority="118">
      <formula>$K$118 &gt; 0</formula>
    </cfRule>
    <cfRule type="expression" dxfId="1183" priority="119">
      <formula>$K$118 = 0</formula>
    </cfRule>
    <cfRule type="expression" dxfId="1182" priority="120">
      <formula>$K$118 &lt; 0</formula>
    </cfRule>
  </conditionalFormatting>
  <conditionalFormatting sqref="M96:O97 N118:O118">
    <cfRule type="expression" dxfId="1181" priority="115">
      <formula>$N$118 &gt; 0</formula>
    </cfRule>
    <cfRule type="expression" dxfId="1180" priority="116">
      <formula>$N$118 = 0</formula>
    </cfRule>
    <cfRule type="expression" dxfId="1179" priority="117">
      <formula>$N$118 &lt; 0</formula>
    </cfRule>
  </conditionalFormatting>
  <conditionalFormatting sqref="A125:C144 M125:O144">
    <cfRule type="expression" dxfId="1178" priority="103">
      <formula>AND($N125 &gt; 0, ISNUMBER($N125))</formula>
    </cfRule>
    <cfRule type="expression" dxfId="1177" priority="104">
      <formula>AND($N125 = 0 * ISNUMBER($N125))</formula>
    </cfRule>
    <cfRule type="expression" dxfId="1176" priority="105">
      <formula>AND($N125 &lt; 0, ISNUMBER($N125))</formula>
    </cfRule>
  </conditionalFormatting>
  <conditionalFormatting sqref="A125:F144">
    <cfRule type="expression" dxfId="1175" priority="112">
      <formula>AND($E125 &gt; 0, ISNUMBER($E125))</formula>
    </cfRule>
    <cfRule type="expression" dxfId="1174" priority="113">
      <formula>AND($E125 = 0 * ISNUMBER($E125))</formula>
    </cfRule>
    <cfRule type="expression" dxfId="1173" priority="114">
      <formula>AND($E125 &lt; 0, ISNUMBER($E125))</formula>
    </cfRule>
  </conditionalFormatting>
  <conditionalFormatting sqref="A125:C144 G125:I144">
    <cfRule type="expression" dxfId="1172" priority="109">
      <formula>AND($H125 &gt; 0, ISNUMBER($H125))</formula>
    </cfRule>
    <cfRule type="expression" dxfId="1171" priority="110">
      <formula>AND($H125 = 0 * ISNUMBER($H125))</formula>
    </cfRule>
    <cfRule type="expression" dxfId="1170" priority="111">
      <formula>AND($H125 &lt; 0, ISNUMBER($H125))</formula>
    </cfRule>
  </conditionalFormatting>
  <conditionalFormatting sqref="A125:C144 J125:L144">
    <cfRule type="expression" dxfId="1169" priority="106">
      <formula>AND($K125 &gt; 0, ISNUMBER($K125))</formula>
    </cfRule>
    <cfRule type="expression" dxfId="1168" priority="107">
      <formula>AND($K125 = 0 * ISNUMBER($K125))</formula>
    </cfRule>
    <cfRule type="expression" dxfId="1167" priority="108">
      <formula>AND($K125 &lt; 0, ISNUMBER($K125))</formula>
    </cfRule>
  </conditionalFormatting>
  <conditionalFormatting sqref="D123:F124 E145:F145">
    <cfRule type="expression" dxfId="1166" priority="100">
      <formula>$E$145 &gt; 0</formula>
    </cfRule>
    <cfRule type="expression" dxfId="1165" priority="101">
      <formula>$E$145 = 0</formula>
    </cfRule>
    <cfRule type="expression" dxfId="1164" priority="102">
      <formula>$E$145 &lt; 0</formula>
    </cfRule>
  </conditionalFormatting>
  <conditionalFormatting sqref="G123:I124 H145:I145">
    <cfRule type="expression" dxfId="1163" priority="97">
      <formula>$H$145 &gt; 0</formula>
    </cfRule>
    <cfRule type="expression" dxfId="1162" priority="98">
      <formula>$H$145 = 0</formula>
    </cfRule>
    <cfRule type="expression" dxfId="1161" priority="99">
      <formula>$H$145 &lt; 0</formula>
    </cfRule>
  </conditionalFormatting>
  <conditionalFormatting sqref="J123:L124 K145:L145">
    <cfRule type="expression" dxfId="1160" priority="94">
      <formula>$K$145 &gt; 0</formula>
    </cfRule>
    <cfRule type="expression" dxfId="1159" priority="95">
      <formula>$K$145 = 0</formula>
    </cfRule>
    <cfRule type="expression" dxfId="1158" priority="96">
      <formula>$K$145 &lt; 0</formula>
    </cfRule>
  </conditionalFormatting>
  <conditionalFormatting sqref="M123:O124 N145:O145">
    <cfRule type="expression" dxfId="1157" priority="91">
      <formula>$N$145 &gt; 0</formula>
    </cfRule>
    <cfRule type="expression" dxfId="1156" priority="92">
      <formula>$N$145 = 0</formula>
    </cfRule>
    <cfRule type="expression" dxfId="1155" priority="93">
      <formula>$N$145 &lt; 0</formula>
    </cfRule>
  </conditionalFormatting>
  <conditionalFormatting sqref="A152:C171 M152:O171">
    <cfRule type="expression" dxfId="1154" priority="79">
      <formula>AND($N152 &gt; 0, ISNUMBER($N152))</formula>
    </cfRule>
    <cfRule type="expression" dxfId="1153" priority="80">
      <formula>AND($N152 = 0 * ISNUMBER($N152))</formula>
    </cfRule>
    <cfRule type="expression" dxfId="1152" priority="81">
      <formula>AND($N152 &lt; 0, ISNUMBER($N152))</formula>
    </cfRule>
  </conditionalFormatting>
  <conditionalFormatting sqref="A152:F171">
    <cfRule type="expression" dxfId="1151" priority="88">
      <formula>AND($E152 &gt; 0, ISNUMBER($E152))</formula>
    </cfRule>
    <cfRule type="expression" dxfId="1150" priority="89">
      <formula>AND($E152 = 0 * ISNUMBER($E152))</formula>
    </cfRule>
    <cfRule type="expression" dxfId="1149" priority="90">
      <formula>AND($E152 &lt; 0, ISNUMBER($E152))</formula>
    </cfRule>
  </conditionalFormatting>
  <conditionalFormatting sqref="A152:C171 G152:I171">
    <cfRule type="expression" dxfId="1148" priority="85">
      <formula>AND($H152 &gt; 0, ISNUMBER($H152))</formula>
    </cfRule>
    <cfRule type="expression" dxfId="1147" priority="86">
      <formula>AND($H152 = 0 * ISNUMBER($H152))</formula>
    </cfRule>
    <cfRule type="expression" dxfId="1146" priority="87">
      <formula>AND($H152 &lt; 0, ISNUMBER($H152))</formula>
    </cfRule>
  </conditionalFormatting>
  <conditionalFormatting sqref="A152:C171 J152:L171">
    <cfRule type="expression" dxfId="1145" priority="82">
      <formula>AND($K152 &gt; 0, ISNUMBER($K152))</formula>
    </cfRule>
    <cfRule type="expression" dxfId="1144" priority="83">
      <formula>AND($K152 = 0 * ISNUMBER($K152))</formula>
    </cfRule>
    <cfRule type="expression" dxfId="1143" priority="84">
      <formula>AND($K152 &lt; 0, ISNUMBER($K152))</formula>
    </cfRule>
  </conditionalFormatting>
  <conditionalFormatting sqref="D150:F151 E172:F172">
    <cfRule type="expression" dxfId="1142" priority="76">
      <formula>$E$172 &gt; 0</formula>
    </cfRule>
    <cfRule type="expression" dxfId="1141" priority="77">
      <formula>$E$172 = 0</formula>
    </cfRule>
    <cfRule type="expression" dxfId="1140" priority="78">
      <formula>$E$172 &lt; 0</formula>
    </cfRule>
  </conditionalFormatting>
  <conditionalFormatting sqref="G150:I151 H172:I172">
    <cfRule type="expression" dxfId="1139" priority="73">
      <formula>$H$172 &gt; 0</formula>
    </cfRule>
    <cfRule type="expression" dxfId="1138" priority="74">
      <formula>$H$172 = 0</formula>
    </cfRule>
    <cfRule type="expression" dxfId="1137" priority="75">
      <formula>$H$172 &lt; 0</formula>
    </cfRule>
  </conditionalFormatting>
  <conditionalFormatting sqref="J150:L151 K172:L172">
    <cfRule type="expression" dxfId="1136" priority="70">
      <formula>$K$172 &gt; 0</formula>
    </cfRule>
    <cfRule type="expression" dxfId="1135" priority="71">
      <formula>$K$172 = 0</formula>
    </cfRule>
    <cfRule type="expression" dxfId="1134" priority="72">
      <formula>$K$172 &lt; 0</formula>
    </cfRule>
  </conditionalFormatting>
  <conditionalFormatting sqref="M150:O151 N172:O172">
    <cfRule type="expression" dxfId="1133" priority="67">
      <formula>$N$172 &gt; 0</formula>
    </cfRule>
    <cfRule type="expression" dxfId="1132" priority="68">
      <formula>$N$172 = 0</formula>
    </cfRule>
    <cfRule type="expression" dxfId="1131" priority="69">
      <formula>$N$172 &lt; 0</formula>
    </cfRule>
  </conditionalFormatting>
  <conditionalFormatting sqref="A179:C198 M179:O198">
    <cfRule type="expression" dxfId="1130" priority="55">
      <formula>AND($N179 &gt; 0, ISNUMBER($N179))</formula>
    </cfRule>
    <cfRule type="expression" dxfId="1129" priority="56">
      <formula>AND($N179 = 0 * ISNUMBER($N179))</formula>
    </cfRule>
    <cfRule type="expression" dxfId="1128" priority="57">
      <formula>AND($N179 &lt; 0, ISNUMBER($N179))</formula>
    </cfRule>
  </conditionalFormatting>
  <conditionalFormatting sqref="A179:F198">
    <cfRule type="expression" dxfId="1127" priority="64">
      <formula>AND($E179 &gt; 0, ISNUMBER($E179))</formula>
    </cfRule>
    <cfRule type="expression" dxfId="1126" priority="65">
      <formula>AND($E179 = 0 * ISNUMBER($E179))</formula>
    </cfRule>
    <cfRule type="expression" dxfId="1125" priority="66">
      <formula>AND($E179 &lt; 0, ISNUMBER($E179))</formula>
    </cfRule>
  </conditionalFormatting>
  <conditionalFormatting sqref="A179:C198 G179:I198">
    <cfRule type="expression" dxfId="1124" priority="61">
      <formula>AND($H179 &gt; 0, ISNUMBER($H179))</formula>
    </cfRule>
    <cfRule type="expression" dxfId="1123" priority="62">
      <formula>AND($H179 = 0 * ISNUMBER($H179))</formula>
    </cfRule>
    <cfRule type="expression" dxfId="1122" priority="63">
      <formula>AND($H179 &lt; 0, ISNUMBER($H179))</formula>
    </cfRule>
  </conditionalFormatting>
  <conditionalFormatting sqref="A179:C198 J179:L198">
    <cfRule type="expression" dxfId="1121" priority="58">
      <formula>AND($K179 &gt; 0, ISNUMBER($K179))</formula>
    </cfRule>
    <cfRule type="expression" dxfId="1120" priority="59">
      <formula>AND($K179 = 0 * ISNUMBER($K179))</formula>
    </cfRule>
    <cfRule type="expression" dxfId="1119" priority="60">
      <formula>AND($K179 &lt; 0, ISNUMBER($K179))</formula>
    </cfRule>
  </conditionalFormatting>
  <conditionalFormatting sqref="D177:F178 E199:F199">
    <cfRule type="expression" dxfId="1118" priority="52">
      <formula>$E$199 &gt; 0</formula>
    </cfRule>
    <cfRule type="expression" dxfId="1117" priority="53">
      <formula>$E$199 = 0</formula>
    </cfRule>
    <cfRule type="expression" dxfId="1116" priority="54">
      <formula>$E$199 &lt; 0</formula>
    </cfRule>
  </conditionalFormatting>
  <conditionalFormatting sqref="G177:I178 H199:I199">
    <cfRule type="expression" dxfId="1115" priority="49">
      <formula>$H$199 &gt; 0</formula>
    </cfRule>
    <cfRule type="expression" dxfId="1114" priority="50">
      <formula>$H$199 = 0</formula>
    </cfRule>
    <cfRule type="expression" dxfId="1113" priority="51">
      <formula>$H$199 &lt; 0</formula>
    </cfRule>
  </conditionalFormatting>
  <conditionalFormatting sqref="J177:L178 K199:L199">
    <cfRule type="expression" dxfId="1112" priority="46">
      <formula>$K$199 &gt; 0</formula>
    </cfRule>
    <cfRule type="expression" dxfId="1111" priority="47">
      <formula>$K$199 = 0</formula>
    </cfRule>
    <cfRule type="expression" dxfId="1110" priority="48">
      <formula>$K$199 &lt; 0</formula>
    </cfRule>
  </conditionalFormatting>
  <conditionalFormatting sqref="M177:O178 N199:O199">
    <cfRule type="expression" dxfId="1109" priority="43">
      <formula>$N$199 &gt; 0</formula>
    </cfRule>
    <cfRule type="expression" dxfId="1108" priority="44">
      <formula>$N$199 = 0</formula>
    </cfRule>
    <cfRule type="expression" dxfId="1107" priority="45">
      <formula>$N$199 &lt; 0</formula>
    </cfRule>
  </conditionalFormatting>
  <conditionalFormatting sqref="G79">
    <cfRule type="expression" dxfId="1106" priority="40">
      <formula>AND($H79 &gt; 0, ISNUMBER($H79))</formula>
    </cfRule>
    <cfRule type="expression" dxfId="1105" priority="41">
      <formula>AND($H79 = 0 * ISNUMBER($H79))</formula>
    </cfRule>
    <cfRule type="expression" dxfId="1104" priority="42">
      <formula>AND($H79 &lt; 0, ISNUMBER($H79))</formula>
    </cfRule>
  </conditionalFormatting>
  <conditionalFormatting sqref="G80">
    <cfRule type="expression" dxfId="1103" priority="37">
      <formula>AND($H80 &gt; 0, ISNUMBER($H80))</formula>
    </cfRule>
    <cfRule type="expression" dxfId="1102" priority="38">
      <formula>AND($H80 = 0 * ISNUMBER($H80))</formula>
    </cfRule>
    <cfRule type="expression" dxfId="1101" priority="39">
      <formula>AND($H80 &lt; 0, ISNUMBER($H80))</formula>
    </cfRule>
  </conditionalFormatting>
  <conditionalFormatting sqref="G82">
    <cfRule type="expression" dxfId="1100" priority="34">
      <formula>AND($H82 &gt; 0, ISNUMBER($H82))</formula>
    </cfRule>
    <cfRule type="expression" dxfId="1099" priority="35">
      <formula>AND($H82 = 0 * ISNUMBER($H82))</formula>
    </cfRule>
    <cfRule type="expression" dxfId="1098" priority="36">
      <formula>AND($H82 &lt; 0, ISNUMBER($H82))</formula>
    </cfRule>
  </conditionalFormatting>
  <conditionalFormatting sqref="G85">
    <cfRule type="expression" dxfId="1097" priority="31">
      <formula>AND($H85 &gt; 0, ISNUMBER($H85))</formula>
    </cfRule>
    <cfRule type="expression" dxfId="1096" priority="32">
      <formula>AND($H85 = 0 * ISNUMBER($H85))</formula>
    </cfRule>
    <cfRule type="expression" dxfId="1095" priority="33">
      <formula>AND($H85 &lt; 0, ISNUMBER($H85))</formula>
    </cfRule>
  </conditionalFormatting>
  <conditionalFormatting sqref="G87">
    <cfRule type="expression" dxfId="1094" priority="28">
      <formula>AND($H87 &gt; 0, ISNUMBER($H87))</formula>
    </cfRule>
    <cfRule type="expression" dxfId="1093" priority="29">
      <formula>AND($H87 = 0 * ISNUMBER($H87))</formula>
    </cfRule>
    <cfRule type="expression" dxfId="1092" priority="30">
      <formula>AND($H87 &lt; 0, ISNUMBER($H87))</formula>
    </cfRule>
  </conditionalFormatting>
  <conditionalFormatting sqref="G88">
    <cfRule type="expression" dxfId="1091" priority="25">
      <formula>AND($H88 &gt; 0, ISNUMBER($H88))</formula>
    </cfRule>
    <cfRule type="expression" dxfId="1090" priority="26">
      <formula>AND($H88 = 0 * ISNUMBER($H88))</formula>
    </cfRule>
    <cfRule type="expression" dxfId="1089" priority="27">
      <formula>AND($H88 &lt; 0, ISNUMBER($H88))</formula>
    </cfRule>
  </conditionalFormatting>
  <conditionalFormatting sqref="G89">
    <cfRule type="expression" dxfId="1088" priority="22">
      <formula>AND($H89 &gt; 0, ISNUMBER($H89))</formula>
    </cfRule>
    <cfRule type="expression" dxfId="1087" priority="23">
      <formula>AND($H89 = 0 * ISNUMBER($H89))</formula>
    </cfRule>
    <cfRule type="expression" dxfId="1086" priority="24">
      <formula>AND($H89 &lt; 0, ISNUMBER($H89))</formula>
    </cfRule>
  </conditionalFormatting>
  <conditionalFormatting sqref="G98">
    <cfRule type="expression" dxfId="1085" priority="19">
      <formula>AND($H98 &gt; 0, ISNUMBER($H98))</formula>
    </cfRule>
    <cfRule type="expression" dxfId="1084" priority="20">
      <formula>AND($H98 = 0 * ISNUMBER($H98))</formula>
    </cfRule>
    <cfRule type="expression" dxfId="1083" priority="21">
      <formula>AND($H98 &lt; 0, ISNUMBER($H98))</formula>
    </cfRule>
  </conditionalFormatting>
  <conditionalFormatting sqref="G103:G104">
    <cfRule type="expression" dxfId="1082" priority="16">
      <formula>AND($H103 &gt; 0, ISNUMBER($H103))</formula>
    </cfRule>
    <cfRule type="expression" dxfId="1081" priority="17">
      <formula>AND($H103 = 0 * ISNUMBER($H103))</formula>
    </cfRule>
    <cfRule type="expression" dxfId="1080" priority="18">
      <formula>AND($H103 &lt; 0, ISNUMBER($H103))</formula>
    </cfRule>
  </conditionalFormatting>
  <conditionalFormatting sqref="G105">
    <cfRule type="expression" dxfId="1079" priority="10">
      <formula>AND($H105 &gt; 0, ISNUMBER($H105))</formula>
    </cfRule>
    <cfRule type="expression" dxfId="1078" priority="11">
      <formula>AND($H105 = 0 * ISNUMBER($H105))</formula>
    </cfRule>
    <cfRule type="expression" dxfId="1077" priority="12">
      <formula>AND($H105 &lt; 0, ISNUMBER($H105))</formula>
    </cfRule>
  </conditionalFormatting>
  <conditionalFormatting sqref="G112">
    <cfRule type="expression" dxfId="1076" priority="7">
      <formula>AND($H112 &gt; 0, ISNUMBER($H112))</formula>
    </cfRule>
    <cfRule type="expression" dxfId="1075" priority="8">
      <formula>AND($H112 = 0 * ISNUMBER($H112))</formula>
    </cfRule>
    <cfRule type="expression" dxfId="1074" priority="9">
      <formula>AND($H112 &lt; 0, ISNUMBER($H112))</formula>
    </cfRule>
  </conditionalFormatting>
  <conditionalFormatting sqref="G113">
    <cfRule type="expression" dxfId="1073" priority="4">
      <formula>AND($H113 &gt; 0, ISNUMBER($H113))</formula>
    </cfRule>
    <cfRule type="expression" dxfId="1072" priority="5">
      <formula>AND($H113 = 0 * ISNUMBER($H113))</formula>
    </cfRule>
    <cfRule type="expression" dxfId="1071" priority="6">
      <formula>AND($H113 &lt; 0, ISNUMBER($H113))</formula>
    </cfRule>
  </conditionalFormatting>
  <conditionalFormatting sqref="G116">
    <cfRule type="expression" dxfId="1070" priority="1">
      <formula>AND($H116 &gt; 0, ISNUMBER($H116))</formula>
    </cfRule>
    <cfRule type="expression" dxfId="1069" priority="2">
      <formula>AND($H116 = 0 * ISNUMBER($H116))</formula>
    </cfRule>
    <cfRule type="expression" dxfId="1068" priority="3">
      <formula>AND($H116 &lt; 0, ISNUMBER($H116))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19539-2CCE-44F8-AC63-D69F38779FC1}">
  <sheetPr codeName="Sheet18"/>
  <dimension ref="A1:S199"/>
  <sheetViews>
    <sheetView topLeftCell="A12" zoomScaleNormal="100" workbookViewId="0">
      <selection activeCell="A17" sqref="A17:A3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80">
        <v>44420</v>
      </c>
      <c r="H1" s="281"/>
      <c r="I1" s="282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83" t="s">
        <v>8</v>
      </c>
      <c r="C2" s="284"/>
      <c r="D2" s="284"/>
      <c r="E2" s="284"/>
      <c r="F2" s="285"/>
      <c r="G2" s="277" t="s">
        <v>46</v>
      </c>
      <c r="H2" s="278"/>
      <c r="I2" s="279"/>
      <c r="J2" s="1" t="s">
        <v>3</v>
      </c>
      <c r="K2" s="283" t="s">
        <v>320</v>
      </c>
      <c r="L2" s="284"/>
      <c r="M2" s="284"/>
      <c r="N2" s="284"/>
      <c r="O2" s="285"/>
      <c r="Q2" s="2" t="s">
        <v>6</v>
      </c>
      <c r="R2" s="3">
        <v>0.375</v>
      </c>
    </row>
    <row r="3" spans="1:19" ht="17.25" customHeight="1" thickBot="1">
      <c r="A3" s="118" t="s">
        <v>7</v>
      </c>
      <c r="B3" s="274" t="s">
        <v>328</v>
      </c>
      <c r="C3" s="275"/>
      <c r="D3" s="275"/>
      <c r="E3" s="275"/>
      <c r="F3" s="276"/>
      <c r="G3" s="27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-98,224 KRW (-4.91%)</v>
      </c>
      <c r="H3" s="271"/>
      <c r="I3" s="272"/>
      <c r="J3" s="4" t="s">
        <v>7</v>
      </c>
      <c r="K3" s="274" t="s">
        <v>321</v>
      </c>
      <c r="L3" s="275"/>
      <c r="M3" s="275"/>
      <c r="N3" s="275"/>
      <c r="O3" s="27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4" t="s">
        <v>16</v>
      </c>
      <c r="C4" s="275"/>
      <c r="D4" s="275"/>
      <c r="E4" s="275"/>
      <c r="F4" s="276"/>
      <c r="G4" s="277" t="s">
        <v>44</v>
      </c>
      <c r="H4" s="278"/>
      <c r="I4" s="279"/>
      <c r="J4" s="4" t="s">
        <v>11</v>
      </c>
      <c r="K4" s="274" t="s">
        <v>322</v>
      </c>
      <c r="L4" s="275"/>
      <c r="M4" s="275"/>
      <c r="N4" s="275"/>
      <c r="O4" s="27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4" t="s">
        <v>319</v>
      </c>
      <c r="C5" s="275"/>
      <c r="D5" s="275"/>
      <c r="E5" s="275"/>
      <c r="F5" s="276"/>
      <c r="G5" s="27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-40,601 KRW (-2.26%)</v>
      </c>
      <c r="H5" s="271"/>
      <c r="I5" s="272"/>
      <c r="J5" s="4" t="s">
        <v>15</v>
      </c>
      <c r="K5" s="274" t="s">
        <v>323</v>
      </c>
      <c r="L5" s="275"/>
      <c r="M5" s="275"/>
      <c r="N5" s="275"/>
      <c r="O5" s="276"/>
    </row>
    <row r="6" spans="1:19">
      <c r="A6" s="118" t="s">
        <v>18</v>
      </c>
      <c r="B6" s="274"/>
      <c r="C6" s="275"/>
      <c r="D6" s="275"/>
      <c r="E6" s="275"/>
      <c r="F6" s="276"/>
      <c r="G6" s="277" t="s">
        <v>45</v>
      </c>
      <c r="H6" s="278"/>
      <c r="I6" s="279"/>
      <c r="J6" s="4" t="s">
        <v>18</v>
      </c>
      <c r="K6" s="274" t="s">
        <v>324</v>
      </c>
      <c r="L6" s="275"/>
      <c r="M6" s="275"/>
      <c r="N6" s="275"/>
      <c r="O6" s="276"/>
    </row>
    <row r="7" spans="1:19" ht="17.25" thickBot="1">
      <c r="A7" s="118" t="s">
        <v>21</v>
      </c>
      <c r="B7" s="274"/>
      <c r="C7" s="275"/>
      <c r="D7" s="275"/>
      <c r="E7" s="275"/>
      <c r="F7" s="276"/>
      <c r="G7" s="27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-112,197 KRW (-5.61%)</v>
      </c>
      <c r="H7" s="271"/>
      <c r="I7" s="272"/>
      <c r="J7" s="4" t="s">
        <v>21</v>
      </c>
      <c r="K7" s="274" t="s">
        <v>325</v>
      </c>
      <c r="L7" s="275"/>
      <c r="M7" s="275"/>
      <c r="N7" s="275"/>
      <c r="O7" s="276"/>
    </row>
    <row r="8" spans="1:19" ht="17.25" thickBot="1">
      <c r="A8" s="118" t="s">
        <v>24</v>
      </c>
      <c r="B8" s="274"/>
      <c r="C8" s="275"/>
      <c r="D8" s="275"/>
      <c r="E8" s="275"/>
      <c r="F8" s="276"/>
      <c r="G8" s="277" t="s">
        <v>255</v>
      </c>
      <c r="H8" s="278"/>
      <c r="I8" s="279"/>
      <c r="J8" s="4" t="s">
        <v>24</v>
      </c>
      <c r="K8" s="274"/>
      <c r="L8" s="275"/>
      <c r="M8" s="275"/>
      <c r="N8" s="275"/>
      <c r="O8" s="276"/>
      <c r="Q8" s="249" t="s">
        <v>27</v>
      </c>
      <c r="R8" s="251"/>
    </row>
    <row r="9" spans="1:19" ht="17.25" thickBot="1">
      <c r="A9" s="118" t="s">
        <v>28</v>
      </c>
      <c r="B9" s="274"/>
      <c r="C9" s="275"/>
      <c r="D9" s="275"/>
      <c r="E9" s="275"/>
      <c r="F9" s="276"/>
      <c r="G9" s="27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-86,064 KRW (-4.30%)</v>
      </c>
      <c r="H9" s="271"/>
      <c r="I9" s="272"/>
      <c r="J9" s="4" t="s">
        <v>28</v>
      </c>
      <c r="K9" s="274"/>
      <c r="L9" s="275"/>
      <c r="M9" s="275"/>
      <c r="N9" s="275"/>
      <c r="O9" s="276"/>
      <c r="Q9" s="2" t="s">
        <v>29</v>
      </c>
      <c r="R9" s="6">
        <v>10</v>
      </c>
    </row>
    <row r="10" spans="1:19">
      <c r="A10" s="118" t="s">
        <v>30</v>
      </c>
      <c r="B10" s="274"/>
      <c r="C10" s="275"/>
      <c r="D10" s="275"/>
      <c r="E10" s="275"/>
      <c r="F10" s="276"/>
      <c r="G10" s="277" t="s">
        <v>47</v>
      </c>
      <c r="H10" s="278"/>
      <c r="I10" s="279"/>
      <c r="J10" s="4" t="s">
        <v>30</v>
      </c>
      <c r="K10" s="274" t="s">
        <v>326</v>
      </c>
      <c r="L10" s="275"/>
      <c r="M10" s="275"/>
      <c r="N10" s="275"/>
      <c r="O10" s="276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7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-40,601 KRW (-2.26%)</v>
      </c>
      <c r="H11" s="271"/>
      <c r="I11" s="272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48"/>
      <c r="R13" s="248"/>
      <c r="S13" s="248"/>
    </row>
    <row r="14" spans="1:19" ht="17.25" customHeight="1" thickBot="1">
      <c r="A14" s="201" t="s">
        <v>35</v>
      </c>
      <c r="B14" s="249" t="s">
        <v>36</v>
      </c>
      <c r="C14" s="251"/>
      <c r="D14" s="249" t="s">
        <v>37</v>
      </c>
      <c r="E14" s="250"/>
      <c r="F14" s="251"/>
      <c r="G14" s="252">
        <f>_xlfn.IFNA(VLOOKUP(B14, 현재가테이블!$B$2:$D$200, 2, FALSE), "-")</f>
        <v>54440000</v>
      </c>
      <c r="H14" s="253"/>
      <c r="I14" s="254"/>
      <c r="J14" s="249" t="s">
        <v>38</v>
      </c>
      <c r="K14" s="250"/>
      <c r="L14" s="251"/>
      <c r="M14" s="255">
        <f>_xlfn.IFNA(VLOOKUP(B14, 현재가테이블!$B$2:$D$200, 3, FALSE), "-")</f>
        <v>1.07123628E-2</v>
      </c>
      <c r="N14" s="256"/>
      <c r="O14" s="257"/>
      <c r="Q14" s="248"/>
      <c r="R14" s="248"/>
      <c r="S14" s="248"/>
    </row>
    <row r="15" spans="1:19" ht="17.25" customHeight="1" thickBot="1">
      <c r="A15" s="286" t="s">
        <v>39</v>
      </c>
      <c r="B15" s="287" t="str">
        <f>TEXT($G$1, "[$-ko-KR]yyyy-mm-dd(ddd) ") &amp; "오전 00:00"</f>
        <v>2021-08-12(목) 오전 00:00</v>
      </c>
      <c r="C15" s="288"/>
      <c r="D15" s="262" t="str">
        <f>TEXT($G$1, "[$-ko-KR]yyyy-mm-dd(ddd) ") &amp; "오후 14:00"</f>
        <v>2021-08-12(목) 오후 14:00</v>
      </c>
      <c r="E15" s="263"/>
      <c r="F15" s="264"/>
      <c r="G15" s="262" t="str">
        <f>TEXT($G$1, "[$-ko-KR]yyyy-mm-dd(ddd) ") &amp; "오후 19:00"</f>
        <v>2021-08-12(목) 오후 19:00</v>
      </c>
      <c r="H15" s="263"/>
      <c r="I15" s="264"/>
      <c r="J15" s="262" t="str">
        <f>TEXT($G$1, "[$-ko-KR]yyyy-mm-dd(ddd) ") &amp; "오후 21:00"</f>
        <v>2021-08-12(목) 오후 21:00</v>
      </c>
      <c r="K15" s="263"/>
      <c r="L15" s="264"/>
      <c r="M15" s="262" t="str">
        <f>TEXT($G$1+1, "[$-ko-KR]yyyy-mm-dd(ddd) ") &amp; "오전 00:00"</f>
        <v>2021-08-13(금) 오전 00:00</v>
      </c>
      <c r="N15" s="263"/>
      <c r="O15" s="264"/>
      <c r="Q15" s="248"/>
      <c r="R15" s="248"/>
      <c r="S15" s="248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23" t="s">
        <v>98</v>
      </c>
      <c r="B17" s="124">
        <f>IF(NOT(ISBLANK(_xlfn.IFNA(VLOOKUP($A17, $A$40:$O$199, 2, FALSE), ))), _xlfn.IFNA(VLOOKUP($A17, $A$40:$O$199, 2, FALSE), ), "")</f>
        <v>5.26</v>
      </c>
      <c r="C17" s="76">
        <f>IF(NOT(ISBLANK(_xlfn.IFNA(VLOOKUP($A17, $A$40:$O$199, 3, FALSE), ))), _xlfn.IFNA(VLOOKUP($A17, $A$40:$O$199, 3, FALSE), ), "")</f>
        <v>0.17937219730000001</v>
      </c>
      <c r="D17" s="13">
        <f>IF(NOT(ISBLANK(_xlfn.IFNA(VLOOKUP($A17, $A$40:$O$199, 4, FALSE), ))), _xlfn.IFNA(VLOOKUP($A17, $A$40:$O$199, 4, FALSE), ), "")</f>
        <v>5.44</v>
      </c>
      <c r="E17" s="14">
        <f>IF(NOT(ISBLANK(_xlfn.IFNA(VLOOKUP($A17, $A$40:$O$199, 5, FALSE), ))), _xlfn.IFNA(VLOOKUP($A17, $A$40:$O$199, 5, FALSE), ), "")</f>
        <v>3.4220532319391754E-2</v>
      </c>
      <c r="F17" s="16">
        <f>IF(NOT(ISBLANK(_xlfn.IFNA(VLOOKUP($A17, $A$40:$O$199, 6, FALSE), ))), _xlfn.IFNA(VLOOKUP($A17, $A$40:$O$199, 6, FALSE), ), "")</f>
        <v>3422.0532319391755</v>
      </c>
      <c r="G17" s="29">
        <f>IF(NOT(ISBLANK(_xlfn.IFNA(VLOOKUP($A17, $A$40:$O$199, 7, FALSE), ))), _xlfn.IFNA(VLOOKUP($A17, $A$40:$O$199, 7, FALSE), ), "")</f>
        <v>5.32</v>
      </c>
      <c r="H17" s="14">
        <f>IF(NOT(ISBLANK(_xlfn.IFNA(VLOOKUP($A17, $A$40:$O$199, 8, FALSE), ))), _xlfn.IFNA(VLOOKUP($A17, $A$40:$O$199, 8, FALSE), ), "")</f>
        <v>1.1406844106463974E-2</v>
      </c>
      <c r="I17" s="100">
        <f>IF(NOT(ISBLANK(_xlfn.IFNA(VLOOKUP($A17, $A$40:$O$199, 9, FALSE), ))), _xlfn.IFNA(VLOOKUP($A17, $A$40:$O$199, 9, FALSE), ), "")</f>
        <v>1140.6844106463975</v>
      </c>
      <c r="J17" s="13">
        <f>IF(NOT(ISBLANK(_xlfn.IFNA(VLOOKUP($A17, $A$40:$O$199, 10, FALSE), ))), _xlfn.IFNA(VLOOKUP($A17, $A$40:$O$199, 10, FALSE), ), "")</f>
        <v>5.26</v>
      </c>
      <c r="K17" s="14">
        <f>IF(NOT(ISBLANK(_xlfn.IFNA(VLOOKUP($A17, $A$40:$O$199, 11, FALSE), ))), _xlfn.IFNA(VLOOKUP($A17, $A$40:$O$199, 11, FALSE), ), "")</f>
        <v>0</v>
      </c>
      <c r="L17" s="16">
        <f>IF(NOT(ISBLANK(_xlfn.IFNA(VLOOKUP($A17, $A$40:$O$199, 12, FALSE), ))), _xlfn.IFNA(VLOOKUP($A17, $A$40:$O$199, 12, FALSE), ), "")</f>
        <v>0</v>
      </c>
      <c r="M17" s="29">
        <f>IF(NOT(ISBLANK(_xlfn.IFNA(VLOOKUP($A17, $A$40:$O$199, 13, FALSE), ))), _xlfn.IFNA(VLOOKUP($A17, $A$40:$O$199, 13, FALSE), ), "")</f>
        <v>5.2</v>
      </c>
      <c r="N17" s="14">
        <f>IF(NOT(ISBLANK(_xlfn.IFNA(VLOOKUP($A17, $A$40:$O$199, 14, FALSE), ))), _xlfn.IFNA(VLOOKUP($A17, $A$40:$O$199, 14, FALSE), ), "")</f>
        <v>-1.1406844106463804E-2</v>
      </c>
      <c r="O17" s="16">
        <f>IF(NOT(ISBLANK(_xlfn.IFNA(VLOOKUP($A17, $A$40:$O$199, 15, FALSE), ))), _xlfn.IFNA(VLOOKUP($A17, $A$40:$O$199, 15, FALSE), ), "")</f>
        <v>-1140.6844106463805</v>
      </c>
      <c r="Q17" s="248"/>
      <c r="R17" s="248"/>
      <c r="S17" s="248"/>
    </row>
    <row r="18" spans="1:19" ht="17.25" customHeight="1" thickBot="1">
      <c r="A18" s="125" t="s">
        <v>152</v>
      </c>
      <c r="B18" s="126">
        <f t="shared" ref="B18:B36" si="0">IF(NOT(ISBLANK(_xlfn.IFNA(VLOOKUP($A18, $A$40:$O$199, 2, FALSE), ))), _xlfn.IFNA(VLOOKUP($A18, $A$40:$O$199, 2, FALSE), ), "")</f>
        <v>97.1</v>
      </c>
      <c r="C18" s="77">
        <f t="shared" ref="C18:C36" si="1">IF(NOT(ISBLANK(_xlfn.IFNA(VLOOKUP($A18, $A$40:$O$199, 3, FALSE), ))), _xlfn.IFNA(VLOOKUP($A18, $A$40:$O$199, 3, FALSE), ), "")</f>
        <v>0.1330221704</v>
      </c>
      <c r="D18" s="15">
        <f t="shared" ref="D18:D36" si="2">IF(NOT(ISBLANK(_xlfn.IFNA(VLOOKUP($A18, $A$40:$O$199, 4, FALSE), ))), _xlfn.IFNA(VLOOKUP($A18, $A$40:$O$199, 4, FALSE), ), "")</f>
        <v>101</v>
      </c>
      <c r="E18" s="32">
        <f t="shared" ref="E18:E36" si="3">IF(NOT(ISBLANK(_xlfn.IFNA(VLOOKUP($A18, $A$40:$O$199, 5, FALSE), ))), _xlfn.IFNA(VLOOKUP($A18, $A$40:$O$199, 5, FALSE), ), "")</f>
        <v>4.0164778578784817E-2</v>
      </c>
      <c r="F18" s="18">
        <f t="shared" ref="F18:F36" si="4">IF(NOT(ISBLANK(_xlfn.IFNA(VLOOKUP($A18, $A$40:$O$199, 6, FALSE), ))), _xlfn.IFNA(VLOOKUP($A18, $A$40:$O$199, 6, FALSE), ), "")</f>
        <v>4016.4778578784817</v>
      </c>
      <c r="G18" s="31">
        <f t="shared" ref="G18:G36" si="5">IF(NOT(ISBLANK(_xlfn.IFNA(VLOOKUP($A18, $A$40:$O$199, 7, FALSE), ))), _xlfn.IFNA(VLOOKUP($A18, $A$40:$O$199, 7, FALSE), ), "")</f>
        <v>99</v>
      </c>
      <c r="H18" s="32">
        <f t="shared" ref="H18:H36" si="6">IF(NOT(ISBLANK(_xlfn.IFNA(VLOOKUP($A18, $A$40:$O$199, 8, FALSE), ))), _xlfn.IFNA(VLOOKUP($A18, $A$40:$O$199, 8, FALSE), ), "")</f>
        <v>1.9567456230690072E-2</v>
      </c>
      <c r="I18" s="101">
        <f t="shared" ref="I18:I36" si="7">IF(NOT(ISBLANK(_xlfn.IFNA(VLOOKUP($A18, $A$40:$O$199, 9, FALSE), ))), _xlfn.IFNA(VLOOKUP($A18, $A$40:$O$199, 9, FALSE), ), "")</f>
        <v>1956.7456230690073</v>
      </c>
      <c r="J18" s="15">
        <f t="shared" ref="J18:J36" si="8">IF(NOT(ISBLANK(_xlfn.IFNA(VLOOKUP($A18, $A$40:$O$199, 10, FALSE), ))), _xlfn.IFNA(VLOOKUP($A18, $A$40:$O$199, 10, FALSE), ), "")</f>
        <v>98</v>
      </c>
      <c r="K18" s="32">
        <f t="shared" ref="K18:K36" si="9">IF(NOT(ISBLANK(_xlfn.IFNA(VLOOKUP($A18, $A$40:$O$199, 11, FALSE), ))), _xlfn.IFNA(VLOOKUP($A18, $A$40:$O$199, 11, FALSE), ), "")</f>
        <v>9.2687950566426956E-3</v>
      </c>
      <c r="L18" s="18">
        <f t="shared" ref="L18:L36" si="10">IF(NOT(ISBLANK(_xlfn.IFNA(VLOOKUP($A18, $A$40:$O$199, 12, FALSE), ))), _xlfn.IFNA(VLOOKUP($A18, $A$40:$O$199, 12, FALSE), ), "")</f>
        <v>926.87950566426957</v>
      </c>
      <c r="M18" s="31">
        <f t="shared" ref="M18:M36" si="11">IF(NOT(ISBLANK(_xlfn.IFNA(VLOOKUP($A18, $A$40:$O$199, 13, FALSE), ))), _xlfn.IFNA(VLOOKUP($A18, $A$40:$O$199, 13, FALSE), ), "")</f>
        <v>96.4</v>
      </c>
      <c r="N18" s="32">
        <f t="shared" ref="N18:N36" si="12">IF(NOT(ISBLANK(_xlfn.IFNA(VLOOKUP($A18, $A$40:$O$199, 14, FALSE), ))), _xlfn.IFNA(VLOOKUP($A18, $A$40:$O$199, 14, FALSE), ), "")</f>
        <v>-7.2090628218330448E-3</v>
      </c>
      <c r="O18" s="18">
        <f t="shared" ref="O18:O36" si="13">IF(NOT(ISBLANK(_xlfn.IFNA(VLOOKUP($A18, $A$40:$O$199, 15, FALSE), ))), _xlfn.IFNA(VLOOKUP($A18, $A$40:$O$199, 15, FALSE), ), "")</f>
        <v>-720.90628218330448</v>
      </c>
      <c r="Q18" s="248"/>
      <c r="R18" s="248"/>
      <c r="S18" s="248"/>
    </row>
    <row r="19" spans="1:19" ht="17.25" customHeight="1" thickBot="1">
      <c r="A19" s="125" t="s">
        <v>148</v>
      </c>
      <c r="B19" s="126">
        <f t="shared" si="0"/>
        <v>21.6</v>
      </c>
      <c r="C19" s="77">
        <f t="shared" si="1"/>
        <v>9.0909090900000003E-2</v>
      </c>
      <c r="D19" s="15">
        <f t="shared" si="2"/>
        <v>21.3</v>
      </c>
      <c r="E19" s="32">
        <f t="shared" si="3"/>
        <v>-1.3888888888888921E-2</v>
      </c>
      <c r="F19" s="18">
        <f t="shared" si="4"/>
        <v>-1388.8888888888921</v>
      </c>
      <c r="G19" s="31">
        <f t="shared" si="5"/>
        <v>20.7</v>
      </c>
      <c r="H19" s="32">
        <f t="shared" si="6"/>
        <v>-4.1666666666666761E-2</v>
      </c>
      <c r="I19" s="101">
        <f t="shared" si="7"/>
        <v>-4166.6666666666761</v>
      </c>
      <c r="J19" s="15">
        <f t="shared" si="8"/>
        <v>20.5</v>
      </c>
      <c r="K19" s="32">
        <f t="shared" si="9"/>
        <v>-5.0925925925925986E-2</v>
      </c>
      <c r="L19" s="18">
        <f t="shared" si="10"/>
        <v>-5092.5925925925985</v>
      </c>
      <c r="M19" s="31">
        <f t="shared" si="11"/>
        <v>20.3</v>
      </c>
      <c r="N19" s="32">
        <f t="shared" si="12"/>
        <v>-6.0185185185185217E-2</v>
      </c>
      <c r="O19" s="18">
        <f t="shared" si="13"/>
        <v>-6018.5185185185219</v>
      </c>
      <c r="Q19" s="238"/>
      <c r="R19" s="238"/>
      <c r="S19" s="238"/>
    </row>
    <row r="20" spans="1:19" ht="17.25" customHeight="1" thickBot="1">
      <c r="A20" s="125" t="s">
        <v>250</v>
      </c>
      <c r="B20" s="126">
        <f t="shared" si="0"/>
        <v>77.5</v>
      </c>
      <c r="C20" s="77">
        <f t="shared" si="1"/>
        <v>8.5434173700000005E-2</v>
      </c>
      <c r="D20" s="15">
        <f t="shared" si="2"/>
        <v>80.599999999999994</v>
      </c>
      <c r="E20" s="32">
        <f t="shared" si="3"/>
        <v>3.9999999999999925E-2</v>
      </c>
      <c r="F20" s="18">
        <f t="shared" si="4"/>
        <v>3999.9999999999923</v>
      </c>
      <c r="G20" s="31">
        <f t="shared" si="5"/>
        <v>79.2</v>
      </c>
      <c r="H20" s="32">
        <f t="shared" si="6"/>
        <v>2.1935483870967779E-2</v>
      </c>
      <c r="I20" s="101">
        <f t="shared" si="7"/>
        <v>2193.5483870967778</v>
      </c>
      <c r="J20" s="15">
        <f t="shared" si="8"/>
        <v>77.8</v>
      </c>
      <c r="K20" s="32">
        <f t="shared" si="9"/>
        <v>3.870967741935447E-3</v>
      </c>
      <c r="L20" s="18">
        <f t="shared" si="10"/>
        <v>387.09677419354472</v>
      </c>
      <c r="M20" s="31">
        <f t="shared" si="11"/>
        <v>75.400000000000006</v>
      </c>
      <c r="N20" s="32">
        <f t="shared" si="12"/>
        <v>-2.7096774193548313E-2</v>
      </c>
      <c r="O20" s="18">
        <f t="shared" si="13"/>
        <v>-2709.6774193548313</v>
      </c>
      <c r="Q20" s="238"/>
      <c r="R20" s="238"/>
      <c r="S20" s="238"/>
    </row>
    <row r="21" spans="1:19" ht="17.25" customHeight="1" thickBot="1">
      <c r="A21" s="127" t="s">
        <v>202</v>
      </c>
      <c r="B21" s="128">
        <f t="shared" si="0"/>
        <v>96.6</v>
      </c>
      <c r="C21" s="78">
        <f t="shared" si="1"/>
        <v>5.8050383400000002E-2</v>
      </c>
      <c r="D21" s="20">
        <f t="shared" si="2"/>
        <v>101</v>
      </c>
      <c r="E21" s="21">
        <f t="shared" si="3"/>
        <v>4.5548654244306479E-2</v>
      </c>
      <c r="F21" s="22">
        <f t="shared" si="4"/>
        <v>4554.8654244306481</v>
      </c>
      <c r="G21" s="30">
        <f t="shared" si="5"/>
        <v>98.2</v>
      </c>
      <c r="H21" s="21">
        <f t="shared" si="6"/>
        <v>1.6563146997929695E-2</v>
      </c>
      <c r="I21" s="105">
        <f t="shared" si="7"/>
        <v>1656.3146997929693</v>
      </c>
      <c r="J21" s="20">
        <f t="shared" si="8"/>
        <v>97.2</v>
      </c>
      <c r="K21" s="21">
        <f t="shared" si="9"/>
        <v>6.2111801242236914E-3</v>
      </c>
      <c r="L21" s="22">
        <f t="shared" si="10"/>
        <v>621.11801242236913</v>
      </c>
      <c r="M21" s="30">
        <f t="shared" si="11"/>
        <v>95.9</v>
      </c>
      <c r="N21" s="21">
        <f t="shared" si="12"/>
        <v>-7.2463768115940859E-3</v>
      </c>
      <c r="O21" s="22">
        <f t="shared" si="13"/>
        <v>-724.63768115940854</v>
      </c>
      <c r="Q21" s="238"/>
      <c r="R21" s="238"/>
      <c r="S21" s="238"/>
    </row>
    <row r="22" spans="1:19" ht="17.25" customHeight="1" thickBot="1">
      <c r="A22" s="125" t="s">
        <v>65</v>
      </c>
      <c r="B22" s="129">
        <f t="shared" si="0"/>
        <v>35.6</v>
      </c>
      <c r="C22" s="80">
        <f t="shared" si="1"/>
        <v>5.6379822000000003E-2</v>
      </c>
      <c r="D22" s="106">
        <f t="shared" si="2"/>
        <v>35.799999999999997</v>
      </c>
      <c r="E22" s="107">
        <f t="shared" si="3"/>
        <v>5.6179775280897678E-3</v>
      </c>
      <c r="F22" s="108">
        <f t="shared" si="4"/>
        <v>561.79775280897672</v>
      </c>
      <c r="G22" s="109">
        <f t="shared" si="5"/>
        <v>35</v>
      </c>
      <c r="H22" s="107">
        <f t="shared" si="6"/>
        <v>-1.6853932584269701E-2</v>
      </c>
      <c r="I22" s="110">
        <f t="shared" si="7"/>
        <v>-1685.3932584269701</v>
      </c>
      <c r="J22" s="106">
        <f t="shared" si="8"/>
        <v>34.5</v>
      </c>
      <c r="K22" s="107">
        <f t="shared" si="9"/>
        <v>-3.0898876404494419E-2</v>
      </c>
      <c r="L22" s="108">
        <f t="shared" si="10"/>
        <v>-3089.8876404494417</v>
      </c>
      <c r="M22" s="109">
        <f t="shared" si="11"/>
        <v>34.1</v>
      </c>
      <c r="N22" s="107">
        <f t="shared" si="12"/>
        <v>-4.2134831460674156E-2</v>
      </c>
      <c r="O22" s="108">
        <f t="shared" si="13"/>
        <v>-4213.4831460674159</v>
      </c>
      <c r="Q22" s="238"/>
      <c r="R22" s="238"/>
      <c r="S22" s="238"/>
    </row>
    <row r="23" spans="1:19" ht="17.25" customHeight="1" thickBot="1">
      <c r="A23" s="125" t="s">
        <v>122</v>
      </c>
      <c r="B23" s="126">
        <f t="shared" si="0"/>
        <v>32.700000000000003</v>
      </c>
      <c r="C23" s="77">
        <f t="shared" si="1"/>
        <v>5.4838709700000002E-2</v>
      </c>
      <c r="D23" s="15">
        <f t="shared" si="2"/>
        <v>34.4</v>
      </c>
      <c r="E23" s="32">
        <f t="shared" si="3"/>
        <v>5.1987767584097726E-2</v>
      </c>
      <c r="F23" s="18">
        <f t="shared" si="4"/>
        <v>5198.7767584097728</v>
      </c>
      <c r="G23" s="31">
        <f t="shared" si="5"/>
        <v>33.6</v>
      </c>
      <c r="H23" s="32">
        <f t="shared" si="6"/>
        <v>2.7522935779816467E-2</v>
      </c>
      <c r="I23" s="101">
        <f t="shared" si="7"/>
        <v>2752.2935779816466</v>
      </c>
      <c r="J23" s="15">
        <f t="shared" si="8"/>
        <v>33.1</v>
      </c>
      <c r="K23" s="32">
        <f t="shared" si="9"/>
        <v>1.2232415902140628E-2</v>
      </c>
      <c r="L23" s="18">
        <f t="shared" si="10"/>
        <v>1223.2415902140629</v>
      </c>
      <c r="M23" s="31">
        <f t="shared" si="11"/>
        <v>32.6</v>
      </c>
      <c r="N23" s="32">
        <f t="shared" si="12"/>
        <v>-3.0581039755352116E-3</v>
      </c>
      <c r="O23" s="18">
        <f t="shared" si="13"/>
        <v>-305.81039755352117</v>
      </c>
      <c r="Q23" s="238"/>
      <c r="R23" s="238"/>
      <c r="S23" s="238"/>
    </row>
    <row r="24" spans="1:19" ht="17.25" customHeight="1" thickBot="1">
      <c r="A24" s="125" t="s">
        <v>208</v>
      </c>
      <c r="B24" s="126">
        <f t="shared" si="0"/>
        <v>14.2</v>
      </c>
      <c r="C24" s="77">
        <f t="shared" si="1"/>
        <v>5.1851851900000002E-2</v>
      </c>
      <c r="D24" s="15">
        <f t="shared" si="2"/>
        <v>14.5</v>
      </c>
      <c r="E24" s="32">
        <f t="shared" si="3"/>
        <v>2.1126760563380333E-2</v>
      </c>
      <c r="F24" s="18">
        <f t="shared" si="4"/>
        <v>2112.6760563380335</v>
      </c>
      <c r="G24" s="31">
        <f t="shared" si="5"/>
        <v>14.4</v>
      </c>
      <c r="H24" s="32">
        <f t="shared" si="6"/>
        <v>1.4084507042253596E-2</v>
      </c>
      <c r="I24" s="101">
        <f t="shared" si="7"/>
        <v>1408.4507042253597</v>
      </c>
      <c r="J24" s="15">
        <f t="shared" si="8"/>
        <v>14.1</v>
      </c>
      <c r="K24" s="32">
        <f t="shared" si="9"/>
        <v>-7.0422535211267356E-3</v>
      </c>
      <c r="L24" s="18">
        <f t="shared" si="10"/>
        <v>-704.22535211267359</v>
      </c>
      <c r="M24" s="31">
        <f t="shared" si="11"/>
        <v>13.8</v>
      </c>
      <c r="N24" s="32">
        <f t="shared" si="12"/>
        <v>-2.8169014084506942E-2</v>
      </c>
      <c r="O24" s="18">
        <f t="shared" si="13"/>
        <v>-2816.9014084506944</v>
      </c>
      <c r="Q24" s="238"/>
      <c r="R24" s="238"/>
      <c r="S24" s="238"/>
    </row>
    <row r="25" spans="1:19" ht="17.25" customHeight="1" thickBot="1">
      <c r="A25" s="125" t="s">
        <v>188</v>
      </c>
      <c r="B25" s="126">
        <f t="shared" si="0"/>
        <v>13.2</v>
      </c>
      <c r="C25" s="77">
        <f t="shared" si="1"/>
        <v>4.7619047599999999E-2</v>
      </c>
      <c r="D25" s="15">
        <f t="shared" si="2"/>
        <v>13.1</v>
      </c>
      <c r="E25" s="32">
        <f t="shared" si="3"/>
        <v>-7.5757575757575491E-3</v>
      </c>
      <c r="F25" s="18">
        <f t="shared" si="4"/>
        <v>-757.57575757575489</v>
      </c>
      <c r="G25" s="31">
        <f t="shared" si="5"/>
        <v>13</v>
      </c>
      <c r="H25" s="32">
        <f t="shared" si="6"/>
        <v>-1.5151515151515098E-2</v>
      </c>
      <c r="I25" s="101">
        <f t="shared" si="7"/>
        <v>-1515.1515151515098</v>
      </c>
      <c r="J25" s="15">
        <f t="shared" si="8"/>
        <v>12.7</v>
      </c>
      <c r="K25" s="32">
        <f t="shared" si="9"/>
        <v>-3.787878787878788E-2</v>
      </c>
      <c r="L25" s="18">
        <f t="shared" si="10"/>
        <v>-3787.878787878788</v>
      </c>
      <c r="M25" s="31">
        <f t="shared" si="11"/>
        <v>12.6</v>
      </c>
      <c r="N25" s="32">
        <f t="shared" si="12"/>
        <v>-4.5454545454545428E-2</v>
      </c>
      <c r="O25" s="18">
        <f t="shared" si="13"/>
        <v>-4545.4545454545432</v>
      </c>
      <c r="Q25" s="33"/>
      <c r="R25" s="33"/>
    </row>
    <row r="26" spans="1:19" ht="17.25" customHeight="1" thickBot="1">
      <c r="A26" s="130" t="s">
        <v>216</v>
      </c>
      <c r="B26" s="131">
        <f t="shared" si="0"/>
        <v>11.2</v>
      </c>
      <c r="C26" s="79">
        <f t="shared" si="1"/>
        <v>4.6728972000000001E-2</v>
      </c>
      <c r="D26" s="24">
        <f t="shared" si="2"/>
        <v>11.3</v>
      </c>
      <c r="E26" s="25">
        <f t="shared" si="3"/>
        <v>8.9285714285715564E-3</v>
      </c>
      <c r="F26" s="104">
        <f t="shared" si="4"/>
        <v>892.85714285715562</v>
      </c>
      <c r="G26" s="102">
        <f t="shared" si="5"/>
        <v>11</v>
      </c>
      <c r="H26" s="25">
        <f t="shared" si="6"/>
        <v>-1.7857142857142794E-2</v>
      </c>
      <c r="I26" s="103">
        <f t="shared" si="7"/>
        <v>-1785.7142857142794</v>
      </c>
      <c r="J26" s="24">
        <f t="shared" si="8"/>
        <v>10.8</v>
      </c>
      <c r="K26" s="25">
        <f t="shared" si="9"/>
        <v>-3.5714285714285587E-2</v>
      </c>
      <c r="L26" s="104">
        <f t="shared" si="10"/>
        <v>-3571.4285714285588</v>
      </c>
      <c r="M26" s="102">
        <f t="shared" si="11"/>
        <v>10.6</v>
      </c>
      <c r="N26" s="25">
        <f t="shared" si="12"/>
        <v>-5.3571428571428541E-2</v>
      </c>
      <c r="O26" s="104">
        <f t="shared" si="13"/>
        <v>-5357.1428571428542</v>
      </c>
      <c r="Q26" s="239"/>
      <c r="R26" s="240"/>
      <c r="S26" s="241"/>
    </row>
    <row r="27" spans="1:19" ht="17.25" customHeight="1">
      <c r="A27" s="123" t="s">
        <v>234</v>
      </c>
      <c r="B27" s="124">
        <f t="shared" si="0"/>
        <v>73.8</v>
      </c>
      <c r="C27" s="76">
        <f t="shared" si="1"/>
        <v>3.7974683500000002E-2</v>
      </c>
      <c r="D27" s="13">
        <f t="shared" si="2"/>
        <v>75.900000000000006</v>
      </c>
      <c r="E27" s="14">
        <f t="shared" si="3"/>
        <v>2.8455284552845645E-2</v>
      </c>
      <c r="F27" s="16">
        <f t="shared" si="4"/>
        <v>2845.5284552845646</v>
      </c>
      <c r="G27" s="29">
        <f t="shared" si="5"/>
        <v>73.8</v>
      </c>
      <c r="H27" s="14">
        <f t="shared" si="6"/>
        <v>0</v>
      </c>
      <c r="I27" s="100">
        <f t="shared" si="7"/>
        <v>0</v>
      </c>
      <c r="J27" s="13">
        <f t="shared" si="8"/>
        <v>72.5</v>
      </c>
      <c r="K27" s="14">
        <f t="shared" si="9"/>
        <v>-1.7615176151761478E-2</v>
      </c>
      <c r="L27" s="16">
        <f t="shared" si="10"/>
        <v>-1761.5176151761477</v>
      </c>
      <c r="M27" s="29">
        <f t="shared" si="11"/>
        <v>70.900000000000006</v>
      </c>
      <c r="N27" s="14">
        <f t="shared" si="12"/>
        <v>-3.9295392953929427E-2</v>
      </c>
      <c r="O27" s="16">
        <f t="shared" si="13"/>
        <v>-3929.5392953929427</v>
      </c>
      <c r="Q27" s="242"/>
      <c r="R27" s="243"/>
      <c r="S27" s="244"/>
    </row>
    <row r="28" spans="1:19" ht="17.25" customHeight="1" thickBot="1">
      <c r="A28" s="125" t="s">
        <v>204</v>
      </c>
      <c r="B28" s="126">
        <f t="shared" si="0"/>
        <v>14.6</v>
      </c>
      <c r="C28" s="77">
        <f t="shared" si="1"/>
        <v>3.5460992900000002E-2</v>
      </c>
      <c r="D28" s="15">
        <f t="shared" si="2"/>
        <v>15.3</v>
      </c>
      <c r="E28" s="32">
        <f t="shared" si="3"/>
        <v>4.7945205479452128E-2</v>
      </c>
      <c r="F28" s="18">
        <f t="shared" si="4"/>
        <v>4794.5205479452125</v>
      </c>
      <c r="G28" s="31">
        <f t="shared" si="5"/>
        <v>14.7</v>
      </c>
      <c r="H28" s="32">
        <f t="shared" si="6"/>
        <v>6.8493150684931269E-3</v>
      </c>
      <c r="I28" s="101">
        <f t="shared" si="7"/>
        <v>684.93150684931265</v>
      </c>
      <c r="J28" s="15">
        <f t="shared" si="8"/>
        <v>14.2</v>
      </c>
      <c r="K28" s="32">
        <f t="shared" si="9"/>
        <v>-2.7397260273972629E-2</v>
      </c>
      <c r="L28" s="18">
        <f t="shared" si="10"/>
        <v>-2739.7260273972629</v>
      </c>
      <c r="M28" s="31">
        <f t="shared" si="11"/>
        <v>14.3</v>
      </c>
      <c r="N28" s="32">
        <f t="shared" si="12"/>
        <v>-2.0547945205479378E-2</v>
      </c>
      <c r="O28" s="18">
        <f t="shared" si="13"/>
        <v>-2054.7945205479377</v>
      </c>
      <c r="Q28" s="245"/>
      <c r="R28" s="246"/>
      <c r="S28" s="247"/>
    </row>
    <row r="29" spans="1:19" ht="17.25" customHeight="1" thickBot="1">
      <c r="A29" s="125" t="s">
        <v>72</v>
      </c>
      <c r="B29" s="126">
        <f t="shared" si="0"/>
        <v>23.5</v>
      </c>
      <c r="C29" s="77">
        <f t="shared" si="1"/>
        <v>3.5242290699999998E-2</v>
      </c>
      <c r="D29" s="15">
        <f t="shared" si="2"/>
        <v>24.6</v>
      </c>
      <c r="E29" s="32">
        <f t="shared" si="3"/>
        <v>4.6808510638297933E-2</v>
      </c>
      <c r="F29" s="18">
        <f t="shared" si="4"/>
        <v>4680.851063829793</v>
      </c>
      <c r="G29" s="31">
        <f t="shared" si="5"/>
        <v>23.7</v>
      </c>
      <c r="H29" s="32">
        <f t="shared" si="6"/>
        <v>8.5106382978723093E-3</v>
      </c>
      <c r="I29" s="101">
        <f t="shared" si="7"/>
        <v>851.06382978723093</v>
      </c>
      <c r="J29" s="15">
        <f t="shared" si="8"/>
        <v>23.2</v>
      </c>
      <c r="K29" s="32">
        <f t="shared" si="9"/>
        <v>-1.2765957446808541E-2</v>
      </c>
      <c r="L29" s="18">
        <f t="shared" si="10"/>
        <v>-1276.5957446808541</v>
      </c>
      <c r="M29" s="31">
        <f t="shared" si="11"/>
        <v>23</v>
      </c>
      <c r="N29" s="32">
        <f t="shared" si="12"/>
        <v>-2.1276595744680851E-2</v>
      </c>
      <c r="O29" s="18">
        <f t="shared" si="13"/>
        <v>-2127.6595744680849</v>
      </c>
      <c r="Q29" s="238"/>
      <c r="R29" s="238"/>
      <c r="S29" s="238"/>
    </row>
    <row r="30" spans="1:19" ht="17.25" customHeight="1" thickBot="1">
      <c r="A30" s="125" t="s">
        <v>190</v>
      </c>
      <c r="B30" s="126">
        <f t="shared" si="0"/>
        <v>18</v>
      </c>
      <c r="C30" s="77">
        <f t="shared" si="1"/>
        <v>3.4482758600000003E-2</v>
      </c>
      <c r="D30" s="15">
        <f t="shared" si="2"/>
        <v>19</v>
      </c>
      <c r="E30" s="32">
        <f t="shared" si="3"/>
        <v>5.5555555555555552E-2</v>
      </c>
      <c r="F30" s="18">
        <f t="shared" si="4"/>
        <v>5555.5555555555557</v>
      </c>
      <c r="G30" s="31">
        <f t="shared" si="5"/>
        <v>18.899999999999999</v>
      </c>
      <c r="H30" s="32">
        <f t="shared" si="6"/>
        <v>4.999999999999992E-2</v>
      </c>
      <c r="I30" s="101">
        <f t="shared" si="7"/>
        <v>4999.9999999999918</v>
      </c>
      <c r="J30" s="15">
        <f t="shared" si="8"/>
        <v>18.399999999999999</v>
      </c>
      <c r="K30" s="32">
        <f t="shared" si="9"/>
        <v>2.2222222222222143E-2</v>
      </c>
      <c r="L30" s="18">
        <f t="shared" si="10"/>
        <v>2222.2222222222144</v>
      </c>
      <c r="M30" s="31">
        <f t="shared" si="11"/>
        <v>18.5</v>
      </c>
      <c r="N30" s="32">
        <f t="shared" si="12"/>
        <v>2.7777777777777776E-2</v>
      </c>
      <c r="O30" s="18">
        <f t="shared" si="13"/>
        <v>2777.7777777777778</v>
      </c>
      <c r="Q30" s="248"/>
      <c r="R30" s="248"/>
      <c r="S30" s="248"/>
    </row>
    <row r="31" spans="1:19" ht="17.25" customHeight="1" thickBot="1">
      <c r="A31" s="127" t="s">
        <v>150</v>
      </c>
      <c r="B31" s="128">
        <f t="shared" si="0"/>
        <v>13.3</v>
      </c>
      <c r="C31" s="78">
        <f t="shared" si="1"/>
        <v>3.1007751900000002E-2</v>
      </c>
      <c r="D31" s="20">
        <f t="shared" si="2"/>
        <v>13.4</v>
      </c>
      <c r="E31" s="21">
        <f t="shared" si="3"/>
        <v>7.5187969924811757E-3</v>
      </c>
      <c r="F31" s="22">
        <f t="shared" si="4"/>
        <v>751.87969924811762</v>
      </c>
      <c r="G31" s="30">
        <f t="shared" si="5"/>
        <v>13</v>
      </c>
      <c r="H31" s="21">
        <f t="shared" si="6"/>
        <v>-2.255639097744366E-2</v>
      </c>
      <c r="I31" s="105">
        <f t="shared" si="7"/>
        <v>-2255.6390977443662</v>
      </c>
      <c r="J31" s="20">
        <f t="shared" si="8"/>
        <v>12.8</v>
      </c>
      <c r="K31" s="21">
        <f t="shared" si="9"/>
        <v>-3.7593984962406013E-2</v>
      </c>
      <c r="L31" s="22">
        <f t="shared" si="10"/>
        <v>-3759.3984962406012</v>
      </c>
      <c r="M31" s="30">
        <f t="shared" si="11"/>
        <v>12.7</v>
      </c>
      <c r="N31" s="21">
        <f t="shared" si="12"/>
        <v>-4.511278195488732E-2</v>
      </c>
      <c r="O31" s="22">
        <f t="shared" si="13"/>
        <v>-4511.2781954887323</v>
      </c>
      <c r="Q31" s="248"/>
      <c r="R31" s="248"/>
      <c r="S31" s="248"/>
    </row>
    <row r="32" spans="1:19" ht="17.25" customHeight="1" thickBot="1">
      <c r="A32" s="125" t="s">
        <v>178</v>
      </c>
      <c r="B32" s="129">
        <f t="shared" si="0"/>
        <v>17.3</v>
      </c>
      <c r="C32" s="80">
        <f t="shared" si="1"/>
        <v>2.9761904799999999E-2</v>
      </c>
      <c r="D32" s="106">
        <f t="shared" si="2"/>
        <v>17.399999999999999</v>
      </c>
      <c r="E32" s="107">
        <f t="shared" si="3"/>
        <v>5.7803468208091251E-3</v>
      </c>
      <c r="F32" s="108">
        <f t="shared" si="4"/>
        <v>578.03468208091249</v>
      </c>
      <c r="G32" s="109">
        <f t="shared" si="5"/>
        <v>16.899999999999999</v>
      </c>
      <c r="H32" s="107">
        <f t="shared" si="6"/>
        <v>-2.3121387283237118E-2</v>
      </c>
      <c r="I32" s="110">
        <f t="shared" si="7"/>
        <v>-2312.1387283237118</v>
      </c>
      <c r="J32" s="106">
        <f t="shared" si="8"/>
        <v>16.7</v>
      </c>
      <c r="K32" s="107">
        <f t="shared" si="9"/>
        <v>-3.4682080924855571E-2</v>
      </c>
      <c r="L32" s="108">
        <f t="shared" si="10"/>
        <v>-3468.2080924855572</v>
      </c>
      <c r="M32" s="109">
        <f t="shared" si="11"/>
        <v>16.3</v>
      </c>
      <c r="N32" s="107">
        <f t="shared" si="12"/>
        <v>-5.7803468208092484E-2</v>
      </c>
      <c r="O32" s="108">
        <f t="shared" si="13"/>
        <v>-5780.3468208092481</v>
      </c>
      <c r="Q32" s="238"/>
      <c r="R32" s="238"/>
      <c r="S32" s="238"/>
    </row>
    <row r="33" spans="1:19" ht="17.25" customHeight="1" thickBot="1">
      <c r="A33" s="125" t="s">
        <v>210</v>
      </c>
      <c r="B33" s="126">
        <f t="shared" si="0"/>
        <v>12.3</v>
      </c>
      <c r="C33" s="77">
        <f t="shared" si="1"/>
        <v>2.5000000000000001E-2</v>
      </c>
      <c r="D33" s="15">
        <f t="shared" si="2"/>
        <v>12.5</v>
      </c>
      <c r="E33" s="32">
        <f t="shared" si="3"/>
        <v>1.6260162601625959E-2</v>
      </c>
      <c r="F33" s="18">
        <f t="shared" si="4"/>
        <v>1626.0162601625959</v>
      </c>
      <c r="G33" s="31">
        <f t="shared" si="5"/>
        <v>12.2</v>
      </c>
      <c r="H33" s="32">
        <f t="shared" si="6"/>
        <v>-8.1300813008131235E-3</v>
      </c>
      <c r="I33" s="101">
        <f t="shared" si="7"/>
        <v>-813.0081300813124</v>
      </c>
      <c r="J33" s="15">
        <f t="shared" si="8"/>
        <v>12.2</v>
      </c>
      <c r="K33" s="32">
        <f t="shared" si="9"/>
        <v>-8.1300813008131235E-3</v>
      </c>
      <c r="L33" s="18">
        <f t="shared" si="10"/>
        <v>-813.0081300813124</v>
      </c>
      <c r="M33" s="31">
        <f t="shared" si="11"/>
        <v>12</v>
      </c>
      <c r="N33" s="32">
        <f t="shared" si="12"/>
        <v>-2.4390243902439081E-2</v>
      </c>
      <c r="O33" s="18">
        <f t="shared" si="13"/>
        <v>-2439.0243902439079</v>
      </c>
      <c r="Q33" s="238"/>
      <c r="R33" s="238"/>
      <c r="S33" s="238"/>
    </row>
    <row r="34" spans="1:19" ht="17.25" customHeight="1" thickBot="1">
      <c r="A34" s="125" t="s">
        <v>240</v>
      </c>
      <c r="B34" s="126">
        <f t="shared" si="0"/>
        <v>69.8</v>
      </c>
      <c r="C34" s="77">
        <f t="shared" si="1"/>
        <v>2.1961932699999999E-2</v>
      </c>
      <c r="D34" s="15">
        <f t="shared" si="2"/>
        <v>77.3</v>
      </c>
      <c r="E34" s="32">
        <f t="shared" si="3"/>
        <v>0.10744985673352436</v>
      </c>
      <c r="F34" s="18">
        <f t="shared" si="4"/>
        <v>10744.985673352436</v>
      </c>
      <c r="G34" s="31">
        <f t="shared" si="5"/>
        <v>76</v>
      </c>
      <c r="H34" s="32">
        <f t="shared" si="6"/>
        <v>8.8825214899713512E-2</v>
      </c>
      <c r="I34" s="101">
        <f t="shared" si="7"/>
        <v>8882.5214899713519</v>
      </c>
      <c r="J34" s="15">
        <f t="shared" si="8"/>
        <v>75</v>
      </c>
      <c r="K34" s="32">
        <f t="shared" si="9"/>
        <v>7.4498567335243598E-2</v>
      </c>
      <c r="L34" s="18">
        <f t="shared" si="10"/>
        <v>7449.8567335243597</v>
      </c>
      <c r="M34" s="31">
        <f t="shared" si="11"/>
        <v>74</v>
      </c>
      <c r="N34" s="32">
        <f t="shared" si="12"/>
        <v>6.0171919770773685E-2</v>
      </c>
      <c r="O34" s="18">
        <f t="shared" si="13"/>
        <v>6017.1919770773684</v>
      </c>
      <c r="Q34" s="238"/>
      <c r="R34" s="238"/>
      <c r="S34" s="23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7"/>
      <c r="R35" s="228"/>
      <c r="S35" s="22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0"/>
      <c r="R36" s="231"/>
      <c r="S36" s="232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3.0105784175364875E-2</v>
      </c>
      <c r="F37" s="28">
        <f>SUM(F17:F36)</f>
        <v>54190.411515656771</v>
      </c>
      <c r="G37" s="26" t="s">
        <v>43</v>
      </c>
      <c r="H37" s="27">
        <f>IF(COUNT(H17:H36), SUM(H17:H36) / COUNT(H17:H36), 0)</f>
        <v>6.6626903040617885E-3</v>
      </c>
      <c r="I37" s="28">
        <f>SUM(I17:I36)</f>
        <v>11992.842547311218</v>
      </c>
      <c r="J37" s="26" t="s">
        <v>43</v>
      </c>
      <c r="K37" s="27">
        <f>IF(COUNT(K17:K36), SUM(K17:K36) / COUNT(K17:K36), 0)</f>
        <v>-9.5744734512683196E-3</v>
      </c>
      <c r="L37" s="28">
        <f>SUM(L17:L36)</f>
        <v>-17234.052212282972</v>
      </c>
      <c r="M37" s="26" t="s">
        <v>43</v>
      </c>
      <c r="N37" s="27">
        <f>IF(COUNT(N17:N36), SUM(N17:N36) / COUNT(N17:N36), 0)</f>
        <v>-2.2556049838126216E-2</v>
      </c>
      <c r="O37" s="28">
        <f>SUM(O17:O36)</f>
        <v>-40600.889708627183</v>
      </c>
      <c r="Q37" s="233"/>
      <c r="R37" s="234"/>
      <c r="S37" s="23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48"/>
      <c r="R40" s="248"/>
      <c r="S40" s="248"/>
    </row>
    <row r="41" spans="1:19" ht="17.25" customHeight="1" thickBot="1">
      <c r="A41" s="201" t="s">
        <v>267</v>
      </c>
      <c r="B41" s="249" t="s">
        <v>49</v>
      </c>
      <c r="C41" s="251"/>
      <c r="D41" s="249" t="s">
        <v>58</v>
      </c>
      <c r="E41" s="250"/>
      <c r="F41" s="251"/>
      <c r="G41" s="252">
        <f>_xlfn.IFNA(VLOOKUP(B41, 현재가테이블!$B$2:$D$200, 2, FALSE), "-")</f>
        <v>54440000</v>
      </c>
      <c r="H41" s="253"/>
      <c r="I41" s="254"/>
      <c r="J41" s="249" t="s">
        <v>59</v>
      </c>
      <c r="K41" s="250"/>
      <c r="L41" s="251"/>
      <c r="M41" s="255">
        <f>_xlfn.IFNA(VLOOKUP(B41, 현재가테이블!$B$2:$D$200, 3, FALSE), "-")</f>
        <v>1.07123628E-2</v>
      </c>
      <c r="N41" s="256"/>
      <c r="O41" s="257"/>
      <c r="Q41" s="248"/>
      <c r="R41" s="248"/>
      <c r="S41" s="248"/>
    </row>
    <row r="42" spans="1:19" ht="17.25" customHeight="1" thickBot="1">
      <c r="A42" s="293" t="s">
        <v>55</v>
      </c>
      <c r="B42" s="289" t="str">
        <f>TEXT($G$1, "[$-ko-KR]yyyy-mm-dd(ddd) ") &amp; "오전 00:00"</f>
        <v>2021-08-12(목) 오전 00:00</v>
      </c>
      <c r="C42" s="290"/>
      <c r="D42" s="262" t="str">
        <f>TEXT($G$1, "[$-ko-KR]yyyy-mm-dd(ddd) ") &amp; "오후 14:00"</f>
        <v>2021-08-12(목) 오후 14:00</v>
      </c>
      <c r="E42" s="263"/>
      <c r="F42" s="264"/>
      <c r="G42" s="262" t="str">
        <f>TEXT($G$1, "[$-ko-KR]yyyy-mm-dd(ddd) ") &amp; "오후 19:00"</f>
        <v>2021-08-12(목) 오후 19:00</v>
      </c>
      <c r="H42" s="263"/>
      <c r="I42" s="264"/>
      <c r="J42" s="262" t="str">
        <f>TEXT($G$1, "[$-ko-KR]yyyy-mm-dd(ddd) ") &amp; "오후 21:00"</f>
        <v>2021-08-12(목) 오후 21:00</v>
      </c>
      <c r="K42" s="263"/>
      <c r="L42" s="264"/>
      <c r="M42" s="262" t="str">
        <f>TEXT($G$1+1, "[$-ko-KR]yyyy-mm-dd(ddd) ") &amp; "오전 00:00"</f>
        <v>2021-08-13(금) 오전 00:00</v>
      </c>
      <c r="N42" s="263"/>
      <c r="O42" s="264"/>
      <c r="Q42" s="248"/>
      <c r="R42" s="248"/>
      <c r="S42" s="248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2" t="s">
        <v>58</v>
      </c>
      <c r="H43" s="203" t="s">
        <v>268</v>
      </c>
      <c r="I43" s="20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8"/>
      <c r="R43" s="238"/>
      <c r="S43" s="238"/>
    </row>
    <row r="44" spans="1:19" ht="17.25" customHeight="1" thickBot="1">
      <c r="A44" s="123" t="s">
        <v>98</v>
      </c>
      <c r="B44" s="124">
        <v>5.26</v>
      </c>
      <c r="C44" s="76">
        <v>0.17937219730000001</v>
      </c>
      <c r="D44" s="13">
        <v>5.44</v>
      </c>
      <c r="E44" s="14">
        <f>IF(ISNUMBER(D44), (D44 - $B44) / $B44, "")</f>
        <v>3.4220532319391754E-2</v>
      </c>
      <c r="F44" s="16">
        <f>IF(ISNUMBER(D44), $B64 * E44, "")</f>
        <v>3422.0532319391755</v>
      </c>
      <c r="G44" s="29">
        <v>5.32</v>
      </c>
      <c r="H44" s="14">
        <f>IF(ISNUMBER(G44), (G44 - $B44) / $B44, "")</f>
        <v>1.1406844106463974E-2</v>
      </c>
      <c r="I44" s="100">
        <f>IF(ISNUMBER(G44), $B64 * H44, "")</f>
        <v>1140.6844106463975</v>
      </c>
      <c r="J44" s="13">
        <v>5.26</v>
      </c>
      <c r="K44" s="14">
        <f>IF(ISNUMBER(J44), (J44 - $B44) / $B44, "")</f>
        <v>0</v>
      </c>
      <c r="L44" s="16">
        <f>IF(ISNUMBER(J44), $B64 * K44, "")</f>
        <v>0</v>
      </c>
      <c r="M44" s="29">
        <v>5.2</v>
      </c>
      <c r="N44" s="14">
        <f>IF(ISNUMBER(M44), (M44 - $B44) / $B44, "")</f>
        <v>-1.1406844106463804E-2</v>
      </c>
      <c r="O44" s="16">
        <f>IF(ISNUMBER(M44), $B64 * N44, "")</f>
        <v>-1140.6844106463805</v>
      </c>
      <c r="Q44" s="248"/>
      <c r="R44" s="248"/>
      <c r="S44" s="248"/>
    </row>
    <row r="45" spans="1:19" ht="17.25" customHeight="1" thickBot="1">
      <c r="A45" s="125" t="s">
        <v>152</v>
      </c>
      <c r="B45" s="126">
        <v>97.1</v>
      </c>
      <c r="C45" s="77">
        <v>0.1330221704</v>
      </c>
      <c r="D45" s="15">
        <v>101</v>
      </c>
      <c r="E45" s="32">
        <f t="shared" ref="E45:E48" si="14">IF(ISNUMBER(D45), (D45 - $B45) / $B45, "")</f>
        <v>4.0164778578784817E-2</v>
      </c>
      <c r="F45" s="18">
        <f>IF(ISNUMBER(D45), $B64 * E45, "")</f>
        <v>4016.4778578784817</v>
      </c>
      <c r="G45" s="31">
        <v>99</v>
      </c>
      <c r="H45" s="32">
        <f t="shared" ref="H45:H48" si="15">IF(ISNUMBER(G45), (G45 - $B45) / $B45, "")</f>
        <v>1.9567456230690072E-2</v>
      </c>
      <c r="I45" s="101">
        <f>IF(ISNUMBER(G45), $B64 * H45, "")</f>
        <v>1956.7456230690073</v>
      </c>
      <c r="J45" s="15">
        <v>98</v>
      </c>
      <c r="K45" s="32">
        <f t="shared" ref="K45:K48" si="16">IF(ISNUMBER(J45), (J45 - $B45) / $B45, "")</f>
        <v>9.2687950566426956E-3</v>
      </c>
      <c r="L45" s="18">
        <f>IF(ISNUMBER(J45), $B64 * K45, "")</f>
        <v>926.87950566426957</v>
      </c>
      <c r="M45" s="31">
        <v>96.4</v>
      </c>
      <c r="N45" s="32">
        <f t="shared" ref="N45:N48" si="17">IF(ISNUMBER(M45), (M45 - $B45) / $B45, "")</f>
        <v>-7.2090628218330448E-3</v>
      </c>
      <c r="O45" s="18">
        <f>IF(ISNUMBER(M45), $B64 * N45, "")</f>
        <v>-720.90628218330448</v>
      </c>
      <c r="Q45" s="248"/>
      <c r="R45" s="248"/>
      <c r="S45" s="248"/>
    </row>
    <row r="46" spans="1:19" ht="17.25" customHeight="1" thickBot="1">
      <c r="A46" s="125" t="s">
        <v>148</v>
      </c>
      <c r="B46" s="126">
        <v>21.6</v>
      </c>
      <c r="C46" s="77">
        <v>9.0909090900000003E-2</v>
      </c>
      <c r="D46" s="15">
        <v>21.3</v>
      </c>
      <c r="E46" s="32">
        <f t="shared" si="14"/>
        <v>-1.3888888888888921E-2</v>
      </c>
      <c r="F46" s="18">
        <f>IF(ISNUMBER(D46), $B64 * E46, "")</f>
        <v>-1388.8888888888921</v>
      </c>
      <c r="G46" s="31">
        <v>20.7</v>
      </c>
      <c r="H46" s="32">
        <f t="shared" si="15"/>
        <v>-4.1666666666666761E-2</v>
      </c>
      <c r="I46" s="101">
        <f>IF(ISNUMBER(G46), $B64 * H46, "")</f>
        <v>-4166.6666666666761</v>
      </c>
      <c r="J46" s="15">
        <v>20.5</v>
      </c>
      <c r="K46" s="32">
        <f t="shared" si="16"/>
        <v>-5.0925925925925986E-2</v>
      </c>
      <c r="L46" s="18">
        <f>IF(ISNUMBER(J46), $B64 * K46, "")</f>
        <v>-5092.5925925925985</v>
      </c>
      <c r="M46" s="31">
        <v>20.3</v>
      </c>
      <c r="N46" s="32">
        <f t="shared" si="17"/>
        <v>-6.0185185185185217E-2</v>
      </c>
      <c r="O46" s="18">
        <f>IF(ISNUMBER(M46), $B64 * N46, "")</f>
        <v>-6018.5185185185219</v>
      </c>
      <c r="Q46" s="238"/>
      <c r="R46" s="238"/>
      <c r="S46" s="238"/>
    </row>
    <row r="47" spans="1:19" ht="17.25" customHeight="1" thickBot="1">
      <c r="A47" s="125" t="s">
        <v>250</v>
      </c>
      <c r="B47" s="126">
        <v>77.5</v>
      </c>
      <c r="C47" s="77">
        <v>8.5434173700000005E-2</v>
      </c>
      <c r="D47" s="15">
        <v>80.599999999999994</v>
      </c>
      <c r="E47" s="32">
        <f t="shared" si="14"/>
        <v>3.9999999999999925E-2</v>
      </c>
      <c r="F47" s="18">
        <f>IF(ISNUMBER(D47), $B64 * E47, "")</f>
        <v>3999.9999999999923</v>
      </c>
      <c r="G47" s="31">
        <v>79.2</v>
      </c>
      <c r="H47" s="32">
        <f t="shared" si="15"/>
        <v>2.1935483870967779E-2</v>
      </c>
      <c r="I47" s="101">
        <f>IF(ISNUMBER(G47), $B64 * H47, "")</f>
        <v>2193.5483870967778</v>
      </c>
      <c r="J47" s="15">
        <v>77.8</v>
      </c>
      <c r="K47" s="32">
        <f t="shared" si="16"/>
        <v>3.870967741935447E-3</v>
      </c>
      <c r="L47" s="18">
        <f>IF(ISNUMBER(J47), $B64 * K47, "")</f>
        <v>387.09677419354472</v>
      </c>
      <c r="M47" s="31">
        <v>75.400000000000006</v>
      </c>
      <c r="N47" s="32">
        <f t="shared" si="17"/>
        <v>-2.7096774193548313E-2</v>
      </c>
      <c r="O47" s="18">
        <f>IF(ISNUMBER(M47), $B64 * N47, "")</f>
        <v>-2709.6774193548313</v>
      </c>
      <c r="Q47" s="238"/>
      <c r="R47" s="238"/>
      <c r="S47" s="238"/>
    </row>
    <row r="48" spans="1:19" ht="17.25" customHeight="1" thickBot="1">
      <c r="A48" s="127" t="s">
        <v>202</v>
      </c>
      <c r="B48" s="128">
        <v>96.6</v>
      </c>
      <c r="C48" s="78">
        <v>5.8050383400000002E-2</v>
      </c>
      <c r="D48" s="20">
        <v>101</v>
      </c>
      <c r="E48" s="21">
        <f t="shared" si="14"/>
        <v>4.5548654244306479E-2</v>
      </c>
      <c r="F48" s="22">
        <f>IF(ISNUMBER(D48), $B64 * E48, "")</f>
        <v>4554.8654244306481</v>
      </c>
      <c r="G48" s="30">
        <v>98.2</v>
      </c>
      <c r="H48" s="21">
        <f t="shared" si="15"/>
        <v>1.6563146997929695E-2</v>
      </c>
      <c r="I48" s="105">
        <f>IF(ISNUMBER(G48), $B64 * H48, "")</f>
        <v>1656.3146997929693</v>
      </c>
      <c r="J48" s="20">
        <v>97.2</v>
      </c>
      <c r="K48" s="21">
        <f t="shared" si="16"/>
        <v>6.2111801242236914E-3</v>
      </c>
      <c r="L48" s="22">
        <f>IF(ISNUMBER(J48), $B64 * K48, "")</f>
        <v>621.11801242236913</v>
      </c>
      <c r="M48" s="30">
        <v>95.9</v>
      </c>
      <c r="N48" s="21">
        <f t="shared" si="17"/>
        <v>-7.2463768115940859E-3</v>
      </c>
      <c r="O48" s="22">
        <f>IF(ISNUMBER(M48), $B64 * N48, "")</f>
        <v>-724.63768115940854</v>
      </c>
      <c r="Q48" s="238"/>
      <c r="R48" s="238"/>
      <c r="S48" s="238"/>
    </row>
    <row r="49" spans="1:19" ht="17.25" customHeight="1" thickBot="1">
      <c r="A49" s="125" t="s">
        <v>65</v>
      </c>
      <c r="B49" s="129">
        <v>35.6</v>
      </c>
      <c r="C49" s="80">
        <v>5.6379822000000003E-2</v>
      </c>
      <c r="D49" s="106">
        <v>35.799999999999997</v>
      </c>
      <c r="E49" s="107">
        <f>IF(ISNUMBER(D49), (D49 - $B49) / $B49, "")</f>
        <v>5.6179775280897678E-3</v>
      </c>
      <c r="F49" s="108">
        <f>IF(ISNUMBER(D49), $B64 * E49, "")</f>
        <v>561.79775280897672</v>
      </c>
      <c r="G49" s="109">
        <v>35</v>
      </c>
      <c r="H49" s="107">
        <f>IF(ISNUMBER(G49), (G49 - $B49) / $B49, "")</f>
        <v>-1.6853932584269701E-2</v>
      </c>
      <c r="I49" s="110">
        <f>IF(ISNUMBER(G49), $B64 * H49, "")</f>
        <v>-1685.3932584269701</v>
      </c>
      <c r="J49" s="106">
        <v>34.5</v>
      </c>
      <c r="K49" s="107">
        <f>IF(ISNUMBER(J49), (J49 - $B49) / $B49, "")</f>
        <v>-3.0898876404494419E-2</v>
      </c>
      <c r="L49" s="108">
        <f>IF(ISNUMBER(J49), $B64 * K49, "")</f>
        <v>-3089.8876404494417</v>
      </c>
      <c r="M49" s="109">
        <v>34.1</v>
      </c>
      <c r="N49" s="107">
        <f>IF(ISNUMBER(M49), (M49 - $B49) / $B49, "")</f>
        <v>-4.2134831460674156E-2</v>
      </c>
      <c r="O49" s="108">
        <f>IF(ISNUMBER(M49), $B64 * N49, "")</f>
        <v>-4213.4831460674159</v>
      </c>
      <c r="Q49" s="238"/>
      <c r="R49" s="238"/>
      <c r="S49" s="238"/>
    </row>
    <row r="50" spans="1:19" ht="17.25" customHeight="1" thickBot="1">
      <c r="A50" s="125" t="s">
        <v>122</v>
      </c>
      <c r="B50" s="126">
        <v>32.700000000000003</v>
      </c>
      <c r="C50" s="77">
        <v>5.4838709700000002E-2</v>
      </c>
      <c r="D50" s="15">
        <v>34.4</v>
      </c>
      <c r="E50" s="32">
        <f t="shared" ref="E50:E53" si="18">IF(ISNUMBER(D50), (D50 - $B50) / $B50, "")</f>
        <v>5.1987767584097726E-2</v>
      </c>
      <c r="F50" s="18">
        <f>IF(ISNUMBER(D50), $B64 * E50, "")</f>
        <v>5198.7767584097728</v>
      </c>
      <c r="G50" s="31">
        <v>33.6</v>
      </c>
      <c r="H50" s="32">
        <f t="shared" ref="H50:H53" si="19">IF(ISNUMBER(G50), (G50 - $B50) / $B50, "")</f>
        <v>2.7522935779816467E-2</v>
      </c>
      <c r="I50" s="101">
        <f>IF(ISNUMBER(G50), $B64 * H50, "")</f>
        <v>2752.2935779816466</v>
      </c>
      <c r="J50" s="15">
        <v>33.1</v>
      </c>
      <c r="K50" s="32">
        <f t="shared" ref="K50:K53" si="20">IF(ISNUMBER(J50), (J50 - $B50) / $B50, "")</f>
        <v>1.2232415902140628E-2</v>
      </c>
      <c r="L50" s="18">
        <f>IF(ISNUMBER(J50), $B64 * K50, "")</f>
        <v>1223.2415902140629</v>
      </c>
      <c r="M50" s="31">
        <v>32.6</v>
      </c>
      <c r="N50" s="32">
        <f t="shared" ref="N50:N53" si="21">IF(ISNUMBER(M50), (M50 - $B50) / $B50, "")</f>
        <v>-3.0581039755352116E-3</v>
      </c>
      <c r="O50" s="18">
        <f>IF(ISNUMBER(M50), $B64 * N50, "")</f>
        <v>-305.81039755352117</v>
      </c>
      <c r="Q50" s="238"/>
      <c r="R50" s="238"/>
      <c r="S50" s="238"/>
    </row>
    <row r="51" spans="1:19" ht="17.25" customHeight="1" thickBot="1">
      <c r="A51" s="125" t="s">
        <v>208</v>
      </c>
      <c r="B51" s="126">
        <v>14.2</v>
      </c>
      <c r="C51" s="77">
        <v>5.1851851900000002E-2</v>
      </c>
      <c r="D51" s="15">
        <v>14.5</v>
      </c>
      <c r="E51" s="32">
        <f t="shared" si="18"/>
        <v>2.1126760563380333E-2</v>
      </c>
      <c r="F51" s="18">
        <f>IF(ISNUMBER(D51), $B64 * E51, "")</f>
        <v>2112.6760563380335</v>
      </c>
      <c r="G51" s="31">
        <v>14.4</v>
      </c>
      <c r="H51" s="32">
        <f t="shared" si="19"/>
        <v>1.4084507042253596E-2</v>
      </c>
      <c r="I51" s="101">
        <f>IF(ISNUMBER(G51), $B64 * H51, "")</f>
        <v>1408.4507042253597</v>
      </c>
      <c r="J51" s="15">
        <v>14.1</v>
      </c>
      <c r="K51" s="32">
        <f t="shared" si="20"/>
        <v>-7.0422535211267356E-3</v>
      </c>
      <c r="L51" s="18">
        <f>IF(ISNUMBER(J51), $B64 * K51, "")</f>
        <v>-704.22535211267359</v>
      </c>
      <c r="M51" s="31">
        <v>13.8</v>
      </c>
      <c r="N51" s="32">
        <f t="shared" si="21"/>
        <v>-2.8169014084506942E-2</v>
      </c>
      <c r="O51" s="18">
        <f>IF(ISNUMBER(M51), $B64 * N51, "")</f>
        <v>-2816.9014084506944</v>
      </c>
      <c r="Q51" s="238"/>
      <c r="R51" s="238"/>
      <c r="S51" s="238"/>
    </row>
    <row r="52" spans="1:19" ht="17.25" customHeight="1" thickBot="1">
      <c r="A52" s="125" t="s">
        <v>188</v>
      </c>
      <c r="B52" s="126">
        <v>13.2</v>
      </c>
      <c r="C52" s="77">
        <v>4.7619047599999999E-2</v>
      </c>
      <c r="D52" s="15">
        <v>13.1</v>
      </c>
      <c r="E52" s="32">
        <f t="shared" si="18"/>
        <v>-7.5757575757575491E-3</v>
      </c>
      <c r="F52" s="18">
        <f>IF(ISNUMBER(D52), $B64 * E52, "")</f>
        <v>-757.57575757575489</v>
      </c>
      <c r="G52" s="31">
        <v>13</v>
      </c>
      <c r="H52" s="32">
        <f t="shared" si="19"/>
        <v>-1.5151515151515098E-2</v>
      </c>
      <c r="I52" s="101">
        <f>IF(ISNUMBER(G52), $B64 * H52, "")</f>
        <v>-1515.1515151515098</v>
      </c>
      <c r="J52" s="15">
        <v>12.7</v>
      </c>
      <c r="K52" s="32">
        <f t="shared" si="20"/>
        <v>-3.787878787878788E-2</v>
      </c>
      <c r="L52" s="18">
        <f>IF(ISNUMBER(J52), $B64 * K52, "")</f>
        <v>-3787.878787878788</v>
      </c>
      <c r="M52" s="31">
        <v>12.6</v>
      </c>
      <c r="N52" s="32">
        <f t="shared" si="21"/>
        <v>-4.5454545454545428E-2</v>
      </c>
      <c r="O52" s="18">
        <f>IF(ISNUMBER(M52), $B64 * N52, "")</f>
        <v>-4545.4545454545432</v>
      </c>
      <c r="Q52" s="33"/>
      <c r="R52" s="33"/>
    </row>
    <row r="53" spans="1:19" ht="17.25" customHeight="1" thickBot="1">
      <c r="A53" s="130" t="s">
        <v>216</v>
      </c>
      <c r="B53" s="131">
        <v>11.2</v>
      </c>
      <c r="C53" s="79">
        <v>4.6728972000000001E-2</v>
      </c>
      <c r="D53" s="24">
        <v>11.3</v>
      </c>
      <c r="E53" s="25">
        <f t="shared" si="18"/>
        <v>8.9285714285715564E-3</v>
      </c>
      <c r="F53" s="104">
        <f>IF(ISNUMBER(D53), $B64 * E53, "")</f>
        <v>892.85714285715562</v>
      </c>
      <c r="G53" s="102">
        <v>11</v>
      </c>
      <c r="H53" s="25">
        <f t="shared" si="19"/>
        <v>-1.7857142857142794E-2</v>
      </c>
      <c r="I53" s="103">
        <f>IF(ISNUMBER(G53), $B64 * H53, "")</f>
        <v>-1785.7142857142794</v>
      </c>
      <c r="J53" s="24">
        <v>10.8</v>
      </c>
      <c r="K53" s="25">
        <f t="shared" si="20"/>
        <v>-3.5714285714285587E-2</v>
      </c>
      <c r="L53" s="104">
        <f>IF(ISNUMBER(J53), $B64 * K53, "")</f>
        <v>-3571.4285714285588</v>
      </c>
      <c r="M53" s="102">
        <v>10.6</v>
      </c>
      <c r="N53" s="25">
        <f t="shared" si="21"/>
        <v>-5.3571428571428541E-2</v>
      </c>
      <c r="O53" s="104">
        <f>IF(ISNUMBER(M53), $B64 * N53, "")</f>
        <v>-5357.1428571428542</v>
      </c>
      <c r="Q53" s="239"/>
      <c r="R53" s="240"/>
      <c r="S53" s="241"/>
    </row>
    <row r="54" spans="1:19" ht="17.25" customHeight="1">
      <c r="A54" s="123" t="s">
        <v>234</v>
      </c>
      <c r="B54" s="124">
        <v>73.8</v>
      </c>
      <c r="C54" s="76">
        <v>3.7974683500000002E-2</v>
      </c>
      <c r="D54" s="13">
        <v>75.900000000000006</v>
      </c>
      <c r="E54" s="14">
        <f>IF(ISNUMBER(D54), (D54 - $B54) / $B54, "")</f>
        <v>2.8455284552845645E-2</v>
      </c>
      <c r="F54" s="16">
        <f>IF(ISNUMBER(D54), $B64 * E54, "")</f>
        <v>2845.5284552845646</v>
      </c>
      <c r="G54" s="29">
        <v>73.8</v>
      </c>
      <c r="H54" s="14">
        <f>IF(ISNUMBER(G54), (G54 - $B54) / $B54, "")</f>
        <v>0</v>
      </c>
      <c r="I54" s="100">
        <f>IF(ISNUMBER(G54), $B64 * H54, "")</f>
        <v>0</v>
      </c>
      <c r="J54" s="13">
        <v>72.5</v>
      </c>
      <c r="K54" s="14">
        <f>IF(ISNUMBER(J54), (J54 - $B54) / $B54, "")</f>
        <v>-1.7615176151761478E-2</v>
      </c>
      <c r="L54" s="16">
        <f>IF(ISNUMBER(J54), $B64 * K54, "")</f>
        <v>-1761.5176151761477</v>
      </c>
      <c r="M54" s="29">
        <v>70.900000000000006</v>
      </c>
      <c r="N54" s="14">
        <f>IF(ISNUMBER(M54), (M54 - $B54) / $B54, "")</f>
        <v>-3.9295392953929427E-2</v>
      </c>
      <c r="O54" s="16">
        <f>IF(ISNUMBER(M54), $B64 * N54, "")</f>
        <v>-3929.5392953929427</v>
      </c>
      <c r="Q54" s="242"/>
      <c r="R54" s="243"/>
      <c r="S54" s="244"/>
    </row>
    <row r="55" spans="1:19" ht="17.25" customHeight="1" thickBot="1">
      <c r="A55" s="125" t="s">
        <v>204</v>
      </c>
      <c r="B55" s="126">
        <v>14.6</v>
      </c>
      <c r="C55" s="77">
        <v>3.5460992900000002E-2</v>
      </c>
      <c r="D55" s="15">
        <v>15.3</v>
      </c>
      <c r="E55" s="32">
        <f t="shared" ref="E55:E58" si="22">IF(ISNUMBER(D55), (D55 - $B55) / $B55, "")</f>
        <v>4.7945205479452128E-2</v>
      </c>
      <c r="F55" s="18">
        <f>IF(ISNUMBER(D55), $B64 * E55, "")</f>
        <v>4794.5205479452125</v>
      </c>
      <c r="G55" s="31">
        <v>14.7</v>
      </c>
      <c r="H55" s="32">
        <f t="shared" ref="H55:H58" si="23">IF(ISNUMBER(G55), (G55 - $B55) / $B55, "")</f>
        <v>6.8493150684931269E-3</v>
      </c>
      <c r="I55" s="101">
        <f>IF(ISNUMBER(G55), $B64 * H55, "")</f>
        <v>684.93150684931265</v>
      </c>
      <c r="J55" s="15">
        <v>14.2</v>
      </c>
      <c r="K55" s="32">
        <f t="shared" ref="K55:K58" si="24">IF(ISNUMBER(J55), (J55 - $B55) / $B55, "")</f>
        <v>-2.7397260273972629E-2</v>
      </c>
      <c r="L55" s="18">
        <f>IF(ISNUMBER(J55), $B64 * K55, "")</f>
        <v>-2739.7260273972629</v>
      </c>
      <c r="M55" s="31">
        <v>14.3</v>
      </c>
      <c r="N55" s="32">
        <f t="shared" ref="N55:N58" si="25">IF(ISNUMBER(M55), (M55 - $B55) / $B55, "")</f>
        <v>-2.0547945205479378E-2</v>
      </c>
      <c r="O55" s="18">
        <f>IF(ISNUMBER(M55), $B64 * N55, "")</f>
        <v>-2054.7945205479377</v>
      </c>
      <c r="Q55" s="245"/>
      <c r="R55" s="246"/>
      <c r="S55" s="247"/>
    </row>
    <row r="56" spans="1:19" ht="17.25" customHeight="1" thickBot="1">
      <c r="A56" s="125" t="s">
        <v>72</v>
      </c>
      <c r="B56" s="126">
        <v>23.5</v>
      </c>
      <c r="C56" s="77">
        <v>3.5242290699999998E-2</v>
      </c>
      <c r="D56" s="15">
        <v>24.6</v>
      </c>
      <c r="E56" s="32">
        <f t="shared" si="22"/>
        <v>4.6808510638297933E-2</v>
      </c>
      <c r="F56" s="18">
        <f>IF(ISNUMBER(D56), $B64 * E56, "")</f>
        <v>4680.851063829793</v>
      </c>
      <c r="G56" s="31">
        <v>23.7</v>
      </c>
      <c r="H56" s="32">
        <f t="shared" si="23"/>
        <v>8.5106382978723093E-3</v>
      </c>
      <c r="I56" s="101">
        <f>IF(ISNUMBER(G56), $B64 * H56, "")</f>
        <v>851.06382978723093</v>
      </c>
      <c r="J56" s="15">
        <v>23.2</v>
      </c>
      <c r="K56" s="32">
        <f t="shared" si="24"/>
        <v>-1.2765957446808541E-2</v>
      </c>
      <c r="L56" s="18">
        <f>IF(ISNUMBER(J56), $B64 * K56, "")</f>
        <v>-1276.5957446808541</v>
      </c>
      <c r="M56" s="31">
        <v>23</v>
      </c>
      <c r="N56" s="32">
        <f t="shared" si="25"/>
        <v>-2.1276595744680851E-2</v>
      </c>
      <c r="O56" s="18">
        <f>IF(ISNUMBER(M56), $B64 * N56, "")</f>
        <v>-2127.6595744680849</v>
      </c>
      <c r="Q56" s="238"/>
      <c r="R56" s="238"/>
      <c r="S56" s="238"/>
    </row>
    <row r="57" spans="1:19" ht="17.25" customHeight="1" thickBot="1">
      <c r="A57" s="125" t="s">
        <v>190</v>
      </c>
      <c r="B57" s="126">
        <v>18</v>
      </c>
      <c r="C57" s="77">
        <v>3.4482758600000003E-2</v>
      </c>
      <c r="D57" s="15">
        <v>19</v>
      </c>
      <c r="E57" s="32">
        <f t="shared" si="22"/>
        <v>5.5555555555555552E-2</v>
      </c>
      <c r="F57" s="18">
        <f>IF(ISNUMBER(D57), $B64 * E57, "")</f>
        <v>5555.5555555555557</v>
      </c>
      <c r="G57" s="31">
        <v>18.899999999999999</v>
      </c>
      <c r="H57" s="32">
        <f t="shared" si="23"/>
        <v>4.999999999999992E-2</v>
      </c>
      <c r="I57" s="101">
        <f>IF(ISNUMBER(G57), $B64 * H57, "")</f>
        <v>4999.9999999999918</v>
      </c>
      <c r="J57" s="15">
        <v>18.399999999999999</v>
      </c>
      <c r="K57" s="32">
        <f t="shared" si="24"/>
        <v>2.2222222222222143E-2</v>
      </c>
      <c r="L57" s="18">
        <f>IF(ISNUMBER(J57), $B64 * K57, "")</f>
        <v>2222.2222222222144</v>
      </c>
      <c r="M57" s="31">
        <v>18.5</v>
      </c>
      <c r="N57" s="32">
        <f t="shared" si="25"/>
        <v>2.7777777777777776E-2</v>
      </c>
      <c r="O57" s="18">
        <f>IF(ISNUMBER(M57), $B64 * N57, "")</f>
        <v>2777.7777777777778</v>
      </c>
      <c r="Q57" s="248"/>
      <c r="R57" s="248"/>
      <c r="S57" s="248"/>
    </row>
    <row r="58" spans="1:19" ht="17.25" customHeight="1" thickBot="1">
      <c r="A58" s="127" t="s">
        <v>150</v>
      </c>
      <c r="B58" s="128">
        <v>13.3</v>
      </c>
      <c r="C58" s="78">
        <v>3.1007751900000002E-2</v>
      </c>
      <c r="D58" s="20">
        <v>13.4</v>
      </c>
      <c r="E58" s="21">
        <f t="shared" si="22"/>
        <v>7.5187969924811757E-3</v>
      </c>
      <c r="F58" s="22">
        <f>IF(ISNUMBER(D58), $B64 * E58, "")</f>
        <v>751.87969924811762</v>
      </c>
      <c r="G58" s="30">
        <v>13</v>
      </c>
      <c r="H58" s="21">
        <f t="shared" si="23"/>
        <v>-2.255639097744366E-2</v>
      </c>
      <c r="I58" s="105">
        <f>IF(ISNUMBER(G58), $B64 * H58, "")</f>
        <v>-2255.6390977443662</v>
      </c>
      <c r="J58" s="20">
        <v>12.8</v>
      </c>
      <c r="K58" s="21">
        <f t="shared" si="24"/>
        <v>-3.7593984962406013E-2</v>
      </c>
      <c r="L58" s="22">
        <f>IF(ISNUMBER(J58), $B64 * K58, "")</f>
        <v>-3759.3984962406012</v>
      </c>
      <c r="M58" s="30">
        <v>12.7</v>
      </c>
      <c r="N58" s="21">
        <f t="shared" si="25"/>
        <v>-4.511278195488732E-2</v>
      </c>
      <c r="O58" s="22">
        <f>IF(ISNUMBER(M58), $B64 * N58, "")</f>
        <v>-4511.2781954887323</v>
      </c>
      <c r="Q58" s="248"/>
      <c r="R58" s="248"/>
      <c r="S58" s="248"/>
    </row>
    <row r="59" spans="1:19" ht="17.25" customHeight="1" thickBot="1">
      <c r="A59" s="125" t="s">
        <v>178</v>
      </c>
      <c r="B59" s="129">
        <v>17.3</v>
      </c>
      <c r="C59" s="80">
        <v>2.9761904799999999E-2</v>
      </c>
      <c r="D59" s="106">
        <v>17.399999999999999</v>
      </c>
      <c r="E59" s="107">
        <f>IF(ISNUMBER(D59), (D59 - $B59) / $B59, "")</f>
        <v>5.7803468208091251E-3</v>
      </c>
      <c r="F59" s="108">
        <f>IF(ISNUMBER(D59), $B64 * E59, "")</f>
        <v>578.03468208091249</v>
      </c>
      <c r="G59" s="109">
        <v>16.899999999999999</v>
      </c>
      <c r="H59" s="107">
        <f>IF(ISNUMBER(G59), (G59 - $B59) / $B59, "")</f>
        <v>-2.3121387283237118E-2</v>
      </c>
      <c r="I59" s="110">
        <f>IF(ISNUMBER(G59), $B64 * H59, "")</f>
        <v>-2312.1387283237118</v>
      </c>
      <c r="J59" s="106">
        <v>16.7</v>
      </c>
      <c r="K59" s="107">
        <f>IF(ISNUMBER(J59), (J59 - $B59) / $B59, "")</f>
        <v>-3.4682080924855571E-2</v>
      </c>
      <c r="L59" s="108">
        <f>IF(ISNUMBER(J59), $B64 * K59, "")</f>
        <v>-3468.2080924855572</v>
      </c>
      <c r="M59" s="109">
        <v>16.3</v>
      </c>
      <c r="N59" s="107">
        <f>IF(ISNUMBER(M59), (M59 - $B59) / $B59, "")</f>
        <v>-5.7803468208092484E-2</v>
      </c>
      <c r="O59" s="108">
        <f>IF(ISNUMBER(M59), $B64 * N59, "")</f>
        <v>-5780.3468208092481</v>
      </c>
      <c r="Q59" s="238"/>
      <c r="R59" s="238"/>
      <c r="S59" s="238"/>
    </row>
    <row r="60" spans="1:19" ht="17.25" customHeight="1" thickBot="1">
      <c r="A60" s="125" t="s">
        <v>210</v>
      </c>
      <c r="B60" s="126">
        <v>12.3</v>
      </c>
      <c r="C60" s="77">
        <v>2.5000000000000001E-2</v>
      </c>
      <c r="D60" s="15">
        <v>12.5</v>
      </c>
      <c r="E60" s="32">
        <f t="shared" ref="E60:E63" si="26">IF(ISNUMBER(D60), (D60 - $B60) / $B60, "")</f>
        <v>1.6260162601625959E-2</v>
      </c>
      <c r="F60" s="18">
        <f>IF(ISNUMBER(D60), $B64 * E60, "")</f>
        <v>1626.0162601625959</v>
      </c>
      <c r="G60" s="31">
        <v>12.2</v>
      </c>
      <c r="H60" s="32">
        <f t="shared" ref="H60:H63" si="27">IF(ISNUMBER(G60), (G60 - $B60) / $B60, "")</f>
        <v>-8.1300813008131235E-3</v>
      </c>
      <c r="I60" s="101">
        <f>IF(ISNUMBER(G60), $B64 * H60, "")</f>
        <v>-813.0081300813124</v>
      </c>
      <c r="J60" s="15">
        <v>12.2</v>
      </c>
      <c r="K60" s="32">
        <f t="shared" ref="K60:K63" si="28">IF(ISNUMBER(J60), (J60 - $B60) / $B60, "")</f>
        <v>-8.1300813008131235E-3</v>
      </c>
      <c r="L60" s="18">
        <f>IF(ISNUMBER(J60), $B64 * K60, "")</f>
        <v>-813.0081300813124</v>
      </c>
      <c r="M60" s="31">
        <v>12</v>
      </c>
      <c r="N60" s="32">
        <f t="shared" ref="N60:N63" si="29">IF(ISNUMBER(M60), (M60 - $B60) / $B60, "")</f>
        <v>-2.4390243902439081E-2</v>
      </c>
      <c r="O60" s="18">
        <f>IF(ISNUMBER(M60), $B64 * N60, "")</f>
        <v>-2439.0243902439079</v>
      </c>
      <c r="Q60" s="238"/>
      <c r="R60" s="238"/>
      <c r="S60" s="238"/>
    </row>
    <row r="61" spans="1:19" ht="17.25" customHeight="1" thickBot="1">
      <c r="A61" s="125" t="s">
        <v>240</v>
      </c>
      <c r="B61" s="126">
        <v>69.8</v>
      </c>
      <c r="C61" s="77">
        <v>2.1961932699999999E-2</v>
      </c>
      <c r="D61" s="15">
        <v>77.3</v>
      </c>
      <c r="E61" s="32">
        <f t="shared" si="26"/>
        <v>0.10744985673352436</v>
      </c>
      <c r="F61" s="18">
        <f>IF(ISNUMBER(D61), $B64 * E61, "")</f>
        <v>10744.985673352436</v>
      </c>
      <c r="G61" s="31">
        <v>76</v>
      </c>
      <c r="H61" s="32">
        <f t="shared" si="27"/>
        <v>8.8825214899713512E-2</v>
      </c>
      <c r="I61" s="101">
        <f>IF(ISNUMBER(G61), $B64 * H61, "")</f>
        <v>8882.5214899713519</v>
      </c>
      <c r="J61" s="15">
        <v>75</v>
      </c>
      <c r="K61" s="32">
        <f t="shared" si="28"/>
        <v>7.4498567335243598E-2</v>
      </c>
      <c r="L61" s="18">
        <f>IF(ISNUMBER(J61), $B64 * K61, "")</f>
        <v>7449.8567335243597</v>
      </c>
      <c r="M61" s="31">
        <v>74</v>
      </c>
      <c r="N61" s="32">
        <f t="shared" si="29"/>
        <v>6.0171919770773685E-2</v>
      </c>
      <c r="O61" s="18">
        <f>IF(ISNUMBER(M61), $B64 * N61, "")</f>
        <v>6017.1919770773684</v>
      </c>
      <c r="Q61" s="238"/>
      <c r="R61" s="238"/>
      <c r="S61" s="238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7"/>
      <c r="R62" s="228"/>
      <c r="S62" s="22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30"/>
      <c r="R63" s="231"/>
      <c r="S63" s="232"/>
    </row>
    <row r="64" spans="1:19" ht="17.25" customHeight="1" thickBot="1">
      <c r="A64" s="132" t="s">
        <v>270</v>
      </c>
      <c r="B64" s="291">
        <f>$B$37</f>
        <v>100000</v>
      </c>
      <c r="C64" s="292"/>
      <c r="D64" s="26" t="s">
        <v>271</v>
      </c>
      <c r="E64" s="27">
        <f>IF(COUNT(E44:E63), SUM(E44:E63) / COUNT(E44:E63), 0)</f>
        <v>3.0105784175364875E-2</v>
      </c>
      <c r="F64" s="28">
        <f>SUM(F44:F63)</f>
        <v>54190.411515656771</v>
      </c>
      <c r="G64" s="26" t="s">
        <v>271</v>
      </c>
      <c r="H64" s="27">
        <f>IF(COUNT(H44:H63), SUM(H44:H63) / COUNT(H44:H63), 0)</f>
        <v>6.6626903040617885E-3</v>
      </c>
      <c r="I64" s="28">
        <f>SUM(I44:I63)</f>
        <v>11992.842547311218</v>
      </c>
      <c r="J64" s="26" t="s">
        <v>271</v>
      </c>
      <c r="K64" s="27">
        <f>IF(COUNT(K44:K63), SUM(K44:K63) / COUNT(K44:K63), 0)</f>
        <v>-9.5744734512683196E-3</v>
      </c>
      <c r="L64" s="28">
        <f>SUM(L44:L63)</f>
        <v>-17234.052212282972</v>
      </c>
      <c r="M64" s="26" t="s">
        <v>271</v>
      </c>
      <c r="N64" s="27">
        <f>IF(COUNT(N44:N63), SUM(N44:N63) / COUNT(N44:N63), 0)</f>
        <v>-2.2556049838126216E-2</v>
      </c>
      <c r="O64" s="28">
        <f>SUM(O44:O63)</f>
        <v>-40600.889708627183</v>
      </c>
      <c r="Q64" s="233"/>
      <c r="R64" s="234"/>
      <c r="S64" s="23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48"/>
      <c r="R67" s="248"/>
      <c r="S67" s="248"/>
    </row>
    <row r="68" spans="1:19" ht="17.25" thickBot="1">
      <c r="A68" s="201" t="s">
        <v>267</v>
      </c>
      <c r="B68" s="249" t="s">
        <v>49</v>
      </c>
      <c r="C68" s="251"/>
      <c r="D68" s="249" t="s">
        <v>58</v>
      </c>
      <c r="E68" s="250"/>
      <c r="F68" s="251"/>
      <c r="G68" s="252">
        <f>_xlfn.IFNA(VLOOKUP(B68, 현재가테이블!$B$2:$D$200, 2, FALSE), "-")</f>
        <v>54440000</v>
      </c>
      <c r="H68" s="253"/>
      <c r="I68" s="254"/>
      <c r="J68" s="249" t="s">
        <v>59</v>
      </c>
      <c r="K68" s="250"/>
      <c r="L68" s="251"/>
      <c r="M68" s="255">
        <f>_xlfn.IFNA(VLOOKUP(B68, 현재가테이블!$B$2:$D$200, 3, FALSE), "-")</f>
        <v>1.07123628E-2</v>
      </c>
      <c r="N68" s="256"/>
      <c r="O68" s="257"/>
      <c r="Q68" s="248"/>
      <c r="R68" s="248"/>
      <c r="S68" s="248"/>
    </row>
    <row r="69" spans="1:19" ht="17.25" thickBot="1">
      <c r="A69" s="293" t="s">
        <v>55</v>
      </c>
      <c r="B69" s="289" t="str">
        <f>TEXT($G$1, "[$-ko-KR]yyyy-mm-dd(ddd) ") &amp; "오전 00:00"</f>
        <v>2021-08-12(목) 오전 00:00</v>
      </c>
      <c r="C69" s="290"/>
      <c r="D69" s="262" t="str">
        <f>TEXT($G$1, "[$-ko-KR]yyyy-mm-dd(ddd) ") &amp; "오후 14:00"</f>
        <v>2021-08-12(목) 오후 14:00</v>
      </c>
      <c r="E69" s="263"/>
      <c r="F69" s="264"/>
      <c r="G69" s="262" t="str">
        <f>TEXT($G$1, "[$-ko-KR]yyyy-mm-dd(ddd) ") &amp; "오후 19:00"</f>
        <v>2021-08-12(목) 오후 19:00</v>
      </c>
      <c r="H69" s="263"/>
      <c r="I69" s="264"/>
      <c r="J69" s="262" t="str">
        <f>TEXT($G$1, "[$-ko-KR]yyyy-mm-dd(ddd) ") &amp; "오후 21:00"</f>
        <v>2021-08-12(목) 오후 21:00</v>
      </c>
      <c r="K69" s="263"/>
      <c r="L69" s="264"/>
      <c r="M69" s="262" t="str">
        <f>TEXT($G$1+1, "[$-ko-KR]yyyy-mm-dd(ddd) ") &amp; "오전 00:00"</f>
        <v>2021-08-13(금) 오전 00:00</v>
      </c>
      <c r="N69" s="263"/>
      <c r="O69" s="264"/>
      <c r="Q69" s="248"/>
      <c r="R69" s="248"/>
      <c r="S69" s="248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2" t="s">
        <v>58</v>
      </c>
      <c r="H70" s="203" t="s">
        <v>268</v>
      </c>
      <c r="I70" s="20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8"/>
      <c r="R70" s="238"/>
      <c r="S70" s="238"/>
    </row>
    <row r="71" spans="1:19" ht="17.25" thickBot="1">
      <c r="A71" s="123" t="s">
        <v>162</v>
      </c>
      <c r="B71" s="124">
        <v>117</v>
      </c>
      <c r="C71" s="76">
        <v>0.14705882349999999</v>
      </c>
      <c r="D71" s="13">
        <v>111</v>
      </c>
      <c r="E71" s="14">
        <f>IF(ISNUMBER(D71), (D71 - $B71) / $B71, "")</f>
        <v>-5.128205128205128E-2</v>
      </c>
      <c r="F71" s="16">
        <f>IF(ISNUMBER(D71), $B91 * E71, "")</f>
        <v>-5128.2051282051279</v>
      </c>
      <c r="G71" s="29">
        <v>107</v>
      </c>
      <c r="H71" s="14">
        <f>IF(ISNUMBER(G71), (G71 - $B71) / $B71, "")</f>
        <v>-8.5470085470085472E-2</v>
      </c>
      <c r="I71" s="100">
        <f>IF(ISNUMBER(G71), $B91 * H71, "")</f>
        <v>-8547.0085470085469</v>
      </c>
      <c r="J71" s="13">
        <v>105</v>
      </c>
      <c r="K71" s="14">
        <f>IF(ISNUMBER(J71), (J71 - $B71) / $B71, "")</f>
        <v>-0.10256410256410256</v>
      </c>
      <c r="L71" s="16">
        <f>IF(ISNUMBER(J71), $B91 * K71, "")</f>
        <v>-10256.410256410256</v>
      </c>
      <c r="M71" s="29">
        <v>105</v>
      </c>
      <c r="N71" s="14">
        <f>IF(ISNUMBER(M71), (M71 - $B71) / $B71, "")</f>
        <v>-0.10256410256410256</v>
      </c>
      <c r="O71" s="16">
        <f>IF(ISNUMBER(M71), $B91 * N71, "")</f>
        <v>-10256.410256410256</v>
      </c>
      <c r="Q71" s="248"/>
      <c r="R71" s="248"/>
      <c r="S71" s="248"/>
    </row>
    <row r="72" spans="1:19" ht="17.25" thickBot="1">
      <c r="A72" s="125" t="s">
        <v>124</v>
      </c>
      <c r="B72" s="126">
        <v>393</v>
      </c>
      <c r="C72" s="77">
        <v>9.7765363100000002E-2</v>
      </c>
      <c r="D72" s="15">
        <v>378</v>
      </c>
      <c r="E72" s="32">
        <f t="shared" ref="E72:E75" si="30">IF(ISNUMBER(D72), (D72 - $B72) / $B72, "")</f>
        <v>-3.8167938931297711E-2</v>
      </c>
      <c r="F72" s="18">
        <f>IF(ISNUMBER(D72), $B91 * E72, "")</f>
        <v>-3816.7938931297713</v>
      </c>
      <c r="G72" s="31">
        <v>367</v>
      </c>
      <c r="H72" s="32">
        <f t="shared" ref="H72:H75" si="31">IF(ISNUMBER(G72), (G72 - $B72) / $B72, "")</f>
        <v>-6.6157760814249358E-2</v>
      </c>
      <c r="I72" s="101">
        <f>IF(ISNUMBER(G72), $B91 * H72, "")</f>
        <v>-6615.7760814249359</v>
      </c>
      <c r="J72" s="15">
        <v>361</v>
      </c>
      <c r="K72" s="32">
        <f t="shared" ref="K72:K75" si="32">IF(ISNUMBER(J72), (J72 - $B72) / $B72, "")</f>
        <v>-8.1424936386768454E-2</v>
      </c>
      <c r="L72" s="18">
        <f>IF(ISNUMBER(J72), $B91 * K72, "")</f>
        <v>-8142.493638676845</v>
      </c>
      <c r="M72" s="31">
        <v>356</v>
      </c>
      <c r="N72" s="32">
        <f t="shared" ref="N72:N75" si="33">IF(ISNUMBER(M72), (M72 - $B72) / $B72, "")</f>
        <v>-9.4147582697201013E-2</v>
      </c>
      <c r="O72" s="18">
        <f>IF(ISNUMBER(M72), $B91 * N72, "")</f>
        <v>-9414.7582697201015</v>
      </c>
      <c r="Q72" s="248"/>
      <c r="R72" s="248"/>
      <c r="S72" s="248"/>
    </row>
    <row r="73" spans="1:19" ht="17.25" thickBot="1">
      <c r="A73" s="125" t="s">
        <v>128</v>
      </c>
      <c r="B73" s="126">
        <v>133</v>
      </c>
      <c r="C73" s="77">
        <v>9.0163934400000006E-2</v>
      </c>
      <c r="D73" s="15">
        <v>132</v>
      </c>
      <c r="E73" s="32">
        <f t="shared" si="30"/>
        <v>-7.5187969924812026E-3</v>
      </c>
      <c r="F73" s="18">
        <f>IF(ISNUMBER(D73), $B91 * E73, "")</f>
        <v>-751.87969924812023</v>
      </c>
      <c r="G73" s="31">
        <v>129</v>
      </c>
      <c r="H73" s="32">
        <f t="shared" si="31"/>
        <v>-3.007518796992481E-2</v>
      </c>
      <c r="I73" s="101">
        <f>IF(ISNUMBER(G73), $B91 * H73, "")</f>
        <v>-3007.5187969924809</v>
      </c>
      <c r="J73" s="15">
        <v>126</v>
      </c>
      <c r="K73" s="32">
        <f t="shared" si="32"/>
        <v>-5.2631578947368418E-2</v>
      </c>
      <c r="L73" s="18">
        <f>IF(ISNUMBER(J73), $B91 * K73, "")</f>
        <v>-5263.1578947368416</v>
      </c>
      <c r="M73" s="31">
        <v>124</v>
      </c>
      <c r="N73" s="32">
        <f t="shared" si="33"/>
        <v>-6.7669172932330823E-2</v>
      </c>
      <c r="O73" s="18">
        <f>IF(ISNUMBER(M73), $B91 * N73, "")</f>
        <v>-6766.9172932330821</v>
      </c>
      <c r="Q73" s="238"/>
      <c r="R73" s="238"/>
      <c r="S73" s="238"/>
    </row>
    <row r="74" spans="1:19" ht="17.25" thickBot="1">
      <c r="A74" s="125" t="s">
        <v>130</v>
      </c>
      <c r="B74" s="126">
        <v>113</v>
      </c>
      <c r="C74" s="77">
        <v>7.6190476199999996E-2</v>
      </c>
      <c r="D74" s="15">
        <v>112</v>
      </c>
      <c r="E74" s="32">
        <f t="shared" si="30"/>
        <v>-8.8495575221238937E-3</v>
      </c>
      <c r="F74" s="18">
        <f>IF(ISNUMBER(D74), $B91 * E74, "")</f>
        <v>-884.95575221238937</v>
      </c>
      <c r="G74" s="31">
        <v>108</v>
      </c>
      <c r="H74" s="32">
        <f t="shared" si="31"/>
        <v>-4.4247787610619468E-2</v>
      </c>
      <c r="I74" s="101">
        <f>IF(ISNUMBER(G74), $B91 * H74, "")</f>
        <v>-4424.7787610619471</v>
      </c>
      <c r="J74" s="15">
        <v>106</v>
      </c>
      <c r="K74" s="32">
        <f t="shared" si="32"/>
        <v>-6.1946902654867256E-2</v>
      </c>
      <c r="L74" s="18">
        <f>IF(ISNUMBER(J74), $B91 * K74, "")</f>
        <v>-6194.6902654867254</v>
      </c>
      <c r="M74" s="31">
        <v>106</v>
      </c>
      <c r="N74" s="32">
        <f t="shared" si="33"/>
        <v>-6.1946902654867256E-2</v>
      </c>
      <c r="O74" s="18">
        <f>IF(ISNUMBER(M74), $B91 * N74, "")</f>
        <v>-6194.6902654867254</v>
      </c>
      <c r="Q74" s="238"/>
      <c r="R74" s="238"/>
      <c r="S74" s="238"/>
    </row>
    <row r="75" spans="1:19" ht="17.25" thickBot="1">
      <c r="A75" s="127" t="s">
        <v>266</v>
      </c>
      <c r="B75" s="128">
        <v>316</v>
      </c>
      <c r="C75" s="78">
        <v>7.1186440700000006E-2</v>
      </c>
      <c r="D75" s="20">
        <v>325</v>
      </c>
      <c r="E75" s="21">
        <f t="shared" si="30"/>
        <v>2.8481012658227847E-2</v>
      </c>
      <c r="F75" s="22">
        <f>IF(ISNUMBER(D75), $B91 * E75, "")</f>
        <v>2848.1012658227846</v>
      </c>
      <c r="G75" s="30">
        <v>312</v>
      </c>
      <c r="H75" s="21">
        <f t="shared" si="31"/>
        <v>-1.2658227848101266E-2</v>
      </c>
      <c r="I75" s="105">
        <f>IF(ISNUMBER(G75), $B91 * H75, "")</f>
        <v>-1265.8227848101264</v>
      </c>
      <c r="J75" s="20">
        <v>310</v>
      </c>
      <c r="K75" s="21">
        <f t="shared" si="32"/>
        <v>-1.8987341772151899E-2</v>
      </c>
      <c r="L75" s="22">
        <f>IF(ISNUMBER(J75), $B91 * K75, "")</f>
        <v>-1898.7341772151899</v>
      </c>
      <c r="M75" s="30">
        <v>306</v>
      </c>
      <c r="N75" s="21">
        <f t="shared" si="33"/>
        <v>-3.1645569620253167E-2</v>
      </c>
      <c r="O75" s="22">
        <f>IF(ISNUMBER(M75), $B91 * N75, "")</f>
        <v>-3164.5569620253168</v>
      </c>
      <c r="Q75" s="238"/>
      <c r="R75" s="238"/>
      <c r="S75" s="238"/>
    </row>
    <row r="76" spans="1:19" ht="17.25" thickBot="1">
      <c r="A76" s="125" t="s">
        <v>51</v>
      </c>
      <c r="B76" s="129">
        <v>381</v>
      </c>
      <c r="C76" s="80">
        <v>7.0224719099999999E-2</v>
      </c>
      <c r="D76" s="106">
        <v>396</v>
      </c>
      <c r="E76" s="107">
        <f>IF(ISNUMBER(D76), (D76 - $B76) / $B76, "")</f>
        <v>3.937007874015748E-2</v>
      </c>
      <c r="F76" s="108">
        <f>IF(ISNUMBER(D76), $B91 * E76, "")</f>
        <v>3937.0078740157478</v>
      </c>
      <c r="G76" s="109">
        <v>386</v>
      </c>
      <c r="H76" s="107">
        <f>IF(ISNUMBER(G76), (G76 - $B76) / $B76, "")</f>
        <v>1.3123359580052493E-2</v>
      </c>
      <c r="I76" s="110">
        <f>IF(ISNUMBER(G76), $B91 * H76, "")</f>
        <v>1312.3359580052493</v>
      </c>
      <c r="J76" s="106">
        <v>379</v>
      </c>
      <c r="K76" s="107">
        <f>IF(ISNUMBER(J76), (J76 - $B76) / $B76, "")</f>
        <v>-5.2493438320209973E-3</v>
      </c>
      <c r="L76" s="108">
        <f>IF(ISNUMBER(J76), $B91 * K76, "")</f>
        <v>-524.93438320209975</v>
      </c>
      <c r="M76" s="109">
        <v>379</v>
      </c>
      <c r="N76" s="107">
        <f>IF(ISNUMBER(M76), (M76 - $B76) / $B76, "")</f>
        <v>-5.2493438320209973E-3</v>
      </c>
      <c r="O76" s="108">
        <f>IF(ISNUMBER(M76), $B91 * N76, "")</f>
        <v>-524.93438320209975</v>
      </c>
      <c r="Q76" s="238"/>
      <c r="R76" s="238"/>
      <c r="S76" s="238"/>
    </row>
    <row r="77" spans="1:19" ht="17.25" thickBot="1">
      <c r="A77" s="125" t="s">
        <v>144</v>
      </c>
      <c r="B77" s="126">
        <v>117</v>
      </c>
      <c r="C77" s="77">
        <v>6.3636363599999995E-2</v>
      </c>
      <c r="D77" s="15">
        <v>114</v>
      </c>
      <c r="E77" s="32">
        <f t="shared" ref="E77:E80" si="34">IF(ISNUMBER(D77), (D77 - $B77) / $B77, "")</f>
        <v>-2.564102564102564E-2</v>
      </c>
      <c r="F77" s="18">
        <f>IF(ISNUMBER(D77), $B91 * E77, "")</f>
        <v>-2564.102564102564</v>
      </c>
      <c r="G77" s="31">
        <v>113</v>
      </c>
      <c r="H77" s="32">
        <f t="shared" ref="H77:H80" si="35">IF(ISNUMBER(G77), (G77 - $B77) / $B77, "")</f>
        <v>-3.4188034188034191E-2</v>
      </c>
      <c r="I77" s="101">
        <f>IF(ISNUMBER(G77), $B91 * H77, "")</f>
        <v>-3418.8034188034189</v>
      </c>
      <c r="J77" s="15">
        <v>110</v>
      </c>
      <c r="K77" s="32">
        <f t="shared" ref="K77:K80" si="36">IF(ISNUMBER(J77), (J77 - $B77) / $B77, "")</f>
        <v>-5.9829059829059832E-2</v>
      </c>
      <c r="L77" s="18">
        <f>IF(ISNUMBER(J77), $B91 * K77, "")</f>
        <v>-5982.9059829059834</v>
      </c>
      <c r="M77" s="31">
        <v>110</v>
      </c>
      <c r="N77" s="32">
        <f t="shared" ref="N77:N80" si="37">IF(ISNUMBER(M77), (M77 - $B77) / $B77, "")</f>
        <v>-5.9829059829059832E-2</v>
      </c>
      <c r="O77" s="18">
        <f>IF(ISNUMBER(M77), $B91 * N77, "")</f>
        <v>-5982.9059829059834</v>
      </c>
      <c r="Q77" s="238"/>
      <c r="R77" s="238"/>
      <c r="S77" s="238"/>
    </row>
    <row r="78" spans="1:19" ht="17.25" thickBot="1">
      <c r="A78" s="125" t="s">
        <v>57</v>
      </c>
      <c r="B78" s="126">
        <v>229</v>
      </c>
      <c r="C78" s="77">
        <v>5.5299539199999997E-2</v>
      </c>
      <c r="D78" s="15">
        <v>229</v>
      </c>
      <c r="E78" s="32">
        <f t="shared" si="34"/>
        <v>0</v>
      </c>
      <c r="F78" s="18">
        <f>IF(ISNUMBER(D78), $B91 * E78, "")</f>
        <v>0</v>
      </c>
      <c r="G78" s="31">
        <v>222</v>
      </c>
      <c r="H78" s="32">
        <f t="shared" si="35"/>
        <v>-3.0567685589519649E-2</v>
      </c>
      <c r="I78" s="101">
        <f>IF(ISNUMBER(G78), $B91 * H78, "")</f>
        <v>-3056.7685589519651</v>
      </c>
      <c r="J78" s="15">
        <v>220</v>
      </c>
      <c r="K78" s="32">
        <f t="shared" si="36"/>
        <v>-3.9301310043668124E-2</v>
      </c>
      <c r="L78" s="18">
        <f>IF(ISNUMBER(J78), $B91 * K78, "")</f>
        <v>-3930.1310043668122</v>
      </c>
      <c r="M78" s="31">
        <v>217</v>
      </c>
      <c r="N78" s="32">
        <f t="shared" si="37"/>
        <v>-5.2401746724890827E-2</v>
      </c>
      <c r="O78" s="18">
        <f>IF(ISNUMBER(M78), $B91 * N78, "")</f>
        <v>-5240.1746724890827</v>
      </c>
      <c r="Q78" s="238"/>
      <c r="R78" s="238"/>
      <c r="S78" s="238"/>
    </row>
    <row r="79" spans="1:19" ht="17.25" thickBot="1">
      <c r="A79" s="125" t="s">
        <v>132</v>
      </c>
      <c r="B79" s="126">
        <v>119</v>
      </c>
      <c r="C79" s="77">
        <v>5.3097345099999999E-2</v>
      </c>
      <c r="D79" s="15">
        <v>119</v>
      </c>
      <c r="E79" s="32">
        <f t="shared" si="34"/>
        <v>0</v>
      </c>
      <c r="F79" s="18">
        <f>IF(ISNUMBER(D79), $B91 * E79, "")</f>
        <v>0</v>
      </c>
      <c r="G79" s="31">
        <v>118</v>
      </c>
      <c r="H79" s="32">
        <f t="shared" si="35"/>
        <v>-8.4033613445378148E-3</v>
      </c>
      <c r="I79" s="101">
        <f>IF(ISNUMBER(G79), $B91 * H79, "")</f>
        <v>-840.33613445378148</v>
      </c>
      <c r="J79" s="15">
        <v>119</v>
      </c>
      <c r="K79" s="32">
        <f t="shared" si="36"/>
        <v>0</v>
      </c>
      <c r="L79" s="18">
        <f>IF(ISNUMBER(J79), $B91 * K79, "")</f>
        <v>0</v>
      </c>
      <c r="M79" s="31">
        <v>114</v>
      </c>
      <c r="N79" s="32">
        <f t="shared" si="37"/>
        <v>-4.2016806722689079E-2</v>
      </c>
      <c r="O79" s="18">
        <f>IF(ISNUMBER(M79), $B91 * N79, "")</f>
        <v>-4201.680672268908</v>
      </c>
      <c r="Q79" s="33"/>
      <c r="R79" s="33"/>
    </row>
    <row r="80" spans="1:19" ht="17.25" thickBot="1">
      <c r="A80" s="130" t="s">
        <v>118</v>
      </c>
      <c r="B80" s="131">
        <v>171</v>
      </c>
      <c r="C80" s="79">
        <v>4.9079754599999997E-2</v>
      </c>
      <c r="D80" s="24">
        <v>169</v>
      </c>
      <c r="E80" s="25">
        <f t="shared" si="34"/>
        <v>-1.1695906432748537E-2</v>
      </c>
      <c r="F80" s="104">
        <f>IF(ISNUMBER(D80), $B91 * E80, "")</f>
        <v>-1169.5906432748538</v>
      </c>
      <c r="G80" s="102">
        <v>166</v>
      </c>
      <c r="H80" s="25">
        <f t="shared" si="35"/>
        <v>-2.9239766081871343E-2</v>
      </c>
      <c r="I80" s="103">
        <f>IF(ISNUMBER(G80), $B91 * H80, "")</f>
        <v>-2923.9766081871344</v>
      </c>
      <c r="J80" s="24">
        <v>166</v>
      </c>
      <c r="K80" s="25">
        <f t="shared" si="36"/>
        <v>-2.9239766081871343E-2</v>
      </c>
      <c r="L80" s="104">
        <f>IF(ISNUMBER(J80), $B91 * K80, "")</f>
        <v>-2923.9766081871344</v>
      </c>
      <c r="M80" s="102">
        <v>162</v>
      </c>
      <c r="N80" s="25">
        <f t="shared" si="37"/>
        <v>-5.2631578947368418E-2</v>
      </c>
      <c r="O80" s="104">
        <f>IF(ISNUMBER(M80), $B91 * N80, "")</f>
        <v>-5263.1578947368416</v>
      </c>
      <c r="Q80" s="239"/>
      <c r="R80" s="240"/>
      <c r="S80" s="241"/>
    </row>
    <row r="81" spans="1:19">
      <c r="A81" s="123" t="s">
        <v>138</v>
      </c>
      <c r="B81" s="124">
        <v>405</v>
      </c>
      <c r="C81" s="76">
        <v>4.6511627899999998E-2</v>
      </c>
      <c r="D81" s="13">
        <v>395</v>
      </c>
      <c r="E81" s="14">
        <f>IF(ISNUMBER(D81), (D81 - $B81) / $B81, "")</f>
        <v>-2.4691358024691357E-2</v>
      </c>
      <c r="F81" s="16">
        <f>IF(ISNUMBER(D81), $B91 * E81, "")</f>
        <v>-2469.1358024691358</v>
      </c>
      <c r="G81" s="29">
        <v>385</v>
      </c>
      <c r="H81" s="14">
        <f>IF(ISNUMBER(G81), (G81 - $B81) / $B81, "")</f>
        <v>-4.9382716049382713E-2</v>
      </c>
      <c r="I81" s="100">
        <f>IF(ISNUMBER(G81), $B91 * H81, "")</f>
        <v>-4938.2716049382716</v>
      </c>
      <c r="J81" s="13">
        <v>381</v>
      </c>
      <c r="K81" s="14">
        <f>IF(ISNUMBER(J81), (J81 - $B81) / $B81, "")</f>
        <v>-5.9259259259259262E-2</v>
      </c>
      <c r="L81" s="16">
        <f>IF(ISNUMBER(J81), $B91 * K81, "")</f>
        <v>-5925.9259259259261</v>
      </c>
      <c r="M81" s="29">
        <v>378</v>
      </c>
      <c r="N81" s="14">
        <f>IF(ISNUMBER(M81), (M81 - $B81) / $B81, "")</f>
        <v>-6.6666666666666666E-2</v>
      </c>
      <c r="O81" s="16">
        <f>IF(ISNUMBER(M81), $B91 * N81, "")</f>
        <v>-6666.666666666667</v>
      </c>
      <c r="Q81" s="242"/>
      <c r="R81" s="243"/>
      <c r="S81" s="244"/>
    </row>
    <row r="82" spans="1:19" ht="17.25" thickBot="1">
      <c r="A82" s="125" t="s">
        <v>236</v>
      </c>
      <c r="B82" s="126">
        <v>644</v>
      </c>
      <c r="C82" s="77">
        <v>4.5454545499999999E-2</v>
      </c>
      <c r="D82" s="15">
        <v>640</v>
      </c>
      <c r="E82" s="32">
        <f t="shared" ref="E82:E85" si="38">IF(ISNUMBER(D82), (D82 - $B82) / $B82, "")</f>
        <v>-6.2111801242236021E-3</v>
      </c>
      <c r="F82" s="18">
        <f>IF(ISNUMBER(D82), $B91 * E82, "")</f>
        <v>-621.11801242236015</v>
      </c>
      <c r="G82" s="31">
        <v>629</v>
      </c>
      <c r="H82" s="32">
        <f t="shared" ref="H82:H85" si="39">IF(ISNUMBER(G82), (G82 - $B82) / $B82, "")</f>
        <v>-2.3291925465838508E-2</v>
      </c>
      <c r="I82" s="101">
        <f>IF(ISNUMBER(G82), $B91 * H82, "")</f>
        <v>-2329.1925465838508</v>
      </c>
      <c r="J82" s="15">
        <v>619</v>
      </c>
      <c r="K82" s="32">
        <f t="shared" ref="K82:K85" si="40">IF(ISNUMBER(J82), (J82 - $B82) / $B82, "")</f>
        <v>-3.8819875776397512E-2</v>
      </c>
      <c r="L82" s="18">
        <f>IF(ISNUMBER(J82), $B91 * K82, "")</f>
        <v>-3881.9875776397512</v>
      </c>
      <c r="M82" s="31">
        <v>612</v>
      </c>
      <c r="N82" s="32">
        <f t="shared" ref="N82:N85" si="41">IF(ISNUMBER(M82), (M82 - $B82) / $B82, "")</f>
        <v>-4.9689440993788817E-2</v>
      </c>
      <c r="O82" s="18">
        <f>IF(ISNUMBER(M82), $B91 * N82, "")</f>
        <v>-4968.9440993788812</v>
      </c>
      <c r="Q82" s="245"/>
      <c r="R82" s="246"/>
      <c r="S82" s="247"/>
    </row>
    <row r="83" spans="1:19" ht="17.25" thickBot="1">
      <c r="A83" s="125" t="s">
        <v>80</v>
      </c>
      <c r="B83" s="126">
        <v>866</v>
      </c>
      <c r="C83" s="77">
        <v>4.2117930200000001E-2</v>
      </c>
      <c r="D83" s="15">
        <v>861</v>
      </c>
      <c r="E83" s="32">
        <f t="shared" si="38"/>
        <v>-5.7736720554272519E-3</v>
      </c>
      <c r="F83" s="18">
        <f>IF(ISNUMBER(D83), $B91 * E83, "")</f>
        <v>-577.36720554272517</v>
      </c>
      <c r="G83" s="31">
        <v>841</v>
      </c>
      <c r="H83" s="32">
        <f t="shared" si="39"/>
        <v>-2.8868360277136258E-2</v>
      </c>
      <c r="I83" s="101">
        <f>IF(ISNUMBER(G83), $B91 * H83, "")</f>
        <v>-2886.8360277136258</v>
      </c>
      <c r="J83" s="15">
        <v>836</v>
      </c>
      <c r="K83" s="32">
        <f t="shared" si="40"/>
        <v>-3.4642032332563508E-2</v>
      </c>
      <c r="L83" s="18">
        <f>IF(ISNUMBER(J83), $B91 * K83, "")</f>
        <v>-3464.2032332563508</v>
      </c>
      <c r="M83" s="31">
        <v>822</v>
      </c>
      <c r="N83" s="32">
        <f t="shared" si="41"/>
        <v>-5.0808314087759814E-2</v>
      </c>
      <c r="O83" s="18">
        <f>IF(ISNUMBER(M83), $B91 * N83, "")</f>
        <v>-5080.8314087759818</v>
      </c>
      <c r="Q83" s="238"/>
      <c r="R83" s="238"/>
      <c r="S83" s="238"/>
    </row>
    <row r="84" spans="1:19" ht="17.25" thickBot="1">
      <c r="A84" s="125" t="s">
        <v>238</v>
      </c>
      <c r="B84" s="126">
        <v>108</v>
      </c>
      <c r="C84" s="77">
        <v>3.8461538500000003E-2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106</v>
      </c>
      <c r="H84" s="32">
        <f t="shared" si="39"/>
        <v>-1.8518518518518517E-2</v>
      </c>
      <c r="I84" s="101">
        <f>IF(ISNUMBER(G84), $B91 * H84, "")</f>
        <v>-1851.8518518518517</v>
      </c>
      <c r="J84" s="15">
        <v>104</v>
      </c>
      <c r="K84" s="32">
        <f t="shared" si="40"/>
        <v>-3.7037037037037035E-2</v>
      </c>
      <c r="L84" s="18">
        <f>IF(ISNUMBER(J84), $B91 * K84, "")</f>
        <v>-3703.7037037037035</v>
      </c>
      <c r="M84" s="31">
        <v>103</v>
      </c>
      <c r="N84" s="32">
        <f t="shared" si="41"/>
        <v>-4.6296296296296294E-2</v>
      </c>
      <c r="O84" s="18">
        <f>IF(ISNUMBER(M84), $B91 * N84, "")</f>
        <v>-4629.6296296296296</v>
      </c>
      <c r="Q84" s="248"/>
      <c r="R84" s="248"/>
      <c r="S84" s="248"/>
    </row>
    <row r="85" spans="1:19" ht="17.25" thickBot="1">
      <c r="A85" s="127" t="s">
        <v>220</v>
      </c>
      <c r="B85" s="128">
        <v>222</v>
      </c>
      <c r="C85" s="78">
        <v>3.7383177599999998E-2</v>
      </c>
      <c r="D85" s="20">
        <v>222</v>
      </c>
      <c r="E85" s="21">
        <f t="shared" si="38"/>
        <v>0</v>
      </c>
      <c r="F85" s="22">
        <f>IF(ISNUMBER(D85), $B91 * E85, "")</f>
        <v>0</v>
      </c>
      <c r="G85" s="30">
        <v>216</v>
      </c>
      <c r="H85" s="21">
        <f t="shared" si="39"/>
        <v>-2.7027027027027029E-2</v>
      </c>
      <c r="I85" s="105">
        <f>IF(ISNUMBER(G85), $B91 * H85, "")</f>
        <v>-2702.7027027027029</v>
      </c>
      <c r="J85" s="20">
        <v>213</v>
      </c>
      <c r="K85" s="21">
        <f t="shared" si="40"/>
        <v>-4.0540540540540543E-2</v>
      </c>
      <c r="L85" s="22">
        <f>IF(ISNUMBER(J85), $B91 * K85, "")</f>
        <v>-4054.0540540540542</v>
      </c>
      <c r="M85" s="30">
        <v>213</v>
      </c>
      <c r="N85" s="21">
        <f t="shared" si="41"/>
        <v>-4.0540540540540543E-2</v>
      </c>
      <c r="O85" s="22">
        <f>IF(ISNUMBER(M85), $B91 * N85, "")</f>
        <v>-4054.0540540540542</v>
      </c>
      <c r="Q85" s="248"/>
      <c r="R85" s="248"/>
      <c r="S85" s="248"/>
    </row>
    <row r="86" spans="1:19" ht="17.25" thickBot="1">
      <c r="A86" s="125" t="s">
        <v>200</v>
      </c>
      <c r="B86" s="129">
        <v>147</v>
      </c>
      <c r="C86" s="80">
        <v>3.5211267599999999E-2</v>
      </c>
      <c r="D86" s="106">
        <v>145</v>
      </c>
      <c r="E86" s="107">
        <f>IF(ISNUMBER(D86), (D86 - $B86) / $B86, "")</f>
        <v>-1.3605442176870748E-2</v>
      </c>
      <c r="F86" s="108">
        <f>IF(ISNUMBER(D86), $B91 * E86, "")</f>
        <v>-1360.5442176870747</v>
      </c>
      <c r="G86" s="109">
        <v>141</v>
      </c>
      <c r="H86" s="107">
        <f>IF(ISNUMBER(G86), (G86 - $B86) / $B86, "")</f>
        <v>-4.0816326530612242E-2</v>
      </c>
      <c r="I86" s="110">
        <f>IF(ISNUMBER(G86), $B91 * H86, "")</f>
        <v>-4081.6326530612241</v>
      </c>
      <c r="J86" s="106">
        <v>140</v>
      </c>
      <c r="K86" s="107">
        <f>IF(ISNUMBER(J86), (J86 - $B86) / $B86, "")</f>
        <v>-4.7619047619047616E-2</v>
      </c>
      <c r="L86" s="108">
        <f>IF(ISNUMBER(J86), $B91 * K86, "")</f>
        <v>-4761.9047619047615</v>
      </c>
      <c r="M86" s="109">
        <v>139</v>
      </c>
      <c r="N86" s="107">
        <f>IF(ISNUMBER(M86), (M86 - $B86) / $B86, "")</f>
        <v>-5.4421768707482991E-2</v>
      </c>
      <c r="O86" s="108">
        <f>IF(ISNUMBER(M86), $B91 * N86, "")</f>
        <v>-5442.1768707482988</v>
      </c>
      <c r="Q86" s="238"/>
      <c r="R86" s="238"/>
      <c r="S86" s="238"/>
    </row>
    <row r="87" spans="1:19" ht="17.25" thickBot="1">
      <c r="A87" s="125" t="s">
        <v>61</v>
      </c>
      <c r="B87" s="126">
        <v>980</v>
      </c>
      <c r="C87" s="77">
        <v>3.48468849E-2</v>
      </c>
      <c r="D87" s="15">
        <v>954</v>
      </c>
      <c r="E87" s="32">
        <f t="shared" ref="E87:E90" si="42">IF(ISNUMBER(D87), (D87 - $B87) / $B87, "")</f>
        <v>-2.6530612244897958E-2</v>
      </c>
      <c r="F87" s="18">
        <f>IF(ISNUMBER(D87), $B91 * E87, "")</f>
        <v>-2653.0612244897957</v>
      </c>
      <c r="G87" s="31">
        <v>942</v>
      </c>
      <c r="H87" s="32">
        <f t="shared" ref="H87:H90" si="43">IF(ISNUMBER(G87), (G87 - $B87) / $B87, "")</f>
        <v>-3.8775510204081633E-2</v>
      </c>
      <c r="I87" s="101">
        <f>IF(ISNUMBER(G87), $B91 * H87, "")</f>
        <v>-3877.5510204081634</v>
      </c>
      <c r="J87" s="15">
        <v>931</v>
      </c>
      <c r="K87" s="32">
        <f t="shared" ref="K87:K90" si="44">IF(ISNUMBER(J87), (J87 - $B87) / $B87, "")</f>
        <v>-0.05</v>
      </c>
      <c r="L87" s="18">
        <f>IF(ISNUMBER(J87), $B91 * K87, "")</f>
        <v>-5000</v>
      </c>
      <c r="M87" s="31">
        <v>913</v>
      </c>
      <c r="N87" s="32">
        <f t="shared" ref="N87:N90" si="45">IF(ISNUMBER(M87), (M87 - $B87) / $B87, "")</f>
        <v>-6.8367346938775511E-2</v>
      </c>
      <c r="O87" s="18">
        <f>IF(ISNUMBER(M87), $B91 * N87, "")</f>
        <v>-6836.7346938775509</v>
      </c>
      <c r="Q87" s="238"/>
      <c r="R87" s="238"/>
      <c r="S87" s="238"/>
    </row>
    <row r="88" spans="1:19" ht="17.25" thickBot="1">
      <c r="A88" s="125" t="s">
        <v>206</v>
      </c>
      <c r="B88" s="126">
        <v>357</v>
      </c>
      <c r="C88" s="77">
        <v>3.4782608700000002E-2</v>
      </c>
      <c r="D88" s="15">
        <v>356</v>
      </c>
      <c r="E88" s="32">
        <f t="shared" si="42"/>
        <v>-2.8011204481792717E-3</v>
      </c>
      <c r="F88" s="18">
        <f>IF(ISNUMBER(D88), $B91 * E88, "")</f>
        <v>-280.1120448179272</v>
      </c>
      <c r="G88" s="31">
        <v>346</v>
      </c>
      <c r="H88" s="32">
        <f t="shared" si="43"/>
        <v>-3.081232492997199E-2</v>
      </c>
      <c r="I88" s="101">
        <f>IF(ISNUMBER(G88), $B91 * H88, "")</f>
        <v>-3081.2324929971992</v>
      </c>
      <c r="J88" s="15">
        <v>338</v>
      </c>
      <c r="K88" s="32">
        <f t="shared" si="44"/>
        <v>-5.3221288515406161E-2</v>
      </c>
      <c r="L88" s="18">
        <f>IF(ISNUMBER(J88), $B91 * K88, "")</f>
        <v>-5322.1288515406159</v>
      </c>
      <c r="M88" s="31">
        <v>334</v>
      </c>
      <c r="N88" s="32">
        <f t="shared" si="45"/>
        <v>-6.4425770308123242E-2</v>
      </c>
      <c r="O88" s="18">
        <f>IF(ISNUMBER(M88), $B91 * N88, "")</f>
        <v>-6442.5770308123247</v>
      </c>
      <c r="Q88" s="238"/>
      <c r="R88" s="238"/>
      <c r="S88" s="238"/>
    </row>
    <row r="89" spans="1:19">
      <c r="A89" s="125" t="s">
        <v>164</v>
      </c>
      <c r="B89" s="126">
        <v>328</v>
      </c>
      <c r="C89" s="77">
        <v>3.4700315500000002E-2</v>
      </c>
      <c r="D89" s="15">
        <v>326</v>
      </c>
      <c r="E89" s="32">
        <f t="shared" si="42"/>
        <v>-6.0975609756097563E-3</v>
      </c>
      <c r="F89" s="18">
        <f>IF(ISNUMBER(D89), $B91 * E89, "")</f>
        <v>-609.7560975609756</v>
      </c>
      <c r="G89" s="31">
        <v>322</v>
      </c>
      <c r="H89" s="32">
        <f t="shared" si="43"/>
        <v>-1.8292682926829267E-2</v>
      </c>
      <c r="I89" s="101">
        <f>IF(ISNUMBER(G89), $B91 * H89, "")</f>
        <v>-1829.2682926829268</v>
      </c>
      <c r="J89" s="15">
        <v>317</v>
      </c>
      <c r="K89" s="32">
        <f t="shared" si="44"/>
        <v>-3.3536585365853661E-2</v>
      </c>
      <c r="L89" s="18">
        <f>IF(ISNUMBER(J89), $B91 * K89, "")</f>
        <v>-3353.6585365853662</v>
      </c>
      <c r="M89" s="31">
        <v>311</v>
      </c>
      <c r="N89" s="32">
        <f t="shared" si="45"/>
        <v>-5.1829268292682924E-2</v>
      </c>
      <c r="O89" s="18">
        <f>IF(ISNUMBER(M89), $B91 * N89, "")</f>
        <v>-5182.9268292682927</v>
      </c>
      <c r="Q89" s="227"/>
      <c r="R89" s="228"/>
      <c r="S89" s="229"/>
    </row>
    <row r="90" spans="1:19" ht="17.25" thickBot="1">
      <c r="A90" s="130" t="s">
        <v>230</v>
      </c>
      <c r="B90" s="131">
        <v>221</v>
      </c>
      <c r="C90" s="79">
        <v>3.27102804E-2</v>
      </c>
      <c r="D90" s="24">
        <v>219</v>
      </c>
      <c r="E90" s="25">
        <f t="shared" si="42"/>
        <v>-9.0497737556561094E-3</v>
      </c>
      <c r="F90" s="104">
        <f>IF(ISNUMBER(D90), $B91 * E90, "")</f>
        <v>-904.97737556561094</v>
      </c>
      <c r="G90" s="102">
        <v>210</v>
      </c>
      <c r="H90" s="25">
        <f t="shared" si="43"/>
        <v>-4.9773755656108594E-2</v>
      </c>
      <c r="I90" s="103">
        <f>IF(ISNUMBER(G90), $B91 * H90, "")</f>
        <v>-4977.3755656108597</v>
      </c>
      <c r="J90" s="24">
        <v>206</v>
      </c>
      <c r="K90" s="25">
        <f t="shared" si="44"/>
        <v>-6.7873303167420809E-2</v>
      </c>
      <c r="L90" s="104">
        <f>IF(ISNUMBER(J90), $B91 * K90, "")</f>
        <v>-6787.3303167420809</v>
      </c>
      <c r="M90" s="102">
        <v>208</v>
      </c>
      <c r="N90" s="25">
        <f t="shared" si="45"/>
        <v>-5.8823529411764705E-2</v>
      </c>
      <c r="O90" s="104">
        <f>IF(ISNUMBER(M90), $B91 * N90, "")</f>
        <v>-5882.3529411764703</v>
      </c>
      <c r="Q90" s="230"/>
      <c r="R90" s="231"/>
      <c r="S90" s="232"/>
    </row>
    <row r="91" spans="1:19" ht="17.25" thickBot="1">
      <c r="A91" s="132" t="s">
        <v>270</v>
      </c>
      <c r="B91" s="291">
        <f>$B$37</f>
        <v>100000</v>
      </c>
      <c r="C91" s="292"/>
      <c r="D91" s="26" t="s">
        <v>271</v>
      </c>
      <c r="E91" s="27">
        <f>IF(COUNT(E71:E90), SUM(E71:E90) / COUNT(E71:E90), 0)</f>
        <v>-8.5032452604449481E-3</v>
      </c>
      <c r="F91" s="28">
        <f>SUM(F71:F90)</f>
        <v>-17006.4905208899</v>
      </c>
      <c r="G91" s="26" t="s">
        <v>271</v>
      </c>
      <c r="H91" s="27">
        <f>IF(COUNT(H71:H90), SUM(H71:H90) / COUNT(H71:H90), 0)</f>
        <v>-3.2672184246119888E-2</v>
      </c>
      <c r="I91" s="28">
        <f>SUM(I71:I90)</f>
        <v>-65344.368492239766</v>
      </c>
      <c r="J91" s="26" t="s">
        <v>271</v>
      </c>
      <c r="K91" s="27">
        <f>IF(COUNT(K71:K90), SUM(K71:K90) / COUNT(K71:K90), 0)</f>
        <v>-4.5686165586270262E-2</v>
      </c>
      <c r="L91" s="28">
        <f>SUM(L71:L90)</f>
        <v>-91372.331172540507</v>
      </c>
      <c r="M91" s="26" t="s">
        <v>271</v>
      </c>
      <c r="N91" s="27">
        <f>IF(COUNT(N71:N90), SUM(N71:N90) / COUNT(N71:N90), 0)</f>
        <v>-5.6098540438433264E-2</v>
      </c>
      <c r="O91" s="28">
        <f>SUM(O71:O90)</f>
        <v>-112197.08087686654</v>
      </c>
      <c r="Q91" s="233"/>
      <c r="R91" s="234"/>
      <c r="S91" s="23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48"/>
      <c r="R94" s="248"/>
      <c r="S94" s="248"/>
    </row>
    <row r="95" spans="1:19" ht="17.25" thickBot="1">
      <c r="A95" s="201" t="s">
        <v>267</v>
      </c>
      <c r="B95" s="249" t="s">
        <v>49</v>
      </c>
      <c r="C95" s="251"/>
      <c r="D95" s="249" t="s">
        <v>58</v>
      </c>
      <c r="E95" s="250"/>
      <c r="F95" s="251"/>
      <c r="G95" s="252">
        <f>_xlfn.IFNA(VLOOKUP(B95, 현재가테이블!$B$2:$D$200, 2, FALSE), "-")</f>
        <v>54440000</v>
      </c>
      <c r="H95" s="253"/>
      <c r="I95" s="254"/>
      <c r="J95" s="249" t="s">
        <v>59</v>
      </c>
      <c r="K95" s="250"/>
      <c r="L95" s="251"/>
      <c r="M95" s="255">
        <f>_xlfn.IFNA(VLOOKUP(B95, 현재가테이블!$B$2:$D$200, 3, FALSE), "-")</f>
        <v>1.07123628E-2</v>
      </c>
      <c r="N95" s="256"/>
      <c r="O95" s="257"/>
      <c r="Q95" s="248"/>
      <c r="R95" s="248"/>
      <c r="S95" s="248"/>
    </row>
    <row r="96" spans="1:19" ht="17.25" thickBot="1">
      <c r="A96" s="293" t="s">
        <v>55</v>
      </c>
      <c r="B96" s="289" t="str">
        <f>TEXT($G$1, "[$-ko-KR]yyyy-mm-dd(ddd) ") &amp; "오전 00:00"</f>
        <v>2021-08-12(목) 오전 00:00</v>
      </c>
      <c r="C96" s="290"/>
      <c r="D96" s="262" t="str">
        <f>TEXT($G$1, "[$-ko-KR]yyyy-mm-dd(ddd) ") &amp; "오후 14:00"</f>
        <v>2021-08-12(목) 오후 14:00</v>
      </c>
      <c r="E96" s="263"/>
      <c r="F96" s="264"/>
      <c r="G96" s="262" t="str">
        <f>TEXT($G$1, "[$-ko-KR]yyyy-mm-dd(ddd) ") &amp; "오후 19:00"</f>
        <v>2021-08-12(목) 오후 19:00</v>
      </c>
      <c r="H96" s="263"/>
      <c r="I96" s="264"/>
      <c r="J96" s="262" t="str">
        <f>TEXT($G$1, "[$-ko-KR]yyyy-mm-dd(ddd) ") &amp; "오후 21:00"</f>
        <v>2021-08-12(목) 오후 21:00</v>
      </c>
      <c r="K96" s="263"/>
      <c r="L96" s="264"/>
      <c r="M96" s="262" t="str">
        <f>TEXT($G$1+1, "[$-ko-KR]yyyy-mm-dd(ddd) ") &amp; "오전 00:00"</f>
        <v>2021-08-13(금) 오전 00:00</v>
      </c>
      <c r="N96" s="263"/>
      <c r="O96" s="264"/>
      <c r="Q96" s="248"/>
      <c r="R96" s="248"/>
      <c r="S96" s="248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2" t="s">
        <v>58</v>
      </c>
      <c r="H97" s="203" t="s">
        <v>268</v>
      </c>
      <c r="I97" s="20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8"/>
      <c r="R97" s="238"/>
      <c r="S97" s="238"/>
    </row>
    <row r="98" spans="1:19" ht="17.25" thickBot="1">
      <c r="A98" s="123" t="s">
        <v>172</v>
      </c>
      <c r="B98" s="124">
        <v>3510</v>
      </c>
      <c r="C98" s="76">
        <v>0.28571428570000001</v>
      </c>
      <c r="D98" s="13">
        <v>3420</v>
      </c>
      <c r="E98" s="14">
        <f>IF(ISNUMBER(D98), (D98 - $B98) / $B98, "")</f>
        <v>-2.564102564102564E-2</v>
      </c>
      <c r="F98" s="16">
        <f>IF(ISNUMBER(D98), $B118 * E98, "")</f>
        <v>-2564.102564102564</v>
      </c>
      <c r="G98" s="29">
        <v>3425</v>
      </c>
      <c r="H98" s="14">
        <f>IF(ISNUMBER(G98), (G98 - $B98) / $B98, "")</f>
        <v>-2.4216524216524215E-2</v>
      </c>
      <c r="I98" s="100">
        <f>IF(ISNUMBER(G98), $B118 * H98, "")</f>
        <v>-2421.6524216524217</v>
      </c>
      <c r="J98" s="13">
        <v>3330</v>
      </c>
      <c r="K98" s="14">
        <f>IF(ISNUMBER(J98), (J98 - $B98) / $B98, "")</f>
        <v>-5.128205128205128E-2</v>
      </c>
      <c r="L98" s="16">
        <f>IF(ISNUMBER(J98), $B118 * K98, "")</f>
        <v>-5128.2051282051279</v>
      </c>
      <c r="M98" s="29">
        <v>3250</v>
      </c>
      <c r="N98" s="14">
        <f>IF(ISNUMBER(M98), (M98 - $B98) / $B98, "")</f>
        <v>-7.407407407407407E-2</v>
      </c>
      <c r="O98" s="16">
        <f>IF(ISNUMBER(M98), $B118 * N98, "")</f>
        <v>-7407.4074074074069</v>
      </c>
      <c r="Q98" s="248"/>
      <c r="R98" s="248"/>
      <c r="S98" s="248"/>
    </row>
    <row r="99" spans="1:19" ht="17.25" thickBot="1">
      <c r="A99" s="125" t="s">
        <v>98</v>
      </c>
      <c r="B99" s="126">
        <v>5.26</v>
      </c>
      <c r="C99" s="77">
        <v>0.17937219730000001</v>
      </c>
      <c r="D99" s="15">
        <v>5.44</v>
      </c>
      <c r="E99" s="32">
        <f t="shared" ref="E99:E102" si="46">IF(ISNUMBER(D99), (D99 - $B99) / $B99, "")</f>
        <v>3.4220532319391754E-2</v>
      </c>
      <c r="F99" s="18">
        <f>IF(ISNUMBER(D99), $B118 * E99, "")</f>
        <v>3422.0532319391755</v>
      </c>
      <c r="G99" s="31">
        <v>5.32</v>
      </c>
      <c r="H99" s="32">
        <f t="shared" ref="H99:H102" si="47">IF(ISNUMBER(G99), (G99 - $B99) / $B99, "")</f>
        <v>1.1406844106463974E-2</v>
      </c>
      <c r="I99" s="101">
        <f>IF(ISNUMBER(G99), $B118 * H99, "")</f>
        <v>1140.6844106463975</v>
      </c>
      <c r="J99" s="15">
        <v>5.26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5.2</v>
      </c>
      <c r="N99" s="32">
        <f t="shared" ref="N99:N102" si="49">IF(ISNUMBER(M99), (M99 - $B99) / $B99, "")</f>
        <v>-1.1406844106463804E-2</v>
      </c>
      <c r="O99" s="18">
        <f>IF(ISNUMBER(M99), $B118 * N99, "")</f>
        <v>-1140.6844106463805</v>
      </c>
      <c r="Q99" s="248"/>
      <c r="R99" s="248"/>
      <c r="S99" s="248"/>
    </row>
    <row r="100" spans="1:19" ht="17.25" thickBot="1">
      <c r="A100" s="125" t="s">
        <v>162</v>
      </c>
      <c r="B100" s="126">
        <v>117</v>
      </c>
      <c r="C100" s="77">
        <v>0.14705882349999999</v>
      </c>
      <c r="D100" s="15">
        <v>111</v>
      </c>
      <c r="E100" s="32">
        <f t="shared" si="46"/>
        <v>-5.128205128205128E-2</v>
      </c>
      <c r="F100" s="18">
        <f>IF(ISNUMBER(D100), $B118 * E100, "")</f>
        <v>-5128.2051282051279</v>
      </c>
      <c r="G100" s="31">
        <v>107</v>
      </c>
      <c r="H100" s="32">
        <f t="shared" si="47"/>
        <v>-8.5470085470085472E-2</v>
      </c>
      <c r="I100" s="101">
        <f>IF(ISNUMBER(G100), $B118 * H100, "")</f>
        <v>-8547.0085470085469</v>
      </c>
      <c r="J100" s="15">
        <v>105</v>
      </c>
      <c r="K100" s="32">
        <f t="shared" si="48"/>
        <v>-0.10256410256410256</v>
      </c>
      <c r="L100" s="18">
        <f>IF(ISNUMBER(J100), $B118 * K100, "")</f>
        <v>-10256.410256410256</v>
      </c>
      <c r="M100" s="31">
        <v>105</v>
      </c>
      <c r="N100" s="32">
        <f t="shared" si="49"/>
        <v>-0.10256410256410256</v>
      </c>
      <c r="O100" s="18">
        <f>IF(ISNUMBER(M100), $B118 * N100, "")</f>
        <v>-10256.410256410256</v>
      </c>
      <c r="Q100" s="238"/>
      <c r="R100" s="238"/>
      <c r="S100" s="238"/>
    </row>
    <row r="101" spans="1:19" ht="17.25" thickBot="1">
      <c r="A101" s="125" t="s">
        <v>152</v>
      </c>
      <c r="B101" s="126">
        <v>97.1</v>
      </c>
      <c r="C101" s="77">
        <v>0.1330221704</v>
      </c>
      <c r="D101" s="15">
        <v>101</v>
      </c>
      <c r="E101" s="32">
        <f t="shared" si="46"/>
        <v>4.0164778578784817E-2</v>
      </c>
      <c r="F101" s="18">
        <f>IF(ISNUMBER(D101), $B118 * E101, "")</f>
        <v>4016.4778578784817</v>
      </c>
      <c r="G101" s="31">
        <v>99</v>
      </c>
      <c r="H101" s="32">
        <f t="shared" si="47"/>
        <v>1.9567456230690072E-2</v>
      </c>
      <c r="I101" s="101">
        <f>IF(ISNUMBER(G101), $B118 * H101, "")</f>
        <v>1956.7456230690073</v>
      </c>
      <c r="J101" s="15">
        <v>98</v>
      </c>
      <c r="K101" s="32">
        <f t="shared" si="48"/>
        <v>9.2687950566426956E-3</v>
      </c>
      <c r="L101" s="18">
        <f>IF(ISNUMBER(J101), $B118 * K101, "")</f>
        <v>926.87950566426957</v>
      </c>
      <c r="M101" s="31">
        <v>96.4</v>
      </c>
      <c r="N101" s="32">
        <f t="shared" si="49"/>
        <v>-7.2090628218330448E-3</v>
      </c>
      <c r="O101" s="18">
        <f>IF(ISNUMBER(M101), $B118 * N101, "")</f>
        <v>-720.90628218330448</v>
      </c>
      <c r="Q101" s="238"/>
      <c r="R101" s="238"/>
      <c r="S101" s="238"/>
    </row>
    <row r="102" spans="1:19" ht="17.25" thickBot="1">
      <c r="A102" s="127" t="s">
        <v>82</v>
      </c>
      <c r="B102" s="128">
        <v>2145</v>
      </c>
      <c r="C102" s="78">
        <v>0.11139896370000001</v>
      </c>
      <c r="D102" s="20">
        <v>2095</v>
      </c>
      <c r="E102" s="21">
        <f t="shared" si="46"/>
        <v>-2.3310023310023312E-2</v>
      </c>
      <c r="F102" s="22">
        <f>IF(ISNUMBER(D102), $B118 * E102, "")</f>
        <v>-2331.0023310023312</v>
      </c>
      <c r="G102" s="30">
        <v>2055</v>
      </c>
      <c r="H102" s="21">
        <f t="shared" si="47"/>
        <v>-4.195804195804196E-2</v>
      </c>
      <c r="I102" s="105">
        <f>IF(ISNUMBER(G102), $B118 * H102, "")</f>
        <v>-4195.8041958041958</v>
      </c>
      <c r="J102" s="20">
        <v>2040</v>
      </c>
      <c r="K102" s="21">
        <f t="shared" si="48"/>
        <v>-4.8951048951048952E-2</v>
      </c>
      <c r="L102" s="22">
        <f>IF(ISNUMBER(J102), $B118 * K102, "")</f>
        <v>-4895.1048951048951</v>
      </c>
      <c r="M102" s="30">
        <v>2010</v>
      </c>
      <c r="N102" s="21">
        <f t="shared" si="49"/>
        <v>-6.2937062937062943E-2</v>
      </c>
      <c r="O102" s="22">
        <f>IF(ISNUMBER(M102), $B118 * N102, "")</f>
        <v>-6293.7062937062947</v>
      </c>
      <c r="Q102" s="238"/>
      <c r="R102" s="238"/>
      <c r="S102" s="238"/>
    </row>
    <row r="103" spans="1:19" ht="17.25" thickBot="1">
      <c r="A103" s="125" t="s">
        <v>69</v>
      </c>
      <c r="B103" s="129">
        <v>5865</v>
      </c>
      <c r="C103" s="80">
        <v>0.10037523449999999</v>
      </c>
      <c r="D103" s="106">
        <v>5710</v>
      </c>
      <c r="E103" s="107">
        <f>IF(ISNUMBER(D103), (D103 - $B103) / $B103, "")</f>
        <v>-2.6427962489343565E-2</v>
      </c>
      <c r="F103" s="108">
        <f>IF(ISNUMBER(D103), $B118 * E103, "")</f>
        <v>-2642.7962489343563</v>
      </c>
      <c r="G103" s="109">
        <v>5530</v>
      </c>
      <c r="H103" s="107">
        <f>IF(ISNUMBER(G103), (G103 - $B103) / $B103, "")</f>
        <v>-5.7118499573742543E-2</v>
      </c>
      <c r="I103" s="110">
        <f>IF(ISNUMBER(G103), $B118 * H103, "")</f>
        <v>-5711.8499573742547</v>
      </c>
      <c r="J103" s="106">
        <v>5425</v>
      </c>
      <c r="K103" s="107">
        <f>IF(ISNUMBER(J103), (J103 - $B103) / $B103, "")</f>
        <v>-7.5021312872975282E-2</v>
      </c>
      <c r="L103" s="108">
        <f>IF(ISNUMBER(J103), $B118 * K103, "")</f>
        <v>-7502.1312872975286</v>
      </c>
      <c r="M103" s="109">
        <v>5340</v>
      </c>
      <c r="N103" s="107">
        <f>IF(ISNUMBER(M103), (M103 - $B103) / $B103, "")</f>
        <v>-8.9514066496163683E-2</v>
      </c>
      <c r="O103" s="108">
        <f>IF(ISNUMBER(M103), $B118 * N103, "")</f>
        <v>-8951.4066496163687</v>
      </c>
      <c r="Q103" s="238"/>
      <c r="R103" s="238"/>
      <c r="S103" s="238"/>
    </row>
    <row r="104" spans="1:19" ht="17.25" thickBot="1">
      <c r="A104" s="125" t="s">
        <v>124</v>
      </c>
      <c r="B104" s="126">
        <v>393</v>
      </c>
      <c r="C104" s="77">
        <v>9.7765363100000002E-2</v>
      </c>
      <c r="D104" s="15">
        <v>378</v>
      </c>
      <c r="E104" s="32">
        <f t="shared" ref="E104:E107" si="50">IF(ISNUMBER(D104), (D104 - $B104) / $B104, "")</f>
        <v>-3.8167938931297711E-2</v>
      </c>
      <c r="F104" s="18">
        <f>IF(ISNUMBER(D104), $B118 * E104, "")</f>
        <v>-3816.7938931297713</v>
      </c>
      <c r="G104" s="31">
        <v>367</v>
      </c>
      <c r="H104" s="32">
        <f t="shared" ref="H104:H107" si="51">IF(ISNUMBER(G104), (G104 - $B104) / $B104, "")</f>
        <v>-6.6157760814249358E-2</v>
      </c>
      <c r="I104" s="101">
        <f>IF(ISNUMBER(G104), $B118 * H104, "")</f>
        <v>-6615.7760814249359</v>
      </c>
      <c r="J104" s="15">
        <v>361</v>
      </c>
      <c r="K104" s="32">
        <f t="shared" ref="K104:K107" si="52">IF(ISNUMBER(J104), (J104 - $B104) / $B104, "")</f>
        <v>-8.1424936386768454E-2</v>
      </c>
      <c r="L104" s="18">
        <f>IF(ISNUMBER(J104), $B118 * K104, "")</f>
        <v>-8142.493638676845</v>
      </c>
      <c r="M104" s="31">
        <v>356</v>
      </c>
      <c r="N104" s="32">
        <f t="shared" ref="N104:N107" si="53">IF(ISNUMBER(M104), (M104 - $B104) / $B104, "")</f>
        <v>-9.4147582697201013E-2</v>
      </c>
      <c r="O104" s="18">
        <f>IF(ISNUMBER(M104), $B118 * N104, "")</f>
        <v>-9414.7582697201015</v>
      </c>
      <c r="Q104" s="238"/>
      <c r="R104" s="238"/>
      <c r="S104" s="238"/>
    </row>
    <row r="105" spans="1:19" ht="17.25" thickBot="1">
      <c r="A105" s="125" t="s">
        <v>148</v>
      </c>
      <c r="B105" s="126">
        <v>21.6</v>
      </c>
      <c r="C105" s="77">
        <v>9.0909090900000003E-2</v>
      </c>
      <c r="D105" s="15">
        <v>21.3</v>
      </c>
      <c r="E105" s="32">
        <f t="shared" si="50"/>
        <v>-1.3888888888888921E-2</v>
      </c>
      <c r="F105" s="18">
        <f>IF(ISNUMBER(D105), $B118 * E105, "")</f>
        <v>-1388.8888888888921</v>
      </c>
      <c r="G105" s="31">
        <v>20.7</v>
      </c>
      <c r="H105" s="32">
        <f t="shared" si="51"/>
        <v>-4.1666666666666761E-2</v>
      </c>
      <c r="I105" s="101">
        <f>IF(ISNUMBER(G105), $B118 * H105, "")</f>
        <v>-4166.6666666666761</v>
      </c>
      <c r="J105" s="15">
        <v>20.5</v>
      </c>
      <c r="K105" s="32">
        <f t="shared" si="52"/>
        <v>-5.0925925925925986E-2</v>
      </c>
      <c r="L105" s="18">
        <f>IF(ISNUMBER(J105), $B118 * K105, "")</f>
        <v>-5092.5925925925985</v>
      </c>
      <c r="M105" s="31">
        <v>20.3</v>
      </c>
      <c r="N105" s="32">
        <f t="shared" si="53"/>
        <v>-6.0185185185185217E-2</v>
      </c>
      <c r="O105" s="18">
        <f>IF(ISNUMBER(M105), $B118 * N105, "")</f>
        <v>-6018.5185185185219</v>
      </c>
      <c r="Q105" s="238"/>
      <c r="R105" s="238"/>
      <c r="S105" s="238"/>
    </row>
    <row r="106" spans="1:19" ht="17.25" thickBot="1">
      <c r="A106" s="125" t="s">
        <v>158</v>
      </c>
      <c r="B106" s="126">
        <v>22040</v>
      </c>
      <c r="C106" s="77">
        <v>9.0549233100000001E-2</v>
      </c>
      <c r="D106" s="15">
        <v>22000</v>
      </c>
      <c r="E106" s="32">
        <f t="shared" si="50"/>
        <v>-1.8148820326678765E-3</v>
      </c>
      <c r="F106" s="18">
        <f>IF(ISNUMBER(D106), $B118 * E106, "")</f>
        <v>-181.48820326678765</v>
      </c>
      <c r="G106" s="31">
        <v>21750</v>
      </c>
      <c r="H106" s="32">
        <f t="shared" si="51"/>
        <v>-1.3157894736842105E-2</v>
      </c>
      <c r="I106" s="101">
        <f>IF(ISNUMBER(G106), $B118 * H106, "")</f>
        <v>-1315.7894736842104</v>
      </c>
      <c r="J106" s="15">
        <v>21390</v>
      </c>
      <c r="K106" s="32">
        <f t="shared" si="52"/>
        <v>-2.9491833030852996E-2</v>
      </c>
      <c r="L106" s="18">
        <f>IF(ISNUMBER(J106), $B118 * K106, "")</f>
        <v>-2949.1833030852995</v>
      </c>
      <c r="M106" s="31">
        <v>21150</v>
      </c>
      <c r="N106" s="32">
        <f t="shared" si="53"/>
        <v>-4.0381125226860257E-2</v>
      </c>
      <c r="O106" s="18">
        <f>IF(ISNUMBER(M106), $B118 * N106, "")</f>
        <v>-4038.1125226860258</v>
      </c>
      <c r="Q106" s="33"/>
      <c r="R106" s="33"/>
    </row>
    <row r="107" spans="1:19" ht="17.25" thickBot="1">
      <c r="A107" s="130" t="s">
        <v>128</v>
      </c>
      <c r="B107" s="131">
        <v>133</v>
      </c>
      <c r="C107" s="79">
        <v>9.0163934400000006E-2</v>
      </c>
      <c r="D107" s="24">
        <v>132</v>
      </c>
      <c r="E107" s="25">
        <f t="shared" si="50"/>
        <v>-7.5187969924812026E-3</v>
      </c>
      <c r="F107" s="104">
        <f>IF(ISNUMBER(D107), $B118 * E107, "")</f>
        <v>-751.87969924812023</v>
      </c>
      <c r="G107" s="102">
        <v>129</v>
      </c>
      <c r="H107" s="25">
        <f t="shared" si="51"/>
        <v>-3.007518796992481E-2</v>
      </c>
      <c r="I107" s="103">
        <f>IF(ISNUMBER(G107), $B118 * H107, "")</f>
        <v>-3007.5187969924809</v>
      </c>
      <c r="J107" s="24">
        <v>126</v>
      </c>
      <c r="K107" s="25">
        <f t="shared" si="52"/>
        <v>-5.2631578947368418E-2</v>
      </c>
      <c r="L107" s="104">
        <f>IF(ISNUMBER(J107), $B118 * K107, "")</f>
        <v>-5263.1578947368416</v>
      </c>
      <c r="M107" s="102">
        <v>124</v>
      </c>
      <c r="N107" s="25">
        <f t="shared" si="53"/>
        <v>-6.7669172932330823E-2</v>
      </c>
      <c r="O107" s="104">
        <f>IF(ISNUMBER(M107), $B118 * N107, "")</f>
        <v>-6766.9172932330821</v>
      </c>
      <c r="Q107" s="239"/>
      <c r="R107" s="240"/>
      <c r="S107" s="241"/>
    </row>
    <row r="108" spans="1:19">
      <c r="A108" s="123" t="s">
        <v>102</v>
      </c>
      <c r="B108" s="124">
        <v>1170</v>
      </c>
      <c r="C108" s="76">
        <v>8.8372092999999999E-2</v>
      </c>
      <c r="D108" s="13">
        <v>1190</v>
      </c>
      <c r="E108" s="14">
        <f>IF(ISNUMBER(D108), (D108 - $B108) / $B108, "")</f>
        <v>1.7094017094017096E-2</v>
      </c>
      <c r="F108" s="16">
        <f>IF(ISNUMBER(D108), $B118 * E108, "")</f>
        <v>1709.4017094017095</v>
      </c>
      <c r="G108" s="29">
        <v>1140</v>
      </c>
      <c r="H108" s="14">
        <f>IF(ISNUMBER(G108), (G108 - $B108) / $B108, "")</f>
        <v>-2.564102564102564E-2</v>
      </c>
      <c r="I108" s="100">
        <f>IF(ISNUMBER(G108), $B118 * H108, "")</f>
        <v>-2564.102564102564</v>
      </c>
      <c r="J108" s="13">
        <v>1120</v>
      </c>
      <c r="K108" s="14">
        <f>IF(ISNUMBER(J108), (J108 - $B108) / $B108, "")</f>
        <v>-4.2735042735042736E-2</v>
      </c>
      <c r="L108" s="16">
        <f>IF(ISNUMBER(J108), $B118 * K108, "")</f>
        <v>-4273.5042735042734</v>
      </c>
      <c r="M108" s="29">
        <v>1105</v>
      </c>
      <c r="N108" s="14">
        <f>IF(ISNUMBER(M108), (M108 - $B108) / $B108, "")</f>
        <v>-5.5555555555555552E-2</v>
      </c>
      <c r="O108" s="16">
        <f>IF(ISNUMBER(M108), $B118 * N108, "")</f>
        <v>-5555.5555555555557</v>
      </c>
      <c r="Q108" s="242"/>
      <c r="R108" s="243"/>
      <c r="S108" s="244"/>
    </row>
    <row r="109" spans="1:19" ht="17.25" thickBot="1">
      <c r="A109" s="125" t="s">
        <v>250</v>
      </c>
      <c r="B109" s="126">
        <v>77.5</v>
      </c>
      <c r="C109" s="77">
        <v>8.5434173700000005E-2</v>
      </c>
      <c r="D109" s="15">
        <v>80.599999999999994</v>
      </c>
      <c r="E109" s="32">
        <f t="shared" ref="E109:E112" si="54">IF(ISNUMBER(D109), (D109 - $B109) / $B109, "")</f>
        <v>3.9999999999999925E-2</v>
      </c>
      <c r="F109" s="18">
        <f>IF(ISNUMBER(D109), $B118 * E109, "")</f>
        <v>3999.9999999999923</v>
      </c>
      <c r="G109" s="31">
        <v>79.2</v>
      </c>
      <c r="H109" s="32">
        <f t="shared" ref="H109:H112" si="55">IF(ISNUMBER(G109), (G109 - $B109) / $B109, "")</f>
        <v>2.1935483870967779E-2</v>
      </c>
      <c r="I109" s="101">
        <f>IF(ISNUMBER(G109), $B118 * H109, "")</f>
        <v>2193.5483870967778</v>
      </c>
      <c r="J109" s="15">
        <v>77.8</v>
      </c>
      <c r="K109" s="32">
        <f t="shared" ref="K109:K112" si="56">IF(ISNUMBER(J109), (J109 - $B109) / $B109, "")</f>
        <v>3.870967741935447E-3</v>
      </c>
      <c r="L109" s="18">
        <f>IF(ISNUMBER(J109), $B118 * K109, "")</f>
        <v>387.09677419354472</v>
      </c>
      <c r="M109" s="31">
        <v>75.400000000000006</v>
      </c>
      <c r="N109" s="32">
        <f t="shared" ref="N109:N112" si="57">IF(ISNUMBER(M109), (M109 - $B109) / $B109, "")</f>
        <v>-2.7096774193548313E-2</v>
      </c>
      <c r="O109" s="18">
        <f>IF(ISNUMBER(M109), $B118 * N109, "")</f>
        <v>-2709.6774193548313</v>
      </c>
      <c r="Q109" s="245"/>
      <c r="R109" s="246"/>
      <c r="S109" s="247"/>
    </row>
    <row r="110" spans="1:19" ht="17.25" thickBot="1">
      <c r="A110" s="125" t="s">
        <v>90</v>
      </c>
      <c r="B110" s="126">
        <v>1060</v>
      </c>
      <c r="C110" s="77">
        <v>8.49539406E-2</v>
      </c>
      <c r="D110" s="15">
        <v>1165</v>
      </c>
      <c r="E110" s="32">
        <f t="shared" si="54"/>
        <v>9.9056603773584911E-2</v>
      </c>
      <c r="F110" s="18">
        <f>IF(ISNUMBER(D110), $B118 * E110, "")</f>
        <v>9905.660377358492</v>
      </c>
      <c r="G110" s="31">
        <v>1155</v>
      </c>
      <c r="H110" s="32">
        <f t="shared" si="55"/>
        <v>8.9622641509433956E-2</v>
      </c>
      <c r="I110" s="101">
        <f>IF(ISNUMBER(G110), $B118 * H110, "")</f>
        <v>8962.2641509433961</v>
      </c>
      <c r="J110" s="15">
        <v>1130</v>
      </c>
      <c r="K110" s="32">
        <f t="shared" si="56"/>
        <v>6.6037735849056603E-2</v>
      </c>
      <c r="L110" s="18">
        <f>IF(ISNUMBER(J110), $B118 * K110, "")</f>
        <v>6603.7735849056598</v>
      </c>
      <c r="M110" s="31">
        <v>1125</v>
      </c>
      <c r="N110" s="32">
        <f t="shared" si="57"/>
        <v>6.1320754716981132E-2</v>
      </c>
      <c r="O110" s="18">
        <f>IF(ISNUMBER(M110), $B118 * N110, "")</f>
        <v>6132.0754716981137</v>
      </c>
      <c r="Q110" s="238"/>
      <c r="R110" s="238"/>
      <c r="S110" s="238"/>
    </row>
    <row r="111" spans="1:19" ht="17.25" thickBot="1">
      <c r="A111" s="125" t="s">
        <v>76</v>
      </c>
      <c r="B111" s="126">
        <v>30510</v>
      </c>
      <c r="C111" s="77">
        <v>8.2298687499999995E-2</v>
      </c>
      <c r="D111" s="15">
        <v>30090</v>
      </c>
      <c r="E111" s="32">
        <f t="shared" si="54"/>
        <v>-1.376597836774828E-2</v>
      </c>
      <c r="F111" s="18">
        <f>IF(ISNUMBER(D111), $B118 * E111, "")</f>
        <v>-1376.597836774828</v>
      </c>
      <c r="G111" s="31">
        <v>29380</v>
      </c>
      <c r="H111" s="32">
        <f t="shared" si="55"/>
        <v>-3.7037037037037035E-2</v>
      </c>
      <c r="I111" s="101">
        <f>IF(ISNUMBER(G111), $B118 * H111, "")</f>
        <v>-3703.7037037037035</v>
      </c>
      <c r="J111" s="15">
        <v>29180</v>
      </c>
      <c r="K111" s="32">
        <f t="shared" si="56"/>
        <v>-4.3592264831202883E-2</v>
      </c>
      <c r="L111" s="18">
        <f>IF(ISNUMBER(J111), $B118 * K111, "")</f>
        <v>-4359.2264831202883</v>
      </c>
      <c r="M111" s="31">
        <v>28710</v>
      </c>
      <c r="N111" s="32">
        <f t="shared" si="57"/>
        <v>-5.8997050147492625E-2</v>
      </c>
      <c r="O111" s="18">
        <f>IF(ISNUMBER(M111), $B118 * N111, "")</f>
        <v>-5899.7050147492628</v>
      </c>
      <c r="Q111" s="248"/>
      <c r="R111" s="248"/>
      <c r="S111" s="248"/>
    </row>
    <row r="112" spans="1:19" ht="17.25" thickBot="1">
      <c r="A112" s="127" t="s">
        <v>112</v>
      </c>
      <c r="B112" s="128">
        <v>8590</v>
      </c>
      <c r="C112" s="78">
        <v>7.9145728600000007E-2</v>
      </c>
      <c r="D112" s="20">
        <v>8330</v>
      </c>
      <c r="E112" s="21">
        <f t="shared" si="54"/>
        <v>-3.0267753201396973E-2</v>
      </c>
      <c r="F112" s="22">
        <f>IF(ISNUMBER(D112), $B118 * E112, "")</f>
        <v>-3026.7753201396972</v>
      </c>
      <c r="G112" s="30">
        <v>8020</v>
      </c>
      <c r="H112" s="21">
        <f t="shared" si="55"/>
        <v>-6.6356228172293363E-2</v>
      </c>
      <c r="I112" s="105">
        <f>IF(ISNUMBER(G112), $B118 * H112, "")</f>
        <v>-6635.6228172293368</v>
      </c>
      <c r="J112" s="20">
        <v>7935</v>
      </c>
      <c r="K112" s="21">
        <f t="shared" si="56"/>
        <v>-7.6251455180442379E-2</v>
      </c>
      <c r="L112" s="22">
        <f>IF(ISNUMBER(J112), $B118 * K112, "")</f>
        <v>-7625.1455180442381</v>
      </c>
      <c r="M112" s="30">
        <v>7860</v>
      </c>
      <c r="N112" s="21">
        <f t="shared" si="57"/>
        <v>-8.4982537834691507E-2</v>
      </c>
      <c r="O112" s="22">
        <f>IF(ISNUMBER(M112), $B118 * N112, "")</f>
        <v>-8498.2537834691502</v>
      </c>
      <c r="Q112" s="248"/>
      <c r="R112" s="248"/>
      <c r="S112" s="248"/>
    </row>
    <row r="113" spans="1:19" ht="17.25" thickBot="1">
      <c r="A113" s="125" t="s">
        <v>74</v>
      </c>
      <c r="B113" s="129">
        <v>17420</v>
      </c>
      <c r="C113" s="80">
        <v>7.6637824500000007E-2</v>
      </c>
      <c r="D113" s="106">
        <v>17040</v>
      </c>
      <c r="E113" s="107">
        <f>IF(ISNUMBER(D113), (D113 - $B113) / $B113, "")</f>
        <v>-2.1814006888633754E-2</v>
      </c>
      <c r="F113" s="108">
        <f>IF(ISNUMBER(D113), $B118 * E113, "")</f>
        <v>-2181.4006888633753</v>
      </c>
      <c r="G113" s="109">
        <v>16820</v>
      </c>
      <c r="H113" s="107">
        <f>IF(ISNUMBER(G113), (G113 - $B113) / $B113, "")</f>
        <v>-3.4443168771526977E-2</v>
      </c>
      <c r="I113" s="110">
        <f>IF(ISNUMBER(G113), $B118 * H113, "")</f>
        <v>-3444.3168771526975</v>
      </c>
      <c r="J113" s="106">
        <v>16440</v>
      </c>
      <c r="K113" s="107">
        <f>IF(ISNUMBER(J113), (J113 - $B113) / $B113, "")</f>
        <v>-5.6257175660160738E-2</v>
      </c>
      <c r="L113" s="108">
        <f>IF(ISNUMBER(J113), $B118 * K113, "")</f>
        <v>-5625.7175660160738</v>
      </c>
      <c r="M113" s="109">
        <v>16280</v>
      </c>
      <c r="N113" s="107">
        <f>IF(ISNUMBER(M113), (M113 - $B113) / $B113, "")</f>
        <v>-6.5442020665901268E-2</v>
      </c>
      <c r="O113" s="108">
        <f>IF(ISNUMBER(M113), $B118 * N113, "")</f>
        <v>-6544.2020665901264</v>
      </c>
      <c r="Q113" s="238"/>
      <c r="R113" s="238"/>
      <c r="S113" s="238"/>
    </row>
    <row r="114" spans="1:19" ht="17.25" thickBot="1">
      <c r="A114" s="125" t="s">
        <v>130</v>
      </c>
      <c r="B114" s="126">
        <v>113</v>
      </c>
      <c r="C114" s="77">
        <v>7.6190476199999996E-2</v>
      </c>
      <c r="D114" s="15">
        <v>112</v>
      </c>
      <c r="E114" s="32">
        <f t="shared" ref="E114:E117" si="58">IF(ISNUMBER(D114), (D114 - $B114) / $B114, "")</f>
        <v>-8.8495575221238937E-3</v>
      </c>
      <c r="F114" s="18">
        <f>IF(ISNUMBER(D114), $B118 * E114, "")</f>
        <v>-884.95575221238937</v>
      </c>
      <c r="G114" s="31">
        <v>108</v>
      </c>
      <c r="H114" s="32">
        <f t="shared" ref="H114:H117" si="59">IF(ISNUMBER(G114), (G114 - $B114) / $B114, "")</f>
        <v>-4.4247787610619468E-2</v>
      </c>
      <c r="I114" s="101">
        <f>IF(ISNUMBER(G114), $B118 * H114, "")</f>
        <v>-4424.7787610619471</v>
      </c>
      <c r="J114" s="15">
        <v>106</v>
      </c>
      <c r="K114" s="32">
        <f t="shared" ref="K114:K117" si="60">IF(ISNUMBER(J114), (J114 - $B114) / $B114, "")</f>
        <v>-6.1946902654867256E-2</v>
      </c>
      <c r="L114" s="18">
        <f>IF(ISNUMBER(J114), $B118 * K114, "")</f>
        <v>-6194.6902654867254</v>
      </c>
      <c r="M114" s="31">
        <v>106</v>
      </c>
      <c r="N114" s="32">
        <f t="shared" ref="N114:N117" si="61">IF(ISNUMBER(M114), (M114 - $B114) / $B114, "")</f>
        <v>-6.1946902654867256E-2</v>
      </c>
      <c r="O114" s="18">
        <f>IF(ISNUMBER(M114), $B118 * N114, "")</f>
        <v>-6194.6902654867254</v>
      </c>
      <c r="Q114" s="238"/>
      <c r="R114" s="238"/>
      <c r="S114" s="238"/>
    </row>
    <row r="115" spans="1:19" ht="17.25" thickBot="1">
      <c r="A115" s="125" t="s">
        <v>146</v>
      </c>
      <c r="B115" s="126">
        <v>3760</v>
      </c>
      <c r="C115" s="77">
        <v>7.1225071200000004E-2</v>
      </c>
      <c r="D115" s="15">
        <v>3765</v>
      </c>
      <c r="E115" s="32">
        <f t="shared" si="58"/>
        <v>1.3297872340425532E-3</v>
      </c>
      <c r="F115" s="18">
        <f>IF(ISNUMBER(D115), $B118 * E115, "")</f>
        <v>132.97872340425531</v>
      </c>
      <c r="G115" s="31">
        <v>3705</v>
      </c>
      <c r="H115" s="32">
        <f t="shared" si="59"/>
        <v>-1.4627659574468085E-2</v>
      </c>
      <c r="I115" s="101">
        <f>IF(ISNUMBER(G115), $B118 * H115, "")</f>
        <v>-1462.7659574468084</v>
      </c>
      <c r="J115" s="15">
        <v>3610</v>
      </c>
      <c r="K115" s="32">
        <f t="shared" si="60"/>
        <v>-3.9893617021276598E-2</v>
      </c>
      <c r="L115" s="18">
        <f>IF(ISNUMBER(J115), $B118 * K115, "")</f>
        <v>-3989.3617021276596</v>
      </c>
      <c r="M115" s="31">
        <v>3600</v>
      </c>
      <c r="N115" s="32">
        <f t="shared" si="61"/>
        <v>-4.2553191489361701E-2</v>
      </c>
      <c r="O115" s="18">
        <f>IF(ISNUMBER(M115), $B118 * N115, "")</f>
        <v>-4255.3191489361698</v>
      </c>
      <c r="Q115" s="238"/>
      <c r="R115" s="238"/>
      <c r="S115" s="238"/>
    </row>
    <row r="116" spans="1:19">
      <c r="A116" s="125" t="s">
        <v>266</v>
      </c>
      <c r="B116" s="126">
        <v>316</v>
      </c>
      <c r="C116" s="77">
        <v>7.1186440700000006E-2</v>
      </c>
      <c r="D116" s="15">
        <v>325</v>
      </c>
      <c r="E116" s="32">
        <f t="shared" si="58"/>
        <v>2.8481012658227847E-2</v>
      </c>
      <c r="F116" s="18">
        <f>IF(ISNUMBER(D116), $B118 * E116, "")</f>
        <v>2848.1012658227846</v>
      </c>
      <c r="G116" s="31">
        <v>312</v>
      </c>
      <c r="H116" s="32">
        <f t="shared" si="59"/>
        <v>-1.2658227848101266E-2</v>
      </c>
      <c r="I116" s="101">
        <f>IF(ISNUMBER(G116), $B118 * H116, "")</f>
        <v>-1265.8227848101264</v>
      </c>
      <c r="J116" s="15">
        <v>310</v>
      </c>
      <c r="K116" s="32">
        <f t="shared" si="60"/>
        <v>-1.8987341772151899E-2</v>
      </c>
      <c r="L116" s="18">
        <f>IF(ISNUMBER(J116), $B118 * K116, "")</f>
        <v>-1898.7341772151899</v>
      </c>
      <c r="M116" s="31">
        <v>306</v>
      </c>
      <c r="N116" s="32">
        <f t="shared" si="61"/>
        <v>-3.1645569620253167E-2</v>
      </c>
      <c r="O116" s="18">
        <f>IF(ISNUMBER(M116), $B118 * N116, "")</f>
        <v>-3164.5569620253168</v>
      </c>
      <c r="Q116" s="227"/>
      <c r="R116" s="228"/>
      <c r="S116" s="229"/>
    </row>
    <row r="117" spans="1:19" ht="17.25" thickBot="1">
      <c r="A117" s="130" t="s">
        <v>51</v>
      </c>
      <c r="B117" s="131">
        <v>381</v>
      </c>
      <c r="C117" s="79">
        <v>7.0224719099999999E-2</v>
      </c>
      <c r="D117" s="24">
        <v>396</v>
      </c>
      <c r="E117" s="25">
        <f t="shared" si="58"/>
        <v>3.937007874015748E-2</v>
      </c>
      <c r="F117" s="104">
        <f>IF(ISNUMBER(D117), $B118 * E117, "")</f>
        <v>3937.0078740157478</v>
      </c>
      <c r="G117" s="102">
        <v>386</v>
      </c>
      <c r="H117" s="25">
        <f t="shared" si="59"/>
        <v>1.3123359580052493E-2</v>
      </c>
      <c r="I117" s="103">
        <f>IF(ISNUMBER(G117), $B118 * H117, "")</f>
        <v>1312.3359580052493</v>
      </c>
      <c r="J117" s="24">
        <v>379</v>
      </c>
      <c r="K117" s="25">
        <f t="shared" si="60"/>
        <v>-5.2493438320209973E-3</v>
      </c>
      <c r="L117" s="104">
        <f>IF(ISNUMBER(J117), $B118 * K117, "")</f>
        <v>-524.93438320209975</v>
      </c>
      <c r="M117" s="102">
        <v>379</v>
      </c>
      <c r="N117" s="25">
        <f t="shared" si="61"/>
        <v>-5.2493438320209973E-3</v>
      </c>
      <c r="O117" s="104">
        <f>IF(ISNUMBER(M117), $B118 * N117, "")</f>
        <v>-524.93438320209975</v>
      </c>
      <c r="Q117" s="230"/>
      <c r="R117" s="231"/>
      <c r="S117" s="232"/>
    </row>
    <row r="118" spans="1:19" ht="17.25" thickBot="1">
      <c r="A118" s="132" t="s">
        <v>270</v>
      </c>
      <c r="B118" s="291">
        <f>$B$37</f>
        <v>100000</v>
      </c>
      <c r="C118" s="292"/>
      <c r="D118" s="26" t="s">
        <v>271</v>
      </c>
      <c r="E118" s="27">
        <f>IF(COUNT(E98:E117), SUM(E98:E117) / COUNT(E98:E117), 0)</f>
        <v>1.8483972425261987E-3</v>
      </c>
      <c r="F118" s="28">
        <f>SUM(F98:F117)</f>
        <v>3696.7944850523972</v>
      </c>
      <c r="G118" s="26" t="s">
        <v>271</v>
      </c>
      <c r="H118" s="27">
        <f>IF(COUNT(H98:H117), SUM(H98:H117) / COUNT(H98:H117), 0)</f>
        <v>-2.1958800538177038E-2</v>
      </c>
      <c r="I118" s="28">
        <f>SUM(I98:I117)</f>
        <v>-43917.601076354069</v>
      </c>
      <c r="J118" s="26" t="s">
        <v>271</v>
      </c>
      <c r="K118" s="27">
        <f>IF(COUNT(K98:K117), SUM(K98:K117) / COUNT(K98:K117), 0)</f>
        <v>-3.7901421750031236E-2</v>
      </c>
      <c r="L118" s="28">
        <f>SUM(L98:L117)</f>
        <v>-75802.843500062445</v>
      </c>
      <c r="M118" s="26" t="s">
        <v>271</v>
      </c>
      <c r="N118" s="27">
        <f>IF(COUNT(N98:N117), SUM(N98:N117) / COUNT(N98:N117), 0)</f>
        <v>-4.9111823515899426E-2</v>
      </c>
      <c r="O118" s="28">
        <f>SUM(O98:O117)</f>
        <v>-98223.647031798857</v>
      </c>
      <c r="Q118" s="233"/>
      <c r="R118" s="234"/>
      <c r="S118" s="23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48"/>
      <c r="R121" s="248"/>
      <c r="S121" s="248"/>
    </row>
    <row r="122" spans="1:19" ht="17.25" thickBot="1">
      <c r="A122" s="201" t="s">
        <v>267</v>
      </c>
      <c r="B122" s="249" t="s">
        <v>49</v>
      </c>
      <c r="C122" s="251"/>
      <c r="D122" s="249" t="s">
        <v>58</v>
      </c>
      <c r="E122" s="250"/>
      <c r="F122" s="251"/>
      <c r="G122" s="252">
        <f>_xlfn.IFNA(VLOOKUP(B122, 현재가테이블!$B$2:$D$200, 2, FALSE), "-")</f>
        <v>54440000</v>
      </c>
      <c r="H122" s="253"/>
      <c r="I122" s="254"/>
      <c r="J122" s="249" t="s">
        <v>59</v>
      </c>
      <c r="K122" s="250"/>
      <c r="L122" s="251"/>
      <c r="M122" s="255">
        <f>_xlfn.IFNA(VLOOKUP(B122, 현재가테이블!$B$2:$D$200, 3, FALSE), "-")</f>
        <v>1.07123628E-2</v>
      </c>
      <c r="N122" s="256"/>
      <c r="O122" s="257"/>
      <c r="Q122" s="248"/>
      <c r="R122" s="248"/>
      <c r="S122" s="248"/>
    </row>
    <row r="123" spans="1:19" ht="17.25" thickBot="1">
      <c r="A123" s="293" t="s">
        <v>55</v>
      </c>
      <c r="B123" s="289" t="str">
        <f>TEXT($G$1, "[$-ko-KR]yyyy-mm-dd(ddd) ") &amp; "오전 00:00"</f>
        <v>2021-08-12(목) 오전 00:00</v>
      </c>
      <c r="C123" s="290"/>
      <c r="D123" s="262" t="str">
        <f>TEXT($G$1, "[$-ko-KR]yyyy-mm-dd(ddd) ") &amp; "오후 14:00"</f>
        <v>2021-08-12(목) 오후 14:00</v>
      </c>
      <c r="E123" s="263"/>
      <c r="F123" s="264"/>
      <c r="G123" s="262" t="str">
        <f>TEXT($G$1, "[$-ko-KR]yyyy-mm-dd(ddd) ") &amp; "오후 19:00"</f>
        <v>2021-08-12(목) 오후 19:00</v>
      </c>
      <c r="H123" s="263"/>
      <c r="I123" s="264"/>
      <c r="J123" s="262" t="str">
        <f>TEXT($G$1, "[$-ko-KR]yyyy-mm-dd(ddd) ") &amp; "오후 21:00"</f>
        <v>2021-08-12(목) 오후 21:00</v>
      </c>
      <c r="K123" s="263"/>
      <c r="L123" s="264"/>
      <c r="M123" s="262" t="str">
        <f>TEXT($G$1+1, "[$-ko-KR]yyyy-mm-dd(ddd) ") &amp; "오전 00:00"</f>
        <v>2021-08-13(금) 오전 00:00</v>
      </c>
      <c r="N123" s="263"/>
      <c r="O123" s="264"/>
      <c r="Q123" s="248"/>
      <c r="R123" s="248"/>
      <c r="S123" s="248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2" t="s">
        <v>58</v>
      </c>
      <c r="H124" s="203" t="s">
        <v>268</v>
      </c>
      <c r="I124" s="20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8"/>
      <c r="R124" s="238"/>
      <c r="S124" s="238"/>
    </row>
    <row r="125" spans="1:19" ht="17.25" thickBot="1">
      <c r="A125" s="123" t="s">
        <v>98</v>
      </c>
      <c r="B125" s="124">
        <v>5.26</v>
      </c>
      <c r="C125" s="76">
        <v>0.17937219730000001</v>
      </c>
      <c r="D125" s="13">
        <v>5.44</v>
      </c>
      <c r="E125" s="14">
        <f>IF(ISNUMBER(D125), (D125 - $B125) / $B125, "")</f>
        <v>3.4220532319391754E-2</v>
      </c>
      <c r="F125" s="16">
        <f>IF(ISNUMBER(D125), $B145 * E125, "")</f>
        <v>3422.0532319391755</v>
      </c>
      <c r="G125" s="29">
        <v>5.32</v>
      </c>
      <c r="H125" s="14">
        <f>IF(ISNUMBER(G125), (G125 - $B125) / $B125, "")</f>
        <v>1.1406844106463974E-2</v>
      </c>
      <c r="I125" s="100">
        <f>IF(ISNUMBER(G125), $B145 * H125, "")</f>
        <v>1140.6844106463975</v>
      </c>
      <c r="J125" s="13">
        <v>5.26</v>
      </c>
      <c r="K125" s="14">
        <f>IF(ISNUMBER(J125), (J125 - $B125) / $B125, "")</f>
        <v>0</v>
      </c>
      <c r="L125" s="16">
        <f>IF(ISNUMBER(J125), $B145 * K125, "")</f>
        <v>0</v>
      </c>
      <c r="M125" s="29">
        <v>5.2</v>
      </c>
      <c r="N125" s="14">
        <f>IF(ISNUMBER(M125), (M125 - $B125) / $B125, "")</f>
        <v>-1.1406844106463804E-2</v>
      </c>
      <c r="O125" s="16">
        <f>IF(ISNUMBER(M125), $B145 * N125, "")</f>
        <v>-1140.6844106463805</v>
      </c>
      <c r="Q125" s="248"/>
      <c r="R125" s="248"/>
      <c r="S125" s="248"/>
    </row>
    <row r="126" spans="1:19" ht="17.25" thickBot="1">
      <c r="A126" s="125" t="s">
        <v>152</v>
      </c>
      <c r="B126" s="126">
        <v>97.1</v>
      </c>
      <c r="C126" s="77">
        <v>0.1330221704</v>
      </c>
      <c r="D126" s="15">
        <v>101</v>
      </c>
      <c r="E126" s="32">
        <f t="shared" ref="E126:E129" si="62">IF(ISNUMBER(D126), (D126 - $B126) / $B126, "")</f>
        <v>4.0164778578784817E-2</v>
      </c>
      <c r="F126" s="18">
        <f>IF(ISNUMBER(D126), $B145 * E126, "")</f>
        <v>4016.4778578784817</v>
      </c>
      <c r="G126" s="31">
        <v>99</v>
      </c>
      <c r="H126" s="32">
        <f t="shared" ref="H126:H129" si="63">IF(ISNUMBER(G126), (G126 - $B126) / $B126, "")</f>
        <v>1.9567456230690072E-2</v>
      </c>
      <c r="I126" s="101">
        <f>IF(ISNUMBER(G126), $B145 * H126, "")</f>
        <v>1956.7456230690073</v>
      </c>
      <c r="J126" s="15">
        <v>98</v>
      </c>
      <c r="K126" s="32">
        <f t="shared" ref="K126:K129" si="64">IF(ISNUMBER(J126), (J126 - $B126) / $B126, "")</f>
        <v>9.2687950566426956E-3</v>
      </c>
      <c r="L126" s="18">
        <f>IF(ISNUMBER(J126), $B145 * K126, "")</f>
        <v>926.87950566426957</v>
      </c>
      <c r="M126" s="31">
        <v>96.4</v>
      </c>
      <c r="N126" s="32">
        <f t="shared" ref="N126:N129" si="65">IF(ISNUMBER(M126), (M126 - $B126) / $B126, "")</f>
        <v>-7.2090628218330448E-3</v>
      </c>
      <c r="O126" s="18">
        <f>IF(ISNUMBER(M126), $B145 * N126, "")</f>
        <v>-720.90628218330448</v>
      </c>
      <c r="Q126" s="248"/>
      <c r="R126" s="248"/>
      <c r="S126" s="248"/>
    </row>
    <row r="127" spans="1:19" ht="17.25" thickBot="1">
      <c r="A127" s="125" t="s">
        <v>148</v>
      </c>
      <c r="B127" s="126">
        <v>21.6</v>
      </c>
      <c r="C127" s="77">
        <v>9.0909090900000003E-2</v>
      </c>
      <c r="D127" s="15">
        <v>21.3</v>
      </c>
      <c r="E127" s="32">
        <f t="shared" si="62"/>
        <v>-1.3888888888888921E-2</v>
      </c>
      <c r="F127" s="18">
        <f>IF(ISNUMBER(D127), $B145 * E127, "")</f>
        <v>-1388.8888888888921</v>
      </c>
      <c r="G127" s="31">
        <v>20.7</v>
      </c>
      <c r="H127" s="32">
        <f t="shared" si="63"/>
        <v>-4.1666666666666761E-2</v>
      </c>
      <c r="I127" s="101">
        <f>IF(ISNUMBER(G127), $B145 * H127, "")</f>
        <v>-4166.6666666666761</v>
      </c>
      <c r="J127" s="15">
        <v>20.5</v>
      </c>
      <c r="K127" s="32">
        <f t="shared" si="64"/>
        <v>-5.0925925925925986E-2</v>
      </c>
      <c r="L127" s="18">
        <f>IF(ISNUMBER(J127), $B145 * K127, "")</f>
        <v>-5092.5925925925985</v>
      </c>
      <c r="M127" s="31">
        <v>20.3</v>
      </c>
      <c r="N127" s="32">
        <f t="shared" si="65"/>
        <v>-6.0185185185185217E-2</v>
      </c>
      <c r="O127" s="18">
        <f>IF(ISNUMBER(M127), $B145 * N127, "")</f>
        <v>-6018.5185185185219</v>
      </c>
      <c r="Q127" s="238"/>
      <c r="R127" s="238"/>
      <c r="S127" s="238"/>
    </row>
    <row r="128" spans="1:19" ht="17.25" thickBot="1">
      <c r="A128" s="125" t="s">
        <v>250</v>
      </c>
      <c r="B128" s="126">
        <v>77.5</v>
      </c>
      <c r="C128" s="77">
        <v>8.5434173700000005E-2</v>
      </c>
      <c r="D128" s="15">
        <v>80.599999999999994</v>
      </c>
      <c r="E128" s="32">
        <f t="shared" si="62"/>
        <v>3.9999999999999925E-2</v>
      </c>
      <c r="F128" s="18">
        <f>IF(ISNUMBER(D128), $B145 * E128, "")</f>
        <v>3999.9999999999923</v>
      </c>
      <c r="G128" s="31">
        <v>79.2</v>
      </c>
      <c r="H128" s="32">
        <f t="shared" si="63"/>
        <v>2.1935483870967779E-2</v>
      </c>
      <c r="I128" s="101">
        <f>IF(ISNUMBER(G128), $B145 * H128, "")</f>
        <v>2193.5483870967778</v>
      </c>
      <c r="J128" s="15">
        <v>77.8</v>
      </c>
      <c r="K128" s="32">
        <f t="shared" si="64"/>
        <v>3.870967741935447E-3</v>
      </c>
      <c r="L128" s="18">
        <f>IF(ISNUMBER(J128), $B145 * K128, "")</f>
        <v>387.09677419354472</v>
      </c>
      <c r="M128" s="31">
        <v>75.400000000000006</v>
      </c>
      <c r="N128" s="32">
        <f t="shared" si="65"/>
        <v>-2.7096774193548313E-2</v>
      </c>
      <c r="O128" s="18">
        <f>IF(ISNUMBER(M128), $B145 * N128, "")</f>
        <v>-2709.6774193548313</v>
      </c>
      <c r="Q128" s="238"/>
      <c r="R128" s="238"/>
      <c r="S128" s="238"/>
    </row>
    <row r="129" spans="1:19" ht="17.25" thickBot="1">
      <c r="A129" s="127" t="s">
        <v>202</v>
      </c>
      <c r="B129" s="128">
        <v>96.6</v>
      </c>
      <c r="C129" s="78">
        <v>5.8050383400000002E-2</v>
      </c>
      <c r="D129" s="20">
        <v>101</v>
      </c>
      <c r="E129" s="21">
        <f t="shared" si="62"/>
        <v>4.5548654244306479E-2</v>
      </c>
      <c r="F129" s="22">
        <f>IF(ISNUMBER(D129), $B145 * E129, "")</f>
        <v>4554.8654244306481</v>
      </c>
      <c r="G129" s="30">
        <v>98.2</v>
      </c>
      <c r="H129" s="21">
        <f t="shared" si="63"/>
        <v>1.6563146997929695E-2</v>
      </c>
      <c r="I129" s="105">
        <f>IF(ISNUMBER(G129), $B145 * H129, "")</f>
        <v>1656.3146997929693</v>
      </c>
      <c r="J129" s="20">
        <v>97.2</v>
      </c>
      <c r="K129" s="21">
        <f t="shared" si="64"/>
        <v>6.2111801242236914E-3</v>
      </c>
      <c r="L129" s="22">
        <f>IF(ISNUMBER(J129), $B145 * K129, "")</f>
        <v>621.11801242236913</v>
      </c>
      <c r="M129" s="30">
        <v>95.9</v>
      </c>
      <c r="N129" s="21">
        <f t="shared" si="65"/>
        <v>-7.2463768115940859E-3</v>
      </c>
      <c r="O129" s="22">
        <f>IF(ISNUMBER(M129), $B145 * N129, "")</f>
        <v>-724.63768115940854</v>
      </c>
      <c r="Q129" s="238"/>
      <c r="R129" s="238"/>
      <c r="S129" s="238"/>
    </row>
    <row r="130" spans="1:19" ht="17.25" thickBot="1">
      <c r="A130" s="125" t="s">
        <v>65</v>
      </c>
      <c r="B130" s="129">
        <v>35.6</v>
      </c>
      <c r="C130" s="80">
        <v>5.6379822000000003E-2</v>
      </c>
      <c r="D130" s="106">
        <v>35.799999999999997</v>
      </c>
      <c r="E130" s="107">
        <f>IF(ISNUMBER(D130), (D130 - $B130) / $B130, "")</f>
        <v>5.6179775280897678E-3</v>
      </c>
      <c r="F130" s="108">
        <f>IF(ISNUMBER(D130), $B145 * E130, "")</f>
        <v>561.79775280897672</v>
      </c>
      <c r="G130" s="109">
        <v>35</v>
      </c>
      <c r="H130" s="107">
        <f>IF(ISNUMBER(G130), (G130 - $B130) / $B130, "")</f>
        <v>-1.6853932584269701E-2</v>
      </c>
      <c r="I130" s="110">
        <f>IF(ISNUMBER(G130), $B145 * H130, "")</f>
        <v>-1685.3932584269701</v>
      </c>
      <c r="J130" s="106">
        <v>34.5</v>
      </c>
      <c r="K130" s="107">
        <f>IF(ISNUMBER(J130), (J130 - $B130) / $B130, "")</f>
        <v>-3.0898876404494419E-2</v>
      </c>
      <c r="L130" s="108">
        <f>IF(ISNUMBER(J130), $B145 * K130, "")</f>
        <v>-3089.8876404494417</v>
      </c>
      <c r="M130" s="109">
        <v>34.1</v>
      </c>
      <c r="N130" s="107">
        <f>IF(ISNUMBER(M130), (M130 - $B130) / $B130, "")</f>
        <v>-4.2134831460674156E-2</v>
      </c>
      <c r="O130" s="108">
        <f>IF(ISNUMBER(M130), $B145 * N130, "")</f>
        <v>-4213.4831460674159</v>
      </c>
      <c r="Q130" s="238"/>
      <c r="R130" s="238"/>
      <c r="S130" s="238"/>
    </row>
    <row r="131" spans="1:19" ht="17.25" thickBot="1">
      <c r="A131" s="125" t="s">
        <v>122</v>
      </c>
      <c r="B131" s="126">
        <v>32.700000000000003</v>
      </c>
      <c r="C131" s="77">
        <v>5.4838709700000002E-2</v>
      </c>
      <c r="D131" s="15">
        <v>34.4</v>
      </c>
      <c r="E131" s="32">
        <f t="shared" ref="E131:E134" si="66">IF(ISNUMBER(D131), (D131 - $B131) / $B131, "")</f>
        <v>5.1987767584097726E-2</v>
      </c>
      <c r="F131" s="18">
        <f>IF(ISNUMBER(D131), $B145 * E131, "")</f>
        <v>5198.7767584097728</v>
      </c>
      <c r="G131" s="31">
        <v>33.6</v>
      </c>
      <c r="H131" s="32">
        <f t="shared" ref="H131:H134" si="67">IF(ISNUMBER(G131), (G131 - $B131) / $B131, "")</f>
        <v>2.7522935779816467E-2</v>
      </c>
      <c r="I131" s="101">
        <f>IF(ISNUMBER(G131), $B145 * H131, "")</f>
        <v>2752.2935779816466</v>
      </c>
      <c r="J131" s="15">
        <v>33.1</v>
      </c>
      <c r="K131" s="32">
        <f t="shared" ref="K131:K134" si="68">IF(ISNUMBER(J131), (J131 - $B131) / $B131, "")</f>
        <v>1.2232415902140628E-2</v>
      </c>
      <c r="L131" s="18">
        <f>IF(ISNUMBER(J131), $B145 * K131, "")</f>
        <v>1223.2415902140629</v>
      </c>
      <c r="M131" s="31">
        <v>32.6</v>
      </c>
      <c r="N131" s="32">
        <f t="shared" ref="N131:N134" si="69">IF(ISNUMBER(M131), (M131 - $B131) / $B131, "")</f>
        <v>-3.0581039755352116E-3</v>
      </c>
      <c r="O131" s="18">
        <f>IF(ISNUMBER(M131), $B145 * N131, "")</f>
        <v>-305.81039755352117</v>
      </c>
      <c r="Q131" s="238"/>
      <c r="R131" s="238"/>
      <c r="S131" s="238"/>
    </row>
    <row r="132" spans="1:19" ht="17.25" thickBot="1">
      <c r="A132" s="125" t="s">
        <v>208</v>
      </c>
      <c r="B132" s="126">
        <v>14.2</v>
      </c>
      <c r="C132" s="77">
        <v>5.1851851900000002E-2</v>
      </c>
      <c r="D132" s="15">
        <v>14.5</v>
      </c>
      <c r="E132" s="32">
        <f t="shared" si="66"/>
        <v>2.1126760563380333E-2</v>
      </c>
      <c r="F132" s="18">
        <f>IF(ISNUMBER(D132), $B145 * E132, "")</f>
        <v>2112.6760563380335</v>
      </c>
      <c r="G132" s="31">
        <v>14.4</v>
      </c>
      <c r="H132" s="32">
        <f t="shared" si="67"/>
        <v>1.4084507042253596E-2</v>
      </c>
      <c r="I132" s="101">
        <f>IF(ISNUMBER(G132), $B145 * H132, "")</f>
        <v>1408.4507042253597</v>
      </c>
      <c r="J132" s="15">
        <v>14.1</v>
      </c>
      <c r="K132" s="32">
        <f t="shared" si="68"/>
        <v>-7.0422535211267356E-3</v>
      </c>
      <c r="L132" s="18">
        <f>IF(ISNUMBER(J132), $B145 * K132, "")</f>
        <v>-704.22535211267359</v>
      </c>
      <c r="M132" s="31">
        <v>13.8</v>
      </c>
      <c r="N132" s="32">
        <f t="shared" si="69"/>
        <v>-2.8169014084506942E-2</v>
      </c>
      <c r="O132" s="18">
        <f>IF(ISNUMBER(M132), $B145 * N132, "")</f>
        <v>-2816.9014084506944</v>
      </c>
      <c r="Q132" s="238"/>
      <c r="R132" s="238"/>
      <c r="S132" s="238"/>
    </row>
    <row r="133" spans="1:19" ht="17.25" thickBot="1">
      <c r="A133" s="125" t="s">
        <v>188</v>
      </c>
      <c r="B133" s="126">
        <v>13.2</v>
      </c>
      <c r="C133" s="77">
        <v>4.7619047599999999E-2</v>
      </c>
      <c r="D133" s="15">
        <v>13.1</v>
      </c>
      <c r="E133" s="32">
        <f t="shared" si="66"/>
        <v>-7.5757575757575491E-3</v>
      </c>
      <c r="F133" s="18">
        <f>IF(ISNUMBER(D133), $B145 * E133, "")</f>
        <v>-757.57575757575489</v>
      </c>
      <c r="G133" s="31">
        <v>13</v>
      </c>
      <c r="H133" s="32">
        <f t="shared" si="67"/>
        <v>-1.5151515151515098E-2</v>
      </c>
      <c r="I133" s="101">
        <f>IF(ISNUMBER(G133), $B145 * H133, "")</f>
        <v>-1515.1515151515098</v>
      </c>
      <c r="J133" s="15">
        <v>12.7</v>
      </c>
      <c r="K133" s="32">
        <f t="shared" si="68"/>
        <v>-3.787878787878788E-2</v>
      </c>
      <c r="L133" s="18">
        <f>IF(ISNUMBER(J133), $B145 * K133, "")</f>
        <v>-3787.878787878788</v>
      </c>
      <c r="M133" s="31">
        <v>12.6</v>
      </c>
      <c r="N133" s="32">
        <f t="shared" si="69"/>
        <v>-4.5454545454545428E-2</v>
      </c>
      <c r="O133" s="18">
        <f>IF(ISNUMBER(M133), $B145 * N133, "")</f>
        <v>-4545.4545454545432</v>
      </c>
      <c r="Q133" s="33"/>
      <c r="R133" s="33"/>
    </row>
    <row r="134" spans="1:19" ht="17.25" thickBot="1">
      <c r="A134" s="130" t="s">
        <v>216</v>
      </c>
      <c r="B134" s="131">
        <v>11.2</v>
      </c>
      <c r="C134" s="79">
        <v>4.6728972000000001E-2</v>
      </c>
      <c r="D134" s="24">
        <v>11.3</v>
      </c>
      <c r="E134" s="25">
        <f t="shared" si="66"/>
        <v>8.9285714285715564E-3</v>
      </c>
      <c r="F134" s="104">
        <f>IF(ISNUMBER(D134), $B145 * E134, "")</f>
        <v>892.85714285715562</v>
      </c>
      <c r="G134" s="102">
        <v>11</v>
      </c>
      <c r="H134" s="25">
        <f t="shared" si="67"/>
        <v>-1.7857142857142794E-2</v>
      </c>
      <c r="I134" s="103">
        <f>IF(ISNUMBER(G134), $B145 * H134, "")</f>
        <v>-1785.7142857142794</v>
      </c>
      <c r="J134" s="24">
        <v>10.8</v>
      </c>
      <c r="K134" s="25">
        <f t="shared" si="68"/>
        <v>-3.5714285714285587E-2</v>
      </c>
      <c r="L134" s="104">
        <f>IF(ISNUMBER(J134), $B145 * K134, "")</f>
        <v>-3571.4285714285588</v>
      </c>
      <c r="M134" s="102">
        <v>10.6</v>
      </c>
      <c r="N134" s="25">
        <f t="shared" si="69"/>
        <v>-5.3571428571428541E-2</v>
      </c>
      <c r="O134" s="104">
        <f>IF(ISNUMBER(M134), $B145 * N134, "")</f>
        <v>-5357.1428571428542</v>
      </c>
      <c r="Q134" s="239"/>
      <c r="R134" s="240"/>
      <c r="S134" s="241"/>
    </row>
    <row r="135" spans="1:19">
      <c r="A135" s="123" t="s">
        <v>234</v>
      </c>
      <c r="B135" s="124">
        <v>73.8</v>
      </c>
      <c r="C135" s="76">
        <v>3.7974683500000002E-2</v>
      </c>
      <c r="D135" s="13">
        <v>75.900000000000006</v>
      </c>
      <c r="E135" s="14">
        <f>IF(ISNUMBER(D135), (D135 - $B135) / $B135, "")</f>
        <v>2.8455284552845645E-2</v>
      </c>
      <c r="F135" s="16">
        <f>IF(ISNUMBER(D135), $B145 * E135, "")</f>
        <v>2845.5284552845646</v>
      </c>
      <c r="G135" s="29">
        <v>73.8</v>
      </c>
      <c r="H135" s="14">
        <f>IF(ISNUMBER(G135), (G135 - $B135) / $B135, "")</f>
        <v>0</v>
      </c>
      <c r="I135" s="100">
        <f>IF(ISNUMBER(G135), $B145 * H135, "")</f>
        <v>0</v>
      </c>
      <c r="J135" s="13">
        <v>72.5</v>
      </c>
      <c r="K135" s="14">
        <f>IF(ISNUMBER(J135), (J135 - $B135) / $B135, "")</f>
        <v>-1.7615176151761478E-2</v>
      </c>
      <c r="L135" s="16">
        <f>IF(ISNUMBER(J135), $B145 * K135, "")</f>
        <v>-1761.5176151761477</v>
      </c>
      <c r="M135" s="29">
        <v>70.900000000000006</v>
      </c>
      <c r="N135" s="14">
        <f>IF(ISNUMBER(M135), (M135 - $B135) / $B135, "")</f>
        <v>-3.9295392953929427E-2</v>
      </c>
      <c r="O135" s="16">
        <f>IF(ISNUMBER(M135), $B145 * N135, "")</f>
        <v>-3929.5392953929427</v>
      </c>
      <c r="Q135" s="242"/>
      <c r="R135" s="243"/>
      <c r="S135" s="244"/>
    </row>
    <row r="136" spans="1:19" ht="17.25" thickBot="1">
      <c r="A136" s="125" t="s">
        <v>204</v>
      </c>
      <c r="B136" s="126">
        <v>14.6</v>
      </c>
      <c r="C136" s="77">
        <v>3.5460992900000002E-2</v>
      </c>
      <c r="D136" s="15">
        <v>15.3</v>
      </c>
      <c r="E136" s="32">
        <f t="shared" ref="E136:E139" si="70">IF(ISNUMBER(D136), (D136 - $B136) / $B136, "")</f>
        <v>4.7945205479452128E-2</v>
      </c>
      <c r="F136" s="18">
        <f>IF(ISNUMBER(D136), $B145 * E136, "")</f>
        <v>4794.5205479452125</v>
      </c>
      <c r="G136" s="31">
        <v>14.7</v>
      </c>
      <c r="H136" s="32">
        <f t="shared" ref="H136:H139" si="71">IF(ISNUMBER(G136), (G136 - $B136) / $B136, "")</f>
        <v>6.8493150684931269E-3</v>
      </c>
      <c r="I136" s="101">
        <f>IF(ISNUMBER(G136), $B145 * H136, "")</f>
        <v>684.93150684931265</v>
      </c>
      <c r="J136" s="15">
        <v>14.2</v>
      </c>
      <c r="K136" s="32">
        <f t="shared" ref="K136:K139" si="72">IF(ISNUMBER(J136), (J136 - $B136) / $B136, "")</f>
        <v>-2.7397260273972629E-2</v>
      </c>
      <c r="L136" s="18">
        <f>IF(ISNUMBER(J136), $B145 * K136, "")</f>
        <v>-2739.7260273972629</v>
      </c>
      <c r="M136" s="31">
        <v>14.3</v>
      </c>
      <c r="N136" s="32">
        <f t="shared" ref="N136:N139" si="73">IF(ISNUMBER(M136), (M136 - $B136) / $B136, "")</f>
        <v>-2.0547945205479378E-2</v>
      </c>
      <c r="O136" s="18">
        <f>IF(ISNUMBER(M136), $B145 * N136, "")</f>
        <v>-2054.7945205479377</v>
      </c>
      <c r="Q136" s="245"/>
      <c r="R136" s="246"/>
      <c r="S136" s="247"/>
    </row>
    <row r="137" spans="1:19" ht="17.25" thickBot="1">
      <c r="A137" s="125" t="s">
        <v>72</v>
      </c>
      <c r="B137" s="126">
        <v>23.5</v>
      </c>
      <c r="C137" s="77">
        <v>3.5242290699999998E-2</v>
      </c>
      <c r="D137" s="15">
        <v>24.6</v>
      </c>
      <c r="E137" s="32">
        <f t="shared" si="70"/>
        <v>4.6808510638297933E-2</v>
      </c>
      <c r="F137" s="18">
        <f>IF(ISNUMBER(D137), $B145 * E137, "")</f>
        <v>4680.851063829793</v>
      </c>
      <c r="G137" s="31">
        <v>23.7</v>
      </c>
      <c r="H137" s="32">
        <f t="shared" si="71"/>
        <v>8.5106382978723093E-3</v>
      </c>
      <c r="I137" s="101">
        <f>IF(ISNUMBER(G137), $B145 * H137, "")</f>
        <v>851.06382978723093</v>
      </c>
      <c r="J137" s="15">
        <v>23.2</v>
      </c>
      <c r="K137" s="32">
        <f t="shared" si="72"/>
        <v>-1.2765957446808541E-2</v>
      </c>
      <c r="L137" s="18">
        <f>IF(ISNUMBER(J137), $B145 * K137, "")</f>
        <v>-1276.5957446808541</v>
      </c>
      <c r="M137" s="31">
        <v>23</v>
      </c>
      <c r="N137" s="32">
        <f t="shared" si="73"/>
        <v>-2.1276595744680851E-2</v>
      </c>
      <c r="O137" s="18">
        <f>IF(ISNUMBER(M137), $B145 * N137, "")</f>
        <v>-2127.6595744680849</v>
      </c>
      <c r="Q137" s="238"/>
      <c r="R137" s="238"/>
      <c r="S137" s="238"/>
    </row>
    <row r="138" spans="1:19" ht="17.25" thickBot="1">
      <c r="A138" s="125" t="s">
        <v>190</v>
      </c>
      <c r="B138" s="126">
        <v>18</v>
      </c>
      <c r="C138" s="77">
        <v>3.4482758600000003E-2</v>
      </c>
      <c r="D138" s="15">
        <v>19</v>
      </c>
      <c r="E138" s="32">
        <f t="shared" si="70"/>
        <v>5.5555555555555552E-2</v>
      </c>
      <c r="F138" s="18">
        <f>IF(ISNUMBER(D138), $B145 * E138, "")</f>
        <v>5555.5555555555557</v>
      </c>
      <c r="G138" s="31">
        <v>18.899999999999999</v>
      </c>
      <c r="H138" s="32">
        <f t="shared" si="71"/>
        <v>4.999999999999992E-2</v>
      </c>
      <c r="I138" s="101">
        <f>IF(ISNUMBER(G138), $B145 * H138, "")</f>
        <v>4999.9999999999918</v>
      </c>
      <c r="J138" s="15">
        <v>18.399999999999999</v>
      </c>
      <c r="K138" s="32">
        <f t="shared" si="72"/>
        <v>2.2222222222222143E-2</v>
      </c>
      <c r="L138" s="18">
        <f>IF(ISNUMBER(J138), $B145 * K138, "")</f>
        <v>2222.2222222222144</v>
      </c>
      <c r="M138" s="31">
        <v>18.5</v>
      </c>
      <c r="N138" s="32">
        <f t="shared" si="73"/>
        <v>2.7777777777777776E-2</v>
      </c>
      <c r="O138" s="18">
        <f>IF(ISNUMBER(M138), $B145 * N138, "")</f>
        <v>2777.7777777777778</v>
      </c>
      <c r="Q138" s="248"/>
      <c r="R138" s="248"/>
      <c r="S138" s="248"/>
    </row>
    <row r="139" spans="1:19" ht="17.25" thickBot="1">
      <c r="A139" s="127" t="s">
        <v>150</v>
      </c>
      <c r="B139" s="128">
        <v>13.3</v>
      </c>
      <c r="C139" s="78">
        <v>3.1007751900000002E-2</v>
      </c>
      <c r="D139" s="20">
        <v>13.4</v>
      </c>
      <c r="E139" s="21">
        <f t="shared" si="70"/>
        <v>7.5187969924811757E-3</v>
      </c>
      <c r="F139" s="22">
        <f>IF(ISNUMBER(D139), $B145 * E139, "")</f>
        <v>751.87969924811762</v>
      </c>
      <c r="G139" s="30">
        <v>13</v>
      </c>
      <c r="H139" s="21">
        <f t="shared" si="71"/>
        <v>-2.255639097744366E-2</v>
      </c>
      <c r="I139" s="105">
        <f>IF(ISNUMBER(G139), $B145 * H139, "")</f>
        <v>-2255.6390977443662</v>
      </c>
      <c r="J139" s="20">
        <v>12.8</v>
      </c>
      <c r="K139" s="21">
        <f t="shared" si="72"/>
        <v>-3.7593984962406013E-2</v>
      </c>
      <c r="L139" s="22">
        <f>IF(ISNUMBER(J139), $B145 * K139, "")</f>
        <v>-3759.3984962406012</v>
      </c>
      <c r="M139" s="30">
        <v>12.7</v>
      </c>
      <c r="N139" s="21">
        <f t="shared" si="73"/>
        <v>-4.511278195488732E-2</v>
      </c>
      <c r="O139" s="22">
        <f>IF(ISNUMBER(M139), $B145 * N139, "")</f>
        <v>-4511.2781954887323</v>
      </c>
      <c r="Q139" s="248"/>
      <c r="R139" s="248"/>
      <c r="S139" s="248"/>
    </row>
    <row r="140" spans="1:19" ht="17.25" thickBot="1">
      <c r="A140" s="125" t="s">
        <v>178</v>
      </c>
      <c r="B140" s="129">
        <v>17.3</v>
      </c>
      <c r="C140" s="80">
        <v>2.9761904799999999E-2</v>
      </c>
      <c r="D140" s="106">
        <v>17.399999999999999</v>
      </c>
      <c r="E140" s="107">
        <f>IF(ISNUMBER(D140), (D140 - $B140) / $B140, "")</f>
        <v>5.7803468208091251E-3</v>
      </c>
      <c r="F140" s="108">
        <f>IF(ISNUMBER(D140), $B145 * E140, "")</f>
        <v>578.03468208091249</v>
      </c>
      <c r="G140" s="109">
        <v>16.899999999999999</v>
      </c>
      <c r="H140" s="107">
        <f>IF(ISNUMBER(G140), (G140 - $B140) / $B140, "")</f>
        <v>-2.3121387283237118E-2</v>
      </c>
      <c r="I140" s="110">
        <f>IF(ISNUMBER(G140), $B145 * H140, "")</f>
        <v>-2312.1387283237118</v>
      </c>
      <c r="J140" s="106">
        <v>16.7</v>
      </c>
      <c r="K140" s="107">
        <f>IF(ISNUMBER(J140), (J140 - $B140) / $B140, "")</f>
        <v>-3.4682080924855571E-2</v>
      </c>
      <c r="L140" s="108">
        <f>IF(ISNUMBER(J140), $B145 * K140, "")</f>
        <v>-3468.2080924855572</v>
      </c>
      <c r="M140" s="109">
        <v>16.3</v>
      </c>
      <c r="N140" s="107">
        <f>IF(ISNUMBER(M140), (M140 - $B140) / $B140, "")</f>
        <v>-5.7803468208092484E-2</v>
      </c>
      <c r="O140" s="108">
        <f>IF(ISNUMBER(M140), $B145 * N140, "")</f>
        <v>-5780.3468208092481</v>
      </c>
      <c r="Q140" s="238"/>
      <c r="R140" s="238"/>
      <c r="S140" s="238"/>
    </row>
    <row r="141" spans="1:19" ht="17.25" thickBot="1">
      <c r="A141" s="125" t="s">
        <v>210</v>
      </c>
      <c r="B141" s="126">
        <v>12.3</v>
      </c>
      <c r="C141" s="77">
        <v>2.5000000000000001E-2</v>
      </c>
      <c r="D141" s="15">
        <v>12.5</v>
      </c>
      <c r="E141" s="32">
        <f t="shared" ref="E141:E144" si="74">IF(ISNUMBER(D141), (D141 - $B141) / $B141, "")</f>
        <v>1.6260162601625959E-2</v>
      </c>
      <c r="F141" s="18">
        <f>IF(ISNUMBER(D141), $B145 * E141, "")</f>
        <v>1626.0162601625959</v>
      </c>
      <c r="G141" s="31">
        <v>12.2</v>
      </c>
      <c r="H141" s="32">
        <f t="shared" ref="H141:H144" si="75">IF(ISNUMBER(G141), (G141 - $B141) / $B141, "")</f>
        <v>-8.1300813008131235E-3</v>
      </c>
      <c r="I141" s="101">
        <f>IF(ISNUMBER(G141), $B145 * H141, "")</f>
        <v>-813.0081300813124</v>
      </c>
      <c r="J141" s="15">
        <v>12.2</v>
      </c>
      <c r="K141" s="32">
        <f t="shared" ref="K141:K144" si="76">IF(ISNUMBER(J141), (J141 - $B141) / $B141, "")</f>
        <v>-8.1300813008131235E-3</v>
      </c>
      <c r="L141" s="18">
        <f>IF(ISNUMBER(J141), $B145 * K141, "")</f>
        <v>-813.0081300813124</v>
      </c>
      <c r="M141" s="31">
        <v>12</v>
      </c>
      <c r="N141" s="32">
        <f t="shared" ref="N141:N144" si="77">IF(ISNUMBER(M141), (M141 - $B141) / $B141, "")</f>
        <v>-2.4390243902439081E-2</v>
      </c>
      <c r="O141" s="18">
        <f>IF(ISNUMBER(M141), $B145 * N141, "")</f>
        <v>-2439.0243902439079</v>
      </c>
      <c r="Q141" s="238"/>
      <c r="R141" s="238"/>
      <c r="S141" s="238"/>
    </row>
    <row r="142" spans="1:19" ht="17.25" thickBot="1">
      <c r="A142" s="125" t="s">
        <v>240</v>
      </c>
      <c r="B142" s="126">
        <v>69.8</v>
      </c>
      <c r="C142" s="77">
        <v>2.1961932699999999E-2</v>
      </c>
      <c r="D142" s="15">
        <v>77.3</v>
      </c>
      <c r="E142" s="32">
        <f t="shared" si="74"/>
        <v>0.10744985673352436</v>
      </c>
      <c r="F142" s="18">
        <f>IF(ISNUMBER(D142), $B145 * E142, "")</f>
        <v>10744.985673352436</v>
      </c>
      <c r="G142" s="31">
        <v>76</v>
      </c>
      <c r="H142" s="32">
        <f t="shared" si="75"/>
        <v>8.8825214899713512E-2</v>
      </c>
      <c r="I142" s="101">
        <f>IF(ISNUMBER(G142), $B145 * H142, "")</f>
        <v>8882.5214899713519</v>
      </c>
      <c r="J142" s="15">
        <v>75</v>
      </c>
      <c r="K142" s="32">
        <f t="shared" si="76"/>
        <v>7.4498567335243598E-2</v>
      </c>
      <c r="L142" s="18">
        <f>IF(ISNUMBER(J142), $B145 * K142, "")</f>
        <v>7449.8567335243597</v>
      </c>
      <c r="M142" s="31">
        <v>74</v>
      </c>
      <c r="N142" s="32">
        <f t="shared" si="77"/>
        <v>6.0171919770773685E-2</v>
      </c>
      <c r="O142" s="18">
        <f>IF(ISNUMBER(M142), $B145 * N142, "")</f>
        <v>6017.1919770773684</v>
      </c>
      <c r="Q142" s="238"/>
      <c r="R142" s="238"/>
      <c r="S142" s="238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7"/>
      <c r="R143" s="228"/>
      <c r="S143" s="22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30"/>
      <c r="R144" s="231"/>
      <c r="S144" s="232"/>
    </row>
    <row r="145" spans="1:19" ht="17.25" thickBot="1">
      <c r="A145" s="132" t="s">
        <v>270</v>
      </c>
      <c r="B145" s="291">
        <f>$B$37</f>
        <v>100000</v>
      </c>
      <c r="C145" s="292"/>
      <c r="D145" s="26" t="s">
        <v>271</v>
      </c>
      <c r="E145" s="27">
        <f>IF(COUNT(E125:E144), SUM(E125:E144) / COUNT(E125:E144), 0)</f>
        <v>3.0105784175364875E-2</v>
      </c>
      <c r="F145" s="28">
        <f>SUM(F125:F144)</f>
        <v>54190.411515656771</v>
      </c>
      <c r="G145" s="26" t="s">
        <v>271</v>
      </c>
      <c r="H145" s="27">
        <f>IF(COUNT(H125:H144), SUM(H125:H144) / COUNT(H125:H144), 0)</f>
        <v>6.6626903040617885E-3</v>
      </c>
      <c r="I145" s="28">
        <f>SUM(I125:I144)</f>
        <v>11992.842547311218</v>
      </c>
      <c r="J145" s="26" t="s">
        <v>271</v>
      </c>
      <c r="K145" s="27">
        <f>IF(COUNT(K125:K144), SUM(K125:K144) / COUNT(K125:K144), 0)</f>
        <v>-9.5744734512683196E-3</v>
      </c>
      <c r="L145" s="28">
        <f>SUM(L125:L144)</f>
        <v>-17234.052212282972</v>
      </c>
      <c r="M145" s="26" t="s">
        <v>271</v>
      </c>
      <c r="N145" s="27">
        <f>IF(COUNT(N125:N144), SUM(N125:N144) / COUNT(N125:N144), 0)</f>
        <v>-2.2556049838126216E-2</v>
      </c>
      <c r="O145" s="28">
        <f>SUM(O125:O144)</f>
        <v>-40600.889708627183</v>
      </c>
      <c r="Q145" s="233"/>
      <c r="R145" s="234"/>
      <c r="S145" s="23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48"/>
      <c r="R148" s="248"/>
      <c r="S148" s="248"/>
    </row>
    <row r="149" spans="1:19" ht="17.25" thickBot="1">
      <c r="A149" s="201" t="s">
        <v>267</v>
      </c>
      <c r="B149" s="249" t="s">
        <v>49</v>
      </c>
      <c r="C149" s="251"/>
      <c r="D149" s="249" t="s">
        <v>58</v>
      </c>
      <c r="E149" s="250"/>
      <c r="F149" s="251"/>
      <c r="G149" s="252">
        <f>_xlfn.IFNA(VLOOKUP(B149, 현재가테이블!$B$2:$D$200, 2, FALSE), "-")</f>
        <v>54440000</v>
      </c>
      <c r="H149" s="253"/>
      <c r="I149" s="254"/>
      <c r="J149" s="249" t="s">
        <v>59</v>
      </c>
      <c r="K149" s="250"/>
      <c r="L149" s="251"/>
      <c r="M149" s="255">
        <f>_xlfn.IFNA(VLOOKUP(B149, 현재가테이블!$B$2:$D$200, 3, FALSE), "-")</f>
        <v>1.07123628E-2</v>
      </c>
      <c r="N149" s="256"/>
      <c r="O149" s="257"/>
      <c r="Q149" s="248"/>
      <c r="R149" s="248"/>
      <c r="S149" s="248"/>
    </row>
    <row r="150" spans="1:19" ht="17.25" thickBot="1">
      <c r="A150" s="293" t="s">
        <v>55</v>
      </c>
      <c r="B150" s="289" t="str">
        <f>TEXT($G$1, "[$-ko-KR]yyyy-mm-dd(ddd) ") &amp; "오전 00:00"</f>
        <v>2021-08-12(목) 오전 00:00</v>
      </c>
      <c r="C150" s="290"/>
      <c r="D150" s="262" t="str">
        <f>TEXT($G$1, "[$-ko-KR]yyyy-mm-dd(ddd) ") &amp; "오후 14:00"</f>
        <v>2021-08-12(목) 오후 14:00</v>
      </c>
      <c r="E150" s="263"/>
      <c r="F150" s="264"/>
      <c r="G150" s="262" t="str">
        <f>TEXT($G$1, "[$-ko-KR]yyyy-mm-dd(ddd) ") &amp; "오후 19:00"</f>
        <v>2021-08-12(목) 오후 19:00</v>
      </c>
      <c r="H150" s="263"/>
      <c r="I150" s="264"/>
      <c r="J150" s="262" t="str">
        <f>TEXT($G$1, "[$-ko-KR]yyyy-mm-dd(ddd) ") &amp; "오후 21:00"</f>
        <v>2021-08-12(목) 오후 21:00</v>
      </c>
      <c r="K150" s="263"/>
      <c r="L150" s="264"/>
      <c r="M150" s="262" t="str">
        <f>TEXT($G$1+1, "[$-ko-KR]yyyy-mm-dd(ddd) ") &amp; "오전 00:00"</f>
        <v>2021-08-13(금) 오전 00:00</v>
      </c>
      <c r="N150" s="263"/>
      <c r="O150" s="264"/>
      <c r="Q150" s="248"/>
      <c r="R150" s="248"/>
      <c r="S150" s="248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2" t="s">
        <v>58</v>
      </c>
      <c r="H151" s="203" t="s">
        <v>268</v>
      </c>
      <c r="I151" s="20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8"/>
      <c r="R151" s="238"/>
      <c r="S151" s="238"/>
    </row>
    <row r="152" spans="1:19" ht="17.25" thickBot="1">
      <c r="A152" s="123" t="s">
        <v>220</v>
      </c>
      <c r="B152" s="124">
        <v>222</v>
      </c>
      <c r="C152" s="76">
        <v>3.7383177599999998E-2</v>
      </c>
      <c r="D152" s="13">
        <v>222</v>
      </c>
      <c r="E152" s="14">
        <f>IF(ISNUMBER(D152), (D152 - $B152) / $B152, "")</f>
        <v>0</v>
      </c>
      <c r="F152" s="16">
        <f>IF(ISNUMBER(D152), $B172 * E152, "")</f>
        <v>0</v>
      </c>
      <c r="G152" s="29">
        <v>216</v>
      </c>
      <c r="H152" s="14">
        <f>IF(ISNUMBER(G152), (G152 - $B152) / $B152, "")</f>
        <v>-2.7027027027027029E-2</v>
      </c>
      <c r="I152" s="100">
        <f>IF(ISNUMBER(G152), $B172 * H152, "")</f>
        <v>-2702.7027027027029</v>
      </c>
      <c r="J152" s="13">
        <v>213</v>
      </c>
      <c r="K152" s="14">
        <f>IF(ISNUMBER(J152), (J152 - $B152) / $B152, "")</f>
        <v>-4.0540540540540543E-2</v>
      </c>
      <c r="L152" s="16">
        <f>IF(ISNUMBER(J152), $B172 * K152, "")</f>
        <v>-4054.0540540540542</v>
      </c>
      <c r="M152" s="29">
        <v>213</v>
      </c>
      <c r="N152" s="14">
        <f>IF(ISNUMBER(M152), (M152 - $B152) / $B152, "")</f>
        <v>-4.0540540540540543E-2</v>
      </c>
      <c r="O152" s="16">
        <f>IF(ISNUMBER(M152), $B172 * N152, "")</f>
        <v>-4054.0540540540542</v>
      </c>
      <c r="Q152" s="248"/>
      <c r="R152" s="248"/>
      <c r="S152" s="248"/>
    </row>
    <row r="153" spans="1:19" ht="17.25" thickBot="1">
      <c r="A153" s="125" t="s">
        <v>200</v>
      </c>
      <c r="B153" s="126">
        <v>147</v>
      </c>
      <c r="C153" s="77">
        <v>3.5211267599999999E-2</v>
      </c>
      <c r="D153" s="15">
        <v>145</v>
      </c>
      <c r="E153" s="32">
        <f t="shared" ref="E153:E156" si="78">IF(ISNUMBER(D153), (D153 - $B153) / $B153, "")</f>
        <v>-1.3605442176870748E-2</v>
      </c>
      <c r="F153" s="18">
        <f>IF(ISNUMBER(D153), $B172 * E153, "")</f>
        <v>-1360.5442176870747</v>
      </c>
      <c r="G153" s="31">
        <v>141</v>
      </c>
      <c r="H153" s="32">
        <f t="shared" ref="H153:H156" si="79">IF(ISNUMBER(G153), (G153 - $B153) / $B153, "")</f>
        <v>-4.0816326530612242E-2</v>
      </c>
      <c r="I153" s="101">
        <f>IF(ISNUMBER(G153), $B172 * H153, "")</f>
        <v>-4081.6326530612241</v>
      </c>
      <c r="J153" s="15">
        <v>140</v>
      </c>
      <c r="K153" s="32">
        <f t="shared" ref="K153:K156" si="80">IF(ISNUMBER(J153), (J153 - $B153) / $B153, "")</f>
        <v>-4.7619047619047616E-2</v>
      </c>
      <c r="L153" s="18">
        <f>IF(ISNUMBER(J153), $B172 * K153, "")</f>
        <v>-4761.9047619047615</v>
      </c>
      <c r="M153" s="31">
        <v>139</v>
      </c>
      <c r="N153" s="32">
        <f t="shared" ref="N153:N156" si="81">IF(ISNUMBER(M153), (M153 - $B153) / $B153, "")</f>
        <v>-5.4421768707482991E-2</v>
      </c>
      <c r="O153" s="18">
        <f>IF(ISNUMBER(M153), $B172 * N153, "")</f>
        <v>-5442.1768707482988</v>
      </c>
      <c r="Q153" s="248"/>
      <c r="R153" s="248"/>
      <c r="S153" s="248"/>
    </row>
    <row r="154" spans="1:19" ht="17.25" thickBot="1">
      <c r="A154" s="125" t="s">
        <v>61</v>
      </c>
      <c r="B154" s="126">
        <v>980</v>
      </c>
      <c r="C154" s="77">
        <v>3.48468849E-2</v>
      </c>
      <c r="D154" s="15">
        <v>954</v>
      </c>
      <c r="E154" s="32">
        <f t="shared" si="78"/>
        <v>-2.6530612244897958E-2</v>
      </c>
      <c r="F154" s="18">
        <f>IF(ISNUMBER(D154), $B172 * E154, "")</f>
        <v>-2653.0612244897957</v>
      </c>
      <c r="G154" s="31">
        <v>942</v>
      </c>
      <c r="H154" s="32">
        <f t="shared" si="79"/>
        <v>-3.8775510204081633E-2</v>
      </c>
      <c r="I154" s="101">
        <f>IF(ISNUMBER(G154), $B172 * H154, "")</f>
        <v>-3877.5510204081634</v>
      </c>
      <c r="J154" s="15">
        <v>931</v>
      </c>
      <c r="K154" s="32">
        <f t="shared" si="80"/>
        <v>-0.05</v>
      </c>
      <c r="L154" s="18">
        <f>IF(ISNUMBER(J154), $B172 * K154, "")</f>
        <v>-5000</v>
      </c>
      <c r="M154" s="31">
        <v>913</v>
      </c>
      <c r="N154" s="32">
        <f t="shared" si="81"/>
        <v>-6.8367346938775511E-2</v>
      </c>
      <c r="O154" s="18">
        <f>IF(ISNUMBER(M154), $B172 * N154, "")</f>
        <v>-6836.7346938775509</v>
      </c>
      <c r="Q154" s="238"/>
      <c r="R154" s="238"/>
      <c r="S154" s="238"/>
    </row>
    <row r="155" spans="1:19" ht="17.25" thickBot="1">
      <c r="A155" s="125" t="s">
        <v>206</v>
      </c>
      <c r="B155" s="126">
        <v>357</v>
      </c>
      <c r="C155" s="77">
        <v>3.4782608700000002E-2</v>
      </c>
      <c r="D155" s="15">
        <v>356</v>
      </c>
      <c r="E155" s="32">
        <f t="shared" si="78"/>
        <v>-2.8011204481792717E-3</v>
      </c>
      <c r="F155" s="18">
        <f>IF(ISNUMBER(D155), $B172 * E155, "")</f>
        <v>-280.1120448179272</v>
      </c>
      <c r="G155" s="31">
        <v>346</v>
      </c>
      <c r="H155" s="32">
        <f t="shared" si="79"/>
        <v>-3.081232492997199E-2</v>
      </c>
      <c r="I155" s="101">
        <f>IF(ISNUMBER(G155), $B172 * H155, "")</f>
        <v>-3081.2324929971992</v>
      </c>
      <c r="J155" s="15">
        <v>338</v>
      </c>
      <c r="K155" s="32">
        <f t="shared" si="80"/>
        <v>-5.3221288515406161E-2</v>
      </c>
      <c r="L155" s="18">
        <f>IF(ISNUMBER(J155), $B172 * K155, "")</f>
        <v>-5322.1288515406159</v>
      </c>
      <c r="M155" s="31">
        <v>334</v>
      </c>
      <c r="N155" s="32">
        <f t="shared" si="81"/>
        <v>-6.4425770308123242E-2</v>
      </c>
      <c r="O155" s="18">
        <f>IF(ISNUMBER(M155), $B172 * N155, "")</f>
        <v>-6442.5770308123247</v>
      </c>
      <c r="Q155" s="238"/>
      <c r="R155" s="238"/>
      <c r="S155" s="238"/>
    </row>
    <row r="156" spans="1:19" ht="17.25" thickBot="1">
      <c r="A156" s="127" t="s">
        <v>164</v>
      </c>
      <c r="B156" s="128">
        <v>328</v>
      </c>
      <c r="C156" s="78">
        <v>3.4700315500000002E-2</v>
      </c>
      <c r="D156" s="20">
        <v>326</v>
      </c>
      <c r="E156" s="21">
        <f t="shared" si="78"/>
        <v>-6.0975609756097563E-3</v>
      </c>
      <c r="F156" s="22">
        <f>IF(ISNUMBER(D156), $B172 * E156, "")</f>
        <v>-609.7560975609756</v>
      </c>
      <c r="G156" s="30">
        <v>322</v>
      </c>
      <c r="H156" s="21">
        <f t="shared" si="79"/>
        <v>-1.8292682926829267E-2</v>
      </c>
      <c r="I156" s="105">
        <f>IF(ISNUMBER(G156), $B172 * H156, "")</f>
        <v>-1829.2682926829268</v>
      </c>
      <c r="J156" s="20">
        <v>317</v>
      </c>
      <c r="K156" s="21">
        <f t="shared" si="80"/>
        <v>-3.3536585365853661E-2</v>
      </c>
      <c r="L156" s="22">
        <f>IF(ISNUMBER(J156), $B172 * K156, "")</f>
        <v>-3353.6585365853662</v>
      </c>
      <c r="M156" s="30">
        <v>311</v>
      </c>
      <c r="N156" s="21">
        <f t="shared" si="81"/>
        <v>-5.1829268292682924E-2</v>
      </c>
      <c r="O156" s="22">
        <f>IF(ISNUMBER(M156), $B172 * N156, "")</f>
        <v>-5182.9268292682927</v>
      </c>
      <c r="Q156" s="238"/>
      <c r="R156" s="238"/>
      <c r="S156" s="238"/>
    </row>
    <row r="157" spans="1:19" ht="17.25" thickBot="1">
      <c r="A157" s="125" t="s">
        <v>230</v>
      </c>
      <c r="B157" s="129">
        <v>221</v>
      </c>
      <c r="C157" s="80">
        <v>3.27102804E-2</v>
      </c>
      <c r="D157" s="106">
        <v>219</v>
      </c>
      <c r="E157" s="107">
        <f>IF(ISNUMBER(D157), (D157 - $B157) / $B157, "")</f>
        <v>-9.0497737556561094E-3</v>
      </c>
      <c r="F157" s="108">
        <f>IF(ISNUMBER(D157), $B172 * E157, "")</f>
        <v>-904.97737556561094</v>
      </c>
      <c r="G157" s="109">
        <v>210</v>
      </c>
      <c r="H157" s="107">
        <f>IF(ISNUMBER(G157), (G157 - $B157) / $B157, "")</f>
        <v>-4.9773755656108594E-2</v>
      </c>
      <c r="I157" s="110">
        <f>IF(ISNUMBER(G157), $B172 * H157, "")</f>
        <v>-4977.3755656108597</v>
      </c>
      <c r="J157" s="106">
        <v>206</v>
      </c>
      <c r="K157" s="107">
        <f>IF(ISNUMBER(J157), (J157 - $B157) / $B157, "")</f>
        <v>-6.7873303167420809E-2</v>
      </c>
      <c r="L157" s="108">
        <f>IF(ISNUMBER(J157), $B172 * K157, "")</f>
        <v>-6787.3303167420809</v>
      </c>
      <c r="M157" s="109">
        <v>208</v>
      </c>
      <c r="N157" s="107">
        <f>IF(ISNUMBER(M157), (M157 - $B157) / $B157, "")</f>
        <v>-5.8823529411764705E-2</v>
      </c>
      <c r="O157" s="108">
        <f>IF(ISNUMBER(M157), $B172 * N157, "")</f>
        <v>-5882.3529411764703</v>
      </c>
      <c r="Q157" s="238"/>
      <c r="R157" s="238"/>
      <c r="S157" s="238"/>
    </row>
    <row r="158" spans="1:19" ht="17.25" thickBot="1">
      <c r="A158" s="125" t="s">
        <v>86</v>
      </c>
      <c r="B158" s="126">
        <v>386</v>
      </c>
      <c r="C158" s="77">
        <v>2.93333333E-2</v>
      </c>
      <c r="D158" s="15">
        <v>381</v>
      </c>
      <c r="E158" s="32">
        <f t="shared" ref="E158:E161" si="82">IF(ISNUMBER(D158), (D158 - $B158) / $B158, "")</f>
        <v>-1.2953367875647668E-2</v>
      </c>
      <c r="F158" s="18">
        <f>IF(ISNUMBER(D158), $B172 * E158, "")</f>
        <v>-1295.3367875647668</v>
      </c>
      <c r="G158" s="31">
        <v>404</v>
      </c>
      <c r="H158" s="32">
        <f t="shared" ref="H158:H161" si="83">IF(ISNUMBER(G158), (G158 - $B158) / $B158, "")</f>
        <v>4.6632124352331605E-2</v>
      </c>
      <c r="I158" s="101">
        <f>IF(ISNUMBER(G158), $B172 * H158, "")</f>
        <v>4663.2124352331602</v>
      </c>
      <c r="J158" s="15">
        <v>389</v>
      </c>
      <c r="K158" s="32">
        <f t="shared" ref="K158:K161" si="84">IF(ISNUMBER(J158), (J158 - $B158) / $B158, "")</f>
        <v>7.7720207253886009E-3</v>
      </c>
      <c r="L158" s="18">
        <f>IF(ISNUMBER(J158), $B172 * K158, "")</f>
        <v>777.20207253886008</v>
      </c>
      <c r="M158" s="31">
        <v>389</v>
      </c>
      <c r="N158" s="32">
        <f t="shared" ref="N158:N161" si="85">IF(ISNUMBER(M158), (M158 - $B158) / $B158, "")</f>
        <v>7.7720207253886009E-3</v>
      </c>
      <c r="O158" s="18">
        <f>IF(ISNUMBER(M158), $B172 * N158, "")</f>
        <v>777.20207253886008</v>
      </c>
      <c r="Q158" s="238"/>
      <c r="R158" s="238"/>
      <c r="S158" s="238"/>
    </row>
    <row r="159" spans="1:19" ht="17.25" thickBot="1">
      <c r="A159" s="125" t="s">
        <v>228</v>
      </c>
      <c r="B159" s="126">
        <v>407</v>
      </c>
      <c r="C159" s="77">
        <v>2.77777778E-2</v>
      </c>
      <c r="D159" s="15">
        <v>406</v>
      </c>
      <c r="E159" s="32">
        <f t="shared" si="82"/>
        <v>-2.4570024570024569E-3</v>
      </c>
      <c r="F159" s="18">
        <f>IF(ISNUMBER(D159), $B172 * E159, "")</f>
        <v>-245.70024570024569</v>
      </c>
      <c r="G159" s="31">
        <v>397</v>
      </c>
      <c r="H159" s="32">
        <f t="shared" si="83"/>
        <v>-2.4570024570024569E-2</v>
      </c>
      <c r="I159" s="101">
        <f>IF(ISNUMBER(G159), $B172 * H159, "")</f>
        <v>-2457.002457002457</v>
      </c>
      <c r="J159" s="15">
        <v>390</v>
      </c>
      <c r="K159" s="32">
        <f t="shared" si="84"/>
        <v>-4.1769041769041768E-2</v>
      </c>
      <c r="L159" s="18">
        <f>IF(ISNUMBER(J159), $B172 * K159, "")</f>
        <v>-4176.9041769041769</v>
      </c>
      <c r="M159" s="31">
        <v>388</v>
      </c>
      <c r="N159" s="32">
        <f t="shared" si="85"/>
        <v>-4.6683046683046681E-2</v>
      </c>
      <c r="O159" s="18">
        <f>IF(ISNUMBER(M159), $B172 * N159, "")</f>
        <v>-4668.3046683046678</v>
      </c>
      <c r="Q159" s="238"/>
      <c r="R159" s="238"/>
      <c r="S159" s="238"/>
    </row>
    <row r="160" spans="1:19" ht="17.25" thickBot="1">
      <c r="A160" s="125" t="s">
        <v>54</v>
      </c>
      <c r="B160" s="126">
        <v>266</v>
      </c>
      <c r="C160" s="77">
        <v>2.7027026999999999E-2</v>
      </c>
      <c r="D160" s="15">
        <v>266</v>
      </c>
      <c r="E160" s="32">
        <f t="shared" si="82"/>
        <v>0</v>
      </c>
      <c r="F160" s="18">
        <f>IF(ISNUMBER(D160), $B172 * E160, "")</f>
        <v>0</v>
      </c>
      <c r="G160" s="31">
        <v>260</v>
      </c>
      <c r="H160" s="32">
        <f t="shared" si="83"/>
        <v>-2.2556390977443608E-2</v>
      </c>
      <c r="I160" s="101">
        <f>IF(ISNUMBER(G160), $B172 * H160, "")</f>
        <v>-2255.6390977443607</v>
      </c>
      <c r="J160" s="15">
        <v>257</v>
      </c>
      <c r="K160" s="32">
        <f t="shared" si="84"/>
        <v>-3.3834586466165412E-2</v>
      </c>
      <c r="L160" s="18">
        <f>IF(ISNUMBER(J160), $B172 * K160, "")</f>
        <v>-3383.458646616541</v>
      </c>
      <c r="M160" s="31">
        <v>257</v>
      </c>
      <c r="N160" s="32">
        <f t="shared" si="85"/>
        <v>-3.3834586466165412E-2</v>
      </c>
      <c r="O160" s="18">
        <f>IF(ISNUMBER(M160), $B172 * N160, "")</f>
        <v>-3383.458646616541</v>
      </c>
      <c r="Q160" s="33"/>
      <c r="R160" s="33"/>
    </row>
    <row r="161" spans="1:19" ht="17.25" thickBot="1">
      <c r="A161" s="130" t="s">
        <v>192</v>
      </c>
      <c r="B161" s="131">
        <v>239</v>
      </c>
      <c r="C161" s="79">
        <v>2.5751072999999999E-2</v>
      </c>
      <c r="D161" s="24">
        <v>241</v>
      </c>
      <c r="E161" s="25">
        <f t="shared" si="82"/>
        <v>8.368200836820083E-3</v>
      </c>
      <c r="F161" s="104">
        <f>IF(ISNUMBER(D161), $B172 * E161, "")</f>
        <v>836.82008368200832</v>
      </c>
      <c r="G161" s="102">
        <v>235</v>
      </c>
      <c r="H161" s="25">
        <f t="shared" si="83"/>
        <v>-1.6736401673640166E-2</v>
      </c>
      <c r="I161" s="103">
        <f>IF(ISNUMBER(G161), $B172 * H161, "")</f>
        <v>-1673.6401673640166</v>
      </c>
      <c r="J161" s="24">
        <v>230</v>
      </c>
      <c r="K161" s="25">
        <f t="shared" si="84"/>
        <v>-3.7656903765690378E-2</v>
      </c>
      <c r="L161" s="104">
        <f>IF(ISNUMBER(J161), $B172 * K161, "")</f>
        <v>-3765.6903765690377</v>
      </c>
      <c r="M161" s="102">
        <v>228</v>
      </c>
      <c r="N161" s="25">
        <f t="shared" si="85"/>
        <v>-4.6025104602510462E-2</v>
      </c>
      <c r="O161" s="104">
        <f>IF(ISNUMBER(M161), $B172 * N161, "")</f>
        <v>-4602.5104602510464</v>
      </c>
      <c r="Q161" s="239"/>
      <c r="R161" s="240"/>
      <c r="S161" s="241"/>
    </row>
    <row r="162" spans="1:19">
      <c r="A162" s="123" t="s">
        <v>254</v>
      </c>
      <c r="B162" s="124">
        <v>314</v>
      </c>
      <c r="C162" s="76">
        <v>2.2801302900000001E-2</v>
      </c>
      <c r="D162" s="13">
        <v>311</v>
      </c>
      <c r="E162" s="14">
        <f>IF(ISNUMBER(D162), (D162 - $B162) / $B162, "")</f>
        <v>-9.5541401273885346E-3</v>
      </c>
      <c r="F162" s="16">
        <f>IF(ISNUMBER(D162), $B172 * E162, "")</f>
        <v>-955.41401273885344</v>
      </c>
      <c r="G162" s="29">
        <v>304</v>
      </c>
      <c r="H162" s="14">
        <f>IF(ISNUMBER(G162), (G162 - $B162) / $B162, "")</f>
        <v>-3.1847133757961783E-2</v>
      </c>
      <c r="I162" s="100">
        <f>IF(ISNUMBER(G162), $B172 * H162, "")</f>
        <v>-3184.7133757961783</v>
      </c>
      <c r="J162" s="13">
        <v>300</v>
      </c>
      <c r="K162" s="14">
        <f>IF(ISNUMBER(J162), (J162 - $B162) / $B162, "")</f>
        <v>-4.4585987261146494E-2</v>
      </c>
      <c r="L162" s="16">
        <f>IF(ISNUMBER(J162), $B172 * K162, "")</f>
        <v>-4458.5987261146493</v>
      </c>
      <c r="M162" s="29">
        <v>299</v>
      </c>
      <c r="N162" s="14">
        <f>IF(ISNUMBER(M162), (M162 - $B162) / $B162, "")</f>
        <v>-4.7770700636942678E-2</v>
      </c>
      <c r="O162" s="16">
        <f>IF(ISNUMBER(M162), $B172 * N162, "")</f>
        <v>-4777.0700636942674</v>
      </c>
      <c r="Q162" s="242"/>
      <c r="R162" s="243"/>
      <c r="S162" s="244"/>
    </row>
    <row r="163" spans="1:19" ht="17.25" thickBot="1">
      <c r="A163" s="125" t="s">
        <v>218</v>
      </c>
      <c r="B163" s="126">
        <v>137</v>
      </c>
      <c r="C163" s="77">
        <v>2.2388059700000001E-2</v>
      </c>
      <c r="D163" s="15">
        <v>135</v>
      </c>
      <c r="E163" s="32">
        <f t="shared" ref="E163:E166" si="86">IF(ISNUMBER(D163), (D163 - $B163) / $B163, "")</f>
        <v>-1.4598540145985401E-2</v>
      </c>
      <c r="F163" s="18">
        <f>IF(ISNUMBER(D163), $B172 * E163, "")</f>
        <v>-1459.8540145985401</v>
      </c>
      <c r="G163" s="31">
        <v>133</v>
      </c>
      <c r="H163" s="32">
        <f t="shared" ref="H163:H166" si="87">IF(ISNUMBER(G163), (G163 - $B163) / $B163, "")</f>
        <v>-2.9197080291970802E-2</v>
      </c>
      <c r="I163" s="101">
        <f>IF(ISNUMBER(G163), $B172 * H163, "")</f>
        <v>-2919.7080291970801</v>
      </c>
      <c r="J163" s="15">
        <v>130</v>
      </c>
      <c r="K163" s="32">
        <f t="shared" ref="K163:K166" si="88">IF(ISNUMBER(J163), (J163 - $B163) / $B163, "")</f>
        <v>-5.1094890510948905E-2</v>
      </c>
      <c r="L163" s="18">
        <f>IF(ISNUMBER(J163), $B172 * K163, "")</f>
        <v>-5109.4890510948908</v>
      </c>
      <c r="M163" s="31">
        <v>129</v>
      </c>
      <c r="N163" s="32">
        <f t="shared" ref="N163:N166" si="89">IF(ISNUMBER(M163), (M163 - $B163) / $B163, "")</f>
        <v>-5.8394160583941604E-2</v>
      </c>
      <c r="O163" s="18">
        <f>IF(ISNUMBER(M163), $B172 * N163, "")</f>
        <v>-5839.4160583941602</v>
      </c>
      <c r="Q163" s="245"/>
      <c r="R163" s="246"/>
      <c r="S163" s="247"/>
    </row>
    <row r="164" spans="1:19" ht="17.25" thickBot="1">
      <c r="A164" s="125" t="s">
        <v>194</v>
      </c>
      <c r="B164" s="126">
        <v>148</v>
      </c>
      <c r="C164" s="77">
        <v>2.06896552E-2</v>
      </c>
      <c r="D164" s="15">
        <v>149</v>
      </c>
      <c r="E164" s="32">
        <f t="shared" si="86"/>
        <v>6.7567567567567571E-3</v>
      </c>
      <c r="F164" s="18">
        <f>IF(ISNUMBER(D164), $B172 * E164, "")</f>
        <v>675.67567567567573</v>
      </c>
      <c r="G164" s="31">
        <v>145</v>
      </c>
      <c r="H164" s="32">
        <f t="shared" si="87"/>
        <v>-2.0270270270270271E-2</v>
      </c>
      <c r="I164" s="101">
        <f>IF(ISNUMBER(G164), $B172 * H164, "")</f>
        <v>-2027.0270270270271</v>
      </c>
      <c r="J164" s="15">
        <v>143</v>
      </c>
      <c r="K164" s="32">
        <f t="shared" si="88"/>
        <v>-3.3783783783783786E-2</v>
      </c>
      <c r="L164" s="18">
        <f>IF(ISNUMBER(J164), $B172 * K164, "")</f>
        <v>-3378.3783783783788</v>
      </c>
      <c r="M164" s="31">
        <v>142</v>
      </c>
      <c r="N164" s="32">
        <f t="shared" si="89"/>
        <v>-4.0540540540540543E-2</v>
      </c>
      <c r="O164" s="18">
        <f>IF(ISNUMBER(M164), $B172 * N164, "")</f>
        <v>-4054.0540540540542</v>
      </c>
      <c r="Q164" s="238"/>
      <c r="R164" s="238"/>
      <c r="S164" s="238"/>
    </row>
    <row r="165" spans="1:19" ht="17.25" thickBot="1">
      <c r="A165" s="125" t="s">
        <v>174</v>
      </c>
      <c r="B165" s="126">
        <v>360</v>
      </c>
      <c r="C165" s="77">
        <v>1.98300283E-2</v>
      </c>
      <c r="D165" s="15">
        <v>357</v>
      </c>
      <c r="E165" s="32">
        <f t="shared" si="86"/>
        <v>-8.3333333333333332E-3</v>
      </c>
      <c r="F165" s="18">
        <f>IF(ISNUMBER(D165), $B172 * E165, "")</f>
        <v>-833.33333333333337</v>
      </c>
      <c r="G165" s="31">
        <v>351</v>
      </c>
      <c r="H165" s="32">
        <f t="shared" si="87"/>
        <v>-2.5000000000000001E-2</v>
      </c>
      <c r="I165" s="101">
        <f>IF(ISNUMBER(G165), $B172 * H165, "")</f>
        <v>-2500</v>
      </c>
      <c r="J165" s="15">
        <v>346</v>
      </c>
      <c r="K165" s="32">
        <f t="shared" si="88"/>
        <v>-3.888888888888889E-2</v>
      </c>
      <c r="L165" s="18">
        <f>IF(ISNUMBER(J165), $B172 * K165, "")</f>
        <v>-3888.8888888888891</v>
      </c>
      <c r="M165" s="31">
        <v>344</v>
      </c>
      <c r="N165" s="32">
        <f t="shared" si="89"/>
        <v>-4.4444444444444446E-2</v>
      </c>
      <c r="O165" s="18">
        <f>IF(ISNUMBER(M165), $B172 * N165, "")</f>
        <v>-4444.4444444444443</v>
      </c>
      <c r="Q165" s="248"/>
      <c r="R165" s="248"/>
      <c r="S165" s="248"/>
    </row>
    <row r="166" spans="1:19" ht="17.25" thickBot="1">
      <c r="A166" s="127" t="s">
        <v>222</v>
      </c>
      <c r="B166" s="128">
        <v>155</v>
      </c>
      <c r="C166" s="78">
        <v>1.9736842099999999E-2</v>
      </c>
      <c r="D166" s="20">
        <v>153</v>
      </c>
      <c r="E166" s="21">
        <f t="shared" si="86"/>
        <v>-1.2903225806451613E-2</v>
      </c>
      <c r="F166" s="22">
        <f>IF(ISNUMBER(D166), $B172 * E166, "")</f>
        <v>-1290.3225806451612</v>
      </c>
      <c r="G166" s="30">
        <v>148</v>
      </c>
      <c r="H166" s="21">
        <f t="shared" si="87"/>
        <v>-4.5161290322580643E-2</v>
      </c>
      <c r="I166" s="105">
        <f>IF(ISNUMBER(G166), $B172 * H166, "")</f>
        <v>-4516.1290322580644</v>
      </c>
      <c r="J166" s="20">
        <v>147</v>
      </c>
      <c r="K166" s="21">
        <f t="shared" si="88"/>
        <v>-5.1612903225806452E-2</v>
      </c>
      <c r="L166" s="22">
        <f>IF(ISNUMBER(J166), $B172 * K166, "")</f>
        <v>-5161.2903225806449</v>
      </c>
      <c r="M166" s="30">
        <v>146</v>
      </c>
      <c r="N166" s="21">
        <f t="shared" si="89"/>
        <v>-5.8064516129032261E-2</v>
      </c>
      <c r="O166" s="22">
        <f>IF(ISNUMBER(M166), $B172 * N166, "")</f>
        <v>-5806.4516129032263</v>
      </c>
      <c r="Q166" s="248"/>
      <c r="R166" s="248"/>
      <c r="S166" s="248"/>
    </row>
    <row r="167" spans="1:19" ht="17.25" thickBot="1">
      <c r="A167" s="125" t="s">
        <v>232</v>
      </c>
      <c r="B167" s="129">
        <v>529</v>
      </c>
      <c r="C167" s="80">
        <v>1.73076923E-2</v>
      </c>
      <c r="D167" s="106">
        <v>541</v>
      </c>
      <c r="E167" s="107">
        <f>IF(ISNUMBER(D167), (D167 - $B167) / $B167, "")</f>
        <v>2.2684310018903593E-2</v>
      </c>
      <c r="F167" s="108">
        <f>IF(ISNUMBER(D167), $B172 * E167, "")</f>
        <v>2268.4310018903593</v>
      </c>
      <c r="G167" s="109">
        <v>548</v>
      </c>
      <c r="H167" s="107">
        <f>IF(ISNUMBER(G167), (G167 - $B167) / $B167, "")</f>
        <v>3.5916824196597356E-2</v>
      </c>
      <c r="I167" s="110">
        <f>IF(ISNUMBER(G167), $B172 * H167, "")</f>
        <v>3591.6824196597358</v>
      </c>
      <c r="J167" s="106">
        <v>542</v>
      </c>
      <c r="K167" s="107">
        <f>IF(ISNUMBER(J167), (J167 - $B167) / $B167, "")</f>
        <v>2.4574669187145556E-2</v>
      </c>
      <c r="L167" s="108">
        <f>IF(ISNUMBER(J167), $B172 * K167, "")</f>
        <v>2457.4669187145555</v>
      </c>
      <c r="M167" s="109">
        <v>533</v>
      </c>
      <c r="N167" s="107">
        <f>IF(ISNUMBER(M167), (M167 - $B167) / $B167, "")</f>
        <v>7.5614366729678641E-3</v>
      </c>
      <c r="O167" s="108">
        <f>IF(ISNUMBER(M167), $B172 * N167, "")</f>
        <v>756.14366729678636</v>
      </c>
      <c r="Q167" s="238"/>
      <c r="R167" s="238"/>
      <c r="S167" s="238"/>
    </row>
    <row r="168" spans="1:19" ht="17.25" thickBot="1">
      <c r="A168" s="125" t="s">
        <v>166</v>
      </c>
      <c r="B168" s="126">
        <v>272</v>
      </c>
      <c r="C168" s="77">
        <v>1.49253731E-2</v>
      </c>
      <c r="D168" s="15">
        <v>267</v>
      </c>
      <c r="E168" s="32">
        <f t="shared" ref="E168:E171" si="90">IF(ISNUMBER(D168), (D168 - $B168) / $B168, "")</f>
        <v>-1.8382352941176471E-2</v>
      </c>
      <c r="F168" s="18">
        <f>IF(ISNUMBER(D168), $B172 * E168, "")</f>
        <v>-1838.2352941176471</v>
      </c>
      <c r="G168" s="31">
        <v>261</v>
      </c>
      <c r="H168" s="32">
        <f t="shared" ref="H168:H171" si="91">IF(ISNUMBER(G168), (G168 - $B168) / $B168, "")</f>
        <v>-4.0441176470588237E-2</v>
      </c>
      <c r="I168" s="101">
        <f>IF(ISNUMBER(G168), $B172 * H168, "")</f>
        <v>-4044.1176470588239</v>
      </c>
      <c r="J168" s="15">
        <v>257</v>
      </c>
      <c r="K168" s="32">
        <f t="shared" ref="K168:K171" si="92">IF(ISNUMBER(J168), (J168 - $B168) / $B168, "")</f>
        <v>-5.514705882352941E-2</v>
      </c>
      <c r="L168" s="18">
        <f>IF(ISNUMBER(J168), $B172 * K168, "")</f>
        <v>-5514.7058823529414</v>
      </c>
      <c r="M168" s="31">
        <v>254</v>
      </c>
      <c r="N168" s="32">
        <f t="shared" ref="N168:N171" si="93">IF(ISNUMBER(M168), (M168 - $B168) / $B168, "")</f>
        <v>-6.6176470588235295E-2</v>
      </c>
      <c r="O168" s="18">
        <f>IF(ISNUMBER(M168), $B172 * N168, "")</f>
        <v>-6617.6470588235297</v>
      </c>
      <c r="Q168" s="238"/>
      <c r="R168" s="238"/>
      <c r="S168" s="238"/>
    </row>
    <row r="169" spans="1:19" ht="17.25" thickBot="1">
      <c r="A169" s="125" t="s">
        <v>242</v>
      </c>
      <c r="B169" s="126">
        <v>498</v>
      </c>
      <c r="C169" s="77">
        <v>1.4256619099999999E-2</v>
      </c>
      <c r="D169" s="15">
        <v>495</v>
      </c>
      <c r="E169" s="32">
        <f t="shared" si="90"/>
        <v>-6.024096385542169E-3</v>
      </c>
      <c r="F169" s="18">
        <f>IF(ISNUMBER(D169), $B172 * E169, "")</f>
        <v>-602.40963855421694</v>
      </c>
      <c r="G169" s="31">
        <v>484</v>
      </c>
      <c r="H169" s="32">
        <f t="shared" si="91"/>
        <v>-2.8112449799196786E-2</v>
      </c>
      <c r="I169" s="101">
        <f>IF(ISNUMBER(G169), $B172 * H169, "")</f>
        <v>-2811.2449799196788</v>
      </c>
      <c r="J169" s="15">
        <v>478</v>
      </c>
      <c r="K169" s="32">
        <f t="shared" si="92"/>
        <v>-4.0160642570281124E-2</v>
      </c>
      <c r="L169" s="18">
        <f>IF(ISNUMBER(J169), $B172 * K169, "")</f>
        <v>-4016.0642570281125</v>
      </c>
      <c r="M169" s="31">
        <v>474</v>
      </c>
      <c r="N169" s="32">
        <f t="shared" si="93"/>
        <v>-4.8192771084337352E-2</v>
      </c>
      <c r="O169" s="18">
        <f>IF(ISNUMBER(M169), $B172 * N169, "")</f>
        <v>-4819.2771084337355</v>
      </c>
      <c r="Q169" s="238"/>
      <c r="R169" s="238"/>
      <c r="S169" s="238"/>
    </row>
    <row r="170" spans="1:19">
      <c r="A170" s="125" t="s">
        <v>110</v>
      </c>
      <c r="B170" s="126">
        <v>192</v>
      </c>
      <c r="C170" s="77">
        <v>1.05263158E-2</v>
      </c>
      <c r="D170" s="15">
        <v>192</v>
      </c>
      <c r="E170" s="32">
        <f t="shared" si="90"/>
        <v>0</v>
      </c>
      <c r="F170" s="18">
        <f>IF(ISNUMBER(D170), $B172 * E170, "")</f>
        <v>0</v>
      </c>
      <c r="G170" s="31">
        <v>187</v>
      </c>
      <c r="H170" s="32">
        <f t="shared" si="91"/>
        <v>-2.6041666666666668E-2</v>
      </c>
      <c r="I170" s="101">
        <f>IF(ISNUMBER(G170), $B172 * H170, "")</f>
        <v>-2604.166666666667</v>
      </c>
      <c r="J170" s="15">
        <v>185</v>
      </c>
      <c r="K170" s="32">
        <f t="shared" si="92"/>
        <v>-3.6458333333333336E-2</v>
      </c>
      <c r="L170" s="18">
        <f>IF(ISNUMBER(J170), $B172 * K170, "")</f>
        <v>-3645.8333333333335</v>
      </c>
      <c r="M170" s="31">
        <v>182</v>
      </c>
      <c r="N170" s="32">
        <f t="shared" si="93"/>
        <v>-5.2083333333333336E-2</v>
      </c>
      <c r="O170" s="18">
        <f>IF(ISNUMBER(M170), $B172 * N170, "")</f>
        <v>-5208.3333333333339</v>
      </c>
      <c r="Q170" s="227"/>
      <c r="R170" s="228"/>
      <c r="S170" s="229"/>
    </row>
    <row r="171" spans="1:19" ht="17.25" thickBot="1">
      <c r="A171" s="130" t="s">
        <v>114</v>
      </c>
      <c r="B171" s="131">
        <v>785</v>
      </c>
      <c r="C171" s="79">
        <v>7.7021822999999998E-3</v>
      </c>
      <c r="D171" s="24">
        <v>768</v>
      </c>
      <c r="E171" s="25">
        <f t="shared" si="90"/>
        <v>-2.1656050955414011E-2</v>
      </c>
      <c r="F171" s="104">
        <f>IF(ISNUMBER(D171), $B172 * E171, "")</f>
        <v>-2165.6050955414012</v>
      </c>
      <c r="G171" s="102">
        <v>759</v>
      </c>
      <c r="H171" s="25">
        <f t="shared" si="91"/>
        <v>-3.3121019108280254E-2</v>
      </c>
      <c r="I171" s="103">
        <f>IF(ISNUMBER(G171), $B172 * H171, "")</f>
        <v>-3312.1019108280252</v>
      </c>
      <c r="J171" s="24">
        <v>751</v>
      </c>
      <c r="K171" s="25">
        <f t="shared" si="92"/>
        <v>-4.3312101910828023E-2</v>
      </c>
      <c r="L171" s="104">
        <f>IF(ISNUMBER(J171), $B172 * K171, "")</f>
        <v>-4331.2101910828023</v>
      </c>
      <c r="M171" s="102">
        <v>744</v>
      </c>
      <c r="N171" s="25">
        <f t="shared" si="93"/>
        <v>-5.2229299363057327E-2</v>
      </c>
      <c r="O171" s="104">
        <f>IF(ISNUMBER(M171), $B172 * N171, "")</f>
        <v>-5222.9299363057326</v>
      </c>
      <c r="Q171" s="230"/>
      <c r="R171" s="231"/>
      <c r="S171" s="232"/>
    </row>
    <row r="172" spans="1:19" ht="17.25" thickBot="1">
      <c r="A172" s="132" t="s">
        <v>270</v>
      </c>
      <c r="B172" s="291">
        <f>$B$37</f>
        <v>100000</v>
      </c>
      <c r="C172" s="292"/>
      <c r="D172" s="26" t="s">
        <v>271</v>
      </c>
      <c r="E172" s="27">
        <f>IF(COUNT(E152:E171), SUM(E152:E171) / COUNT(E152:E171), 0)</f>
        <v>-6.3568676008337547E-3</v>
      </c>
      <c r="F172" s="28">
        <f>SUM(F152:F171)</f>
        <v>-12713.735201667505</v>
      </c>
      <c r="G172" s="26" t="s">
        <v>271</v>
      </c>
      <c r="H172" s="27">
        <f>IF(COUNT(H152:H171), SUM(H152:H171) / COUNT(H152:H171), 0)</f>
        <v>-2.3300179131716284E-2</v>
      </c>
      <c r="I172" s="28">
        <f>SUM(I152:I171)</f>
        <v>-46600.358263432565</v>
      </c>
      <c r="J172" s="26" t="s">
        <v>271</v>
      </c>
      <c r="K172" s="27">
        <f>IF(COUNT(K152:K171), SUM(K152:K171) / COUNT(K152:K171), 0)</f>
        <v>-3.8437459880258935E-2</v>
      </c>
      <c r="L172" s="28">
        <f>SUM(L152:L171)</f>
        <v>-76874.919760517863</v>
      </c>
      <c r="M172" s="26" t="s">
        <v>271</v>
      </c>
      <c r="N172" s="27">
        <f>IF(COUNT(N152:N171), SUM(N152:N171) / COUNT(N152:N171), 0)</f>
        <v>-4.5875687062830059E-2</v>
      </c>
      <c r="O172" s="28">
        <f>SUM(O152:O171)</f>
        <v>-91751.374125660092</v>
      </c>
      <c r="Q172" s="233"/>
      <c r="R172" s="234"/>
      <c r="S172" s="23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48"/>
      <c r="R175" s="248"/>
      <c r="S175" s="248"/>
    </row>
    <row r="176" spans="1:19" ht="17.25" thickBot="1">
      <c r="A176" s="201" t="s">
        <v>267</v>
      </c>
      <c r="B176" s="249" t="s">
        <v>49</v>
      </c>
      <c r="C176" s="251"/>
      <c r="D176" s="249" t="s">
        <v>58</v>
      </c>
      <c r="E176" s="250"/>
      <c r="F176" s="251"/>
      <c r="G176" s="252">
        <f>_xlfn.IFNA(VLOOKUP(B176, 현재가테이블!$B$2:$D$200, 2, FALSE), "-")</f>
        <v>54440000</v>
      </c>
      <c r="H176" s="253"/>
      <c r="I176" s="254"/>
      <c r="J176" s="249" t="s">
        <v>59</v>
      </c>
      <c r="K176" s="250"/>
      <c r="L176" s="251"/>
      <c r="M176" s="255">
        <f>_xlfn.IFNA(VLOOKUP(B176, 현재가테이블!$B$2:$D$200, 3, FALSE), "-")</f>
        <v>1.07123628E-2</v>
      </c>
      <c r="N176" s="256"/>
      <c r="O176" s="257"/>
      <c r="Q176" s="248"/>
      <c r="R176" s="248"/>
      <c r="S176" s="248"/>
    </row>
    <row r="177" spans="1:19" ht="17.25" thickBot="1">
      <c r="A177" s="293" t="s">
        <v>55</v>
      </c>
      <c r="B177" s="289" t="str">
        <f>TEXT($G$1, "[$-ko-KR]yyyy-mm-dd(ddd) ") &amp; "오전 00:00"</f>
        <v>2021-08-12(목) 오전 00:00</v>
      </c>
      <c r="C177" s="290"/>
      <c r="D177" s="262" t="str">
        <f>TEXT($G$1, "[$-ko-KR]yyyy-mm-dd(ddd) ") &amp; "오후 14:00"</f>
        <v>2021-08-12(목) 오후 14:00</v>
      </c>
      <c r="E177" s="263"/>
      <c r="F177" s="264"/>
      <c r="G177" s="262" t="str">
        <f>TEXT($G$1, "[$-ko-KR]yyyy-mm-dd(ddd) ") &amp; "오후 19:00"</f>
        <v>2021-08-12(목) 오후 19:00</v>
      </c>
      <c r="H177" s="263"/>
      <c r="I177" s="264"/>
      <c r="J177" s="262" t="str">
        <f>TEXT($G$1, "[$-ko-KR]yyyy-mm-dd(ddd) ") &amp; "오후 21:00"</f>
        <v>2021-08-12(목) 오후 21:00</v>
      </c>
      <c r="K177" s="263"/>
      <c r="L177" s="264"/>
      <c r="M177" s="262" t="str">
        <f>TEXT($G$1+1, "[$-ko-KR]yyyy-mm-dd(ddd) ") &amp; "오전 00:00"</f>
        <v>2021-08-13(금) 오전 00:00</v>
      </c>
      <c r="N177" s="263"/>
      <c r="O177" s="264"/>
      <c r="Q177" s="248"/>
      <c r="R177" s="248"/>
      <c r="S177" s="248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2" t="s">
        <v>58</v>
      </c>
      <c r="H178" s="203" t="s">
        <v>268</v>
      </c>
      <c r="I178" s="20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8"/>
      <c r="R178" s="238"/>
      <c r="S178" s="238"/>
    </row>
    <row r="179" spans="1:19" ht="17.25" thickBot="1">
      <c r="A179" s="123" t="s">
        <v>254</v>
      </c>
      <c r="B179" s="124">
        <v>314</v>
      </c>
      <c r="C179" s="76">
        <v>2.2801302900000001E-2</v>
      </c>
      <c r="D179" s="13">
        <v>311</v>
      </c>
      <c r="E179" s="14">
        <f>IF(ISNUMBER(D179), (D179 - $B179) / $B179, "")</f>
        <v>-9.5541401273885346E-3</v>
      </c>
      <c r="F179" s="16">
        <f>IF(ISNUMBER(D179), $B199 * E179, "")</f>
        <v>-955.41401273885344</v>
      </c>
      <c r="G179" s="29">
        <v>304</v>
      </c>
      <c r="H179" s="14">
        <f>IF(ISNUMBER(G179), (G179 - $B179) / $B179, "")</f>
        <v>-3.1847133757961783E-2</v>
      </c>
      <c r="I179" s="100">
        <f>IF(ISNUMBER(G179), $B199 * H179, "")</f>
        <v>-3184.7133757961783</v>
      </c>
      <c r="J179" s="13">
        <v>300</v>
      </c>
      <c r="K179" s="14">
        <f>IF(ISNUMBER(J179), (J179 - $B179) / $B179, "")</f>
        <v>-4.4585987261146494E-2</v>
      </c>
      <c r="L179" s="16">
        <f>IF(ISNUMBER(J179), $B199 * K179, "")</f>
        <v>-4458.5987261146493</v>
      </c>
      <c r="M179" s="29">
        <v>299</v>
      </c>
      <c r="N179" s="14">
        <f>IF(ISNUMBER(M179), (M179 - $B179) / $B179, "")</f>
        <v>-4.7770700636942678E-2</v>
      </c>
      <c r="O179" s="16">
        <f>IF(ISNUMBER(M179), $B199 * N179, "")</f>
        <v>-4777.0700636942674</v>
      </c>
      <c r="Q179" s="248"/>
      <c r="R179" s="248"/>
      <c r="S179" s="248"/>
    </row>
    <row r="180" spans="1:19" ht="17.25" thickBot="1">
      <c r="A180" s="125" t="s">
        <v>218</v>
      </c>
      <c r="B180" s="126">
        <v>137</v>
      </c>
      <c r="C180" s="77">
        <v>2.2388059700000001E-2</v>
      </c>
      <c r="D180" s="15">
        <v>135</v>
      </c>
      <c r="E180" s="32">
        <f t="shared" ref="E180:E183" si="94">IF(ISNUMBER(D180), (D180 - $B180) / $B180, "")</f>
        <v>-1.4598540145985401E-2</v>
      </c>
      <c r="F180" s="18">
        <f>IF(ISNUMBER(D180), $B199 * E180, "")</f>
        <v>-1459.8540145985401</v>
      </c>
      <c r="G180" s="31">
        <v>133</v>
      </c>
      <c r="H180" s="32">
        <f t="shared" ref="H180:H183" si="95">IF(ISNUMBER(G180), (G180 - $B180) / $B180, "")</f>
        <v>-2.9197080291970802E-2</v>
      </c>
      <c r="I180" s="101">
        <f>IF(ISNUMBER(G180), $B199 * H180, "")</f>
        <v>-2919.7080291970801</v>
      </c>
      <c r="J180" s="15">
        <v>130</v>
      </c>
      <c r="K180" s="32">
        <f t="shared" ref="K180:K183" si="96">IF(ISNUMBER(J180), (J180 - $B180) / $B180, "")</f>
        <v>-5.1094890510948905E-2</v>
      </c>
      <c r="L180" s="18">
        <f>IF(ISNUMBER(J180), $B199 * K180, "")</f>
        <v>-5109.4890510948908</v>
      </c>
      <c r="M180" s="31">
        <v>129</v>
      </c>
      <c r="N180" s="32">
        <f t="shared" ref="N180:N183" si="97">IF(ISNUMBER(M180), (M180 - $B180) / $B180, "")</f>
        <v>-5.8394160583941604E-2</v>
      </c>
      <c r="O180" s="18">
        <f>IF(ISNUMBER(M180), $B199 * N180, "")</f>
        <v>-5839.4160583941602</v>
      </c>
      <c r="Q180" s="248"/>
      <c r="R180" s="248"/>
      <c r="S180" s="248"/>
    </row>
    <row r="181" spans="1:19" ht="17.25" thickBot="1">
      <c r="A181" s="125" t="s">
        <v>240</v>
      </c>
      <c r="B181" s="126">
        <v>69.8</v>
      </c>
      <c r="C181" s="77">
        <v>2.1961932699999999E-2</v>
      </c>
      <c r="D181" s="15">
        <v>77.3</v>
      </c>
      <c r="E181" s="32">
        <f t="shared" si="94"/>
        <v>0.10744985673352436</v>
      </c>
      <c r="F181" s="18">
        <f>IF(ISNUMBER(D181), $B199 * E181, "")</f>
        <v>10744.985673352436</v>
      </c>
      <c r="G181" s="31">
        <v>76</v>
      </c>
      <c r="H181" s="32">
        <f t="shared" si="95"/>
        <v>8.8825214899713512E-2</v>
      </c>
      <c r="I181" s="101">
        <f>IF(ISNUMBER(G181), $B199 * H181, "")</f>
        <v>8882.5214899713519</v>
      </c>
      <c r="J181" s="15">
        <v>75</v>
      </c>
      <c r="K181" s="32">
        <f t="shared" si="96"/>
        <v>7.4498567335243598E-2</v>
      </c>
      <c r="L181" s="18">
        <f>IF(ISNUMBER(J181), $B199 * K181, "")</f>
        <v>7449.8567335243597</v>
      </c>
      <c r="M181" s="31">
        <v>74</v>
      </c>
      <c r="N181" s="32">
        <f t="shared" si="97"/>
        <v>6.0171919770773685E-2</v>
      </c>
      <c r="O181" s="18">
        <f>IF(ISNUMBER(M181), $B199 * N181, "")</f>
        <v>6017.1919770773684</v>
      </c>
      <c r="Q181" s="238"/>
      <c r="R181" s="238"/>
      <c r="S181" s="238"/>
    </row>
    <row r="182" spans="1:19" ht="17.25" thickBot="1">
      <c r="A182" s="125" t="s">
        <v>168</v>
      </c>
      <c r="B182" s="126">
        <v>1660</v>
      </c>
      <c r="C182" s="77">
        <v>2.1538461500000002E-2</v>
      </c>
      <c r="D182" s="15">
        <v>1635</v>
      </c>
      <c r="E182" s="32">
        <f t="shared" si="94"/>
        <v>-1.5060240963855422E-2</v>
      </c>
      <c r="F182" s="18">
        <f>IF(ISNUMBER(D182), $B199 * E182, "")</f>
        <v>-1506.0240963855422</v>
      </c>
      <c r="G182" s="31">
        <v>1605</v>
      </c>
      <c r="H182" s="32">
        <f t="shared" si="95"/>
        <v>-3.313253012048193E-2</v>
      </c>
      <c r="I182" s="101">
        <f>IF(ISNUMBER(G182), $B199 * H182, "")</f>
        <v>-3313.2530120481929</v>
      </c>
      <c r="J182" s="15">
        <v>1575</v>
      </c>
      <c r="K182" s="32">
        <f t="shared" si="96"/>
        <v>-5.1204819277108432E-2</v>
      </c>
      <c r="L182" s="18">
        <f>IF(ISNUMBER(J182), $B199 * K182, "")</f>
        <v>-5120.4819277108436</v>
      </c>
      <c r="M182" s="31">
        <v>1555</v>
      </c>
      <c r="N182" s="32">
        <f t="shared" si="97"/>
        <v>-6.3253012048192767E-2</v>
      </c>
      <c r="O182" s="18">
        <f>IF(ISNUMBER(M182), $B199 * N182, "")</f>
        <v>-6325.3012048192768</v>
      </c>
      <c r="Q182" s="238"/>
      <c r="R182" s="238"/>
      <c r="S182" s="238"/>
    </row>
    <row r="183" spans="1:19" ht="17.25" thickBot="1">
      <c r="A183" s="127" t="s">
        <v>170</v>
      </c>
      <c r="B183" s="128">
        <v>33480</v>
      </c>
      <c r="C183" s="78">
        <v>2.1043000900000001E-2</v>
      </c>
      <c r="D183" s="20">
        <v>32480</v>
      </c>
      <c r="E183" s="21">
        <f t="shared" si="94"/>
        <v>-2.986857825567503E-2</v>
      </c>
      <c r="F183" s="22">
        <f>IF(ISNUMBER(D183), $B199 * E183, "")</f>
        <v>-2986.8578255675029</v>
      </c>
      <c r="G183" s="30">
        <v>31740</v>
      </c>
      <c r="H183" s="21">
        <f t="shared" si="95"/>
        <v>-5.197132616487455E-2</v>
      </c>
      <c r="I183" s="105">
        <f>IF(ISNUMBER(G183), $B199 * H183, "")</f>
        <v>-5197.1326164874554</v>
      </c>
      <c r="J183" s="20">
        <v>31370</v>
      </c>
      <c r="K183" s="21">
        <f t="shared" si="96"/>
        <v>-6.3022700119474306E-2</v>
      </c>
      <c r="L183" s="22">
        <f>IF(ISNUMBER(J183), $B199 * K183, "")</f>
        <v>-6302.2700119474302</v>
      </c>
      <c r="M183" s="30">
        <v>31010</v>
      </c>
      <c r="N183" s="21">
        <f t="shared" si="97"/>
        <v>-7.3775388291517321E-2</v>
      </c>
      <c r="O183" s="22">
        <f>IF(ISNUMBER(M183), $B199 * N183, "")</f>
        <v>-7377.538829151732</v>
      </c>
      <c r="Q183" s="238"/>
      <c r="R183" s="238"/>
      <c r="S183" s="238"/>
    </row>
    <row r="184" spans="1:19" ht="17.25" thickBot="1">
      <c r="A184" s="125" t="s">
        <v>194</v>
      </c>
      <c r="B184" s="129">
        <v>148</v>
      </c>
      <c r="C184" s="80">
        <v>2.06896552E-2</v>
      </c>
      <c r="D184" s="106">
        <v>149</v>
      </c>
      <c r="E184" s="107">
        <f>IF(ISNUMBER(D184), (D184 - $B184) / $B184, "")</f>
        <v>6.7567567567567571E-3</v>
      </c>
      <c r="F184" s="108">
        <f>IF(ISNUMBER(D184), $B199 * E184, "")</f>
        <v>675.67567567567573</v>
      </c>
      <c r="G184" s="109">
        <v>145</v>
      </c>
      <c r="H184" s="107">
        <f>IF(ISNUMBER(G184), (G184 - $B184) / $B184, "")</f>
        <v>-2.0270270270270271E-2</v>
      </c>
      <c r="I184" s="110">
        <f>IF(ISNUMBER(G184), $B199 * H184, "")</f>
        <v>-2027.0270270270271</v>
      </c>
      <c r="J184" s="106">
        <v>143</v>
      </c>
      <c r="K184" s="107">
        <f>IF(ISNUMBER(J184), (J184 - $B184) / $B184, "")</f>
        <v>-3.3783783783783786E-2</v>
      </c>
      <c r="L184" s="108">
        <f>IF(ISNUMBER(J184), $B199 * K184, "")</f>
        <v>-3378.3783783783788</v>
      </c>
      <c r="M184" s="109">
        <v>142</v>
      </c>
      <c r="N184" s="107">
        <f>IF(ISNUMBER(M184), (M184 - $B184) / $B184, "")</f>
        <v>-4.0540540540540543E-2</v>
      </c>
      <c r="O184" s="108">
        <f>IF(ISNUMBER(M184), $B199 * N184, "")</f>
        <v>-4054.0540540540542</v>
      </c>
      <c r="Q184" s="238"/>
      <c r="R184" s="238"/>
      <c r="S184" s="238"/>
    </row>
    <row r="185" spans="1:19" ht="17.25" thickBot="1">
      <c r="A185" s="125" t="s">
        <v>252</v>
      </c>
      <c r="B185" s="126">
        <v>1020</v>
      </c>
      <c r="C185" s="77">
        <v>0.02</v>
      </c>
      <c r="D185" s="15">
        <v>1020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995</v>
      </c>
      <c r="H185" s="32">
        <f t="shared" ref="H185:H188" si="99">IF(ISNUMBER(G185), (G185 - $B185) / $B185, "")</f>
        <v>-2.4509803921568627E-2</v>
      </c>
      <c r="I185" s="101">
        <f>IF(ISNUMBER(G185), $B199 * H185, "")</f>
        <v>-2450.9803921568628</v>
      </c>
      <c r="J185" s="15">
        <v>989</v>
      </c>
      <c r="K185" s="32">
        <f t="shared" ref="K185:K188" si="100">IF(ISNUMBER(J185), (J185 - $B185) / $B185, "")</f>
        <v>-3.0392156862745098E-2</v>
      </c>
      <c r="L185" s="18">
        <f>IF(ISNUMBER(J185), $B199 * K185, "")</f>
        <v>-3039.2156862745096</v>
      </c>
      <c r="M185" s="31">
        <v>974</v>
      </c>
      <c r="N185" s="32">
        <f t="shared" ref="N185:N188" si="101">IF(ISNUMBER(M185), (M185 - $B185) / $B185, "")</f>
        <v>-4.5098039215686274E-2</v>
      </c>
      <c r="O185" s="18">
        <f>IF(ISNUMBER(M185), $B199 * N185, "")</f>
        <v>-4509.8039215686276</v>
      </c>
      <c r="Q185" s="238"/>
      <c r="R185" s="238"/>
      <c r="S185" s="238"/>
    </row>
    <row r="186" spans="1:19" ht="17.25" thickBot="1">
      <c r="A186" s="125" t="s">
        <v>174</v>
      </c>
      <c r="B186" s="126">
        <v>360</v>
      </c>
      <c r="C186" s="77">
        <v>1.98300283E-2</v>
      </c>
      <c r="D186" s="15">
        <v>357</v>
      </c>
      <c r="E186" s="32">
        <f t="shared" si="98"/>
        <v>-8.3333333333333332E-3</v>
      </c>
      <c r="F186" s="18">
        <f>IF(ISNUMBER(D186), $B199 * E186, "")</f>
        <v>-833.33333333333337</v>
      </c>
      <c r="G186" s="31">
        <v>351</v>
      </c>
      <c r="H186" s="32">
        <f t="shared" si="99"/>
        <v>-2.5000000000000001E-2</v>
      </c>
      <c r="I186" s="101">
        <f>IF(ISNUMBER(G186), $B199 * H186, "")</f>
        <v>-2500</v>
      </c>
      <c r="J186" s="15">
        <v>346</v>
      </c>
      <c r="K186" s="32">
        <f t="shared" si="100"/>
        <v>-3.888888888888889E-2</v>
      </c>
      <c r="L186" s="18">
        <f>IF(ISNUMBER(J186), $B199 * K186, "")</f>
        <v>-3888.8888888888891</v>
      </c>
      <c r="M186" s="31">
        <v>344</v>
      </c>
      <c r="N186" s="32">
        <f t="shared" si="101"/>
        <v>-4.4444444444444446E-2</v>
      </c>
      <c r="O186" s="18">
        <f>IF(ISNUMBER(M186), $B199 * N186, "")</f>
        <v>-4444.4444444444443</v>
      </c>
      <c r="Q186" s="238"/>
      <c r="R186" s="238"/>
      <c r="S186" s="238"/>
    </row>
    <row r="187" spans="1:19" ht="17.25" thickBot="1">
      <c r="A187" s="125" t="s">
        <v>222</v>
      </c>
      <c r="B187" s="126">
        <v>155</v>
      </c>
      <c r="C187" s="77">
        <v>1.9736842099999999E-2</v>
      </c>
      <c r="D187" s="15">
        <v>153</v>
      </c>
      <c r="E187" s="32">
        <f t="shared" si="98"/>
        <v>-1.2903225806451613E-2</v>
      </c>
      <c r="F187" s="18">
        <f>IF(ISNUMBER(D187), $B199 * E187, "")</f>
        <v>-1290.3225806451612</v>
      </c>
      <c r="G187" s="31">
        <v>148</v>
      </c>
      <c r="H187" s="32">
        <f t="shared" si="99"/>
        <v>-4.5161290322580643E-2</v>
      </c>
      <c r="I187" s="101">
        <f>IF(ISNUMBER(G187), $B199 * H187, "")</f>
        <v>-4516.1290322580644</v>
      </c>
      <c r="J187" s="15">
        <v>147</v>
      </c>
      <c r="K187" s="32">
        <f t="shared" si="100"/>
        <v>-5.1612903225806452E-2</v>
      </c>
      <c r="L187" s="18">
        <f>IF(ISNUMBER(J187), $B199 * K187, "")</f>
        <v>-5161.2903225806449</v>
      </c>
      <c r="M187" s="31">
        <v>146</v>
      </c>
      <c r="N187" s="32">
        <f t="shared" si="101"/>
        <v>-5.8064516129032261E-2</v>
      </c>
      <c r="O187" s="18">
        <f>IF(ISNUMBER(M187), $B199 * N187, "")</f>
        <v>-5806.4516129032263</v>
      </c>
      <c r="Q187" s="33"/>
      <c r="R187" s="33"/>
    </row>
    <row r="188" spans="1:19" ht="17.25" thickBot="1">
      <c r="A188" s="130" t="s">
        <v>142</v>
      </c>
      <c r="B188" s="131">
        <v>10820</v>
      </c>
      <c r="C188" s="79">
        <v>1.8832391699999999E-2</v>
      </c>
      <c r="D188" s="24">
        <v>11060</v>
      </c>
      <c r="E188" s="25">
        <f t="shared" si="98"/>
        <v>2.2181146025878003E-2</v>
      </c>
      <c r="F188" s="104">
        <f>IF(ISNUMBER(D188), $B199 * E188, "")</f>
        <v>2218.1146025878002</v>
      </c>
      <c r="G188" s="102">
        <v>10890</v>
      </c>
      <c r="H188" s="25">
        <f t="shared" si="99"/>
        <v>6.4695009242144181E-3</v>
      </c>
      <c r="I188" s="103">
        <f>IF(ISNUMBER(G188), $B199 * H188, "")</f>
        <v>646.95009242144181</v>
      </c>
      <c r="J188" s="24">
        <v>10660</v>
      </c>
      <c r="K188" s="25">
        <f t="shared" si="100"/>
        <v>-1.4787430683918669E-2</v>
      </c>
      <c r="L188" s="104">
        <f>IF(ISNUMBER(J188), $B199 * K188, "")</f>
        <v>-1478.7430683918669</v>
      </c>
      <c r="M188" s="102">
        <v>10490</v>
      </c>
      <c r="N188" s="25">
        <f t="shared" si="101"/>
        <v>-3.0499075785582256E-2</v>
      </c>
      <c r="O188" s="104">
        <f>IF(ISNUMBER(M188), $B199 * N188, "")</f>
        <v>-3049.9075785582254</v>
      </c>
      <c r="Q188" s="239"/>
      <c r="R188" s="240"/>
      <c r="S188" s="241"/>
    </row>
    <row r="189" spans="1:19">
      <c r="A189" s="123" t="s">
        <v>232</v>
      </c>
      <c r="B189" s="124">
        <v>529</v>
      </c>
      <c r="C189" s="76">
        <v>1.73076923E-2</v>
      </c>
      <c r="D189" s="13">
        <v>541</v>
      </c>
      <c r="E189" s="14">
        <f>IF(ISNUMBER(D189), (D189 - $B189) / $B189, "")</f>
        <v>2.2684310018903593E-2</v>
      </c>
      <c r="F189" s="16">
        <f>IF(ISNUMBER(D189), $B199 * E189, "")</f>
        <v>2268.4310018903593</v>
      </c>
      <c r="G189" s="29">
        <v>548</v>
      </c>
      <c r="H189" s="14">
        <f>IF(ISNUMBER(G189), (G189 - $B189) / $B189, "")</f>
        <v>3.5916824196597356E-2</v>
      </c>
      <c r="I189" s="100">
        <f>IF(ISNUMBER(G189), $B199 * H189, "")</f>
        <v>3591.6824196597358</v>
      </c>
      <c r="J189" s="13">
        <v>542</v>
      </c>
      <c r="K189" s="14">
        <f>IF(ISNUMBER(J189), (J189 - $B189) / $B189, "")</f>
        <v>2.4574669187145556E-2</v>
      </c>
      <c r="L189" s="16">
        <f>IF(ISNUMBER(J189), $B199 * K189, "")</f>
        <v>2457.4669187145555</v>
      </c>
      <c r="M189" s="29">
        <v>533</v>
      </c>
      <c r="N189" s="14">
        <f>IF(ISNUMBER(M189), (M189 - $B189) / $B189, "")</f>
        <v>7.5614366729678641E-3</v>
      </c>
      <c r="O189" s="16">
        <f>IF(ISNUMBER(M189), $B199 * N189, "")</f>
        <v>756.14366729678636</v>
      </c>
      <c r="Q189" s="242"/>
      <c r="R189" s="243"/>
      <c r="S189" s="244"/>
    </row>
    <row r="190" spans="1:19" ht="17.25" thickBot="1">
      <c r="A190" s="125" t="s">
        <v>49</v>
      </c>
      <c r="B190" s="126">
        <v>53241000</v>
      </c>
      <c r="C190" s="77">
        <v>1.7233802699999998E-2</v>
      </c>
      <c r="D190" s="15">
        <v>52815000</v>
      </c>
      <c r="E190" s="32">
        <f t="shared" ref="E190:E193" si="102">IF(ISNUMBER(D190), (D190 - $B190) / $B190, "")</f>
        <v>-8.0013523412407733E-3</v>
      </c>
      <c r="F190" s="18">
        <f>IF(ISNUMBER(D190), $B199 * E190, "")</f>
        <v>-800.13523412407733</v>
      </c>
      <c r="G190" s="31">
        <v>52200000</v>
      </c>
      <c r="H190" s="32">
        <f t="shared" ref="H190:H193" si="103">IF(ISNUMBER(G190), (G190 - $B190) / $B190, "")</f>
        <v>-1.9552600439510903E-2</v>
      </c>
      <c r="I190" s="101">
        <f>IF(ISNUMBER(G190), $B199 * H190, "")</f>
        <v>-1955.2600439510902</v>
      </c>
      <c r="J190" s="15">
        <v>51863000</v>
      </c>
      <c r="K190" s="32">
        <f t="shared" ref="K190:K193" si="104">IF(ISNUMBER(J190), (J190 - $B190) / $B190, "")</f>
        <v>-2.5882308747018277E-2</v>
      </c>
      <c r="L190" s="18">
        <f>IF(ISNUMBER(J190), $B199 * K190, "")</f>
        <v>-2588.2308747018278</v>
      </c>
      <c r="M190" s="31">
        <v>51825000</v>
      </c>
      <c r="N190" s="32">
        <f t="shared" ref="N190:N193" si="105">IF(ISNUMBER(M190), (M190 - $B190) / $B190, "")</f>
        <v>-2.6596044401870737E-2</v>
      </c>
      <c r="O190" s="18">
        <f>IF(ISNUMBER(M190), $B199 * N190, "")</f>
        <v>-2659.6044401870736</v>
      </c>
      <c r="Q190" s="245"/>
      <c r="R190" s="246"/>
      <c r="S190" s="247"/>
    </row>
    <row r="191" spans="1:19" ht="17.25" thickBot="1">
      <c r="A191" s="125" t="s">
        <v>88</v>
      </c>
      <c r="B191" s="126">
        <v>192650</v>
      </c>
      <c r="C191" s="77">
        <v>1.7159450900000001E-2</v>
      </c>
      <c r="D191" s="15">
        <v>190750</v>
      </c>
      <c r="E191" s="32">
        <f t="shared" si="102"/>
        <v>-9.8624448481702577E-3</v>
      </c>
      <c r="F191" s="18">
        <f>IF(ISNUMBER(D191), $B199 * E191, "")</f>
        <v>-986.24448481702575</v>
      </c>
      <c r="G191" s="31">
        <v>186950</v>
      </c>
      <c r="H191" s="32">
        <f t="shared" si="103"/>
        <v>-2.958733454451077E-2</v>
      </c>
      <c r="I191" s="101">
        <f>IF(ISNUMBER(G191), $B199 * H191, "")</f>
        <v>-2958.7334544510768</v>
      </c>
      <c r="J191" s="15">
        <v>183050</v>
      </c>
      <c r="K191" s="32">
        <f t="shared" si="104"/>
        <v>-4.9831300285491827E-2</v>
      </c>
      <c r="L191" s="18">
        <f>IF(ISNUMBER(J191), $B199 * K191, "")</f>
        <v>-4983.1300285491825</v>
      </c>
      <c r="M191" s="31">
        <v>182000</v>
      </c>
      <c r="N191" s="32">
        <f t="shared" si="105"/>
        <v>-5.5281598754217495E-2</v>
      </c>
      <c r="O191" s="18">
        <f>IF(ISNUMBER(M191), $B199 * N191, "")</f>
        <v>-5528.1598754217493</v>
      </c>
      <c r="Q191" s="238"/>
      <c r="R191" s="238"/>
      <c r="S191" s="238"/>
    </row>
    <row r="192" spans="1:19" ht="17.25" thickBot="1">
      <c r="A192" s="125" t="s">
        <v>166</v>
      </c>
      <c r="B192" s="126">
        <v>272</v>
      </c>
      <c r="C192" s="77">
        <v>1.49253731E-2</v>
      </c>
      <c r="D192" s="15">
        <v>267</v>
      </c>
      <c r="E192" s="32">
        <f t="shared" si="102"/>
        <v>-1.8382352941176471E-2</v>
      </c>
      <c r="F192" s="18">
        <f>IF(ISNUMBER(D192), $B199 * E192, "")</f>
        <v>-1838.2352941176471</v>
      </c>
      <c r="G192" s="31">
        <v>261</v>
      </c>
      <c r="H192" s="32">
        <f t="shared" si="103"/>
        <v>-4.0441176470588237E-2</v>
      </c>
      <c r="I192" s="101">
        <f>IF(ISNUMBER(G192), $B199 * H192, "")</f>
        <v>-4044.1176470588239</v>
      </c>
      <c r="J192" s="15">
        <v>257</v>
      </c>
      <c r="K192" s="32">
        <f t="shared" si="104"/>
        <v>-5.514705882352941E-2</v>
      </c>
      <c r="L192" s="18">
        <f>IF(ISNUMBER(J192), $B199 * K192, "")</f>
        <v>-5514.7058823529414</v>
      </c>
      <c r="M192" s="31">
        <v>254</v>
      </c>
      <c r="N192" s="32">
        <f t="shared" si="105"/>
        <v>-6.6176470588235295E-2</v>
      </c>
      <c r="O192" s="18">
        <f>IF(ISNUMBER(M192), $B199 * N192, "")</f>
        <v>-6617.6470588235297</v>
      </c>
      <c r="Q192" s="248"/>
      <c r="R192" s="248"/>
      <c r="S192" s="248"/>
    </row>
    <row r="193" spans="1:19" ht="17.25" thickBot="1">
      <c r="A193" s="127" t="s">
        <v>242</v>
      </c>
      <c r="B193" s="128">
        <v>498</v>
      </c>
      <c r="C193" s="78">
        <v>1.4256619099999999E-2</v>
      </c>
      <c r="D193" s="20">
        <v>495</v>
      </c>
      <c r="E193" s="21">
        <f t="shared" si="102"/>
        <v>-6.024096385542169E-3</v>
      </c>
      <c r="F193" s="22">
        <f>IF(ISNUMBER(D193), $B199 * E193, "")</f>
        <v>-602.40963855421694</v>
      </c>
      <c r="G193" s="30">
        <v>484</v>
      </c>
      <c r="H193" s="21">
        <f t="shared" si="103"/>
        <v>-2.8112449799196786E-2</v>
      </c>
      <c r="I193" s="105">
        <f>IF(ISNUMBER(G193), $B199 * H193, "")</f>
        <v>-2811.2449799196788</v>
      </c>
      <c r="J193" s="20">
        <v>478</v>
      </c>
      <c r="K193" s="21">
        <f t="shared" si="104"/>
        <v>-4.0160642570281124E-2</v>
      </c>
      <c r="L193" s="22">
        <f>IF(ISNUMBER(J193), $B199 * K193, "")</f>
        <v>-4016.0642570281125</v>
      </c>
      <c r="M193" s="30">
        <v>474</v>
      </c>
      <c r="N193" s="21">
        <f t="shared" si="105"/>
        <v>-4.8192771084337352E-2</v>
      </c>
      <c r="O193" s="22">
        <f>IF(ISNUMBER(M193), $B199 * N193, "")</f>
        <v>-4819.2771084337355</v>
      </c>
      <c r="Q193" s="248"/>
      <c r="R193" s="248"/>
      <c r="S193" s="248"/>
    </row>
    <row r="194" spans="1:19" ht="17.25" thickBot="1">
      <c r="A194" s="125" t="s">
        <v>110</v>
      </c>
      <c r="B194" s="129">
        <v>192</v>
      </c>
      <c r="C194" s="80">
        <v>1.05263158E-2</v>
      </c>
      <c r="D194" s="106">
        <v>192</v>
      </c>
      <c r="E194" s="107">
        <f>IF(ISNUMBER(D194), (D194 - $B194) / $B194, "")</f>
        <v>0</v>
      </c>
      <c r="F194" s="108">
        <f>IF(ISNUMBER(D194), $B199 * E194, "")</f>
        <v>0</v>
      </c>
      <c r="G194" s="109">
        <v>187</v>
      </c>
      <c r="H194" s="107">
        <f>IF(ISNUMBER(G194), (G194 - $B194) / $B194, "")</f>
        <v>-2.6041666666666668E-2</v>
      </c>
      <c r="I194" s="110">
        <f>IF(ISNUMBER(G194), $B199 * H194, "")</f>
        <v>-2604.166666666667</v>
      </c>
      <c r="J194" s="106">
        <v>185</v>
      </c>
      <c r="K194" s="107">
        <f>IF(ISNUMBER(J194), (J194 - $B194) / $B194, "")</f>
        <v>-3.6458333333333336E-2</v>
      </c>
      <c r="L194" s="108">
        <f>IF(ISNUMBER(J194), $B199 * K194, "")</f>
        <v>-3645.8333333333335</v>
      </c>
      <c r="M194" s="109">
        <v>182</v>
      </c>
      <c r="N194" s="107">
        <f>IF(ISNUMBER(M194), (M194 - $B194) / $B194, "")</f>
        <v>-5.2083333333333336E-2</v>
      </c>
      <c r="O194" s="108">
        <f>IF(ISNUMBER(M194), $B199 * N194, "")</f>
        <v>-5208.3333333333339</v>
      </c>
      <c r="Q194" s="238"/>
      <c r="R194" s="238"/>
      <c r="S194" s="238"/>
    </row>
    <row r="195" spans="1:19" ht="17.25" thickBot="1">
      <c r="A195" s="125" t="s">
        <v>186</v>
      </c>
      <c r="B195" s="126">
        <v>10130</v>
      </c>
      <c r="C195" s="77">
        <v>8.9641433999999992E-3</v>
      </c>
      <c r="D195" s="15">
        <v>10060</v>
      </c>
      <c r="E195" s="32">
        <f t="shared" ref="E195:E198" si="106">IF(ISNUMBER(D195), (D195 - $B195) / $B195, "")</f>
        <v>-6.9101678183613032E-3</v>
      </c>
      <c r="F195" s="18">
        <f>IF(ISNUMBER(D195), $B199 * E195, "")</f>
        <v>-691.01678183613035</v>
      </c>
      <c r="G195" s="31">
        <v>9800</v>
      </c>
      <c r="H195" s="32">
        <f t="shared" ref="H195:H198" si="107">IF(ISNUMBER(G195), (G195 - $B195) / $B195, "")</f>
        <v>-3.257650542941757E-2</v>
      </c>
      <c r="I195" s="101">
        <f>IF(ISNUMBER(G195), $B199 * H195, "")</f>
        <v>-3257.6505429417571</v>
      </c>
      <c r="J195" s="15">
        <v>9670</v>
      </c>
      <c r="K195" s="32">
        <f t="shared" ref="K195:K198" si="108">IF(ISNUMBER(J195), (J195 - $B195) / $B195, "")</f>
        <v>-4.5409674234945706E-2</v>
      </c>
      <c r="L195" s="18">
        <f>IF(ISNUMBER(J195), $B199 * K195, "")</f>
        <v>-4540.9674234945705</v>
      </c>
      <c r="M195" s="31">
        <v>9640</v>
      </c>
      <c r="N195" s="32">
        <f t="shared" ref="N195:N198" si="109">IF(ISNUMBER(M195), (M195 - $B195) / $B195, "")</f>
        <v>-4.8371174728529122E-2</v>
      </c>
      <c r="O195" s="18">
        <f>IF(ISNUMBER(M195), $B199 * N195, "")</f>
        <v>-4837.1174728529122</v>
      </c>
      <c r="Q195" s="238"/>
      <c r="R195" s="238"/>
      <c r="S195" s="238"/>
    </row>
    <row r="196" spans="1:19" ht="17.25" thickBot="1">
      <c r="A196" s="125" t="s">
        <v>114</v>
      </c>
      <c r="B196" s="126">
        <v>785</v>
      </c>
      <c r="C196" s="77">
        <v>7.7021822999999998E-3</v>
      </c>
      <c r="D196" s="15">
        <v>768</v>
      </c>
      <c r="E196" s="32">
        <f t="shared" si="106"/>
        <v>-2.1656050955414011E-2</v>
      </c>
      <c r="F196" s="18">
        <f>IF(ISNUMBER(D196), $B199 * E196, "")</f>
        <v>-2165.6050955414012</v>
      </c>
      <c r="G196" s="31">
        <v>759</v>
      </c>
      <c r="H196" s="32">
        <f t="shared" si="107"/>
        <v>-3.3121019108280254E-2</v>
      </c>
      <c r="I196" s="101">
        <f>IF(ISNUMBER(G196), $B199 * H196, "")</f>
        <v>-3312.1019108280252</v>
      </c>
      <c r="J196" s="15">
        <v>751</v>
      </c>
      <c r="K196" s="32">
        <f t="shared" si="108"/>
        <v>-4.3312101910828023E-2</v>
      </c>
      <c r="L196" s="18">
        <f>IF(ISNUMBER(J196), $B199 * K196, "")</f>
        <v>-4331.2101910828023</v>
      </c>
      <c r="M196" s="31">
        <v>744</v>
      </c>
      <c r="N196" s="32">
        <f t="shared" si="109"/>
        <v>-5.2229299363057327E-2</v>
      </c>
      <c r="O196" s="18">
        <f>IF(ISNUMBER(M196), $B199 * N196, "")</f>
        <v>-5222.9299363057326</v>
      </c>
      <c r="Q196" s="238"/>
      <c r="R196" s="238"/>
      <c r="S196" s="238"/>
    </row>
    <row r="197" spans="1:19">
      <c r="A197" s="125" t="s">
        <v>106</v>
      </c>
      <c r="B197" s="126">
        <v>67570</v>
      </c>
      <c r="C197" s="77">
        <v>3.7136067000000002E-3</v>
      </c>
      <c r="D197" s="15">
        <v>66910</v>
      </c>
      <c r="E197" s="32">
        <f t="shared" si="106"/>
        <v>-9.7676483646588728E-3</v>
      </c>
      <c r="F197" s="18">
        <f>IF(ISNUMBER(D197), $B199 * E197, "")</f>
        <v>-976.76483646588724</v>
      </c>
      <c r="G197" s="31">
        <v>65400</v>
      </c>
      <c r="H197" s="32">
        <f t="shared" si="107"/>
        <v>-3.2114843865620836E-2</v>
      </c>
      <c r="I197" s="101">
        <f>IF(ISNUMBER(G197), $B199 * H197, "")</f>
        <v>-3211.4843865620837</v>
      </c>
      <c r="J197" s="15">
        <v>64650</v>
      </c>
      <c r="K197" s="32">
        <f t="shared" si="108"/>
        <v>-4.3214444280005919E-2</v>
      </c>
      <c r="L197" s="18">
        <f>IF(ISNUMBER(J197), $B199 * K197, "")</f>
        <v>-4321.4444280005919</v>
      </c>
      <c r="M197" s="31">
        <v>63550</v>
      </c>
      <c r="N197" s="32">
        <f t="shared" si="109"/>
        <v>-5.9493858221104041E-2</v>
      </c>
      <c r="O197" s="18">
        <f>IF(ISNUMBER(M197), $B199 * N197, "")</f>
        <v>-5949.3858221104038</v>
      </c>
      <c r="Q197" s="227"/>
      <c r="R197" s="228"/>
      <c r="S197" s="229"/>
    </row>
    <row r="198" spans="1:19" ht="17.25" thickBot="1">
      <c r="A198" s="130" t="s">
        <v>176</v>
      </c>
      <c r="B198" s="131">
        <v>1635</v>
      </c>
      <c r="C198" s="79">
        <v>3.0674846999999999E-3</v>
      </c>
      <c r="D198" s="24">
        <v>1620</v>
      </c>
      <c r="E198" s="25">
        <f t="shared" si="106"/>
        <v>-9.1743119266055051E-3</v>
      </c>
      <c r="F198" s="104">
        <f>IF(ISNUMBER(D198), $B199 * E198, "")</f>
        <v>-917.43119266055055</v>
      </c>
      <c r="G198" s="102">
        <v>1580</v>
      </c>
      <c r="H198" s="25">
        <f t="shared" si="107"/>
        <v>-3.3639143730886847E-2</v>
      </c>
      <c r="I198" s="103">
        <f>IF(ISNUMBER(G198), $B199 * H198, "")</f>
        <v>-3363.9143730886849</v>
      </c>
      <c r="J198" s="24">
        <v>1550</v>
      </c>
      <c r="K198" s="25">
        <f t="shared" si="108"/>
        <v>-5.1987767584097858E-2</v>
      </c>
      <c r="L198" s="104">
        <f>IF(ISNUMBER(J198), $B199 * K198, "")</f>
        <v>-5198.7767584097855</v>
      </c>
      <c r="M198" s="102">
        <v>1540</v>
      </c>
      <c r="N198" s="25">
        <f t="shared" si="109"/>
        <v>-5.8103975535168197E-2</v>
      </c>
      <c r="O198" s="104">
        <f>IF(ISNUMBER(M198), $B199 * N198, "")</f>
        <v>-5810.3975535168192</v>
      </c>
      <c r="Q198" s="230"/>
      <c r="R198" s="231"/>
      <c r="S198" s="232"/>
    </row>
    <row r="199" spans="1:19" ht="17.25" thickBot="1">
      <c r="A199" s="132" t="s">
        <v>270</v>
      </c>
      <c r="B199" s="291">
        <f>$B$37</f>
        <v>100000</v>
      </c>
      <c r="C199" s="292"/>
      <c r="D199" s="26" t="s">
        <v>271</v>
      </c>
      <c r="E199" s="27">
        <f>IF(COUNT(E179:E198), SUM(E179:E198) / COUNT(E179:E198), 0)</f>
        <v>-1.0512207339397994E-3</v>
      </c>
      <c r="F199" s="28">
        <f>SUM(F179:F198)</f>
        <v>-2102.4414678795993</v>
      </c>
      <c r="G199" s="26" t="s">
        <v>271</v>
      </c>
      <c r="H199" s="27">
        <f>IF(COUNT(H179:H198), SUM(H179:H198) / COUNT(H179:H198), 0)</f>
        <v>-2.025323174419311E-2</v>
      </c>
      <c r="I199" s="28">
        <f>SUM(I179:I198)</f>
        <v>-40506.463488386224</v>
      </c>
      <c r="J199" s="26" t="s">
        <v>271</v>
      </c>
      <c r="K199" s="27">
        <f>IF(COUNT(K179:K198), SUM(K179:K198) / COUNT(K179:K198), 0)</f>
        <v>-3.3585197793048159E-2</v>
      </c>
      <c r="L199" s="28">
        <f>SUM(L179:L198)</f>
        <v>-67170.395586096347</v>
      </c>
      <c r="M199" s="26" t="s">
        <v>271</v>
      </c>
      <c r="N199" s="27">
        <f>IF(COUNT(N179:N198), SUM(N179:N198) / COUNT(N179:N198), 0)</f>
        <v>-4.3031752362099586E-2</v>
      </c>
      <c r="O199" s="28">
        <f>SUM(O179:O198)</f>
        <v>-86063.504724199156</v>
      </c>
      <c r="Q199" s="233"/>
      <c r="R199" s="234"/>
      <c r="S199" s="23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F5A70-AFEA-425F-9D71-674058097787}">
  <sheetPr codeName="Sheet19"/>
  <dimension ref="A1:S199"/>
  <sheetViews>
    <sheetView topLeftCell="A42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80">
        <v>44421</v>
      </c>
      <c r="H1" s="281"/>
      <c r="I1" s="282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83" t="s">
        <v>8</v>
      </c>
      <c r="C2" s="284"/>
      <c r="D2" s="284"/>
      <c r="E2" s="284"/>
      <c r="F2" s="285"/>
      <c r="G2" s="277" t="s">
        <v>46</v>
      </c>
      <c r="H2" s="278"/>
      <c r="I2" s="279"/>
      <c r="J2" s="1" t="s">
        <v>3</v>
      </c>
      <c r="K2" s="283" t="s">
        <v>320</v>
      </c>
      <c r="L2" s="284"/>
      <c r="M2" s="284"/>
      <c r="N2" s="284"/>
      <c r="O2" s="285"/>
      <c r="Q2" s="2" t="s">
        <v>6</v>
      </c>
      <c r="R2" s="3">
        <v>0.375</v>
      </c>
    </row>
    <row r="3" spans="1:19" ht="17.25" customHeight="1" thickBot="1">
      <c r="A3" s="118" t="s">
        <v>7</v>
      </c>
      <c r="B3" s="274" t="s">
        <v>328</v>
      </c>
      <c r="C3" s="275"/>
      <c r="D3" s="275"/>
      <c r="E3" s="275"/>
      <c r="F3" s="276"/>
      <c r="G3" s="27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86,351 KRW (4.32%)</v>
      </c>
      <c r="H3" s="271"/>
      <c r="I3" s="272"/>
      <c r="J3" s="4" t="s">
        <v>7</v>
      </c>
      <c r="K3" s="274" t="s">
        <v>321</v>
      </c>
      <c r="L3" s="275"/>
      <c r="M3" s="275"/>
      <c r="N3" s="275"/>
      <c r="O3" s="27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4" t="s">
        <v>16</v>
      </c>
      <c r="C4" s="275"/>
      <c r="D4" s="275"/>
      <c r="E4" s="275"/>
      <c r="F4" s="276"/>
      <c r="G4" s="277" t="s">
        <v>44</v>
      </c>
      <c r="H4" s="278"/>
      <c r="I4" s="279"/>
      <c r="J4" s="4" t="s">
        <v>11</v>
      </c>
      <c r="K4" s="274" t="s">
        <v>322</v>
      </c>
      <c r="L4" s="275"/>
      <c r="M4" s="275"/>
      <c r="N4" s="275"/>
      <c r="O4" s="27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4" t="s">
        <v>319</v>
      </c>
      <c r="C5" s="275"/>
      <c r="D5" s="275"/>
      <c r="E5" s="275"/>
      <c r="F5" s="276"/>
      <c r="G5" s="27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82,723 KRW (4.60%)</v>
      </c>
      <c r="H5" s="271"/>
      <c r="I5" s="272"/>
      <c r="J5" s="4" t="s">
        <v>15</v>
      </c>
      <c r="K5" s="274" t="s">
        <v>323</v>
      </c>
      <c r="L5" s="275"/>
      <c r="M5" s="275"/>
      <c r="N5" s="275"/>
      <c r="O5" s="276"/>
    </row>
    <row r="6" spans="1:19">
      <c r="A6" s="118" t="s">
        <v>18</v>
      </c>
      <c r="B6" s="274"/>
      <c r="C6" s="275"/>
      <c r="D6" s="275"/>
      <c r="E6" s="275"/>
      <c r="F6" s="276"/>
      <c r="G6" s="277" t="s">
        <v>45</v>
      </c>
      <c r="H6" s="278"/>
      <c r="I6" s="279"/>
      <c r="J6" s="4" t="s">
        <v>18</v>
      </c>
      <c r="K6" s="274" t="s">
        <v>324</v>
      </c>
      <c r="L6" s="275"/>
      <c r="M6" s="275"/>
      <c r="N6" s="275"/>
      <c r="O6" s="276"/>
    </row>
    <row r="7" spans="1:19" ht="17.25" thickBot="1">
      <c r="A7" s="118" t="s">
        <v>21</v>
      </c>
      <c r="B7" s="274"/>
      <c r="C7" s="275"/>
      <c r="D7" s="275"/>
      <c r="E7" s="275"/>
      <c r="F7" s="276"/>
      <c r="G7" s="27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86,962 KRW (4.35%)</v>
      </c>
      <c r="H7" s="271"/>
      <c r="I7" s="272"/>
      <c r="J7" s="4" t="s">
        <v>21</v>
      </c>
      <c r="K7" s="274" t="s">
        <v>325</v>
      </c>
      <c r="L7" s="275"/>
      <c r="M7" s="275"/>
      <c r="N7" s="275"/>
      <c r="O7" s="276"/>
    </row>
    <row r="8" spans="1:19" ht="17.25" thickBot="1">
      <c r="A8" s="118" t="s">
        <v>24</v>
      </c>
      <c r="B8" s="274"/>
      <c r="C8" s="275"/>
      <c r="D8" s="275"/>
      <c r="E8" s="275"/>
      <c r="F8" s="276"/>
      <c r="G8" s="277" t="s">
        <v>255</v>
      </c>
      <c r="H8" s="278"/>
      <c r="I8" s="279"/>
      <c r="J8" s="4" t="s">
        <v>24</v>
      </c>
      <c r="K8" s="274"/>
      <c r="L8" s="275"/>
      <c r="M8" s="275"/>
      <c r="N8" s="275"/>
      <c r="O8" s="276"/>
      <c r="Q8" s="249" t="s">
        <v>27</v>
      </c>
      <c r="R8" s="251"/>
    </row>
    <row r="9" spans="1:19" ht="17.25" thickBot="1">
      <c r="A9" s="118" t="s">
        <v>28</v>
      </c>
      <c r="B9" s="274"/>
      <c r="C9" s="275"/>
      <c r="D9" s="275"/>
      <c r="E9" s="275"/>
      <c r="F9" s="276"/>
      <c r="G9" s="27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76,994 KRW (3.85%)</v>
      </c>
      <c r="H9" s="271"/>
      <c r="I9" s="272"/>
      <c r="J9" s="4" t="s">
        <v>28</v>
      </c>
      <c r="K9" s="274"/>
      <c r="L9" s="275"/>
      <c r="M9" s="275"/>
      <c r="N9" s="275"/>
      <c r="O9" s="276"/>
      <c r="Q9" s="2" t="s">
        <v>29</v>
      </c>
      <c r="R9" s="6">
        <v>10</v>
      </c>
    </row>
    <row r="10" spans="1:19">
      <c r="A10" s="118" t="s">
        <v>30</v>
      </c>
      <c r="B10" s="274"/>
      <c r="C10" s="275"/>
      <c r="D10" s="275"/>
      <c r="E10" s="275"/>
      <c r="F10" s="276"/>
      <c r="G10" s="277" t="s">
        <v>47</v>
      </c>
      <c r="H10" s="278"/>
      <c r="I10" s="279"/>
      <c r="J10" s="4" t="s">
        <v>30</v>
      </c>
      <c r="K10" s="274" t="s">
        <v>326</v>
      </c>
      <c r="L10" s="275"/>
      <c r="M10" s="275"/>
      <c r="N10" s="275"/>
      <c r="O10" s="276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7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1"/>
      <c r="I11" s="272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48"/>
      <c r="R13" s="248"/>
      <c r="S13" s="248"/>
    </row>
    <row r="14" spans="1:19" ht="17.25" customHeight="1" thickBot="1">
      <c r="A14" s="207" t="s">
        <v>35</v>
      </c>
      <c r="B14" s="249" t="s">
        <v>36</v>
      </c>
      <c r="C14" s="251"/>
      <c r="D14" s="249" t="s">
        <v>37</v>
      </c>
      <c r="E14" s="250"/>
      <c r="F14" s="251"/>
      <c r="G14" s="252">
        <f>_xlfn.IFNA(VLOOKUP(B14, 현재가테이블!$B$2:$D$200, 2, FALSE), "-")</f>
        <v>54440000</v>
      </c>
      <c r="H14" s="253"/>
      <c r="I14" s="254"/>
      <c r="J14" s="249" t="s">
        <v>38</v>
      </c>
      <c r="K14" s="250"/>
      <c r="L14" s="251"/>
      <c r="M14" s="255">
        <f>_xlfn.IFNA(VLOOKUP(B14, 현재가테이블!$B$2:$D$200, 3, FALSE), "-")</f>
        <v>1.07123628E-2</v>
      </c>
      <c r="N14" s="256"/>
      <c r="O14" s="257"/>
      <c r="Q14" s="248"/>
      <c r="R14" s="248"/>
      <c r="S14" s="248"/>
    </row>
    <row r="15" spans="1:19" ht="17.25" customHeight="1" thickBot="1">
      <c r="A15" s="286" t="s">
        <v>39</v>
      </c>
      <c r="B15" s="287" t="str">
        <f>TEXT($G$1, "[$-ko-KR]yyyy-mm-dd(ddd) ") &amp; "오전 00:00"</f>
        <v>2021-08-13(금) 오전 00:00</v>
      </c>
      <c r="C15" s="288"/>
      <c r="D15" s="262" t="str">
        <f>TEXT($G$1, "[$-ko-KR]yyyy-mm-dd(ddd) ") &amp; "오후 14:00"</f>
        <v>2021-08-13(금) 오후 14:00</v>
      </c>
      <c r="E15" s="263"/>
      <c r="F15" s="264"/>
      <c r="G15" s="262" t="str">
        <f>TEXT($G$1, "[$-ko-KR]yyyy-mm-dd(ddd) ") &amp; "오후 19:00"</f>
        <v>2021-08-13(금) 오후 19:00</v>
      </c>
      <c r="H15" s="263"/>
      <c r="I15" s="264"/>
      <c r="J15" s="262" t="str">
        <f>TEXT($G$1, "[$-ko-KR]yyyy-mm-dd(ddd) ") &amp; "오후 21:00"</f>
        <v>2021-08-13(금) 오후 21:00</v>
      </c>
      <c r="K15" s="263"/>
      <c r="L15" s="264"/>
      <c r="M15" s="262" t="str">
        <f>TEXT($G$1+1, "[$-ko-KR]yyyy-mm-dd(ddd) ") &amp; "오전 00:00"</f>
        <v>2021-08-14(토) 오전 00:00</v>
      </c>
      <c r="N15" s="263"/>
      <c r="O15" s="264"/>
      <c r="Q15" s="248"/>
      <c r="R15" s="248"/>
      <c r="S15" s="248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8" t="s">
        <v>37</v>
      </c>
      <c r="H16" s="209" t="s">
        <v>40</v>
      </c>
      <c r="I16" s="21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8"/>
      <c r="R17" s="248"/>
      <c r="S17" s="24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8"/>
      <c r="R18" s="248"/>
      <c r="S18" s="24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8"/>
      <c r="R19" s="238"/>
      <c r="S19" s="23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8"/>
      <c r="R20" s="238"/>
      <c r="S20" s="23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8"/>
      <c r="R21" s="238"/>
      <c r="S21" s="23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8"/>
      <c r="R22" s="238"/>
      <c r="S22" s="23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8"/>
      <c r="R23" s="238"/>
      <c r="S23" s="23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8"/>
      <c r="R24" s="238"/>
      <c r="S24" s="23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9"/>
      <c r="R26" s="240"/>
      <c r="S26" s="24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2"/>
      <c r="R27" s="243"/>
      <c r="S27" s="24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5"/>
      <c r="R28" s="246"/>
      <c r="S28" s="24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8"/>
      <c r="R29" s="238"/>
      <c r="S29" s="23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8"/>
      <c r="R30" s="248"/>
      <c r="S30" s="24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8"/>
      <c r="R31" s="248"/>
      <c r="S31" s="24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8"/>
      <c r="R32" s="238"/>
      <c r="S32" s="23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7"/>
      <c r="R35" s="228"/>
      <c r="S35" s="22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0"/>
      <c r="R36" s="231"/>
      <c r="S36" s="232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3"/>
      <c r="R37" s="234"/>
      <c r="S37" s="23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48"/>
      <c r="R40" s="248"/>
      <c r="S40" s="248"/>
    </row>
    <row r="41" spans="1:19" ht="17.25" customHeight="1" thickBot="1">
      <c r="A41" s="207" t="s">
        <v>267</v>
      </c>
      <c r="B41" s="249" t="s">
        <v>49</v>
      </c>
      <c r="C41" s="251"/>
      <c r="D41" s="249" t="s">
        <v>58</v>
      </c>
      <c r="E41" s="250"/>
      <c r="F41" s="251"/>
      <c r="G41" s="252">
        <f>_xlfn.IFNA(VLOOKUP(B41, 현재가테이블!$B$2:$D$200, 2, FALSE), "-")</f>
        <v>54440000</v>
      </c>
      <c r="H41" s="253"/>
      <c r="I41" s="254"/>
      <c r="J41" s="249" t="s">
        <v>59</v>
      </c>
      <c r="K41" s="250"/>
      <c r="L41" s="251"/>
      <c r="M41" s="255">
        <f>_xlfn.IFNA(VLOOKUP(B41, 현재가테이블!$B$2:$D$200, 3, FALSE), "-")</f>
        <v>1.07123628E-2</v>
      </c>
      <c r="N41" s="256"/>
      <c r="O41" s="257"/>
      <c r="Q41" s="248"/>
      <c r="R41" s="248"/>
      <c r="S41" s="248"/>
    </row>
    <row r="42" spans="1:19" ht="17.25" customHeight="1" thickBot="1">
      <c r="A42" s="293" t="s">
        <v>55</v>
      </c>
      <c r="B42" s="289" t="str">
        <f>TEXT($G$1, "[$-ko-KR]yyyy-mm-dd(ddd) ") &amp; "오전 00:00"</f>
        <v>2021-08-13(금) 오전 00:00</v>
      </c>
      <c r="C42" s="290"/>
      <c r="D42" s="262" t="str">
        <f>TEXT($G$1, "[$-ko-KR]yyyy-mm-dd(ddd) ") &amp; "오후 14:00"</f>
        <v>2021-08-13(금) 오후 14:00</v>
      </c>
      <c r="E42" s="263"/>
      <c r="F42" s="264"/>
      <c r="G42" s="262" t="str">
        <f>TEXT($G$1, "[$-ko-KR]yyyy-mm-dd(ddd) ") &amp; "오후 19:00"</f>
        <v>2021-08-13(금) 오후 19:00</v>
      </c>
      <c r="H42" s="263"/>
      <c r="I42" s="264"/>
      <c r="J42" s="262" t="str">
        <f>TEXT($G$1, "[$-ko-KR]yyyy-mm-dd(ddd) ") &amp; "오후 21:00"</f>
        <v>2021-08-13(금) 오후 21:00</v>
      </c>
      <c r="K42" s="263"/>
      <c r="L42" s="264"/>
      <c r="M42" s="262" t="str">
        <f>TEXT($G$1+1, "[$-ko-KR]yyyy-mm-dd(ddd) ") &amp; "오전 00:00"</f>
        <v>2021-08-14(토) 오전 00:00</v>
      </c>
      <c r="N42" s="263"/>
      <c r="O42" s="264"/>
      <c r="Q42" s="248"/>
      <c r="R42" s="248"/>
      <c r="S42" s="248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8" t="s">
        <v>58</v>
      </c>
      <c r="H43" s="209" t="s">
        <v>268</v>
      </c>
      <c r="I43" s="21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8"/>
      <c r="R43" s="238"/>
      <c r="S43" s="238"/>
    </row>
    <row r="44" spans="1:19" ht="17.25" customHeight="1" thickBot="1">
      <c r="A44" s="123" t="s">
        <v>240</v>
      </c>
      <c r="B44" s="124">
        <v>74</v>
      </c>
      <c r="C44" s="76">
        <v>8.5043988299999998E-2</v>
      </c>
      <c r="D44" s="13">
        <v>80.2</v>
      </c>
      <c r="E44" s="14">
        <f>IF(ISNUMBER(D44), (D44 - $B44) / $B44, "")</f>
        <v>8.3783783783783816E-2</v>
      </c>
      <c r="F44" s="16">
        <f>IF(ISNUMBER(D44), $B64 * E44, "")</f>
        <v>8378.378378378382</v>
      </c>
      <c r="G44" s="29">
        <v>78.8</v>
      </c>
      <c r="H44" s="14">
        <f>IF(ISNUMBER(G44), (G44 - $B44) / $B44, "")</f>
        <v>6.4864864864864827E-2</v>
      </c>
      <c r="I44" s="100">
        <f>IF(ISNUMBER(G44), $B64 * H44, "")</f>
        <v>6486.486486486483</v>
      </c>
      <c r="J44" s="13">
        <v>78.8</v>
      </c>
      <c r="K44" s="14">
        <f>IF(ISNUMBER(J44), (J44 - $B44) / $B44, "")</f>
        <v>6.4864864864864827E-2</v>
      </c>
      <c r="L44" s="16">
        <f>IF(ISNUMBER(J44), $B64 * K44, "")</f>
        <v>6486.486486486483</v>
      </c>
      <c r="M44" s="29">
        <v>78.099999999999994</v>
      </c>
      <c r="N44" s="14">
        <f>IF(ISNUMBER(M44), (M44 - $B44) / $B44, "")</f>
        <v>5.5405405405405325E-2</v>
      </c>
      <c r="O44" s="16">
        <f>IF(ISNUMBER(M44), $B64 * N44, "")</f>
        <v>5540.5405405405327</v>
      </c>
      <c r="Q44" s="248"/>
      <c r="R44" s="248"/>
      <c r="S44" s="248"/>
    </row>
    <row r="45" spans="1:19" ht="17.25" customHeight="1" thickBot="1">
      <c r="A45" s="125" t="s">
        <v>190</v>
      </c>
      <c r="B45" s="126">
        <v>18.5</v>
      </c>
      <c r="C45" s="77">
        <v>2.77777778E-2</v>
      </c>
      <c r="D45" s="15">
        <v>20</v>
      </c>
      <c r="E45" s="32">
        <f t="shared" ref="E45:E48" si="14">IF(ISNUMBER(D45), (D45 - $B45) / $B45, "")</f>
        <v>8.1081081081081086E-2</v>
      </c>
      <c r="F45" s="18">
        <f>IF(ISNUMBER(D45), $B64 * E45, "")</f>
        <v>8108.1081081081084</v>
      </c>
      <c r="G45" s="31">
        <v>20.100000000000001</v>
      </c>
      <c r="H45" s="32">
        <f t="shared" ref="H45:H48" si="15">IF(ISNUMBER(G45), (G45 - $B45) / $B45, "")</f>
        <v>8.6486486486486561E-2</v>
      </c>
      <c r="I45" s="101">
        <f>IF(ISNUMBER(G45), $B64 * H45, "")</f>
        <v>8648.6486486486556</v>
      </c>
      <c r="J45" s="15">
        <v>20</v>
      </c>
      <c r="K45" s="32">
        <f t="shared" ref="K45:K48" si="16">IF(ISNUMBER(J45), (J45 - $B45) / $B45, "")</f>
        <v>8.1081081081081086E-2</v>
      </c>
      <c r="L45" s="18">
        <f>IF(ISNUMBER(J45), $B64 * K45, "")</f>
        <v>8108.1081081081084</v>
      </c>
      <c r="M45" s="31">
        <v>19.899999999999999</v>
      </c>
      <c r="N45" s="32">
        <f t="shared" ref="N45:N48" si="17">IF(ISNUMBER(M45), (M45 - $B45) / $B45, "")</f>
        <v>7.5675675675675597E-2</v>
      </c>
      <c r="O45" s="18">
        <f>IF(ISNUMBER(M45), $B64 * N45, "")</f>
        <v>7567.5675675675593</v>
      </c>
      <c r="Q45" s="248"/>
      <c r="R45" s="248"/>
      <c r="S45" s="248"/>
    </row>
    <row r="46" spans="1:19" ht="17.25" customHeight="1" thickBot="1">
      <c r="A46" s="125" t="s">
        <v>98</v>
      </c>
      <c r="B46" s="126">
        <v>5.2</v>
      </c>
      <c r="C46" s="77">
        <v>1.36452242E-2</v>
      </c>
      <c r="D46" s="15">
        <v>5.4</v>
      </c>
      <c r="E46" s="32">
        <f t="shared" si="14"/>
        <v>3.8461538461538491E-2</v>
      </c>
      <c r="F46" s="18">
        <f>IF(ISNUMBER(D46), $B64 * E46, "")</f>
        <v>3846.1538461538489</v>
      </c>
      <c r="G46" s="31">
        <v>5.5</v>
      </c>
      <c r="H46" s="32">
        <f t="shared" si="15"/>
        <v>5.7692307692307654E-2</v>
      </c>
      <c r="I46" s="101">
        <f>IF(ISNUMBER(G46), $B64 * H46, "")</f>
        <v>5769.230769230765</v>
      </c>
      <c r="J46" s="15">
        <v>5.45</v>
      </c>
      <c r="K46" s="32">
        <f t="shared" si="16"/>
        <v>4.8076923076923073E-2</v>
      </c>
      <c r="L46" s="18">
        <f>IF(ISNUMBER(J46), $B64 * K46, "")</f>
        <v>4807.6923076923076</v>
      </c>
      <c r="M46" s="31">
        <v>5.39</v>
      </c>
      <c r="N46" s="32">
        <f t="shared" si="17"/>
        <v>3.6538461538461443E-2</v>
      </c>
      <c r="O46" s="18">
        <f>IF(ISNUMBER(M46), $B64 * N46, "")</f>
        <v>3653.8461538461443</v>
      </c>
      <c r="Q46" s="238"/>
      <c r="R46" s="238"/>
      <c r="S46" s="238"/>
    </row>
    <row r="47" spans="1:19" ht="17.25" customHeight="1" thickBot="1">
      <c r="A47" s="125" t="s">
        <v>202</v>
      </c>
      <c r="B47" s="126">
        <v>95.9</v>
      </c>
      <c r="C47" s="77">
        <v>1.2671594499999999E-2</v>
      </c>
      <c r="D47" s="15">
        <v>97.4</v>
      </c>
      <c r="E47" s="32">
        <f t="shared" si="14"/>
        <v>1.5641293013555786E-2</v>
      </c>
      <c r="F47" s="18">
        <f>IF(ISNUMBER(D47), $B64 * E47, "")</f>
        <v>1564.1293013555785</v>
      </c>
      <c r="G47" s="31">
        <v>98.8</v>
      </c>
      <c r="H47" s="32">
        <f t="shared" si="15"/>
        <v>3.02398331595411E-2</v>
      </c>
      <c r="I47" s="101">
        <f>IF(ISNUMBER(G47), $B64 * H47, "")</f>
        <v>3023.9833159541099</v>
      </c>
      <c r="J47" s="15">
        <v>98.3</v>
      </c>
      <c r="K47" s="32">
        <f t="shared" si="16"/>
        <v>2.502606882168917E-2</v>
      </c>
      <c r="L47" s="18">
        <f>IF(ISNUMBER(J47), $B64 * K47, "")</f>
        <v>2502.6068821689169</v>
      </c>
      <c r="M47" s="31">
        <v>97.6</v>
      </c>
      <c r="N47" s="32">
        <f t="shared" si="17"/>
        <v>1.772679874869644E-2</v>
      </c>
      <c r="O47" s="18">
        <f>IF(ISNUMBER(M47), $B64 * N47, "")</f>
        <v>1772.679874869644</v>
      </c>
      <c r="Q47" s="238"/>
      <c r="R47" s="238"/>
      <c r="S47" s="238"/>
    </row>
    <row r="48" spans="1:19" ht="17.25" customHeight="1" thickBot="1">
      <c r="A48" s="127" t="s">
        <v>208</v>
      </c>
      <c r="B48" s="128">
        <v>13.8</v>
      </c>
      <c r="C48" s="78">
        <v>7.2992700999999997E-3</v>
      </c>
      <c r="D48" s="20">
        <v>14.2</v>
      </c>
      <c r="E48" s="21">
        <f t="shared" si="14"/>
        <v>2.8985507246376708E-2</v>
      </c>
      <c r="F48" s="22">
        <f>IF(ISNUMBER(D48), $B64 * E48, "")</f>
        <v>2898.550724637671</v>
      </c>
      <c r="G48" s="30">
        <v>14.4</v>
      </c>
      <c r="H48" s="21">
        <f t="shared" si="15"/>
        <v>4.3478260869565188E-2</v>
      </c>
      <c r="I48" s="105">
        <f>IF(ISNUMBER(G48), $B64 * H48, "")</f>
        <v>4347.8260869565192</v>
      </c>
      <c r="J48" s="20">
        <v>14.3</v>
      </c>
      <c r="K48" s="21">
        <f t="shared" si="16"/>
        <v>3.6231884057971016E-2</v>
      </c>
      <c r="L48" s="22">
        <f>IF(ISNUMBER(J48), $B64 * K48, "")</f>
        <v>3623.1884057971015</v>
      </c>
      <c r="M48" s="30">
        <v>14.3</v>
      </c>
      <c r="N48" s="21">
        <f t="shared" si="17"/>
        <v>3.6231884057971016E-2</v>
      </c>
      <c r="O48" s="22">
        <f>IF(ISNUMBER(M48), $B64 * N48, "")</f>
        <v>3623.1884057971015</v>
      </c>
      <c r="Q48" s="238"/>
      <c r="R48" s="238"/>
      <c r="S48" s="238"/>
    </row>
    <row r="49" spans="1:19" ht="17.25" customHeight="1" thickBot="1">
      <c r="A49" s="125" t="s">
        <v>152</v>
      </c>
      <c r="B49" s="129">
        <v>96.4</v>
      </c>
      <c r="C49" s="80">
        <v>-1.0362694E-3</v>
      </c>
      <c r="D49" s="106">
        <v>99.7</v>
      </c>
      <c r="E49" s="107">
        <f>IF(ISNUMBER(D49), (D49 - $B49) / $B49, "")</f>
        <v>3.4232365145228184E-2</v>
      </c>
      <c r="F49" s="108">
        <f>IF(ISNUMBER(D49), $B64 * E49, "")</f>
        <v>3423.2365145228187</v>
      </c>
      <c r="G49" s="109">
        <v>101</v>
      </c>
      <c r="H49" s="107">
        <f>IF(ISNUMBER(G49), (G49 - $B49) / $B49, "")</f>
        <v>4.7717842323651394E-2</v>
      </c>
      <c r="I49" s="110">
        <f>IF(ISNUMBER(G49), $B64 * H49, "")</f>
        <v>4771.7842323651394</v>
      </c>
      <c r="J49" s="106">
        <v>101</v>
      </c>
      <c r="K49" s="107">
        <f>IF(ISNUMBER(J49), (J49 - $B49) / $B49, "")</f>
        <v>4.7717842323651394E-2</v>
      </c>
      <c r="L49" s="108">
        <f>IF(ISNUMBER(J49), $B64 * K49, "")</f>
        <v>4771.7842323651394</v>
      </c>
      <c r="M49" s="109">
        <v>101</v>
      </c>
      <c r="N49" s="107">
        <f>IF(ISNUMBER(M49), (M49 - $B49) / $B49, "")</f>
        <v>4.7717842323651394E-2</v>
      </c>
      <c r="O49" s="108">
        <f>IF(ISNUMBER(M49), $B64 * N49, "")</f>
        <v>4771.7842323651394</v>
      </c>
      <c r="Q49" s="238"/>
      <c r="R49" s="238"/>
      <c r="S49" s="238"/>
    </row>
    <row r="50" spans="1:19" ht="17.25" customHeight="1" thickBot="1">
      <c r="A50" s="125" t="s">
        <v>250</v>
      </c>
      <c r="B50" s="126">
        <v>75.400000000000006</v>
      </c>
      <c r="C50" s="77">
        <v>-1.82291667E-2</v>
      </c>
      <c r="D50" s="15">
        <v>77.900000000000006</v>
      </c>
      <c r="E50" s="32">
        <f t="shared" ref="E50:E53" si="18">IF(ISNUMBER(D50), (D50 - $B50) / $B50, "")</f>
        <v>3.3156498673740049E-2</v>
      </c>
      <c r="F50" s="18">
        <f>IF(ISNUMBER(D50), $B64 * E50, "")</f>
        <v>3315.6498673740048</v>
      </c>
      <c r="G50" s="31">
        <v>79.599999999999994</v>
      </c>
      <c r="H50" s="32">
        <f t="shared" ref="H50:H53" si="19">IF(ISNUMBER(G50), (G50 - $B50) / $B50, "")</f>
        <v>5.5702917771883131E-2</v>
      </c>
      <c r="I50" s="101">
        <f>IF(ISNUMBER(G50), $B64 * H50, "")</f>
        <v>5570.2917771883131</v>
      </c>
      <c r="J50" s="15">
        <v>78.5</v>
      </c>
      <c r="K50" s="32">
        <f t="shared" ref="K50:K53" si="20">IF(ISNUMBER(J50), (J50 - $B50) / $B50, "")</f>
        <v>4.1114058355437584E-2</v>
      </c>
      <c r="L50" s="18">
        <f>IF(ISNUMBER(J50), $B64 * K50, "")</f>
        <v>4111.4058355437583</v>
      </c>
      <c r="M50" s="31">
        <v>78.5</v>
      </c>
      <c r="N50" s="32">
        <f t="shared" ref="N50:N53" si="21">IF(ISNUMBER(M50), (M50 - $B50) / $B50, "")</f>
        <v>4.1114058355437584E-2</v>
      </c>
      <c r="O50" s="18">
        <f>IF(ISNUMBER(M50), $B64 * N50, "")</f>
        <v>4111.4058355437583</v>
      </c>
      <c r="Q50" s="238"/>
      <c r="R50" s="238"/>
      <c r="S50" s="238"/>
    </row>
    <row r="51" spans="1:19" ht="17.25" customHeight="1" thickBot="1">
      <c r="A51" s="125" t="s">
        <v>204</v>
      </c>
      <c r="B51" s="126">
        <v>14.3</v>
      </c>
      <c r="C51" s="77">
        <v>-2.72108844E-2</v>
      </c>
      <c r="D51" s="15">
        <v>15.2</v>
      </c>
      <c r="E51" s="32">
        <f t="shared" si="18"/>
        <v>6.2937062937062832E-2</v>
      </c>
      <c r="F51" s="18">
        <f>IF(ISNUMBER(D51), $B64 * E51, "")</f>
        <v>6293.7062937062828</v>
      </c>
      <c r="G51" s="31">
        <v>15.2</v>
      </c>
      <c r="H51" s="32">
        <f t="shared" si="19"/>
        <v>6.2937062937062832E-2</v>
      </c>
      <c r="I51" s="101">
        <f>IF(ISNUMBER(G51), $B64 * H51, "")</f>
        <v>6293.7062937062828</v>
      </c>
      <c r="J51" s="15">
        <v>15.1</v>
      </c>
      <c r="K51" s="32">
        <f t="shared" si="20"/>
        <v>5.5944055944055868E-2</v>
      </c>
      <c r="L51" s="18">
        <f>IF(ISNUMBER(J51), $B64 * K51, "")</f>
        <v>5594.4055944055872</v>
      </c>
      <c r="M51" s="31">
        <v>15.2</v>
      </c>
      <c r="N51" s="32">
        <f t="shared" si="21"/>
        <v>6.2937062937062832E-2</v>
      </c>
      <c r="O51" s="18">
        <f>IF(ISNUMBER(M51), $B64 * N51, "")</f>
        <v>6293.7062937062828</v>
      </c>
      <c r="Q51" s="238"/>
      <c r="R51" s="238"/>
      <c r="S51" s="238"/>
    </row>
    <row r="52" spans="1:19" ht="17.25" customHeight="1" thickBot="1">
      <c r="A52" s="125" t="s">
        <v>234</v>
      </c>
      <c r="B52" s="126">
        <v>70.900000000000006</v>
      </c>
      <c r="C52" s="77">
        <v>-3.1420765000000003E-2</v>
      </c>
      <c r="D52" s="15">
        <v>74.2</v>
      </c>
      <c r="E52" s="32">
        <f t="shared" si="18"/>
        <v>4.654442877291956E-2</v>
      </c>
      <c r="F52" s="18">
        <f>IF(ISNUMBER(D52), $B64 * E52, "")</f>
        <v>4654.4428772919564</v>
      </c>
      <c r="G52" s="31">
        <v>76.7</v>
      </c>
      <c r="H52" s="32">
        <f t="shared" si="19"/>
        <v>8.180535966149502E-2</v>
      </c>
      <c r="I52" s="101">
        <f>IF(ISNUMBER(G52), $B64 * H52, "")</f>
        <v>8180.5359661495022</v>
      </c>
      <c r="J52" s="15">
        <v>76.3</v>
      </c>
      <c r="K52" s="32">
        <f t="shared" si="20"/>
        <v>7.6163610719322858E-2</v>
      </c>
      <c r="L52" s="18">
        <f>IF(ISNUMBER(J52), $B64 * K52, "")</f>
        <v>7616.361071932286</v>
      </c>
      <c r="M52" s="31">
        <v>75.599999999999994</v>
      </c>
      <c r="N52" s="32">
        <f t="shared" si="21"/>
        <v>6.6290550070521689E-2</v>
      </c>
      <c r="O52" s="18">
        <f>IF(ISNUMBER(M52), $B64 * N52, "")</f>
        <v>6629.0550070521685</v>
      </c>
      <c r="Q52" s="33"/>
      <c r="R52" s="33"/>
    </row>
    <row r="53" spans="1:19" ht="17.25" customHeight="1" thickBot="1">
      <c r="A53" s="130" t="s">
        <v>210</v>
      </c>
      <c r="B53" s="131">
        <v>12</v>
      </c>
      <c r="C53" s="79">
        <v>-3.2258064500000003E-2</v>
      </c>
      <c r="D53" s="24">
        <v>12.2</v>
      </c>
      <c r="E53" s="25">
        <f t="shared" si="18"/>
        <v>1.6666666666666607E-2</v>
      </c>
      <c r="F53" s="104">
        <f>IF(ISNUMBER(D53), $B64 * E53, "")</f>
        <v>1666.6666666666608</v>
      </c>
      <c r="G53" s="102">
        <v>12.7</v>
      </c>
      <c r="H53" s="25">
        <f t="shared" si="19"/>
        <v>5.8333333333333272E-2</v>
      </c>
      <c r="I53" s="103">
        <f>IF(ISNUMBER(G53), $B64 * H53, "")</f>
        <v>5833.3333333333276</v>
      </c>
      <c r="J53" s="24">
        <v>12.5</v>
      </c>
      <c r="K53" s="25">
        <f t="shared" si="20"/>
        <v>4.1666666666666664E-2</v>
      </c>
      <c r="L53" s="104">
        <f>IF(ISNUMBER(J53), $B64 * K53, "")</f>
        <v>4166.6666666666661</v>
      </c>
      <c r="M53" s="102">
        <v>12.5</v>
      </c>
      <c r="N53" s="25">
        <f t="shared" si="21"/>
        <v>4.1666666666666664E-2</v>
      </c>
      <c r="O53" s="104">
        <f>IF(ISNUMBER(M53), $B64 * N53, "")</f>
        <v>4166.6666666666661</v>
      </c>
      <c r="Q53" s="239"/>
      <c r="R53" s="240"/>
      <c r="S53" s="241"/>
    </row>
    <row r="54" spans="1:19" ht="17.25" customHeight="1">
      <c r="A54" s="123" t="s">
        <v>148</v>
      </c>
      <c r="B54" s="124">
        <v>20.3</v>
      </c>
      <c r="C54" s="76">
        <v>-3.7914691899999999E-2</v>
      </c>
      <c r="D54" s="13">
        <v>21.1</v>
      </c>
      <c r="E54" s="14">
        <f>IF(ISNUMBER(D54), (D54 - $B54) / $B54, "")</f>
        <v>3.9408866995073927E-2</v>
      </c>
      <c r="F54" s="16">
        <f>IF(ISNUMBER(D54), $B64 * E54, "")</f>
        <v>3940.8866995073927</v>
      </c>
      <c r="G54" s="29">
        <v>21.6</v>
      </c>
      <c r="H54" s="14">
        <f>IF(ISNUMBER(G54), (G54 - $B54) / $B54, "")</f>
        <v>6.4039408866995107E-2</v>
      </c>
      <c r="I54" s="100">
        <f>IF(ISNUMBER(G54), $B64 * H54, "")</f>
        <v>6403.9408866995109</v>
      </c>
      <c r="J54" s="13">
        <v>21.5</v>
      </c>
      <c r="K54" s="14">
        <f>IF(ISNUMBER(J54), (J54 - $B54) / $B54, "")</f>
        <v>5.91133004926108E-2</v>
      </c>
      <c r="L54" s="16">
        <f>IF(ISNUMBER(J54), $B64 * K54, "")</f>
        <v>5911.3300492610797</v>
      </c>
      <c r="M54" s="29">
        <v>21.2</v>
      </c>
      <c r="N54" s="14">
        <f>IF(ISNUMBER(M54), (M54 - $B54) / $B54, "")</f>
        <v>4.4334975369458053E-2</v>
      </c>
      <c r="O54" s="16">
        <f>IF(ISNUMBER(M54), $B64 * N54, "")</f>
        <v>4433.4975369458052</v>
      </c>
      <c r="Q54" s="242"/>
      <c r="R54" s="243"/>
      <c r="S54" s="244"/>
    </row>
    <row r="55" spans="1:19" ht="17.25" customHeight="1" thickBot="1">
      <c r="A55" s="125" t="s">
        <v>188</v>
      </c>
      <c r="B55" s="126">
        <v>12.6</v>
      </c>
      <c r="C55" s="77">
        <v>-3.8167938899999997E-2</v>
      </c>
      <c r="D55" s="15">
        <v>13</v>
      </c>
      <c r="E55" s="32">
        <f t="shared" ref="E55:E58" si="22">IF(ISNUMBER(D55), (D55 - $B55) / $B55, "")</f>
        <v>3.1746031746031772E-2</v>
      </c>
      <c r="F55" s="18">
        <f>IF(ISNUMBER(D55), $B64 * E55, "")</f>
        <v>3174.6031746031772</v>
      </c>
      <c r="G55" s="31">
        <v>13.3</v>
      </c>
      <c r="H55" s="32">
        <f t="shared" ref="H55:H58" si="23">IF(ISNUMBER(G55), (G55 - $B55) / $B55, "")</f>
        <v>5.5555555555555643E-2</v>
      </c>
      <c r="I55" s="101">
        <f>IF(ISNUMBER(G55), $B64 * H55, "")</f>
        <v>5555.5555555555638</v>
      </c>
      <c r="J55" s="15">
        <v>13.3</v>
      </c>
      <c r="K55" s="32">
        <f t="shared" ref="K55:K58" si="24">IF(ISNUMBER(J55), (J55 - $B55) / $B55, "")</f>
        <v>5.5555555555555643E-2</v>
      </c>
      <c r="L55" s="18">
        <f>IF(ISNUMBER(J55), $B64 * K55, "")</f>
        <v>5555.5555555555638</v>
      </c>
      <c r="M55" s="31">
        <v>13.3</v>
      </c>
      <c r="N55" s="32">
        <f t="shared" ref="N55:N58" si="25">IF(ISNUMBER(M55), (M55 - $B55) / $B55, "")</f>
        <v>5.5555555555555643E-2</v>
      </c>
      <c r="O55" s="18">
        <f>IF(ISNUMBER(M55), $B64 * N55, "")</f>
        <v>5555.5555555555638</v>
      </c>
      <c r="Q55" s="245"/>
      <c r="R55" s="246"/>
      <c r="S55" s="247"/>
    </row>
    <row r="56" spans="1:19" ht="17.25" customHeight="1" thickBot="1">
      <c r="A56" s="125" t="s">
        <v>65</v>
      </c>
      <c r="B56" s="126">
        <v>34.1</v>
      </c>
      <c r="C56" s="77">
        <v>-3.9436619700000002E-2</v>
      </c>
      <c r="D56" s="15">
        <v>35.700000000000003</v>
      </c>
      <c r="E56" s="32">
        <f t="shared" si="22"/>
        <v>4.6920821114369543E-2</v>
      </c>
      <c r="F56" s="18">
        <f>IF(ISNUMBER(D56), $B64 * E56, "")</f>
        <v>4692.0821114369546</v>
      </c>
      <c r="G56" s="31">
        <v>36.5</v>
      </c>
      <c r="H56" s="32">
        <f t="shared" si="23"/>
        <v>7.0381231671554204E-2</v>
      </c>
      <c r="I56" s="101">
        <f>IF(ISNUMBER(G56), $B64 * H56, "")</f>
        <v>7038.1231671554206</v>
      </c>
      <c r="J56" s="15">
        <v>36</v>
      </c>
      <c r="K56" s="32">
        <f t="shared" si="24"/>
        <v>5.571847507331374E-2</v>
      </c>
      <c r="L56" s="18">
        <f>IF(ISNUMBER(J56), $B64 * K56, "")</f>
        <v>5571.8475073313739</v>
      </c>
      <c r="M56" s="31">
        <v>35.700000000000003</v>
      </c>
      <c r="N56" s="32">
        <f t="shared" si="25"/>
        <v>4.6920821114369543E-2</v>
      </c>
      <c r="O56" s="18">
        <f>IF(ISNUMBER(M56), $B64 * N56, "")</f>
        <v>4692.0821114369546</v>
      </c>
      <c r="Q56" s="238"/>
      <c r="R56" s="238"/>
      <c r="S56" s="238"/>
    </row>
    <row r="57" spans="1:19" ht="17.25" customHeight="1" thickBot="1">
      <c r="A57" s="125" t="s">
        <v>72</v>
      </c>
      <c r="B57" s="126">
        <v>23</v>
      </c>
      <c r="C57" s="77">
        <v>-4.16666667E-2</v>
      </c>
      <c r="D57" s="15">
        <v>23.9</v>
      </c>
      <c r="E57" s="32">
        <f t="shared" si="22"/>
        <v>3.9130434782608636E-2</v>
      </c>
      <c r="F57" s="18">
        <f>IF(ISNUMBER(D57), $B64 * E57, "")</f>
        <v>3913.0434782608636</v>
      </c>
      <c r="G57" s="31">
        <v>24</v>
      </c>
      <c r="H57" s="32">
        <f t="shared" si="23"/>
        <v>4.3478260869565216E-2</v>
      </c>
      <c r="I57" s="101">
        <f>IF(ISNUMBER(G57), $B64 * H57, "")</f>
        <v>4347.826086956522</v>
      </c>
      <c r="J57" s="15">
        <v>23.9</v>
      </c>
      <c r="K57" s="32">
        <f t="shared" si="24"/>
        <v>3.9130434782608636E-2</v>
      </c>
      <c r="L57" s="18">
        <f>IF(ISNUMBER(J57), $B64 * K57, "")</f>
        <v>3913.0434782608636</v>
      </c>
      <c r="M57" s="31">
        <v>23.9</v>
      </c>
      <c r="N57" s="32">
        <f t="shared" si="25"/>
        <v>3.9130434782608636E-2</v>
      </c>
      <c r="O57" s="18">
        <f>IF(ISNUMBER(M57), $B64 * N57, "")</f>
        <v>3913.0434782608636</v>
      </c>
      <c r="Q57" s="248"/>
      <c r="R57" s="248"/>
      <c r="S57" s="248"/>
    </row>
    <row r="58" spans="1:19" ht="17.25" customHeight="1" thickBot="1">
      <c r="A58" s="127" t="s">
        <v>150</v>
      </c>
      <c r="B58" s="128">
        <v>12.7</v>
      </c>
      <c r="C58" s="78">
        <v>-4.5112781999999997E-2</v>
      </c>
      <c r="D58" s="20">
        <v>13.1</v>
      </c>
      <c r="E58" s="21">
        <f t="shared" si="22"/>
        <v>3.1496062992126012E-2</v>
      </c>
      <c r="F58" s="22">
        <f>IF(ISNUMBER(D58), $B64 * E58, "")</f>
        <v>3149.6062992126012</v>
      </c>
      <c r="G58" s="30">
        <v>13.2</v>
      </c>
      <c r="H58" s="21">
        <f t="shared" si="23"/>
        <v>3.937007874015748E-2</v>
      </c>
      <c r="I58" s="105">
        <f>IF(ISNUMBER(G58), $B64 * H58, "")</f>
        <v>3937.0078740157478</v>
      </c>
      <c r="J58" s="20">
        <v>13.1</v>
      </c>
      <c r="K58" s="21">
        <f t="shared" si="24"/>
        <v>3.1496062992126012E-2</v>
      </c>
      <c r="L58" s="22">
        <f>IF(ISNUMBER(J58), $B64 * K58, "")</f>
        <v>3149.6062992126012</v>
      </c>
      <c r="M58" s="30">
        <v>13</v>
      </c>
      <c r="N58" s="21">
        <f t="shared" si="25"/>
        <v>2.3622047244094547E-2</v>
      </c>
      <c r="O58" s="22">
        <f>IF(ISNUMBER(M58), $B64 * N58, "")</f>
        <v>2362.2047244094547</v>
      </c>
      <c r="Q58" s="248"/>
      <c r="R58" s="248"/>
      <c r="S58" s="248"/>
    </row>
    <row r="59" spans="1:19" ht="17.25" customHeight="1" thickBot="1">
      <c r="A59" s="125" t="s">
        <v>216</v>
      </c>
      <c r="B59" s="129">
        <v>10.6</v>
      </c>
      <c r="C59" s="80">
        <v>-5.3571428599999998E-2</v>
      </c>
      <c r="D59" s="106">
        <v>11</v>
      </c>
      <c r="E59" s="107">
        <f>IF(ISNUMBER(D59), (D59 - $B59) / $B59, "")</f>
        <v>3.7735849056603807E-2</v>
      </c>
      <c r="F59" s="108">
        <f>IF(ISNUMBER(D59), $B64 * E59, "")</f>
        <v>3773.5849056603806</v>
      </c>
      <c r="G59" s="109">
        <v>11.2</v>
      </c>
      <c r="H59" s="107">
        <f>IF(ISNUMBER(G59), (G59 - $B59) / $B59, "")</f>
        <v>5.6603773584905627E-2</v>
      </c>
      <c r="I59" s="110">
        <f>IF(ISNUMBER(G59), $B64 * H59, "")</f>
        <v>5660.377358490563</v>
      </c>
      <c r="J59" s="106">
        <v>11.2</v>
      </c>
      <c r="K59" s="107">
        <f>IF(ISNUMBER(J59), (J59 - $B59) / $B59, "")</f>
        <v>5.6603773584905627E-2</v>
      </c>
      <c r="L59" s="108">
        <f>IF(ISNUMBER(J59), $B64 * K59, "")</f>
        <v>5660.377358490563</v>
      </c>
      <c r="M59" s="109">
        <v>11.2</v>
      </c>
      <c r="N59" s="107">
        <f>IF(ISNUMBER(M59), (M59 - $B59) / $B59, "")</f>
        <v>5.6603773584905627E-2</v>
      </c>
      <c r="O59" s="108">
        <f>IF(ISNUMBER(M59), $B64 * N59, "")</f>
        <v>5660.377358490563</v>
      </c>
      <c r="Q59" s="238"/>
      <c r="R59" s="238"/>
      <c r="S59" s="238"/>
    </row>
    <row r="60" spans="1:19" ht="17.25" customHeight="1" thickBot="1">
      <c r="A60" s="125" t="s">
        <v>178</v>
      </c>
      <c r="B60" s="126">
        <v>16.3</v>
      </c>
      <c r="C60" s="77">
        <v>-5.7803468199999999E-2</v>
      </c>
      <c r="D60" s="15">
        <v>17</v>
      </c>
      <c r="E60" s="32">
        <f t="shared" ref="E60:E63" si="26">IF(ISNUMBER(D60), (D60 - $B60) / $B60, "")</f>
        <v>4.2944785276073573E-2</v>
      </c>
      <c r="F60" s="18">
        <f>IF(ISNUMBER(D60), $B64 * E60, "")</f>
        <v>4294.4785276073571</v>
      </c>
      <c r="G60" s="31">
        <v>17.100000000000001</v>
      </c>
      <c r="H60" s="32">
        <f t="shared" ref="H60:H63" si="27">IF(ISNUMBER(G60), (G60 - $B60) / $B60, "")</f>
        <v>4.9079754601227037E-2</v>
      </c>
      <c r="I60" s="101">
        <f>IF(ISNUMBER(G60), $B64 * H60, "")</f>
        <v>4907.9754601227032</v>
      </c>
      <c r="J60" s="15">
        <v>17.100000000000001</v>
      </c>
      <c r="K60" s="32">
        <f t="shared" ref="K60:K63" si="28">IF(ISNUMBER(J60), (J60 - $B60) / $B60, "")</f>
        <v>4.9079754601227037E-2</v>
      </c>
      <c r="L60" s="18">
        <f>IF(ISNUMBER(J60), $B64 * K60, "")</f>
        <v>4907.9754601227032</v>
      </c>
      <c r="M60" s="31">
        <v>17</v>
      </c>
      <c r="N60" s="32">
        <f t="shared" ref="N60:N63" si="29">IF(ISNUMBER(M60), (M60 - $B60) / $B60, "")</f>
        <v>4.2944785276073573E-2</v>
      </c>
      <c r="O60" s="18">
        <f>IF(ISNUMBER(M60), $B64 * N60, "")</f>
        <v>4294.4785276073571</v>
      </c>
      <c r="Q60" s="238"/>
      <c r="R60" s="238"/>
      <c r="S60" s="238"/>
    </row>
    <row r="61" spans="1:19" ht="17.25" customHeight="1" thickBot="1">
      <c r="A61" s="125" t="s">
        <v>122</v>
      </c>
      <c r="B61" s="126">
        <v>32.6</v>
      </c>
      <c r="C61" s="77">
        <v>-6.3218390799999996E-2</v>
      </c>
      <c r="D61" s="15">
        <v>33.4</v>
      </c>
      <c r="E61" s="32">
        <f t="shared" si="26"/>
        <v>2.4539877300613407E-2</v>
      </c>
      <c r="F61" s="18">
        <f>IF(ISNUMBER(D61), $B64 * E61, "")</f>
        <v>2453.9877300613407</v>
      </c>
      <c r="G61" s="31">
        <v>35.1</v>
      </c>
      <c r="H61" s="32">
        <f t="shared" si="27"/>
        <v>7.6687116564417179E-2</v>
      </c>
      <c r="I61" s="101">
        <f>IF(ISNUMBER(G61), $B64 * H61, "")</f>
        <v>7668.7116564417183</v>
      </c>
      <c r="J61" s="15">
        <v>34.700000000000003</v>
      </c>
      <c r="K61" s="32">
        <f t="shared" si="28"/>
        <v>6.4417177914110474E-2</v>
      </c>
      <c r="L61" s="18">
        <f>IF(ISNUMBER(J61), $B64 * K61, "")</f>
        <v>6441.7177914110471</v>
      </c>
      <c r="M61" s="31">
        <v>33.799999999999997</v>
      </c>
      <c r="N61" s="32">
        <f t="shared" si="29"/>
        <v>3.6809815950920116E-2</v>
      </c>
      <c r="O61" s="18">
        <f>IF(ISNUMBER(M61), $B64 * N61, "")</f>
        <v>3680.9815950920115</v>
      </c>
      <c r="Q61" s="238"/>
      <c r="R61" s="238"/>
      <c r="S61" s="238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7"/>
      <c r="R62" s="228"/>
      <c r="S62" s="22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30"/>
      <c r="R63" s="231"/>
      <c r="S63" s="232"/>
    </row>
    <row r="64" spans="1:19" ht="17.25" customHeight="1" thickBot="1">
      <c r="A64" s="132" t="s">
        <v>270</v>
      </c>
      <c r="B64" s="291">
        <f>$B$37</f>
        <v>100000</v>
      </c>
      <c r="C64" s="292"/>
      <c r="D64" s="26" t="s">
        <v>271</v>
      </c>
      <c r="E64" s="27">
        <f>IF(COUNT(E44:E63), SUM(E44:E63) / COUNT(E44:E63), 0)</f>
        <v>4.085627528030298E-2</v>
      </c>
      <c r="F64" s="28">
        <f>SUM(F44:F63)</f>
        <v>73541.295504545385</v>
      </c>
      <c r="G64" s="26" t="s">
        <v>271</v>
      </c>
      <c r="H64" s="27">
        <f>IF(COUNT(H44:H63), SUM(H44:H63) / COUNT(H44:H63), 0)</f>
        <v>5.8025191641920472E-2</v>
      </c>
      <c r="I64" s="28">
        <f>SUM(I44:I63)</f>
        <v>104445.34495545685</v>
      </c>
      <c r="J64" s="26" t="s">
        <v>271</v>
      </c>
      <c r="K64" s="27">
        <f>IF(COUNT(K44:K63), SUM(K44:K63) / COUNT(K44:K63), 0)</f>
        <v>5.1611199494895642E-2</v>
      </c>
      <c r="L64" s="28">
        <f>SUM(L44:L63)</f>
        <v>92900.159090812143</v>
      </c>
      <c r="M64" s="26" t="s">
        <v>271</v>
      </c>
      <c r="N64" s="27">
        <f>IF(COUNT(N44:N63), SUM(N44:N63) / COUNT(N44:N63), 0)</f>
        <v>4.5957034147640886E-2</v>
      </c>
      <c r="O64" s="28">
        <f>SUM(O44:O63)</f>
        <v>82722.661465753568</v>
      </c>
      <c r="Q64" s="233"/>
      <c r="R64" s="234"/>
      <c r="S64" s="23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48"/>
      <c r="R67" s="248"/>
      <c r="S67" s="248"/>
    </row>
    <row r="68" spans="1:19" ht="17.25" thickBot="1">
      <c r="A68" s="207" t="s">
        <v>267</v>
      </c>
      <c r="B68" s="249" t="s">
        <v>49</v>
      </c>
      <c r="C68" s="251"/>
      <c r="D68" s="249" t="s">
        <v>58</v>
      </c>
      <c r="E68" s="250"/>
      <c r="F68" s="251"/>
      <c r="G68" s="252">
        <f>_xlfn.IFNA(VLOOKUP(B68, 현재가테이블!$B$2:$D$200, 2, FALSE), "-")</f>
        <v>54440000</v>
      </c>
      <c r="H68" s="253"/>
      <c r="I68" s="254"/>
      <c r="J68" s="249" t="s">
        <v>59</v>
      </c>
      <c r="K68" s="250"/>
      <c r="L68" s="251"/>
      <c r="M68" s="255">
        <f>_xlfn.IFNA(VLOOKUP(B68, 현재가테이블!$B$2:$D$200, 3, FALSE), "-")</f>
        <v>1.07123628E-2</v>
      </c>
      <c r="N68" s="256"/>
      <c r="O68" s="257"/>
      <c r="Q68" s="248"/>
      <c r="R68" s="248"/>
      <c r="S68" s="248"/>
    </row>
    <row r="69" spans="1:19" ht="17.25" thickBot="1">
      <c r="A69" s="293" t="s">
        <v>55</v>
      </c>
      <c r="B69" s="289" t="str">
        <f>TEXT($G$1, "[$-ko-KR]yyyy-mm-dd(ddd) ") &amp; "오전 00:00"</f>
        <v>2021-08-13(금) 오전 00:00</v>
      </c>
      <c r="C69" s="290"/>
      <c r="D69" s="262" t="str">
        <f>TEXT($G$1, "[$-ko-KR]yyyy-mm-dd(ddd) ") &amp; "오후 14:00"</f>
        <v>2021-08-13(금) 오후 14:00</v>
      </c>
      <c r="E69" s="263"/>
      <c r="F69" s="264"/>
      <c r="G69" s="262" t="str">
        <f>TEXT($G$1, "[$-ko-KR]yyyy-mm-dd(ddd) ") &amp; "오후 19:00"</f>
        <v>2021-08-13(금) 오후 19:00</v>
      </c>
      <c r="H69" s="263"/>
      <c r="I69" s="264"/>
      <c r="J69" s="262" t="str">
        <f>TEXT($G$1, "[$-ko-KR]yyyy-mm-dd(ddd) ") &amp; "오후 21:00"</f>
        <v>2021-08-13(금) 오후 21:00</v>
      </c>
      <c r="K69" s="263"/>
      <c r="L69" s="264"/>
      <c r="M69" s="262" t="str">
        <f>TEXT($G$1+1, "[$-ko-KR]yyyy-mm-dd(ddd) ") &amp; "오전 00:00"</f>
        <v>2021-08-14(토) 오전 00:00</v>
      </c>
      <c r="N69" s="263"/>
      <c r="O69" s="264"/>
      <c r="Q69" s="248"/>
      <c r="R69" s="248"/>
      <c r="S69" s="248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8" t="s">
        <v>58</v>
      </c>
      <c r="H70" s="209" t="s">
        <v>268</v>
      </c>
      <c r="I70" s="21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8"/>
      <c r="R70" s="238"/>
      <c r="S70" s="238"/>
    </row>
    <row r="71" spans="1:19" ht="17.25" thickBot="1">
      <c r="A71" s="123" t="s">
        <v>86</v>
      </c>
      <c r="B71" s="124">
        <v>389</v>
      </c>
      <c r="C71" s="76">
        <v>2.6385224299999999E-2</v>
      </c>
      <c r="D71" s="13">
        <v>426</v>
      </c>
      <c r="E71" s="14">
        <f>IF(ISNUMBER(D71), (D71 - $B71) / $B71, "")</f>
        <v>9.5115681233933158E-2</v>
      </c>
      <c r="F71" s="16">
        <f>IF(ISNUMBER(D71), $B91 * E71, "")</f>
        <v>9511.5681233933155</v>
      </c>
      <c r="G71" s="29">
        <v>435</v>
      </c>
      <c r="H71" s="14">
        <f>IF(ISNUMBER(G71), (G71 - $B71) / $B71, "")</f>
        <v>0.11825192802056556</v>
      </c>
      <c r="I71" s="100">
        <f>IF(ISNUMBER(G71), $B91 * H71, "")</f>
        <v>11825.192802056556</v>
      </c>
      <c r="J71" s="13">
        <v>433</v>
      </c>
      <c r="K71" s="14">
        <f>IF(ISNUMBER(J71), (J71 - $B71) / $B71, "")</f>
        <v>0.11311053984575835</v>
      </c>
      <c r="L71" s="16">
        <f>IF(ISNUMBER(J71), $B91 * K71, "")</f>
        <v>11311.053984575834</v>
      </c>
      <c r="M71" s="29">
        <v>426</v>
      </c>
      <c r="N71" s="14">
        <f>IF(ISNUMBER(M71), (M71 - $B71) / $B71, "")</f>
        <v>9.5115681233933158E-2</v>
      </c>
      <c r="O71" s="16">
        <f>IF(ISNUMBER(M71), $B91 * N71, "")</f>
        <v>9511.5681233933155</v>
      </c>
      <c r="Q71" s="248"/>
      <c r="R71" s="248"/>
      <c r="S71" s="248"/>
    </row>
    <row r="72" spans="1:19" ht="17.25" thickBot="1">
      <c r="A72" s="125" t="s">
        <v>232</v>
      </c>
      <c r="B72" s="126">
        <v>533</v>
      </c>
      <c r="C72" s="77">
        <v>5.6603774000000004E-3</v>
      </c>
      <c r="D72" s="15">
        <v>566</v>
      </c>
      <c r="E72" s="32">
        <f t="shared" ref="E72:E75" si="30">IF(ISNUMBER(D72), (D72 - $B72) / $B72, "")</f>
        <v>6.1913696060037521E-2</v>
      </c>
      <c r="F72" s="18">
        <f>IF(ISNUMBER(D72), $B91 * E72, "")</f>
        <v>6191.3696060037519</v>
      </c>
      <c r="G72" s="31">
        <v>563</v>
      </c>
      <c r="H72" s="32">
        <f t="shared" ref="H72:H75" si="31">IF(ISNUMBER(G72), (G72 - $B72) / $B72, "")</f>
        <v>5.6285178236397747E-2</v>
      </c>
      <c r="I72" s="101">
        <f>IF(ISNUMBER(G72), $B91 * H72, "")</f>
        <v>5628.5178236397751</v>
      </c>
      <c r="J72" s="15">
        <v>561</v>
      </c>
      <c r="K72" s="32">
        <f t="shared" ref="K72:K75" si="32">IF(ISNUMBER(J72), (J72 - $B72) / $B72, "")</f>
        <v>5.2532833020637902E-2</v>
      </c>
      <c r="L72" s="18">
        <f>IF(ISNUMBER(J72), $B91 * K72, "")</f>
        <v>5253.28330206379</v>
      </c>
      <c r="M72" s="31">
        <v>554</v>
      </c>
      <c r="N72" s="32">
        <f t="shared" ref="N72:N75" si="33">IF(ISNUMBER(M72), (M72 - $B72) / $B72, "")</f>
        <v>3.9399624765478425E-2</v>
      </c>
      <c r="O72" s="18">
        <f>IF(ISNUMBER(M72), $B91 * N72, "")</f>
        <v>3939.9624765478425</v>
      </c>
      <c r="Q72" s="248"/>
      <c r="R72" s="248"/>
      <c r="S72" s="248"/>
    </row>
    <row r="73" spans="1:19" ht="17.25" thickBot="1">
      <c r="A73" s="125" t="s">
        <v>266</v>
      </c>
      <c r="B73" s="126">
        <v>306</v>
      </c>
      <c r="C73" s="77">
        <v>0</v>
      </c>
      <c r="D73" s="15">
        <v>315</v>
      </c>
      <c r="E73" s="32">
        <f t="shared" si="30"/>
        <v>2.9411764705882353E-2</v>
      </c>
      <c r="F73" s="18">
        <f>IF(ISNUMBER(D73), $B91 * E73, "")</f>
        <v>2941.1764705882351</v>
      </c>
      <c r="G73" s="31">
        <v>319</v>
      </c>
      <c r="H73" s="32">
        <f t="shared" si="31"/>
        <v>4.2483660130718956E-2</v>
      </c>
      <c r="I73" s="101">
        <f>IF(ISNUMBER(G73), $B91 * H73, "")</f>
        <v>4248.3660130718954</v>
      </c>
      <c r="J73" s="15">
        <v>319</v>
      </c>
      <c r="K73" s="32">
        <f t="shared" si="32"/>
        <v>4.2483660130718956E-2</v>
      </c>
      <c r="L73" s="18">
        <f>IF(ISNUMBER(J73), $B91 * K73, "")</f>
        <v>4248.3660130718954</v>
      </c>
      <c r="M73" s="31">
        <v>317</v>
      </c>
      <c r="N73" s="32">
        <f t="shared" si="33"/>
        <v>3.5947712418300651E-2</v>
      </c>
      <c r="O73" s="18">
        <f>IF(ISNUMBER(M73), $B91 * N73, "")</f>
        <v>3594.7712418300653</v>
      </c>
      <c r="Q73" s="238"/>
      <c r="R73" s="238"/>
      <c r="S73" s="238"/>
    </row>
    <row r="74" spans="1:19" ht="17.25" thickBot="1">
      <c r="A74" s="125" t="s">
        <v>51</v>
      </c>
      <c r="B74" s="126">
        <v>379</v>
      </c>
      <c r="C74" s="77">
        <v>-2.5706940899999999E-2</v>
      </c>
      <c r="D74" s="15">
        <v>404</v>
      </c>
      <c r="E74" s="32">
        <f t="shared" si="30"/>
        <v>6.5963060686015831E-2</v>
      </c>
      <c r="F74" s="18">
        <f>IF(ISNUMBER(D74), $B91 * E74, "")</f>
        <v>6596.3060686015833</v>
      </c>
      <c r="G74" s="31">
        <v>417</v>
      </c>
      <c r="H74" s="32">
        <f t="shared" si="31"/>
        <v>0.10026385224274406</v>
      </c>
      <c r="I74" s="101">
        <f>IF(ISNUMBER(G74), $B91 * H74, "")</f>
        <v>10026.385224274407</v>
      </c>
      <c r="J74" s="15">
        <v>413</v>
      </c>
      <c r="K74" s="32">
        <f t="shared" si="32"/>
        <v>8.9709762532981532E-2</v>
      </c>
      <c r="L74" s="18">
        <f>IF(ISNUMBER(J74), $B91 * K74, "")</f>
        <v>8970.9762532981531</v>
      </c>
      <c r="M74" s="31">
        <v>403</v>
      </c>
      <c r="N74" s="32">
        <f t="shared" si="33"/>
        <v>6.3324538258575203E-2</v>
      </c>
      <c r="O74" s="18">
        <f>IF(ISNUMBER(M74), $B91 * N74, "")</f>
        <v>6332.4538258575203</v>
      </c>
      <c r="Q74" s="238"/>
      <c r="R74" s="238"/>
      <c r="S74" s="238"/>
    </row>
    <row r="75" spans="1:19" ht="17.25" thickBot="1">
      <c r="A75" s="127" t="s">
        <v>144</v>
      </c>
      <c r="B75" s="128">
        <v>110</v>
      </c>
      <c r="C75" s="78">
        <v>-2.65486726E-2</v>
      </c>
      <c r="D75" s="20">
        <v>112</v>
      </c>
      <c r="E75" s="21">
        <f t="shared" si="30"/>
        <v>1.8181818181818181E-2</v>
      </c>
      <c r="F75" s="22">
        <f>IF(ISNUMBER(D75), $B91 * E75, "")</f>
        <v>1818.181818181818</v>
      </c>
      <c r="G75" s="30">
        <v>117</v>
      </c>
      <c r="H75" s="21">
        <f t="shared" si="31"/>
        <v>6.363636363636363E-2</v>
      </c>
      <c r="I75" s="105">
        <f>IF(ISNUMBER(G75), $B91 * H75, "")</f>
        <v>6363.6363636363631</v>
      </c>
      <c r="J75" s="20">
        <v>117</v>
      </c>
      <c r="K75" s="21">
        <f t="shared" si="32"/>
        <v>6.363636363636363E-2</v>
      </c>
      <c r="L75" s="22">
        <f>IF(ISNUMBER(J75), $B91 * K75, "")</f>
        <v>6363.6363636363631</v>
      </c>
      <c r="M75" s="30">
        <v>117</v>
      </c>
      <c r="N75" s="21">
        <f t="shared" si="33"/>
        <v>6.363636363636363E-2</v>
      </c>
      <c r="O75" s="22">
        <f>IF(ISNUMBER(M75), $B91 * N75, "")</f>
        <v>6363.6363636363631</v>
      </c>
      <c r="Q75" s="238"/>
      <c r="R75" s="238"/>
      <c r="S75" s="238"/>
    </row>
    <row r="76" spans="1:19" ht="17.25" thickBot="1">
      <c r="A76" s="125" t="s">
        <v>54</v>
      </c>
      <c r="B76" s="129">
        <v>257</v>
      </c>
      <c r="C76" s="80">
        <v>-3.0188679199999999E-2</v>
      </c>
      <c r="D76" s="106">
        <v>259</v>
      </c>
      <c r="E76" s="107">
        <f>IF(ISNUMBER(D76), (D76 - $B76) / $B76, "")</f>
        <v>7.7821011673151752E-3</v>
      </c>
      <c r="F76" s="108">
        <f>IF(ISNUMBER(D76), $B91 * E76, "")</f>
        <v>778.21011673151747</v>
      </c>
      <c r="G76" s="109">
        <v>266</v>
      </c>
      <c r="H76" s="107">
        <f>IF(ISNUMBER(G76), (G76 - $B76) / $B76, "")</f>
        <v>3.5019455252918288E-2</v>
      </c>
      <c r="I76" s="110">
        <f>IF(ISNUMBER(G76), $B91 * H76, "")</f>
        <v>3501.9455252918287</v>
      </c>
      <c r="J76" s="106">
        <v>264</v>
      </c>
      <c r="K76" s="107">
        <f>IF(ISNUMBER(J76), (J76 - $B76) / $B76, "")</f>
        <v>2.7237354085603113E-2</v>
      </c>
      <c r="L76" s="108">
        <f>IF(ISNUMBER(J76), $B91 * K76, "")</f>
        <v>2723.7354085603115</v>
      </c>
      <c r="M76" s="109">
        <v>260</v>
      </c>
      <c r="N76" s="107">
        <f>IF(ISNUMBER(M76), (M76 - $B76) / $B76, "")</f>
        <v>1.1673151750972763E-2</v>
      </c>
      <c r="O76" s="108">
        <f>IF(ISNUMBER(M76), $B91 * N76, "")</f>
        <v>1167.3151750972763</v>
      </c>
      <c r="Q76" s="238"/>
      <c r="R76" s="238"/>
      <c r="S76" s="238"/>
    </row>
    <row r="77" spans="1:19" ht="17.25" thickBot="1">
      <c r="A77" s="125" t="s">
        <v>128</v>
      </c>
      <c r="B77" s="126">
        <v>124</v>
      </c>
      <c r="C77" s="77">
        <v>-3.125E-2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134</v>
      </c>
      <c r="H77" s="32">
        <f t="shared" ref="H77:H80" si="35">IF(ISNUMBER(G77), (G77 - $B77) / $B77, "")</f>
        <v>8.0645161290322578E-2</v>
      </c>
      <c r="I77" s="101">
        <f>IF(ISNUMBER(G77), $B91 * H77, "")</f>
        <v>8064.5161290322576</v>
      </c>
      <c r="J77" s="15">
        <v>134</v>
      </c>
      <c r="K77" s="32">
        <f t="shared" ref="K77:K80" si="36">IF(ISNUMBER(J77), (J77 - $B77) / $B77, "")</f>
        <v>8.0645161290322578E-2</v>
      </c>
      <c r="L77" s="18">
        <f>IF(ISNUMBER(J77), $B91 * K77, "")</f>
        <v>8064.5161290322576</v>
      </c>
      <c r="M77" s="31">
        <v>131</v>
      </c>
      <c r="N77" s="32">
        <f t="shared" ref="N77:N80" si="37">IF(ISNUMBER(M77), (M77 - $B77) / $B77, "")</f>
        <v>5.6451612903225805E-2</v>
      </c>
      <c r="O77" s="18">
        <f>IF(ISNUMBER(M77), $B91 * N77, "")</f>
        <v>5645.1612903225805</v>
      </c>
      <c r="Q77" s="238"/>
      <c r="R77" s="238"/>
      <c r="S77" s="238"/>
    </row>
    <row r="78" spans="1:19" ht="17.25" thickBot="1">
      <c r="A78" s="125" t="s">
        <v>118</v>
      </c>
      <c r="B78" s="126">
        <v>162</v>
      </c>
      <c r="C78" s="77">
        <v>-3.5714285700000001E-2</v>
      </c>
      <c r="D78" s="15">
        <v>166</v>
      </c>
      <c r="E78" s="32">
        <f t="shared" si="34"/>
        <v>2.4691358024691357E-2</v>
      </c>
      <c r="F78" s="18">
        <f>IF(ISNUMBER(D78), $B91 * E78, "")</f>
        <v>2469.1358024691358</v>
      </c>
      <c r="G78" s="31">
        <v>173</v>
      </c>
      <c r="H78" s="32">
        <f t="shared" si="35"/>
        <v>6.7901234567901231E-2</v>
      </c>
      <c r="I78" s="101">
        <f>IF(ISNUMBER(G78), $B91 * H78, "")</f>
        <v>6790.1234567901229</v>
      </c>
      <c r="J78" s="15">
        <v>170</v>
      </c>
      <c r="K78" s="32">
        <f t="shared" si="36"/>
        <v>4.9382716049382713E-2</v>
      </c>
      <c r="L78" s="18">
        <f>IF(ISNUMBER(J78), $B91 * K78, "")</f>
        <v>4938.2716049382716</v>
      </c>
      <c r="M78" s="31">
        <v>170</v>
      </c>
      <c r="N78" s="32">
        <f t="shared" si="37"/>
        <v>4.9382716049382713E-2</v>
      </c>
      <c r="O78" s="18">
        <f>IF(ISNUMBER(M78), $B91 * N78, "")</f>
        <v>4938.2716049382716</v>
      </c>
      <c r="Q78" s="238"/>
      <c r="R78" s="238"/>
      <c r="S78" s="238"/>
    </row>
    <row r="79" spans="1:19" ht="17.25" thickBot="1">
      <c r="A79" s="125" t="s">
        <v>61</v>
      </c>
      <c r="B79" s="126">
        <v>913</v>
      </c>
      <c r="C79" s="77">
        <v>-3.8947368400000001E-2</v>
      </c>
      <c r="D79" s="15">
        <v>942</v>
      </c>
      <c r="E79" s="32">
        <f t="shared" si="34"/>
        <v>3.1763417305585982E-2</v>
      </c>
      <c r="F79" s="18">
        <f>IF(ISNUMBER(D79), $B91 * E79, "")</f>
        <v>3176.3417305585981</v>
      </c>
      <c r="G79" s="31">
        <v>963</v>
      </c>
      <c r="H79" s="32">
        <f t="shared" si="35"/>
        <v>5.4764512595837894E-2</v>
      </c>
      <c r="I79" s="101">
        <f>IF(ISNUMBER(G79), $B91 * H79, "")</f>
        <v>5476.4512595837896</v>
      </c>
      <c r="J79" s="15">
        <v>956</v>
      </c>
      <c r="K79" s="32">
        <f t="shared" si="36"/>
        <v>4.7097480832420595E-2</v>
      </c>
      <c r="L79" s="18">
        <f>IF(ISNUMBER(J79), $B91 * K79, "")</f>
        <v>4709.7480832420597</v>
      </c>
      <c r="M79" s="31">
        <v>941</v>
      </c>
      <c r="N79" s="32">
        <f t="shared" si="37"/>
        <v>3.0668127053669222E-2</v>
      </c>
      <c r="O79" s="18">
        <f>IF(ISNUMBER(M79), $B91 * N79, "")</f>
        <v>3066.8127053669223</v>
      </c>
      <c r="Q79" s="33"/>
      <c r="R79" s="33"/>
    </row>
    <row r="80" spans="1:19" ht="17.25" thickBot="1">
      <c r="A80" s="130" t="s">
        <v>57</v>
      </c>
      <c r="B80" s="131">
        <v>217</v>
      </c>
      <c r="C80" s="79">
        <v>-3.9823008799999997E-2</v>
      </c>
      <c r="D80" s="24">
        <v>225</v>
      </c>
      <c r="E80" s="25">
        <f t="shared" si="34"/>
        <v>3.6866359447004608E-2</v>
      </c>
      <c r="F80" s="104">
        <f>IF(ISNUMBER(D80), $B91 * E80, "")</f>
        <v>3686.6359447004606</v>
      </c>
      <c r="G80" s="102">
        <v>229</v>
      </c>
      <c r="H80" s="25">
        <f t="shared" si="35"/>
        <v>5.5299539170506916E-2</v>
      </c>
      <c r="I80" s="103">
        <f>IF(ISNUMBER(G80), $B91 * H80, "")</f>
        <v>5529.9539170506914</v>
      </c>
      <c r="J80" s="24">
        <v>228</v>
      </c>
      <c r="K80" s="25">
        <f t="shared" si="36"/>
        <v>5.0691244239631339E-2</v>
      </c>
      <c r="L80" s="104">
        <f>IF(ISNUMBER(J80), $B91 * K80, "")</f>
        <v>5069.1244239631342</v>
      </c>
      <c r="M80" s="102">
        <v>226</v>
      </c>
      <c r="N80" s="25">
        <f t="shared" si="37"/>
        <v>4.1474654377880185E-2</v>
      </c>
      <c r="O80" s="104">
        <f>IF(ISNUMBER(M80), $B91 * N80, "")</f>
        <v>4147.4654377880188</v>
      </c>
      <c r="Q80" s="239"/>
      <c r="R80" s="240"/>
      <c r="S80" s="241"/>
    </row>
    <row r="81" spans="1:19">
      <c r="A81" s="123" t="s">
        <v>194</v>
      </c>
      <c r="B81" s="124">
        <v>142</v>
      </c>
      <c r="C81" s="76">
        <v>-4.05405405E-2</v>
      </c>
      <c r="D81" s="13">
        <v>144</v>
      </c>
      <c r="E81" s="14">
        <f>IF(ISNUMBER(D81), (D81 - $B81) / $B81, "")</f>
        <v>1.4084507042253521E-2</v>
      </c>
      <c r="F81" s="16">
        <f>IF(ISNUMBER(D81), $B91 * E81, "")</f>
        <v>1408.4507042253522</v>
      </c>
      <c r="G81" s="29">
        <v>146</v>
      </c>
      <c r="H81" s="14">
        <f>IF(ISNUMBER(G81), (G81 - $B81) / $B81, "")</f>
        <v>2.8169014084507043E-2</v>
      </c>
      <c r="I81" s="100">
        <f>IF(ISNUMBER(G81), $B91 * H81, "")</f>
        <v>2816.9014084507044</v>
      </c>
      <c r="J81" s="13">
        <v>144</v>
      </c>
      <c r="K81" s="14">
        <f>IF(ISNUMBER(J81), (J81 - $B81) / $B81, "")</f>
        <v>1.4084507042253521E-2</v>
      </c>
      <c r="L81" s="16">
        <f>IF(ISNUMBER(J81), $B91 * K81, "")</f>
        <v>1408.4507042253522</v>
      </c>
      <c r="M81" s="29">
        <v>144</v>
      </c>
      <c r="N81" s="14">
        <f>IF(ISNUMBER(M81), (M81 - $B81) / $B81, "")</f>
        <v>1.4084507042253521E-2</v>
      </c>
      <c r="O81" s="16">
        <f>IF(ISNUMBER(M81), $B91 * N81, "")</f>
        <v>1408.4507042253522</v>
      </c>
      <c r="Q81" s="242"/>
      <c r="R81" s="243"/>
      <c r="S81" s="244"/>
    </row>
    <row r="82" spans="1:19" ht="17.25" thickBot="1">
      <c r="A82" s="125" t="s">
        <v>138</v>
      </c>
      <c r="B82" s="126">
        <v>378</v>
      </c>
      <c r="C82" s="77">
        <v>-4.3037974700000002E-2</v>
      </c>
      <c r="D82" s="15">
        <v>392</v>
      </c>
      <c r="E82" s="32">
        <f t="shared" ref="E82:E85" si="38">IF(ISNUMBER(D82), (D82 - $B82) / $B82, "")</f>
        <v>3.7037037037037035E-2</v>
      </c>
      <c r="F82" s="18">
        <f>IF(ISNUMBER(D82), $B91 * E82, "")</f>
        <v>3703.7037037037035</v>
      </c>
      <c r="G82" s="31">
        <v>398</v>
      </c>
      <c r="H82" s="32">
        <f t="shared" ref="H82:H85" si="39">IF(ISNUMBER(G82), (G82 - $B82) / $B82, "")</f>
        <v>5.2910052910052907E-2</v>
      </c>
      <c r="I82" s="101">
        <f>IF(ISNUMBER(G82), $B91 * H82, "")</f>
        <v>5291.0052910052909</v>
      </c>
      <c r="J82" s="15">
        <v>396</v>
      </c>
      <c r="K82" s="32">
        <f t="shared" ref="K82:K85" si="40">IF(ISNUMBER(J82), (J82 - $B82) / $B82, "")</f>
        <v>4.7619047619047616E-2</v>
      </c>
      <c r="L82" s="18">
        <f>IF(ISNUMBER(J82), $B91 * K82, "")</f>
        <v>4761.9047619047615</v>
      </c>
      <c r="M82" s="31">
        <v>391</v>
      </c>
      <c r="N82" s="32">
        <f t="shared" ref="N82:N85" si="41">IF(ISNUMBER(M82), (M82 - $B82) / $B82, "")</f>
        <v>3.439153439153439E-2</v>
      </c>
      <c r="O82" s="18">
        <f>IF(ISNUMBER(M82), $B91 * N82, "")</f>
        <v>3439.1534391534387</v>
      </c>
      <c r="Q82" s="245"/>
      <c r="R82" s="246"/>
      <c r="S82" s="247"/>
    </row>
    <row r="83" spans="1:19" ht="17.25" thickBot="1">
      <c r="A83" s="125" t="s">
        <v>80</v>
      </c>
      <c r="B83" s="126">
        <v>822</v>
      </c>
      <c r="C83" s="77">
        <v>-4.3073341100000002E-2</v>
      </c>
      <c r="D83" s="15">
        <v>852</v>
      </c>
      <c r="E83" s="32">
        <f t="shared" si="38"/>
        <v>3.6496350364963501E-2</v>
      </c>
      <c r="F83" s="18">
        <f>IF(ISNUMBER(D83), $B91 * E83, "")</f>
        <v>3649.63503649635</v>
      </c>
      <c r="G83" s="31">
        <v>882</v>
      </c>
      <c r="H83" s="32">
        <f t="shared" si="39"/>
        <v>7.2992700729927001E-2</v>
      </c>
      <c r="I83" s="101">
        <f>IF(ISNUMBER(G83), $B91 * H83, "")</f>
        <v>7299.2700729927001</v>
      </c>
      <c r="J83" s="15">
        <v>875</v>
      </c>
      <c r="K83" s="32">
        <f t="shared" si="40"/>
        <v>6.4476885644768861E-2</v>
      </c>
      <c r="L83" s="18">
        <f>IF(ISNUMBER(J83), $B91 * K83, "")</f>
        <v>6447.6885644768863</v>
      </c>
      <c r="M83" s="31">
        <v>872</v>
      </c>
      <c r="N83" s="32">
        <f t="shared" si="41"/>
        <v>6.0827250608272508E-2</v>
      </c>
      <c r="O83" s="18">
        <f>IF(ISNUMBER(M83), $B91 * N83, "")</f>
        <v>6082.7250608272507</v>
      </c>
      <c r="Q83" s="238"/>
      <c r="R83" s="238"/>
      <c r="S83" s="238"/>
    </row>
    <row r="84" spans="1:19" ht="17.25" thickBot="1">
      <c r="A84" s="125" t="s">
        <v>228</v>
      </c>
      <c r="B84" s="126">
        <v>388</v>
      </c>
      <c r="C84" s="77">
        <v>-4.4334975399999997E-2</v>
      </c>
      <c r="D84" s="15">
        <v>396</v>
      </c>
      <c r="E84" s="32">
        <f t="shared" si="38"/>
        <v>2.0618556701030927E-2</v>
      </c>
      <c r="F84" s="18">
        <f>IF(ISNUMBER(D84), $B91 * E84, "")</f>
        <v>2061.855670103093</v>
      </c>
      <c r="G84" s="31">
        <v>402</v>
      </c>
      <c r="H84" s="32">
        <f t="shared" si="39"/>
        <v>3.608247422680412E-2</v>
      </c>
      <c r="I84" s="101">
        <f>IF(ISNUMBER(G84), $B91 * H84, "")</f>
        <v>3608.247422680412</v>
      </c>
      <c r="J84" s="15">
        <v>400</v>
      </c>
      <c r="K84" s="32">
        <f t="shared" si="40"/>
        <v>3.0927835051546393E-2</v>
      </c>
      <c r="L84" s="18">
        <f>IF(ISNUMBER(J84), $B91 * K84, "")</f>
        <v>3092.7835051546394</v>
      </c>
      <c r="M84" s="31">
        <v>398</v>
      </c>
      <c r="N84" s="32">
        <f t="shared" si="41"/>
        <v>2.5773195876288658E-2</v>
      </c>
      <c r="O84" s="18">
        <f>IF(ISNUMBER(M84), $B91 * N84, "")</f>
        <v>2577.319587628866</v>
      </c>
      <c r="Q84" s="248"/>
      <c r="R84" s="248"/>
      <c r="S84" s="248"/>
    </row>
    <row r="85" spans="1:19" ht="17.25" thickBot="1">
      <c r="A85" s="127" t="s">
        <v>254</v>
      </c>
      <c r="B85" s="128">
        <v>299</v>
      </c>
      <c r="C85" s="78">
        <v>-4.4728434499999997E-2</v>
      </c>
      <c r="D85" s="20">
        <v>303</v>
      </c>
      <c r="E85" s="21">
        <f t="shared" si="38"/>
        <v>1.3377926421404682E-2</v>
      </c>
      <c r="F85" s="22">
        <f>IF(ISNUMBER(D85), $B91 * E85, "")</f>
        <v>1337.7926421404682</v>
      </c>
      <c r="G85" s="30">
        <v>308</v>
      </c>
      <c r="H85" s="21">
        <f t="shared" si="39"/>
        <v>3.0100334448160536E-2</v>
      </c>
      <c r="I85" s="105">
        <f>IF(ISNUMBER(G85), $B91 * H85, "")</f>
        <v>3010.0334448160534</v>
      </c>
      <c r="J85" s="20">
        <v>306</v>
      </c>
      <c r="K85" s="21">
        <f t="shared" si="40"/>
        <v>2.3411371237458192E-2</v>
      </c>
      <c r="L85" s="22">
        <f>IF(ISNUMBER(J85), $B91 * K85, "")</f>
        <v>2341.1371237458193</v>
      </c>
      <c r="M85" s="30">
        <v>315</v>
      </c>
      <c r="N85" s="21">
        <f t="shared" si="41"/>
        <v>5.3511705685618728E-2</v>
      </c>
      <c r="O85" s="22">
        <f>IF(ISNUMBER(M85), $B91 * N85, "")</f>
        <v>5351.1705685618726</v>
      </c>
      <c r="Q85" s="248"/>
      <c r="R85" s="248"/>
      <c r="S85" s="248"/>
    </row>
    <row r="86" spans="1:19" ht="17.25" thickBot="1">
      <c r="A86" s="125" t="s">
        <v>130</v>
      </c>
      <c r="B86" s="129">
        <v>106</v>
      </c>
      <c r="C86" s="80">
        <v>-4.5045044999999999E-2</v>
      </c>
      <c r="D86" s="106">
        <v>114</v>
      </c>
      <c r="E86" s="107">
        <f>IF(ISNUMBER(D86), (D86 - $B86) / $B86, "")</f>
        <v>7.5471698113207544E-2</v>
      </c>
      <c r="F86" s="108">
        <f>IF(ISNUMBER(D86), $B91 * E86, "")</f>
        <v>7547.169811320754</v>
      </c>
      <c r="G86" s="109">
        <v>117</v>
      </c>
      <c r="H86" s="107">
        <f>IF(ISNUMBER(G86), (G86 - $B86) / $B86, "")</f>
        <v>0.10377358490566038</v>
      </c>
      <c r="I86" s="110">
        <f>IF(ISNUMBER(G86), $B91 * H86, "")</f>
        <v>10377.358490566039</v>
      </c>
      <c r="J86" s="106">
        <v>117</v>
      </c>
      <c r="K86" s="107">
        <f>IF(ISNUMBER(J86), (J86 - $B86) / $B86, "")</f>
        <v>0.10377358490566038</v>
      </c>
      <c r="L86" s="108">
        <f>IF(ISNUMBER(J86), $B91 * K86, "")</f>
        <v>10377.358490566039</v>
      </c>
      <c r="M86" s="109">
        <v>115</v>
      </c>
      <c r="N86" s="107">
        <f>IF(ISNUMBER(M86), (M86 - $B86) / $B86, "")</f>
        <v>8.4905660377358486E-2</v>
      </c>
      <c r="O86" s="108">
        <f>IF(ISNUMBER(M86), $B91 * N86, "")</f>
        <v>8490.566037735849</v>
      </c>
      <c r="Q86" s="238"/>
      <c r="R86" s="238"/>
      <c r="S86" s="238"/>
    </row>
    <row r="87" spans="1:19" ht="17.25" thickBot="1">
      <c r="A87" s="125" t="s">
        <v>162</v>
      </c>
      <c r="B87" s="126">
        <v>105</v>
      </c>
      <c r="C87" s="77">
        <v>-4.5454545499999999E-2</v>
      </c>
      <c r="D87" s="15">
        <v>110</v>
      </c>
      <c r="E87" s="32">
        <f t="shared" ref="E87:E90" si="42">IF(ISNUMBER(D87), (D87 - $B87) / $B87, "")</f>
        <v>4.7619047619047616E-2</v>
      </c>
      <c r="F87" s="18">
        <f>IF(ISNUMBER(D87), $B91 * E87, "")</f>
        <v>4761.9047619047615</v>
      </c>
      <c r="G87" s="31">
        <v>113</v>
      </c>
      <c r="H87" s="32">
        <f t="shared" ref="H87:H90" si="43">IF(ISNUMBER(G87), (G87 - $B87) / $B87, "")</f>
        <v>7.6190476190476197E-2</v>
      </c>
      <c r="I87" s="101">
        <f>IF(ISNUMBER(G87), $B91 * H87, "")</f>
        <v>7619.0476190476202</v>
      </c>
      <c r="J87" s="15">
        <v>113</v>
      </c>
      <c r="K87" s="32">
        <f t="shared" ref="K87:K90" si="44">IF(ISNUMBER(J87), (J87 - $B87) / $B87, "")</f>
        <v>7.6190476190476197E-2</v>
      </c>
      <c r="L87" s="18">
        <f>IF(ISNUMBER(J87), $B91 * K87, "")</f>
        <v>7619.0476190476202</v>
      </c>
      <c r="M87" s="31">
        <v>111</v>
      </c>
      <c r="N87" s="32">
        <f t="shared" ref="N87:N90" si="45">IF(ISNUMBER(M87), (M87 - $B87) / $B87, "")</f>
        <v>5.7142857142857141E-2</v>
      </c>
      <c r="O87" s="18">
        <f>IF(ISNUMBER(M87), $B91 * N87, "")</f>
        <v>5714.2857142857138</v>
      </c>
      <c r="Q87" s="238"/>
      <c r="R87" s="238"/>
      <c r="S87" s="238"/>
    </row>
    <row r="88" spans="1:19" ht="17.25" thickBot="1">
      <c r="A88" s="125" t="s">
        <v>230</v>
      </c>
      <c r="B88" s="126">
        <v>208</v>
      </c>
      <c r="C88" s="77">
        <v>-4.58715596E-2</v>
      </c>
      <c r="D88" s="15">
        <v>211</v>
      </c>
      <c r="E88" s="32">
        <f t="shared" si="42"/>
        <v>1.4423076923076924E-2</v>
      </c>
      <c r="F88" s="18">
        <f>IF(ISNUMBER(D88), $B91 * E88, "")</f>
        <v>1442.3076923076924</v>
      </c>
      <c r="G88" s="31">
        <v>213</v>
      </c>
      <c r="H88" s="32">
        <f t="shared" si="43"/>
        <v>2.403846153846154E-2</v>
      </c>
      <c r="I88" s="101">
        <f>IF(ISNUMBER(G88), $B91 * H88, "")</f>
        <v>2403.8461538461538</v>
      </c>
      <c r="J88" s="15">
        <v>211</v>
      </c>
      <c r="K88" s="32">
        <f t="shared" si="44"/>
        <v>1.4423076923076924E-2</v>
      </c>
      <c r="L88" s="18">
        <f>IF(ISNUMBER(J88), $B91 * K88, "")</f>
        <v>1442.3076923076924</v>
      </c>
      <c r="M88" s="31">
        <v>211</v>
      </c>
      <c r="N88" s="32">
        <f t="shared" si="45"/>
        <v>1.4423076923076924E-2</v>
      </c>
      <c r="O88" s="18">
        <f>IF(ISNUMBER(M88), $B91 * N88, "")</f>
        <v>1442.3076923076924</v>
      </c>
      <c r="Q88" s="238"/>
      <c r="R88" s="238"/>
      <c r="S88" s="238"/>
    </row>
    <row r="89" spans="1:19">
      <c r="A89" s="125" t="s">
        <v>238</v>
      </c>
      <c r="B89" s="126">
        <v>103</v>
      </c>
      <c r="C89" s="77">
        <v>-4.6296296299999998E-2</v>
      </c>
      <c r="D89" s="15">
        <v>106</v>
      </c>
      <c r="E89" s="32">
        <f t="shared" si="42"/>
        <v>2.9126213592233011E-2</v>
      </c>
      <c r="F89" s="18">
        <f>IF(ISNUMBER(D89), $B91 * E89, "")</f>
        <v>2912.6213592233012</v>
      </c>
      <c r="G89" s="31">
        <v>108</v>
      </c>
      <c r="H89" s="32">
        <f t="shared" si="43"/>
        <v>4.8543689320388349E-2</v>
      </c>
      <c r="I89" s="101">
        <f>IF(ISNUMBER(G89), $B91 * H89, "")</f>
        <v>4854.3689320388348</v>
      </c>
      <c r="J89" s="15">
        <v>108</v>
      </c>
      <c r="K89" s="32">
        <f t="shared" si="44"/>
        <v>4.8543689320388349E-2</v>
      </c>
      <c r="L89" s="18">
        <f>IF(ISNUMBER(J89), $B91 * K89, "")</f>
        <v>4854.3689320388348</v>
      </c>
      <c r="M89" s="31">
        <v>107</v>
      </c>
      <c r="N89" s="32">
        <f t="shared" si="45"/>
        <v>3.8834951456310676E-2</v>
      </c>
      <c r="O89" s="18">
        <f>IF(ISNUMBER(M89), $B91 * N89, "")</f>
        <v>3883.4951456310678</v>
      </c>
      <c r="Q89" s="227"/>
      <c r="R89" s="228"/>
      <c r="S89" s="229"/>
    </row>
    <row r="90" spans="1:19" ht="17.25" thickBot="1">
      <c r="A90" s="130" t="s">
        <v>114</v>
      </c>
      <c r="B90" s="131">
        <v>744</v>
      </c>
      <c r="C90" s="79">
        <v>-4.7375160100000001E-2</v>
      </c>
      <c r="D90" s="24">
        <v>749</v>
      </c>
      <c r="E90" s="25">
        <f t="shared" si="42"/>
        <v>6.7204301075268818E-3</v>
      </c>
      <c r="F90" s="104">
        <f>IF(ISNUMBER(D90), $B91 * E90, "")</f>
        <v>672.04301075268813</v>
      </c>
      <c r="G90" s="102">
        <v>763</v>
      </c>
      <c r="H90" s="25">
        <f t="shared" si="43"/>
        <v>2.5537634408602152E-2</v>
      </c>
      <c r="I90" s="103">
        <f>IF(ISNUMBER(G90), $B91 * H90, "")</f>
        <v>2553.7634408602153</v>
      </c>
      <c r="J90" s="24">
        <v>754</v>
      </c>
      <c r="K90" s="25">
        <f t="shared" si="44"/>
        <v>1.3440860215053764E-2</v>
      </c>
      <c r="L90" s="104">
        <f>IF(ISNUMBER(J90), $B91 * K90, "")</f>
        <v>1344.0860215053763</v>
      </c>
      <c r="M90" s="102">
        <v>743</v>
      </c>
      <c r="N90" s="25">
        <f t="shared" si="45"/>
        <v>-1.3440860215053765E-3</v>
      </c>
      <c r="O90" s="104">
        <f>IF(ISNUMBER(M90), $B91 * N90, "")</f>
        <v>-134.40860215053763</v>
      </c>
      <c r="Q90" s="230"/>
      <c r="R90" s="231"/>
      <c r="S90" s="232"/>
    </row>
    <row r="91" spans="1:19" ht="17.25" thickBot="1">
      <c r="A91" s="132" t="s">
        <v>270</v>
      </c>
      <c r="B91" s="291">
        <f>$B$37</f>
        <v>100000</v>
      </c>
      <c r="C91" s="292"/>
      <c r="D91" s="26" t="s">
        <v>271</v>
      </c>
      <c r="E91" s="27">
        <f>IF(COUNT(E71:E90), SUM(E71:E90) / COUNT(E71:E90), 0)</f>
        <v>3.5752559875412968E-2</v>
      </c>
      <c r="F91" s="28">
        <f>SUM(F71:F90)</f>
        <v>71505.119750825921</v>
      </c>
      <c r="G91" s="26" t="s">
        <v>271</v>
      </c>
      <c r="H91" s="27">
        <f>IF(COUNT(H71:H90), SUM(H71:H90) / COUNT(H71:H90), 0)</f>
        <v>5.8644465395365851E-2</v>
      </c>
      <c r="I91" s="28">
        <f>SUM(I71:I90)</f>
        <v>117288.93079073173</v>
      </c>
      <c r="J91" s="26" t="s">
        <v>271</v>
      </c>
      <c r="K91" s="27">
        <f>IF(COUNT(K71:K90), SUM(K71:K90) / COUNT(K71:K90), 0)</f>
        <v>5.2670922490677542E-2</v>
      </c>
      <c r="L91" s="28">
        <f>SUM(L71:L90)</f>
        <v>105341.8449813551</v>
      </c>
      <c r="M91" s="26" t="s">
        <v>271</v>
      </c>
      <c r="N91" s="27">
        <f>IF(COUNT(N71:N90), SUM(N71:N90) / COUNT(N71:N90), 0)</f>
        <v>4.3481241796492369E-2</v>
      </c>
      <c r="O91" s="28">
        <f>SUM(O71:O90)</f>
        <v>86962.483592984732</v>
      </c>
      <c r="Q91" s="233"/>
      <c r="R91" s="234"/>
      <c r="S91" s="23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48"/>
      <c r="R94" s="248"/>
      <c r="S94" s="248"/>
    </row>
    <row r="95" spans="1:19" ht="17.25" thickBot="1">
      <c r="A95" s="207" t="s">
        <v>267</v>
      </c>
      <c r="B95" s="249" t="s">
        <v>49</v>
      </c>
      <c r="C95" s="251"/>
      <c r="D95" s="249" t="s">
        <v>58</v>
      </c>
      <c r="E95" s="250"/>
      <c r="F95" s="251"/>
      <c r="G95" s="252">
        <f>_xlfn.IFNA(VLOOKUP(B95, 현재가테이블!$B$2:$D$200, 2, FALSE), "-")</f>
        <v>54440000</v>
      </c>
      <c r="H95" s="253"/>
      <c r="I95" s="254"/>
      <c r="J95" s="249" t="s">
        <v>59</v>
      </c>
      <c r="K95" s="250"/>
      <c r="L95" s="251"/>
      <c r="M95" s="255">
        <f>_xlfn.IFNA(VLOOKUP(B95, 현재가테이블!$B$2:$D$200, 3, FALSE), "-")</f>
        <v>1.07123628E-2</v>
      </c>
      <c r="N95" s="256"/>
      <c r="O95" s="257"/>
      <c r="Q95" s="248"/>
      <c r="R95" s="248"/>
      <c r="S95" s="248"/>
    </row>
    <row r="96" spans="1:19" ht="17.25" thickBot="1">
      <c r="A96" s="293" t="s">
        <v>55</v>
      </c>
      <c r="B96" s="289" t="str">
        <f>TEXT($G$1, "[$-ko-KR]yyyy-mm-dd(ddd) ") &amp; "오전 00:00"</f>
        <v>2021-08-13(금) 오전 00:00</v>
      </c>
      <c r="C96" s="290"/>
      <c r="D96" s="262" t="str">
        <f>TEXT($G$1, "[$-ko-KR]yyyy-mm-dd(ddd) ") &amp; "오후 14:00"</f>
        <v>2021-08-13(금) 오후 14:00</v>
      </c>
      <c r="E96" s="263"/>
      <c r="F96" s="264"/>
      <c r="G96" s="262" t="str">
        <f>TEXT($G$1, "[$-ko-KR]yyyy-mm-dd(ddd) ") &amp; "오후 19:00"</f>
        <v>2021-08-13(금) 오후 19:00</v>
      </c>
      <c r="H96" s="263"/>
      <c r="I96" s="264"/>
      <c r="J96" s="262" t="str">
        <f>TEXT($G$1, "[$-ko-KR]yyyy-mm-dd(ddd) ") &amp; "오후 21:00"</f>
        <v>2021-08-13(금) 오후 21:00</v>
      </c>
      <c r="K96" s="263"/>
      <c r="L96" s="264"/>
      <c r="M96" s="262" t="str">
        <f>TEXT($G$1+1, "[$-ko-KR]yyyy-mm-dd(ddd) ") &amp; "오전 00:00"</f>
        <v>2021-08-14(토) 오전 00:00</v>
      </c>
      <c r="N96" s="263"/>
      <c r="O96" s="264"/>
      <c r="Q96" s="248"/>
      <c r="R96" s="248"/>
      <c r="S96" s="248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8" t="s">
        <v>58</v>
      </c>
      <c r="H97" s="209" t="s">
        <v>268</v>
      </c>
      <c r="I97" s="21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8"/>
      <c r="R97" s="238"/>
      <c r="S97" s="238"/>
    </row>
    <row r="98" spans="1:19" ht="17.25" thickBot="1">
      <c r="A98" s="123" t="s">
        <v>240</v>
      </c>
      <c r="B98" s="124">
        <v>74</v>
      </c>
      <c r="C98" s="76">
        <v>8.5043988299999998E-2</v>
      </c>
      <c r="D98" s="13">
        <v>80.2</v>
      </c>
      <c r="E98" s="14">
        <f>IF(ISNUMBER(D98), (D98 - $B98) / $B98, "")</f>
        <v>8.3783783783783816E-2</v>
      </c>
      <c r="F98" s="16">
        <f>IF(ISNUMBER(D98), $B118 * E98, "")</f>
        <v>8378.378378378382</v>
      </c>
      <c r="G98" s="29">
        <v>78.8</v>
      </c>
      <c r="H98" s="14">
        <f>IF(ISNUMBER(G98), (G98 - $B98) / $B98, "")</f>
        <v>6.4864864864864827E-2</v>
      </c>
      <c r="I98" s="100">
        <f>IF(ISNUMBER(G98), $B118 * H98, "")</f>
        <v>6486.486486486483</v>
      </c>
      <c r="J98" s="13">
        <v>78.8</v>
      </c>
      <c r="K98" s="14">
        <f>IF(ISNUMBER(J98), (J98 - $B98) / $B98, "")</f>
        <v>6.4864864864864827E-2</v>
      </c>
      <c r="L98" s="16">
        <f>IF(ISNUMBER(J98), $B118 * K98, "")</f>
        <v>6486.486486486483</v>
      </c>
      <c r="M98" s="29">
        <v>78.099999999999994</v>
      </c>
      <c r="N98" s="14">
        <f>IF(ISNUMBER(M98), (M98 - $B98) / $B98, "")</f>
        <v>5.5405405405405325E-2</v>
      </c>
      <c r="O98" s="16">
        <f>IF(ISNUMBER(M98), $B118 * N98, "")</f>
        <v>5540.5405405405327</v>
      </c>
      <c r="Q98" s="248"/>
      <c r="R98" s="248"/>
      <c r="S98" s="248"/>
    </row>
    <row r="99" spans="1:19" ht="17.25" thickBot="1">
      <c r="A99" s="125" t="s">
        <v>154</v>
      </c>
      <c r="B99" s="126">
        <v>82460</v>
      </c>
      <c r="C99" s="77">
        <v>7.43973941E-2</v>
      </c>
      <c r="D99" s="15">
        <v>77890</v>
      </c>
      <c r="E99" s="32">
        <f t="shared" ref="E99:E102" si="46">IF(ISNUMBER(D99), (D99 - $B99) / $B99, "")</f>
        <v>-5.542081008974048E-2</v>
      </c>
      <c r="F99" s="18">
        <f>IF(ISNUMBER(D99), $B118 * E99, "")</f>
        <v>-5542.081008974048</v>
      </c>
      <c r="G99" s="31">
        <v>82930</v>
      </c>
      <c r="H99" s="32">
        <f t="shared" ref="H99:H102" si="47">IF(ISNUMBER(G99), (G99 - $B99) / $B99, "")</f>
        <v>5.6997332039776865E-3</v>
      </c>
      <c r="I99" s="101">
        <f>IF(ISNUMBER(G99), $B118 * H99, "")</f>
        <v>569.9733203977687</v>
      </c>
      <c r="J99" s="15">
        <v>81930</v>
      </c>
      <c r="K99" s="32">
        <f t="shared" ref="K99:K102" si="48">IF(ISNUMBER(J99), (J99 - $B99) / $B99, "")</f>
        <v>-6.427358719379093E-3</v>
      </c>
      <c r="L99" s="18">
        <f>IF(ISNUMBER(J99), $B118 * K99, "")</f>
        <v>-642.73587193790934</v>
      </c>
      <c r="M99" s="31">
        <v>79520</v>
      </c>
      <c r="N99" s="32">
        <f t="shared" ref="N99:N102" si="49">IF(ISNUMBER(M99), (M99 - $B99) / $B99, "")</f>
        <v>-3.5653650254668934E-2</v>
      </c>
      <c r="O99" s="18">
        <f>IF(ISNUMBER(M99), $B118 * N99, "")</f>
        <v>-3565.3650254668933</v>
      </c>
      <c r="Q99" s="248"/>
      <c r="R99" s="248"/>
      <c r="S99" s="248"/>
    </row>
    <row r="100" spans="1:19" ht="17.25" thickBot="1">
      <c r="A100" s="125" t="s">
        <v>226</v>
      </c>
      <c r="B100" s="126">
        <v>2025</v>
      </c>
      <c r="C100" s="77">
        <v>4.11311054E-2</v>
      </c>
      <c r="D100" s="15">
        <v>2115</v>
      </c>
      <c r="E100" s="32">
        <f t="shared" si="46"/>
        <v>4.4444444444444446E-2</v>
      </c>
      <c r="F100" s="18">
        <f>IF(ISNUMBER(D100), $B118 * E100, "")</f>
        <v>4444.4444444444443</v>
      </c>
      <c r="G100" s="31">
        <v>2145</v>
      </c>
      <c r="H100" s="32">
        <f t="shared" si="47"/>
        <v>5.9259259259259262E-2</v>
      </c>
      <c r="I100" s="101">
        <f>IF(ISNUMBER(G100), $B118 * H100, "")</f>
        <v>5925.9259259259261</v>
      </c>
      <c r="J100" s="15">
        <v>2115</v>
      </c>
      <c r="K100" s="32">
        <f t="shared" si="48"/>
        <v>4.4444444444444446E-2</v>
      </c>
      <c r="L100" s="18">
        <f>IF(ISNUMBER(J100), $B118 * K100, "")</f>
        <v>4444.4444444444443</v>
      </c>
      <c r="M100" s="31">
        <v>2085</v>
      </c>
      <c r="N100" s="32">
        <f t="shared" si="49"/>
        <v>2.9629629629629631E-2</v>
      </c>
      <c r="O100" s="18">
        <f>IF(ISNUMBER(M100), $B118 * N100, "")</f>
        <v>2962.962962962963</v>
      </c>
      <c r="Q100" s="238"/>
      <c r="R100" s="238"/>
      <c r="S100" s="238"/>
    </row>
    <row r="101" spans="1:19" ht="17.25" thickBot="1">
      <c r="A101" s="125" t="s">
        <v>190</v>
      </c>
      <c r="B101" s="126">
        <v>18.5</v>
      </c>
      <c r="C101" s="77">
        <v>2.77777778E-2</v>
      </c>
      <c r="D101" s="15">
        <v>20</v>
      </c>
      <c r="E101" s="32">
        <f t="shared" si="46"/>
        <v>8.1081081081081086E-2</v>
      </c>
      <c r="F101" s="18">
        <f>IF(ISNUMBER(D101), $B118 * E101, "")</f>
        <v>8108.1081081081084</v>
      </c>
      <c r="G101" s="31">
        <v>20.100000000000001</v>
      </c>
      <c r="H101" s="32">
        <f t="shared" si="47"/>
        <v>8.6486486486486561E-2</v>
      </c>
      <c r="I101" s="101">
        <f>IF(ISNUMBER(G101), $B118 * H101, "")</f>
        <v>8648.6486486486556</v>
      </c>
      <c r="J101" s="15">
        <v>20</v>
      </c>
      <c r="K101" s="32">
        <f t="shared" si="48"/>
        <v>8.1081081081081086E-2</v>
      </c>
      <c r="L101" s="18">
        <f>IF(ISNUMBER(J101), $B118 * K101, "")</f>
        <v>8108.1081081081084</v>
      </c>
      <c r="M101" s="31">
        <v>19.899999999999999</v>
      </c>
      <c r="N101" s="32">
        <f t="shared" si="49"/>
        <v>7.5675675675675597E-2</v>
      </c>
      <c r="O101" s="18">
        <f>IF(ISNUMBER(M101), $B118 * N101, "")</f>
        <v>7567.5675675675593</v>
      </c>
      <c r="Q101" s="238"/>
      <c r="R101" s="238"/>
      <c r="S101" s="238"/>
    </row>
    <row r="102" spans="1:19" ht="17.25" thickBot="1">
      <c r="A102" s="127" t="s">
        <v>86</v>
      </c>
      <c r="B102" s="128">
        <v>389</v>
      </c>
      <c r="C102" s="78">
        <v>2.6385224299999999E-2</v>
      </c>
      <c r="D102" s="20">
        <v>426</v>
      </c>
      <c r="E102" s="21">
        <f t="shared" si="46"/>
        <v>9.5115681233933158E-2</v>
      </c>
      <c r="F102" s="22">
        <f>IF(ISNUMBER(D102), $B118 * E102, "")</f>
        <v>9511.5681233933155</v>
      </c>
      <c r="G102" s="30">
        <v>435</v>
      </c>
      <c r="H102" s="21">
        <f t="shared" si="47"/>
        <v>0.11825192802056556</v>
      </c>
      <c r="I102" s="105">
        <f>IF(ISNUMBER(G102), $B118 * H102, "")</f>
        <v>11825.192802056556</v>
      </c>
      <c r="J102" s="20">
        <v>433</v>
      </c>
      <c r="K102" s="21">
        <f t="shared" si="48"/>
        <v>0.11311053984575835</v>
      </c>
      <c r="L102" s="22">
        <f>IF(ISNUMBER(J102), $B118 * K102, "")</f>
        <v>11311.053984575834</v>
      </c>
      <c r="M102" s="30">
        <v>426</v>
      </c>
      <c r="N102" s="21">
        <f t="shared" si="49"/>
        <v>9.5115681233933158E-2</v>
      </c>
      <c r="O102" s="22">
        <f>IF(ISNUMBER(M102), $B118 * N102, "")</f>
        <v>9511.5681233933155</v>
      </c>
      <c r="Q102" s="238"/>
      <c r="R102" s="238"/>
      <c r="S102" s="238"/>
    </row>
    <row r="103" spans="1:19" ht="17.25" thickBot="1">
      <c r="A103" s="125" t="s">
        <v>98</v>
      </c>
      <c r="B103" s="129">
        <v>5.2</v>
      </c>
      <c r="C103" s="80">
        <v>1.36452242E-2</v>
      </c>
      <c r="D103" s="106">
        <v>5.4</v>
      </c>
      <c r="E103" s="107">
        <f>IF(ISNUMBER(D103), (D103 - $B103) / $B103, "")</f>
        <v>3.8461538461538491E-2</v>
      </c>
      <c r="F103" s="108">
        <f>IF(ISNUMBER(D103), $B118 * E103, "")</f>
        <v>3846.1538461538489</v>
      </c>
      <c r="G103" s="109">
        <v>5.5</v>
      </c>
      <c r="H103" s="107">
        <f>IF(ISNUMBER(G103), (G103 - $B103) / $B103, "")</f>
        <v>5.7692307692307654E-2</v>
      </c>
      <c r="I103" s="110">
        <f>IF(ISNUMBER(G103), $B118 * H103, "")</f>
        <v>5769.230769230765</v>
      </c>
      <c r="J103" s="106">
        <v>5.45</v>
      </c>
      <c r="K103" s="107">
        <f>IF(ISNUMBER(J103), (J103 - $B103) / $B103, "")</f>
        <v>4.8076923076923073E-2</v>
      </c>
      <c r="L103" s="108">
        <f>IF(ISNUMBER(J103), $B118 * K103, "")</f>
        <v>4807.6923076923076</v>
      </c>
      <c r="M103" s="109">
        <v>5.39</v>
      </c>
      <c r="N103" s="107">
        <f>IF(ISNUMBER(M103), (M103 - $B103) / $B103, "")</f>
        <v>3.6538461538461443E-2</v>
      </c>
      <c r="O103" s="108">
        <f>IF(ISNUMBER(M103), $B118 * N103, "")</f>
        <v>3653.8461538461443</v>
      </c>
      <c r="Q103" s="238"/>
      <c r="R103" s="238"/>
      <c r="S103" s="238"/>
    </row>
    <row r="104" spans="1:19" ht="17.25" thickBot="1">
      <c r="A104" s="125" t="s">
        <v>202</v>
      </c>
      <c r="B104" s="126">
        <v>95.9</v>
      </c>
      <c r="C104" s="77">
        <v>1.2671594499999999E-2</v>
      </c>
      <c r="D104" s="15">
        <v>97.4</v>
      </c>
      <c r="E104" s="32">
        <f t="shared" ref="E104:E107" si="50">IF(ISNUMBER(D104), (D104 - $B104) / $B104, "")</f>
        <v>1.5641293013555786E-2</v>
      </c>
      <c r="F104" s="18">
        <f>IF(ISNUMBER(D104), $B118 * E104, "")</f>
        <v>1564.1293013555785</v>
      </c>
      <c r="G104" s="31">
        <v>98.8</v>
      </c>
      <c r="H104" s="32">
        <f t="shared" ref="H104:H107" si="51">IF(ISNUMBER(G104), (G104 - $B104) / $B104, "")</f>
        <v>3.02398331595411E-2</v>
      </c>
      <c r="I104" s="101">
        <f>IF(ISNUMBER(G104), $B118 * H104, "")</f>
        <v>3023.9833159541099</v>
      </c>
      <c r="J104" s="15">
        <v>98.3</v>
      </c>
      <c r="K104" s="32">
        <f t="shared" ref="K104:K107" si="52">IF(ISNUMBER(J104), (J104 - $B104) / $B104, "")</f>
        <v>2.502606882168917E-2</v>
      </c>
      <c r="L104" s="18">
        <f>IF(ISNUMBER(J104), $B118 * K104, "")</f>
        <v>2502.6068821689169</v>
      </c>
      <c r="M104" s="31">
        <v>97.6</v>
      </c>
      <c r="N104" s="32">
        <f t="shared" ref="N104:N107" si="53">IF(ISNUMBER(M104), (M104 - $B104) / $B104, "")</f>
        <v>1.772679874869644E-2</v>
      </c>
      <c r="O104" s="18">
        <f>IF(ISNUMBER(M104), $B118 * N104, "")</f>
        <v>1772.679874869644</v>
      </c>
      <c r="Q104" s="238"/>
      <c r="R104" s="238"/>
      <c r="S104" s="238"/>
    </row>
    <row r="105" spans="1:19" ht="17.25" thickBot="1">
      <c r="A105" s="125" t="s">
        <v>208</v>
      </c>
      <c r="B105" s="126">
        <v>13.8</v>
      </c>
      <c r="C105" s="77">
        <v>7.2992700999999997E-3</v>
      </c>
      <c r="D105" s="15">
        <v>14.2</v>
      </c>
      <c r="E105" s="32">
        <f t="shared" si="50"/>
        <v>2.8985507246376708E-2</v>
      </c>
      <c r="F105" s="18">
        <f>IF(ISNUMBER(D105), $B118 * E105, "")</f>
        <v>2898.550724637671</v>
      </c>
      <c r="G105" s="31">
        <v>14.4</v>
      </c>
      <c r="H105" s="32">
        <f t="shared" si="51"/>
        <v>4.3478260869565188E-2</v>
      </c>
      <c r="I105" s="101">
        <f>IF(ISNUMBER(G105), $B118 * H105, "")</f>
        <v>4347.8260869565192</v>
      </c>
      <c r="J105" s="15">
        <v>14.3</v>
      </c>
      <c r="K105" s="32">
        <f t="shared" si="52"/>
        <v>3.6231884057971016E-2</v>
      </c>
      <c r="L105" s="18">
        <f>IF(ISNUMBER(J105), $B118 * K105, "")</f>
        <v>3623.1884057971015</v>
      </c>
      <c r="M105" s="31">
        <v>14.3</v>
      </c>
      <c r="N105" s="32">
        <f t="shared" si="53"/>
        <v>3.6231884057971016E-2</v>
      </c>
      <c r="O105" s="18">
        <f>IF(ISNUMBER(M105), $B118 * N105, "")</f>
        <v>3623.1884057971015</v>
      </c>
      <c r="Q105" s="238"/>
      <c r="R105" s="238"/>
      <c r="S105" s="238"/>
    </row>
    <row r="106" spans="1:19" ht="17.25" thickBot="1">
      <c r="A106" s="125" t="s">
        <v>232</v>
      </c>
      <c r="B106" s="126">
        <v>533</v>
      </c>
      <c r="C106" s="77">
        <v>5.6603774000000004E-3</v>
      </c>
      <c r="D106" s="15">
        <v>566</v>
      </c>
      <c r="E106" s="32">
        <f t="shared" si="50"/>
        <v>6.1913696060037521E-2</v>
      </c>
      <c r="F106" s="18">
        <f>IF(ISNUMBER(D106), $B118 * E106, "")</f>
        <v>6191.3696060037519</v>
      </c>
      <c r="G106" s="31">
        <v>563</v>
      </c>
      <c r="H106" s="32">
        <f t="shared" si="51"/>
        <v>5.6285178236397747E-2</v>
      </c>
      <c r="I106" s="101">
        <f>IF(ISNUMBER(G106), $B118 * H106, "")</f>
        <v>5628.5178236397751</v>
      </c>
      <c r="J106" s="15">
        <v>561</v>
      </c>
      <c r="K106" s="32">
        <f t="shared" si="52"/>
        <v>5.2532833020637902E-2</v>
      </c>
      <c r="L106" s="18">
        <f>IF(ISNUMBER(J106), $B118 * K106, "")</f>
        <v>5253.28330206379</v>
      </c>
      <c r="M106" s="31">
        <v>554</v>
      </c>
      <c r="N106" s="32">
        <f t="shared" si="53"/>
        <v>3.9399624765478425E-2</v>
      </c>
      <c r="O106" s="18">
        <f>IF(ISNUMBER(M106), $B118 * N106, "")</f>
        <v>3939.9624765478425</v>
      </c>
      <c r="Q106" s="33"/>
      <c r="R106" s="33"/>
    </row>
    <row r="107" spans="1:19" ht="17.25" thickBot="1">
      <c r="A107" s="130" t="s">
        <v>266</v>
      </c>
      <c r="B107" s="131">
        <v>306</v>
      </c>
      <c r="C107" s="79">
        <v>0</v>
      </c>
      <c r="D107" s="24">
        <v>315</v>
      </c>
      <c r="E107" s="25">
        <f t="shared" si="50"/>
        <v>2.9411764705882353E-2</v>
      </c>
      <c r="F107" s="104">
        <f>IF(ISNUMBER(D107), $B118 * E107, "")</f>
        <v>2941.1764705882351</v>
      </c>
      <c r="G107" s="102">
        <v>319</v>
      </c>
      <c r="H107" s="25">
        <f t="shared" si="51"/>
        <v>4.2483660130718956E-2</v>
      </c>
      <c r="I107" s="103">
        <f>IF(ISNUMBER(G107), $B118 * H107, "")</f>
        <v>4248.3660130718954</v>
      </c>
      <c r="J107" s="24">
        <v>319</v>
      </c>
      <c r="K107" s="25">
        <f t="shared" si="52"/>
        <v>4.2483660130718956E-2</v>
      </c>
      <c r="L107" s="104">
        <f>IF(ISNUMBER(J107), $B118 * K107, "")</f>
        <v>4248.3660130718954</v>
      </c>
      <c r="M107" s="102">
        <v>317</v>
      </c>
      <c r="N107" s="25">
        <f t="shared" si="53"/>
        <v>3.5947712418300651E-2</v>
      </c>
      <c r="O107" s="104">
        <f>IF(ISNUMBER(M107), $B118 * N107, "")</f>
        <v>3594.7712418300653</v>
      </c>
      <c r="Q107" s="239"/>
      <c r="R107" s="240"/>
      <c r="S107" s="241"/>
    </row>
    <row r="108" spans="1:19">
      <c r="A108" s="123" t="s">
        <v>152</v>
      </c>
      <c r="B108" s="124">
        <v>96.4</v>
      </c>
      <c r="C108" s="76">
        <v>-1.0362694E-3</v>
      </c>
      <c r="D108" s="13">
        <v>99.7</v>
      </c>
      <c r="E108" s="14">
        <f>IF(ISNUMBER(D108), (D108 - $B108) / $B108, "")</f>
        <v>3.4232365145228184E-2</v>
      </c>
      <c r="F108" s="16">
        <f>IF(ISNUMBER(D108), $B118 * E108, "")</f>
        <v>3423.2365145228187</v>
      </c>
      <c r="G108" s="29">
        <v>101</v>
      </c>
      <c r="H108" s="14">
        <f>IF(ISNUMBER(G108), (G108 - $B108) / $B108, "")</f>
        <v>4.7717842323651394E-2</v>
      </c>
      <c r="I108" s="100">
        <f>IF(ISNUMBER(G108), $B118 * H108, "")</f>
        <v>4771.7842323651394</v>
      </c>
      <c r="J108" s="13">
        <v>101</v>
      </c>
      <c r="K108" s="14">
        <f>IF(ISNUMBER(J108), (J108 - $B108) / $B108, "")</f>
        <v>4.7717842323651394E-2</v>
      </c>
      <c r="L108" s="16">
        <f>IF(ISNUMBER(J108), $B118 * K108, "")</f>
        <v>4771.7842323651394</v>
      </c>
      <c r="M108" s="29">
        <v>101</v>
      </c>
      <c r="N108" s="14">
        <f>IF(ISNUMBER(M108), (M108 - $B108) / $B108, "")</f>
        <v>4.7717842323651394E-2</v>
      </c>
      <c r="O108" s="16">
        <f>IF(ISNUMBER(M108), $B118 * N108, "")</f>
        <v>4771.7842323651394</v>
      </c>
      <c r="Q108" s="242"/>
      <c r="R108" s="243"/>
      <c r="S108" s="244"/>
    </row>
    <row r="109" spans="1:19" ht="17.25" thickBot="1">
      <c r="A109" s="125" t="s">
        <v>100</v>
      </c>
      <c r="B109" s="126">
        <v>69430</v>
      </c>
      <c r="C109" s="77">
        <v>-9.2751142000000002E-3</v>
      </c>
      <c r="D109" s="15">
        <v>71090</v>
      </c>
      <c r="E109" s="32">
        <f t="shared" ref="E109:E112" si="54">IF(ISNUMBER(D109), (D109 - $B109) / $B109, "")</f>
        <v>2.3908973066397811E-2</v>
      </c>
      <c r="F109" s="18">
        <f>IF(ISNUMBER(D109), $B118 * E109, "")</f>
        <v>2390.8973066397812</v>
      </c>
      <c r="G109" s="31">
        <v>73000</v>
      </c>
      <c r="H109" s="32">
        <f t="shared" ref="H109:H112" si="55">IF(ISNUMBER(G109), (G109 - $B109) / $B109, "")</f>
        <v>5.1418695088578423E-2</v>
      </c>
      <c r="I109" s="101">
        <f>IF(ISNUMBER(G109), $B118 * H109, "")</f>
        <v>5141.8695088578424</v>
      </c>
      <c r="J109" s="15">
        <v>72000</v>
      </c>
      <c r="K109" s="32">
        <f t="shared" ref="K109:K112" si="56">IF(ISNUMBER(J109), (J109 - $B109) / $B109, "")</f>
        <v>3.7015699265447212E-2</v>
      </c>
      <c r="L109" s="18">
        <f>IF(ISNUMBER(J109), $B118 * K109, "")</f>
        <v>3701.5699265447211</v>
      </c>
      <c r="M109" s="31">
        <v>71410</v>
      </c>
      <c r="N109" s="32">
        <f t="shared" ref="N109:N112" si="57">IF(ISNUMBER(M109), (M109 - $B109) / $B109, "")</f>
        <v>2.8517931729799797E-2</v>
      </c>
      <c r="O109" s="18">
        <f>IF(ISNUMBER(M109), $B118 * N109, "")</f>
        <v>2851.7931729799798</v>
      </c>
      <c r="Q109" s="245"/>
      <c r="R109" s="246"/>
      <c r="S109" s="247"/>
    </row>
    <row r="110" spans="1:19" ht="17.25" thickBot="1">
      <c r="A110" s="125" t="s">
        <v>78</v>
      </c>
      <c r="B110" s="126">
        <v>707400</v>
      </c>
      <c r="C110" s="77">
        <v>-1.18731666E-2</v>
      </c>
      <c r="D110" s="15">
        <v>725200</v>
      </c>
      <c r="E110" s="32">
        <f t="shared" si="54"/>
        <v>2.5162567147299971E-2</v>
      </c>
      <c r="F110" s="18">
        <f>IF(ISNUMBER(D110), $B118 * E110, "")</f>
        <v>2516.2567147299969</v>
      </c>
      <c r="G110" s="31">
        <v>742700</v>
      </c>
      <c r="H110" s="32">
        <f t="shared" si="55"/>
        <v>4.9901046084252193E-2</v>
      </c>
      <c r="I110" s="101">
        <f>IF(ISNUMBER(G110), $B118 * H110, "")</f>
        <v>4990.1046084252193</v>
      </c>
      <c r="J110" s="15">
        <v>739000</v>
      </c>
      <c r="K110" s="32">
        <f t="shared" si="56"/>
        <v>4.4670624823296576E-2</v>
      </c>
      <c r="L110" s="18">
        <f>IF(ISNUMBER(J110), $B118 * K110, "")</f>
        <v>4467.0624823296575</v>
      </c>
      <c r="M110" s="31">
        <v>727000</v>
      </c>
      <c r="N110" s="32">
        <f t="shared" si="57"/>
        <v>2.7707096409386487E-2</v>
      </c>
      <c r="O110" s="18">
        <f>IF(ISNUMBER(M110), $B118 * N110, "")</f>
        <v>2770.7096409386486</v>
      </c>
      <c r="Q110" s="238"/>
      <c r="R110" s="238"/>
      <c r="S110" s="238"/>
    </row>
    <row r="111" spans="1:19" ht="17.25" thickBot="1">
      <c r="A111" s="125" t="s">
        <v>84</v>
      </c>
      <c r="B111" s="126">
        <v>5420</v>
      </c>
      <c r="C111" s="77">
        <v>-1.36487716E-2</v>
      </c>
      <c r="D111" s="15">
        <v>5555</v>
      </c>
      <c r="E111" s="32">
        <f t="shared" si="54"/>
        <v>2.4907749077490774E-2</v>
      </c>
      <c r="F111" s="18">
        <f>IF(ISNUMBER(D111), $B118 * E111, "")</f>
        <v>2490.7749077490776</v>
      </c>
      <c r="G111" s="31">
        <v>5800</v>
      </c>
      <c r="H111" s="32">
        <f t="shared" si="55"/>
        <v>7.0110701107011064E-2</v>
      </c>
      <c r="I111" s="101">
        <f>IF(ISNUMBER(G111), $B118 * H111, "")</f>
        <v>7011.0701107011064</v>
      </c>
      <c r="J111" s="15">
        <v>5740</v>
      </c>
      <c r="K111" s="32">
        <f t="shared" si="56"/>
        <v>5.9040590405904057E-2</v>
      </c>
      <c r="L111" s="18">
        <f>IF(ISNUMBER(J111), $B118 * K111, "")</f>
        <v>5904.0590405904059</v>
      </c>
      <c r="M111" s="31">
        <v>5650</v>
      </c>
      <c r="N111" s="32">
        <f t="shared" si="57"/>
        <v>4.2435424354243544E-2</v>
      </c>
      <c r="O111" s="18">
        <f>IF(ISNUMBER(M111), $B118 * N111, "")</f>
        <v>4243.5424354243542</v>
      </c>
      <c r="Q111" s="248"/>
      <c r="R111" s="248"/>
      <c r="S111" s="248"/>
    </row>
    <row r="112" spans="1:19" ht="17.25" thickBot="1">
      <c r="A112" s="127" t="s">
        <v>63</v>
      </c>
      <c r="B112" s="128">
        <v>55530</v>
      </c>
      <c r="C112" s="78">
        <v>-1.42020238E-2</v>
      </c>
      <c r="D112" s="20">
        <v>57350</v>
      </c>
      <c r="E112" s="21">
        <f t="shared" si="54"/>
        <v>3.2775076535206192E-2</v>
      </c>
      <c r="F112" s="22">
        <f>IF(ISNUMBER(D112), $B118 * E112, "")</f>
        <v>3277.507653520619</v>
      </c>
      <c r="G112" s="30">
        <v>61300</v>
      </c>
      <c r="H112" s="21">
        <f t="shared" si="55"/>
        <v>0.10390779758688996</v>
      </c>
      <c r="I112" s="105">
        <f>IF(ISNUMBER(G112), $B118 * H112, "")</f>
        <v>10390.779758688996</v>
      </c>
      <c r="J112" s="20">
        <v>60470</v>
      </c>
      <c r="K112" s="21">
        <f t="shared" si="56"/>
        <v>8.8960922024131098E-2</v>
      </c>
      <c r="L112" s="22">
        <f>IF(ISNUMBER(J112), $B118 * K112, "")</f>
        <v>8896.0922024131105</v>
      </c>
      <c r="M112" s="30">
        <v>59300</v>
      </c>
      <c r="N112" s="21">
        <f t="shared" si="57"/>
        <v>6.7891229965784256E-2</v>
      </c>
      <c r="O112" s="22">
        <f>IF(ISNUMBER(M112), $B118 * N112, "")</f>
        <v>6789.122996578426</v>
      </c>
      <c r="Q112" s="248"/>
      <c r="R112" s="248"/>
      <c r="S112" s="248"/>
    </row>
    <row r="113" spans="1:19" ht="17.25" thickBot="1">
      <c r="A113" s="125" t="s">
        <v>158</v>
      </c>
      <c r="B113" s="129">
        <v>21150</v>
      </c>
      <c r="C113" s="80">
        <v>-1.444548E-2</v>
      </c>
      <c r="D113" s="106">
        <v>23980</v>
      </c>
      <c r="E113" s="107">
        <f>IF(ISNUMBER(D113), (D113 - $B113) / $B113, "")</f>
        <v>0.13380614657210402</v>
      </c>
      <c r="F113" s="108">
        <f>IF(ISNUMBER(D113), $B118 * E113, "")</f>
        <v>13380.614657210403</v>
      </c>
      <c r="G113" s="109">
        <v>23670</v>
      </c>
      <c r="H113" s="107">
        <f>IF(ISNUMBER(G113), (G113 - $B113) / $B113, "")</f>
        <v>0.11914893617021277</v>
      </c>
      <c r="I113" s="110">
        <f>IF(ISNUMBER(G113), $B118 * H113, "")</f>
        <v>11914.893617021276</v>
      </c>
      <c r="J113" s="106">
        <v>23520</v>
      </c>
      <c r="K113" s="107">
        <f>IF(ISNUMBER(J113), (J113 - $B113) / $B113, "")</f>
        <v>0.11205673758865248</v>
      </c>
      <c r="L113" s="108">
        <f>IF(ISNUMBER(J113), $B118 * K113, "")</f>
        <v>11205.673758865249</v>
      </c>
      <c r="M113" s="109">
        <v>23510</v>
      </c>
      <c r="N113" s="107">
        <f>IF(ISNUMBER(M113), (M113 - $B113) / $B113, "")</f>
        <v>0.11158392434988179</v>
      </c>
      <c r="O113" s="108">
        <f>IF(ISNUMBER(M113), $B118 * N113, "")</f>
        <v>11158.39243498818</v>
      </c>
      <c r="Q113" s="238"/>
      <c r="R113" s="238"/>
      <c r="S113" s="238"/>
    </row>
    <row r="114" spans="1:19" ht="17.25" thickBot="1">
      <c r="A114" s="125" t="s">
        <v>49</v>
      </c>
      <c r="B114" s="126">
        <v>51825000</v>
      </c>
      <c r="C114" s="77">
        <v>-1.4546491700000001E-2</v>
      </c>
      <c r="D114" s="15">
        <v>52807000</v>
      </c>
      <c r="E114" s="32">
        <f t="shared" ref="E114:E117" si="58">IF(ISNUMBER(D114), (D114 - $B114) / $B114, "")</f>
        <v>1.8948383984563433E-2</v>
      </c>
      <c r="F114" s="18">
        <f>IF(ISNUMBER(D114), $B118 * E114, "")</f>
        <v>1894.8383984563434</v>
      </c>
      <c r="G114" s="31">
        <v>53660000</v>
      </c>
      <c r="H114" s="32">
        <f t="shared" ref="H114:H117" si="59">IF(ISNUMBER(G114), (G114 - $B114) / $B114, "")</f>
        <v>3.5407621804148574E-2</v>
      </c>
      <c r="I114" s="101">
        <f>IF(ISNUMBER(G114), $B118 * H114, "")</f>
        <v>3540.7621804148575</v>
      </c>
      <c r="J114" s="15">
        <v>53476000</v>
      </c>
      <c r="K114" s="32">
        <f t="shared" ref="K114:K117" si="60">IF(ISNUMBER(J114), (J114 - $B114) / $B114, "")</f>
        <v>3.1857211770381089E-2</v>
      </c>
      <c r="L114" s="18">
        <f>IF(ISNUMBER(J114), $B118 * K114, "")</f>
        <v>3185.7211770381091</v>
      </c>
      <c r="M114" s="31">
        <v>53807000</v>
      </c>
      <c r="N114" s="32">
        <f t="shared" ref="N114:N117" si="61">IF(ISNUMBER(M114), (M114 - $B114) / $B114, "")</f>
        <v>3.8244090689821514E-2</v>
      </c>
      <c r="O114" s="18">
        <f>IF(ISNUMBER(M114), $B118 * N114, "")</f>
        <v>3824.4090689821514</v>
      </c>
      <c r="Q114" s="238"/>
      <c r="R114" s="238"/>
      <c r="S114" s="238"/>
    </row>
    <row r="115" spans="1:19" ht="17.25" thickBot="1">
      <c r="A115" s="125" t="s">
        <v>120</v>
      </c>
      <c r="B115" s="126">
        <v>4685</v>
      </c>
      <c r="C115" s="77">
        <v>-1.4721346E-2</v>
      </c>
      <c r="D115" s="15">
        <v>4765</v>
      </c>
      <c r="E115" s="32">
        <f t="shared" si="58"/>
        <v>1.7075773745997867E-2</v>
      </c>
      <c r="F115" s="18">
        <f>IF(ISNUMBER(D115), $B118 * E115, "")</f>
        <v>1707.5773745997867</v>
      </c>
      <c r="G115" s="31">
        <v>4840</v>
      </c>
      <c r="H115" s="32">
        <f t="shared" si="59"/>
        <v>3.3084311632870865E-2</v>
      </c>
      <c r="I115" s="101">
        <f>IF(ISNUMBER(G115), $B118 * H115, "")</f>
        <v>3308.4311632870863</v>
      </c>
      <c r="J115" s="15">
        <v>4840</v>
      </c>
      <c r="K115" s="32">
        <f t="shared" si="60"/>
        <v>3.3084311632870865E-2</v>
      </c>
      <c r="L115" s="18">
        <f>IF(ISNUMBER(J115), $B118 * K115, "")</f>
        <v>3308.4311632870863</v>
      </c>
      <c r="M115" s="31">
        <v>4815</v>
      </c>
      <c r="N115" s="32">
        <f t="shared" si="61"/>
        <v>2.7748132337246531E-2</v>
      </c>
      <c r="O115" s="18">
        <f>IF(ISNUMBER(M115), $B118 * N115, "")</f>
        <v>2774.8132337246529</v>
      </c>
      <c r="Q115" s="238"/>
      <c r="R115" s="238"/>
      <c r="S115" s="238"/>
    </row>
    <row r="116" spans="1:19">
      <c r="A116" s="125" t="s">
        <v>250</v>
      </c>
      <c r="B116" s="126">
        <v>75.400000000000006</v>
      </c>
      <c r="C116" s="77">
        <v>-1.82291667E-2</v>
      </c>
      <c r="D116" s="15">
        <v>77.900000000000006</v>
      </c>
      <c r="E116" s="32">
        <f t="shared" si="58"/>
        <v>3.3156498673740049E-2</v>
      </c>
      <c r="F116" s="18">
        <f>IF(ISNUMBER(D116), $B118 * E116, "")</f>
        <v>3315.6498673740048</v>
      </c>
      <c r="G116" s="31">
        <v>79.599999999999994</v>
      </c>
      <c r="H116" s="32">
        <f t="shared" si="59"/>
        <v>5.5702917771883131E-2</v>
      </c>
      <c r="I116" s="101">
        <f>IF(ISNUMBER(G116), $B118 * H116, "")</f>
        <v>5570.2917771883131</v>
      </c>
      <c r="J116" s="15">
        <v>78.5</v>
      </c>
      <c r="K116" s="32">
        <f t="shared" si="60"/>
        <v>4.1114058355437584E-2</v>
      </c>
      <c r="L116" s="18">
        <f>IF(ISNUMBER(J116), $B118 * K116, "")</f>
        <v>4111.4058355437583</v>
      </c>
      <c r="M116" s="31">
        <v>78.5</v>
      </c>
      <c r="N116" s="32">
        <f t="shared" si="61"/>
        <v>4.1114058355437584E-2</v>
      </c>
      <c r="O116" s="18">
        <f>IF(ISNUMBER(M116), $B118 * N116, "")</f>
        <v>4111.4058355437583</v>
      </c>
      <c r="Q116" s="227"/>
      <c r="R116" s="228"/>
      <c r="S116" s="229"/>
    </row>
    <row r="117" spans="1:19" ht="17.25" thickBot="1">
      <c r="A117" s="130" t="s">
        <v>94</v>
      </c>
      <c r="B117" s="131">
        <v>3570000</v>
      </c>
      <c r="C117" s="79">
        <v>-2.2185702500000001E-2</v>
      </c>
      <c r="D117" s="24">
        <v>3636000</v>
      </c>
      <c r="E117" s="25">
        <f t="shared" si="58"/>
        <v>1.8487394957983194E-2</v>
      </c>
      <c r="F117" s="104">
        <f>IF(ISNUMBER(D117), $B118 * E117, "")</f>
        <v>1848.7394957983192</v>
      </c>
      <c r="G117" s="102">
        <v>3750000</v>
      </c>
      <c r="H117" s="25">
        <f t="shared" si="59"/>
        <v>5.0420168067226892E-2</v>
      </c>
      <c r="I117" s="103">
        <f>IF(ISNUMBER(G117), $B118 * H117, "")</f>
        <v>5042.0168067226896</v>
      </c>
      <c r="J117" s="24">
        <v>3721000</v>
      </c>
      <c r="K117" s="25">
        <f t="shared" si="60"/>
        <v>4.2296918767507005E-2</v>
      </c>
      <c r="L117" s="104">
        <f>IF(ISNUMBER(J117), $B118 * K117, "")</f>
        <v>4229.6918767507004</v>
      </c>
      <c r="M117" s="102">
        <v>3729000</v>
      </c>
      <c r="N117" s="25">
        <f t="shared" si="61"/>
        <v>4.4537815126050422E-2</v>
      </c>
      <c r="O117" s="104">
        <f>IF(ISNUMBER(M117), $B118 * N117, "")</f>
        <v>4453.7815126050418</v>
      </c>
      <c r="Q117" s="230"/>
      <c r="R117" s="231"/>
      <c r="S117" s="232"/>
    </row>
    <row r="118" spans="1:19" ht="17.25" thickBot="1">
      <c r="A118" s="132" t="s">
        <v>270</v>
      </c>
      <c r="B118" s="291">
        <f>$B$37</f>
        <v>100000</v>
      </c>
      <c r="C118" s="292"/>
      <c r="D118" s="26" t="s">
        <v>271</v>
      </c>
      <c r="E118" s="27">
        <f>IF(COUNT(E98:E117), SUM(E98:E117) / COUNT(E98:E117), 0)</f>
        <v>3.9293945442345227E-2</v>
      </c>
      <c r="F118" s="28">
        <f>SUM(F98:F117)</f>
        <v>78587.890884690438</v>
      </c>
      <c r="G118" s="26" t="s">
        <v>271</v>
      </c>
      <c r="H118" s="27">
        <f>IF(COUNT(H98:H117), SUM(H98:H117) / COUNT(H98:H117), 0)</f>
        <v>5.9078077478020498E-2</v>
      </c>
      <c r="I118" s="28">
        <f>SUM(I98:I117)</f>
        <v>118156.15495604096</v>
      </c>
      <c r="J118" s="26" t="s">
        <v>271</v>
      </c>
      <c r="K118" s="27">
        <f>IF(COUNT(K98:K117), SUM(K98:K117) / COUNT(K98:K117), 0)</f>
        <v>5.1961992879099451E-2</v>
      </c>
      <c r="L118" s="28">
        <f>SUM(L98:L117)</f>
        <v>103923.98575819891</v>
      </c>
      <c r="M118" s="26" t="s">
        <v>271</v>
      </c>
      <c r="N118" s="27">
        <f>IF(COUNT(N98:N117), SUM(N98:N117) / COUNT(N98:N117), 0)</f>
        <v>4.3175738443009294E-2</v>
      </c>
      <c r="O118" s="28">
        <f>SUM(O98:O117)</f>
        <v>86351.476886018616</v>
      </c>
      <c r="Q118" s="233"/>
      <c r="R118" s="234"/>
      <c r="S118" s="23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48"/>
      <c r="R121" s="248"/>
      <c r="S121" s="248"/>
    </row>
    <row r="122" spans="1:19" ht="17.25" thickBot="1">
      <c r="A122" s="207" t="s">
        <v>267</v>
      </c>
      <c r="B122" s="249" t="s">
        <v>49</v>
      </c>
      <c r="C122" s="251"/>
      <c r="D122" s="249" t="s">
        <v>58</v>
      </c>
      <c r="E122" s="250"/>
      <c r="F122" s="251"/>
      <c r="G122" s="252">
        <f>_xlfn.IFNA(VLOOKUP(B122, 현재가테이블!$B$2:$D$200, 2, FALSE), "-")</f>
        <v>54440000</v>
      </c>
      <c r="H122" s="253"/>
      <c r="I122" s="254"/>
      <c r="J122" s="249" t="s">
        <v>59</v>
      </c>
      <c r="K122" s="250"/>
      <c r="L122" s="251"/>
      <c r="M122" s="255">
        <f>_xlfn.IFNA(VLOOKUP(B122, 현재가테이블!$B$2:$D$200, 3, FALSE), "-")</f>
        <v>1.07123628E-2</v>
      </c>
      <c r="N122" s="256"/>
      <c r="O122" s="257"/>
      <c r="Q122" s="248"/>
      <c r="R122" s="248"/>
      <c r="S122" s="248"/>
    </row>
    <row r="123" spans="1:19" ht="17.25" thickBot="1">
      <c r="A123" s="293" t="s">
        <v>55</v>
      </c>
      <c r="B123" s="289" t="str">
        <f>TEXT($G$1, "[$-ko-KR]yyyy-mm-dd(ddd) ") &amp; "오전 00:00"</f>
        <v>2021-08-13(금) 오전 00:00</v>
      </c>
      <c r="C123" s="290"/>
      <c r="D123" s="262" t="str">
        <f>TEXT($G$1, "[$-ko-KR]yyyy-mm-dd(ddd) ") &amp; "오후 14:00"</f>
        <v>2021-08-13(금) 오후 14:00</v>
      </c>
      <c r="E123" s="263"/>
      <c r="F123" s="264"/>
      <c r="G123" s="262" t="str">
        <f>TEXT($G$1, "[$-ko-KR]yyyy-mm-dd(ddd) ") &amp; "오후 19:00"</f>
        <v>2021-08-13(금) 오후 19:00</v>
      </c>
      <c r="H123" s="263"/>
      <c r="I123" s="264"/>
      <c r="J123" s="262" t="str">
        <f>TEXT($G$1, "[$-ko-KR]yyyy-mm-dd(ddd) ") &amp; "오후 21:00"</f>
        <v>2021-08-13(금) 오후 21:00</v>
      </c>
      <c r="K123" s="263"/>
      <c r="L123" s="264"/>
      <c r="M123" s="262" t="str">
        <f>TEXT($G$1+1, "[$-ko-KR]yyyy-mm-dd(ddd) ") &amp; "오전 00:00"</f>
        <v>2021-08-14(토) 오전 00:00</v>
      </c>
      <c r="N123" s="263"/>
      <c r="O123" s="264"/>
      <c r="Q123" s="248"/>
      <c r="R123" s="248"/>
      <c r="S123" s="248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8" t="s">
        <v>58</v>
      </c>
      <c r="H124" s="209" t="s">
        <v>268</v>
      </c>
      <c r="I124" s="21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8"/>
      <c r="R124" s="238"/>
      <c r="S124" s="238"/>
    </row>
    <row r="125" spans="1:19" ht="17.25" thickBot="1">
      <c r="A125" s="123" t="s">
        <v>240</v>
      </c>
      <c r="B125" s="124">
        <v>74</v>
      </c>
      <c r="C125" s="76">
        <v>8.5043988299999998E-2</v>
      </c>
      <c r="D125" s="13">
        <v>80.2</v>
      </c>
      <c r="E125" s="14">
        <f>IF(ISNUMBER(D125), (D125 - $B125) / $B125, "")</f>
        <v>8.3783783783783816E-2</v>
      </c>
      <c r="F125" s="16">
        <f>IF(ISNUMBER(D125), $B145 * E125, "")</f>
        <v>8378.378378378382</v>
      </c>
      <c r="G125" s="29">
        <v>78.8</v>
      </c>
      <c r="H125" s="14">
        <f>IF(ISNUMBER(G125), (G125 - $B125) / $B125, "")</f>
        <v>6.4864864864864827E-2</v>
      </c>
      <c r="I125" s="100">
        <f>IF(ISNUMBER(G125), $B145 * H125, "")</f>
        <v>6486.486486486483</v>
      </c>
      <c r="J125" s="13">
        <v>78.8</v>
      </c>
      <c r="K125" s="14">
        <f>IF(ISNUMBER(J125), (J125 - $B125) / $B125, "")</f>
        <v>6.4864864864864827E-2</v>
      </c>
      <c r="L125" s="16">
        <f>IF(ISNUMBER(J125), $B145 * K125, "")</f>
        <v>6486.486486486483</v>
      </c>
      <c r="M125" s="29">
        <v>78.099999999999994</v>
      </c>
      <c r="N125" s="14">
        <f>IF(ISNUMBER(M125), (M125 - $B125) / $B125, "")</f>
        <v>5.5405405405405325E-2</v>
      </c>
      <c r="O125" s="16">
        <f>IF(ISNUMBER(M125), $B145 * N125, "")</f>
        <v>5540.5405405405327</v>
      </c>
      <c r="Q125" s="248"/>
      <c r="R125" s="248"/>
      <c r="S125" s="248"/>
    </row>
    <row r="126" spans="1:19" ht="17.25" thickBot="1">
      <c r="A126" s="125" t="s">
        <v>190</v>
      </c>
      <c r="B126" s="126">
        <v>18.5</v>
      </c>
      <c r="C126" s="77">
        <v>2.77777778E-2</v>
      </c>
      <c r="D126" s="15">
        <v>20</v>
      </c>
      <c r="E126" s="32">
        <f t="shared" ref="E126:E129" si="62">IF(ISNUMBER(D126), (D126 - $B126) / $B126, "")</f>
        <v>8.1081081081081086E-2</v>
      </c>
      <c r="F126" s="18">
        <f>IF(ISNUMBER(D126), $B145 * E126, "")</f>
        <v>8108.1081081081084</v>
      </c>
      <c r="G126" s="31">
        <v>20.100000000000001</v>
      </c>
      <c r="H126" s="32">
        <f t="shared" ref="H126:H129" si="63">IF(ISNUMBER(G126), (G126 - $B126) / $B126, "")</f>
        <v>8.6486486486486561E-2</v>
      </c>
      <c r="I126" s="101">
        <f>IF(ISNUMBER(G126), $B145 * H126, "")</f>
        <v>8648.6486486486556</v>
      </c>
      <c r="J126" s="15">
        <v>20</v>
      </c>
      <c r="K126" s="32">
        <f t="shared" ref="K126:K129" si="64">IF(ISNUMBER(J126), (J126 - $B126) / $B126, "")</f>
        <v>8.1081081081081086E-2</v>
      </c>
      <c r="L126" s="18">
        <f>IF(ISNUMBER(J126), $B145 * K126, "")</f>
        <v>8108.1081081081084</v>
      </c>
      <c r="M126" s="31">
        <v>19.899999999999999</v>
      </c>
      <c r="N126" s="32">
        <f t="shared" ref="N126:N129" si="65">IF(ISNUMBER(M126), (M126 - $B126) / $B126, "")</f>
        <v>7.5675675675675597E-2</v>
      </c>
      <c r="O126" s="18">
        <f>IF(ISNUMBER(M126), $B145 * N126, "")</f>
        <v>7567.5675675675593</v>
      </c>
      <c r="Q126" s="248"/>
      <c r="R126" s="248"/>
      <c r="S126" s="248"/>
    </row>
    <row r="127" spans="1:19" ht="17.25" thickBot="1">
      <c r="A127" s="125" t="s">
        <v>98</v>
      </c>
      <c r="B127" s="126">
        <v>5.2</v>
      </c>
      <c r="C127" s="77">
        <v>1.36452242E-2</v>
      </c>
      <c r="D127" s="15">
        <v>5.4</v>
      </c>
      <c r="E127" s="32">
        <f t="shared" si="62"/>
        <v>3.8461538461538491E-2</v>
      </c>
      <c r="F127" s="18">
        <f>IF(ISNUMBER(D127), $B145 * E127, "")</f>
        <v>3846.1538461538489</v>
      </c>
      <c r="G127" s="31">
        <v>5.5</v>
      </c>
      <c r="H127" s="32">
        <f t="shared" si="63"/>
        <v>5.7692307692307654E-2</v>
      </c>
      <c r="I127" s="101">
        <f>IF(ISNUMBER(G127), $B145 * H127, "")</f>
        <v>5769.230769230765</v>
      </c>
      <c r="J127" s="15">
        <v>5.45</v>
      </c>
      <c r="K127" s="32">
        <f t="shared" si="64"/>
        <v>4.8076923076923073E-2</v>
      </c>
      <c r="L127" s="18">
        <f>IF(ISNUMBER(J127), $B145 * K127, "")</f>
        <v>4807.6923076923076</v>
      </c>
      <c r="M127" s="31">
        <v>5.39</v>
      </c>
      <c r="N127" s="32">
        <f t="shared" si="65"/>
        <v>3.6538461538461443E-2</v>
      </c>
      <c r="O127" s="18">
        <f>IF(ISNUMBER(M127), $B145 * N127, "")</f>
        <v>3653.8461538461443</v>
      </c>
      <c r="Q127" s="238"/>
      <c r="R127" s="238"/>
      <c r="S127" s="238"/>
    </row>
    <row r="128" spans="1:19" ht="17.25" thickBot="1">
      <c r="A128" s="125" t="s">
        <v>202</v>
      </c>
      <c r="B128" s="126">
        <v>95.9</v>
      </c>
      <c r="C128" s="77">
        <v>1.2671594499999999E-2</v>
      </c>
      <c r="D128" s="15">
        <v>97.4</v>
      </c>
      <c r="E128" s="32">
        <f t="shared" si="62"/>
        <v>1.5641293013555786E-2</v>
      </c>
      <c r="F128" s="18">
        <f>IF(ISNUMBER(D128), $B145 * E128, "")</f>
        <v>1564.1293013555785</v>
      </c>
      <c r="G128" s="31">
        <v>98.8</v>
      </c>
      <c r="H128" s="32">
        <f t="shared" si="63"/>
        <v>3.02398331595411E-2</v>
      </c>
      <c r="I128" s="101">
        <f>IF(ISNUMBER(G128), $B145 * H128, "")</f>
        <v>3023.9833159541099</v>
      </c>
      <c r="J128" s="15">
        <v>98.3</v>
      </c>
      <c r="K128" s="32">
        <f t="shared" si="64"/>
        <v>2.502606882168917E-2</v>
      </c>
      <c r="L128" s="18">
        <f>IF(ISNUMBER(J128), $B145 * K128, "")</f>
        <v>2502.6068821689169</v>
      </c>
      <c r="M128" s="31">
        <v>97.6</v>
      </c>
      <c r="N128" s="32">
        <f t="shared" si="65"/>
        <v>1.772679874869644E-2</v>
      </c>
      <c r="O128" s="18">
        <f>IF(ISNUMBER(M128), $B145 * N128, "")</f>
        <v>1772.679874869644</v>
      </c>
      <c r="Q128" s="238"/>
      <c r="R128" s="238"/>
      <c r="S128" s="238"/>
    </row>
    <row r="129" spans="1:19" ht="17.25" thickBot="1">
      <c r="A129" s="127" t="s">
        <v>208</v>
      </c>
      <c r="B129" s="128">
        <v>13.8</v>
      </c>
      <c r="C129" s="78">
        <v>7.2992700999999997E-3</v>
      </c>
      <c r="D129" s="20">
        <v>14.2</v>
      </c>
      <c r="E129" s="21">
        <f t="shared" si="62"/>
        <v>2.8985507246376708E-2</v>
      </c>
      <c r="F129" s="22">
        <f>IF(ISNUMBER(D129), $B145 * E129, "")</f>
        <v>2898.550724637671</v>
      </c>
      <c r="G129" s="30">
        <v>14.4</v>
      </c>
      <c r="H129" s="21">
        <f t="shared" si="63"/>
        <v>4.3478260869565188E-2</v>
      </c>
      <c r="I129" s="105">
        <f>IF(ISNUMBER(G129), $B145 * H129, "")</f>
        <v>4347.8260869565192</v>
      </c>
      <c r="J129" s="20">
        <v>14.3</v>
      </c>
      <c r="K129" s="21">
        <f t="shared" si="64"/>
        <v>3.6231884057971016E-2</v>
      </c>
      <c r="L129" s="22">
        <f>IF(ISNUMBER(J129), $B145 * K129, "")</f>
        <v>3623.1884057971015</v>
      </c>
      <c r="M129" s="30">
        <v>14.3</v>
      </c>
      <c r="N129" s="21">
        <f t="shared" si="65"/>
        <v>3.6231884057971016E-2</v>
      </c>
      <c r="O129" s="22">
        <f>IF(ISNUMBER(M129), $B145 * N129, "")</f>
        <v>3623.1884057971015</v>
      </c>
      <c r="Q129" s="238"/>
      <c r="R129" s="238"/>
      <c r="S129" s="238"/>
    </row>
    <row r="130" spans="1:19" ht="17.25" thickBot="1">
      <c r="A130" s="125" t="s">
        <v>152</v>
      </c>
      <c r="B130" s="129">
        <v>96.4</v>
      </c>
      <c r="C130" s="80">
        <v>-1.0362694E-3</v>
      </c>
      <c r="D130" s="106">
        <v>99.7</v>
      </c>
      <c r="E130" s="107">
        <f>IF(ISNUMBER(D130), (D130 - $B130) / $B130, "")</f>
        <v>3.4232365145228184E-2</v>
      </c>
      <c r="F130" s="108">
        <f>IF(ISNUMBER(D130), $B145 * E130, "")</f>
        <v>3423.2365145228187</v>
      </c>
      <c r="G130" s="109">
        <v>101</v>
      </c>
      <c r="H130" s="107">
        <f>IF(ISNUMBER(G130), (G130 - $B130) / $B130, "")</f>
        <v>4.7717842323651394E-2</v>
      </c>
      <c r="I130" s="110">
        <f>IF(ISNUMBER(G130), $B145 * H130, "")</f>
        <v>4771.7842323651394</v>
      </c>
      <c r="J130" s="106">
        <v>101</v>
      </c>
      <c r="K130" s="107">
        <f>IF(ISNUMBER(J130), (J130 - $B130) / $B130, "")</f>
        <v>4.7717842323651394E-2</v>
      </c>
      <c r="L130" s="108">
        <f>IF(ISNUMBER(J130), $B145 * K130, "")</f>
        <v>4771.7842323651394</v>
      </c>
      <c r="M130" s="109">
        <v>101</v>
      </c>
      <c r="N130" s="107">
        <f>IF(ISNUMBER(M130), (M130 - $B130) / $B130, "")</f>
        <v>4.7717842323651394E-2</v>
      </c>
      <c r="O130" s="108">
        <f>IF(ISNUMBER(M130), $B145 * N130, "")</f>
        <v>4771.7842323651394</v>
      </c>
      <c r="Q130" s="238"/>
      <c r="R130" s="238"/>
      <c r="S130" s="238"/>
    </row>
    <row r="131" spans="1:19" ht="17.25" thickBot="1">
      <c r="A131" s="125" t="s">
        <v>250</v>
      </c>
      <c r="B131" s="126">
        <v>75.400000000000006</v>
      </c>
      <c r="C131" s="77">
        <v>-1.82291667E-2</v>
      </c>
      <c r="D131" s="15">
        <v>77.900000000000006</v>
      </c>
      <c r="E131" s="32">
        <f t="shared" ref="E131:E134" si="66">IF(ISNUMBER(D131), (D131 - $B131) / $B131, "")</f>
        <v>3.3156498673740049E-2</v>
      </c>
      <c r="F131" s="18">
        <f>IF(ISNUMBER(D131), $B145 * E131, "")</f>
        <v>3315.6498673740048</v>
      </c>
      <c r="G131" s="31">
        <v>79.599999999999994</v>
      </c>
      <c r="H131" s="32">
        <f t="shared" ref="H131:H134" si="67">IF(ISNUMBER(G131), (G131 - $B131) / $B131, "")</f>
        <v>5.5702917771883131E-2</v>
      </c>
      <c r="I131" s="101">
        <f>IF(ISNUMBER(G131), $B145 * H131, "")</f>
        <v>5570.2917771883131</v>
      </c>
      <c r="J131" s="15">
        <v>78.5</v>
      </c>
      <c r="K131" s="32">
        <f t="shared" ref="K131:K134" si="68">IF(ISNUMBER(J131), (J131 - $B131) / $B131, "")</f>
        <v>4.1114058355437584E-2</v>
      </c>
      <c r="L131" s="18">
        <f>IF(ISNUMBER(J131), $B145 * K131, "")</f>
        <v>4111.4058355437583</v>
      </c>
      <c r="M131" s="31">
        <v>78.5</v>
      </c>
      <c r="N131" s="32">
        <f t="shared" ref="N131:N134" si="69">IF(ISNUMBER(M131), (M131 - $B131) / $B131, "")</f>
        <v>4.1114058355437584E-2</v>
      </c>
      <c r="O131" s="18">
        <f>IF(ISNUMBER(M131), $B145 * N131, "")</f>
        <v>4111.4058355437583</v>
      </c>
      <c r="Q131" s="238"/>
      <c r="R131" s="238"/>
      <c r="S131" s="238"/>
    </row>
    <row r="132" spans="1:19" ht="17.25" thickBot="1">
      <c r="A132" s="125" t="s">
        <v>204</v>
      </c>
      <c r="B132" s="126">
        <v>14.3</v>
      </c>
      <c r="C132" s="77">
        <v>-2.72108844E-2</v>
      </c>
      <c r="D132" s="15">
        <v>15.2</v>
      </c>
      <c r="E132" s="32">
        <f t="shared" si="66"/>
        <v>6.2937062937062832E-2</v>
      </c>
      <c r="F132" s="18">
        <f>IF(ISNUMBER(D132), $B145 * E132, "")</f>
        <v>6293.7062937062828</v>
      </c>
      <c r="G132" s="31">
        <v>15.2</v>
      </c>
      <c r="H132" s="32">
        <f t="shared" si="67"/>
        <v>6.2937062937062832E-2</v>
      </c>
      <c r="I132" s="101">
        <f>IF(ISNUMBER(G132), $B145 * H132, "")</f>
        <v>6293.7062937062828</v>
      </c>
      <c r="J132" s="15">
        <v>15.1</v>
      </c>
      <c r="K132" s="32">
        <f t="shared" si="68"/>
        <v>5.5944055944055868E-2</v>
      </c>
      <c r="L132" s="18">
        <f>IF(ISNUMBER(J132), $B145 * K132, "")</f>
        <v>5594.4055944055872</v>
      </c>
      <c r="M132" s="31">
        <v>15.2</v>
      </c>
      <c r="N132" s="32">
        <f t="shared" si="69"/>
        <v>6.2937062937062832E-2</v>
      </c>
      <c r="O132" s="18">
        <f>IF(ISNUMBER(M132), $B145 * N132, "")</f>
        <v>6293.7062937062828</v>
      </c>
      <c r="Q132" s="238"/>
      <c r="R132" s="238"/>
      <c r="S132" s="238"/>
    </row>
    <row r="133" spans="1:19" ht="17.25" thickBot="1">
      <c r="A133" s="125" t="s">
        <v>234</v>
      </c>
      <c r="B133" s="126">
        <v>70.900000000000006</v>
      </c>
      <c r="C133" s="77">
        <v>-3.1420765000000003E-2</v>
      </c>
      <c r="D133" s="15">
        <v>74.2</v>
      </c>
      <c r="E133" s="32">
        <f t="shared" si="66"/>
        <v>4.654442877291956E-2</v>
      </c>
      <c r="F133" s="18">
        <f>IF(ISNUMBER(D133), $B145 * E133, "")</f>
        <v>4654.4428772919564</v>
      </c>
      <c r="G133" s="31">
        <v>76.7</v>
      </c>
      <c r="H133" s="32">
        <f t="shared" si="67"/>
        <v>8.180535966149502E-2</v>
      </c>
      <c r="I133" s="101">
        <f>IF(ISNUMBER(G133), $B145 * H133, "")</f>
        <v>8180.5359661495022</v>
      </c>
      <c r="J133" s="15">
        <v>76.3</v>
      </c>
      <c r="K133" s="32">
        <f t="shared" si="68"/>
        <v>7.6163610719322858E-2</v>
      </c>
      <c r="L133" s="18">
        <f>IF(ISNUMBER(J133), $B145 * K133, "")</f>
        <v>7616.361071932286</v>
      </c>
      <c r="M133" s="31">
        <v>75.599999999999994</v>
      </c>
      <c r="N133" s="32">
        <f t="shared" si="69"/>
        <v>6.6290550070521689E-2</v>
      </c>
      <c r="O133" s="18">
        <f>IF(ISNUMBER(M133), $B145 * N133, "")</f>
        <v>6629.0550070521685</v>
      </c>
      <c r="Q133" s="33"/>
      <c r="R133" s="33"/>
    </row>
    <row r="134" spans="1:19" ht="17.25" thickBot="1">
      <c r="A134" s="130" t="s">
        <v>210</v>
      </c>
      <c r="B134" s="131">
        <v>12</v>
      </c>
      <c r="C134" s="79">
        <v>-3.2258064500000003E-2</v>
      </c>
      <c r="D134" s="24">
        <v>12.2</v>
      </c>
      <c r="E134" s="25">
        <f t="shared" si="66"/>
        <v>1.6666666666666607E-2</v>
      </c>
      <c r="F134" s="104">
        <f>IF(ISNUMBER(D134), $B145 * E134, "")</f>
        <v>1666.6666666666608</v>
      </c>
      <c r="G134" s="102">
        <v>12.7</v>
      </c>
      <c r="H134" s="25">
        <f t="shared" si="67"/>
        <v>5.8333333333333272E-2</v>
      </c>
      <c r="I134" s="103">
        <f>IF(ISNUMBER(G134), $B145 * H134, "")</f>
        <v>5833.3333333333276</v>
      </c>
      <c r="J134" s="24">
        <v>12.5</v>
      </c>
      <c r="K134" s="25">
        <f t="shared" si="68"/>
        <v>4.1666666666666664E-2</v>
      </c>
      <c r="L134" s="104">
        <f>IF(ISNUMBER(J134), $B145 * K134, "")</f>
        <v>4166.6666666666661</v>
      </c>
      <c r="M134" s="102">
        <v>12.5</v>
      </c>
      <c r="N134" s="25">
        <f t="shared" si="69"/>
        <v>4.1666666666666664E-2</v>
      </c>
      <c r="O134" s="104">
        <f>IF(ISNUMBER(M134), $B145 * N134, "")</f>
        <v>4166.6666666666661</v>
      </c>
      <c r="Q134" s="239"/>
      <c r="R134" s="240"/>
      <c r="S134" s="241"/>
    </row>
    <row r="135" spans="1:19">
      <c r="A135" s="123" t="s">
        <v>148</v>
      </c>
      <c r="B135" s="124">
        <v>20.3</v>
      </c>
      <c r="C135" s="76">
        <v>-3.7914691899999999E-2</v>
      </c>
      <c r="D135" s="13">
        <v>21.1</v>
      </c>
      <c r="E135" s="14">
        <f>IF(ISNUMBER(D135), (D135 - $B135) / $B135, "")</f>
        <v>3.9408866995073927E-2</v>
      </c>
      <c r="F135" s="16">
        <f>IF(ISNUMBER(D135), $B145 * E135, "")</f>
        <v>3940.8866995073927</v>
      </c>
      <c r="G135" s="29">
        <v>21.6</v>
      </c>
      <c r="H135" s="14">
        <f>IF(ISNUMBER(G135), (G135 - $B135) / $B135, "")</f>
        <v>6.4039408866995107E-2</v>
      </c>
      <c r="I135" s="100">
        <f>IF(ISNUMBER(G135), $B145 * H135, "")</f>
        <v>6403.9408866995109</v>
      </c>
      <c r="J135" s="13">
        <v>21.5</v>
      </c>
      <c r="K135" s="14">
        <f>IF(ISNUMBER(J135), (J135 - $B135) / $B135, "")</f>
        <v>5.91133004926108E-2</v>
      </c>
      <c r="L135" s="16">
        <f>IF(ISNUMBER(J135), $B145 * K135, "")</f>
        <v>5911.3300492610797</v>
      </c>
      <c r="M135" s="29">
        <v>21.2</v>
      </c>
      <c r="N135" s="14">
        <f>IF(ISNUMBER(M135), (M135 - $B135) / $B135, "")</f>
        <v>4.4334975369458053E-2</v>
      </c>
      <c r="O135" s="16">
        <f>IF(ISNUMBER(M135), $B145 * N135, "")</f>
        <v>4433.4975369458052</v>
      </c>
      <c r="Q135" s="242"/>
      <c r="R135" s="243"/>
      <c r="S135" s="244"/>
    </row>
    <row r="136" spans="1:19" ht="17.25" thickBot="1">
      <c r="A136" s="125" t="s">
        <v>188</v>
      </c>
      <c r="B136" s="126">
        <v>12.6</v>
      </c>
      <c r="C136" s="77">
        <v>-3.8167938899999997E-2</v>
      </c>
      <c r="D136" s="15">
        <v>13</v>
      </c>
      <c r="E136" s="32">
        <f t="shared" ref="E136:E139" si="70">IF(ISNUMBER(D136), (D136 - $B136) / $B136, "")</f>
        <v>3.1746031746031772E-2</v>
      </c>
      <c r="F136" s="18">
        <f>IF(ISNUMBER(D136), $B145 * E136, "")</f>
        <v>3174.6031746031772</v>
      </c>
      <c r="G136" s="31">
        <v>13.3</v>
      </c>
      <c r="H136" s="32">
        <f t="shared" ref="H136:H139" si="71">IF(ISNUMBER(G136), (G136 - $B136) / $B136, "")</f>
        <v>5.5555555555555643E-2</v>
      </c>
      <c r="I136" s="101">
        <f>IF(ISNUMBER(G136), $B145 * H136, "")</f>
        <v>5555.5555555555638</v>
      </c>
      <c r="J136" s="15">
        <v>13.3</v>
      </c>
      <c r="K136" s="32">
        <f t="shared" ref="K136:K139" si="72">IF(ISNUMBER(J136), (J136 - $B136) / $B136, "")</f>
        <v>5.5555555555555643E-2</v>
      </c>
      <c r="L136" s="18">
        <f>IF(ISNUMBER(J136), $B145 * K136, "")</f>
        <v>5555.5555555555638</v>
      </c>
      <c r="M136" s="31">
        <v>13.3</v>
      </c>
      <c r="N136" s="32">
        <f t="shared" ref="N136:N139" si="73">IF(ISNUMBER(M136), (M136 - $B136) / $B136, "")</f>
        <v>5.5555555555555643E-2</v>
      </c>
      <c r="O136" s="18">
        <f>IF(ISNUMBER(M136), $B145 * N136, "")</f>
        <v>5555.5555555555638</v>
      </c>
      <c r="Q136" s="245"/>
      <c r="R136" s="246"/>
      <c r="S136" s="247"/>
    </row>
    <row r="137" spans="1:19" ht="17.25" thickBot="1">
      <c r="A137" s="125" t="s">
        <v>65</v>
      </c>
      <c r="B137" s="126">
        <v>34.1</v>
      </c>
      <c r="C137" s="77">
        <v>-3.9436619700000002E-2</v>
      </c>
      <c r="D137" s="15">
        <v>35.700000000000003</v>
      </c>
      <c r="E137" s="32">
        <f t="shared" si="70"/>
        <v>4.6920821114369543E-2</v>
      </c>
      <c r="F137" s="18">
        <f>IF(ISNUMBER(D137), $B145 * E137, "")</f>
        <v>4692.0821114369546</v>
      </c>
      <c r="G137" s="31">
        <v>36.5</v>
      </c>
      <c r="H137" s="32">
        <f t="shared" si="71"/>
        <v>7.0381231671554204E-2</v>
      </c>
      <c r="I137" s="101">
        <f>IF(ISNUMBER(G137), $B145 * H137, "")</f>
        <v>7038.1231671554206</v>
      </c>
      <c r="J137" s="15">
        <v>36</v>
      </c>
      <c r="K137" s="32">
        <f t="shared" si="72"/>
        <v>5.571847507331374E-2</v>
      </c>
      <c r="L137" s="18">
        <f>IF(ISNUMBER(J137), $B145 * K137, "")</f>
        <v>5571.8475073313739</v>
      </c>
      <c r="M137" s="31">
        <v>35.700000000000003</v>
      </c>
      <c r="N137" s="32">
        <f t="shared" si="73"/>
        <v>4.6920821114369543E-2</v>
      </c>
      <c r="O137" s="18">
        <f>IF(ISNUMBER(M137), $B145 * N137, "")</f>
        <v>4692.0821114369546</v>
      </c>
      <c r="Q137" s="238"/>
      <c r="R137" s="238"/>
      <c r="S137" s="238"/>
    </row>
    <row r="138" spans="1:19" ht="17.25" thickBot="1">
      <c r="A138" s="125" t="s">
        <v>72</v>
      </c>
      <c r="B138" s="126">
        <v>23</v>
      </c>
      <c r="C138" s="77">
        <v>-4.16666667E-2</v>
      </c>
      <c r="D138" s="15">
        <v>23.9</v>
      </c>
      <c r="E138" s="32">
        <f t="shared" si="70"/>
        <v>3.9130434782608636E-2</v>
      </c>
      <c r="F138" s="18">
        <f>IF(ISNUMBER(D138), $B145 * E138, "")</f>
        <v>3913.0434782608636</v>
      </c>
      <c r="G138" s="31">
        <v>24</v>
      </c>
      <c r="H138" s="32">
        <f t="shared" si="71"/>
        <v>4.3478260869565216E-2</v>
      </c>
      <c r="I138" s="101">
        <f>IF(ISNUMBER(G138), $B145 * H138, "")</f>
        <v>4347.826086956522</v>
      </c>
      <c r="J138" s="15">
        <v>23.9</v>
      </c>
      <c r="K138" s="32">
        <f t="shared" si="72"/>
        <v>3.9130434782608636E-2</v>
      </c>
      <c r="L138" s="18">
        <f>IF(ISNUMBER(J138), $B145 * K138, "")</f>
        <v>3913.0434782608636</v>
      </c>
      <c r="M138" s="31">
        <v>23.9</v>
      </c>
      <c r="N138" s="32">
        <f t="shared" si="73"/>
        <v>3.9130434782608636E-2</v>
      </c>
      <c r="O138" s="18">
        <f>IF(ISNUMBER(M138), $B145 * N138, "")</f>
        <v>3913.0434782608636</v>
      </c>
      <c r="Q138" s="248"/>
      <c r="R138" s="248"/>
      <c r="S138" s="248"/>
    </row>
    <row r="139" spans="1:19" ht="17.25" thickBot="1">
      <c r="A139" s="127" t="s">
        <v>150</v>
      </c>
      <c r="B139" s="128">
        <v>12.7</v>
      </c>
      <c r="C139" s="78">
        <v>-4.5112781999999997E-2</v>
      </c>
      <c r="D139" s="20">
        <v>13.1</v>
      </c>
      <c r="E139" s="21">
        <f t="shared" si="70"/>
        <v>3.1496062992126012E-2</v>
      </c>
      <c r="F139" s="22">
        <f>IF(ISNUMBER(D139), $B145 * E139, "")</f>
        <v>3149.6062992126012</v>
      </c>
      <c r="G139" s="30">
        <v>13.2</v>
      </c>
      <c r="H139" s="21">
        <f t="shared" si="71"/>
        <v>3.937007874015748E-2</v>
      </c>
      <c r="I139" s="105">
        <f>IF(ISNUMBER(G139), $B145 * H139, "")</f>
        <v>3937.0078740157478</v>
      </c>
      <c r="J139" s="20">
        <v>13.1</v>
      </c>
      <c r="K139" s="21">
        <f t="shared" si="72"/>
        <v>3.1496062992126012E-2</v>
      </c>
      <c r="L139" s="22">
        <f>IF(ISNUMBER(J139), $B145 * K139, "")</f>
        <v>3149.6062992126012</v>
      </c>
      <c r="M139" s="30">
        <v>13</v>
      </c>
      <c r="N139" s="21">
        <f t="shared" si="73"/>
        <v>2.3622047244094547E-2</v>
      </c>
      <c r="O139" s="22">
        <f>IF(ISNUMBER(M139), $B145 * N139, "")</f>
        <v>2362.2047244094547</v>
      </c>
      <c r="Q139" s="248"/>
      <c r="R139" s="248"/>
      <c r="S139" s="248"/>
    </row>
    <row r="140" spans="1:19" ht="17.25" thickBot="1">
      <c r="A140" s="125" t="s">
        <v>216</v>
      </c>
      <c r="B140" s="129">
        <v>10.6</v>
      </c>
      <c r="C140" s="80">
        <v>-5.3571428599999998E-2</v>
      </c>
      <c r="D140" s="106">
        <v>11</v>
      </c>
      <c r="E140" s="107">
        <f>IF(ISNUMBER(D140), (D140 - $B140) / $B140, "")</f>
        <v>3.7735849056603807E-2</v>
      </c>
      <c r="F140" s="108">
        <f>IF(ISNUMBER(D140), $B145 * E140, "")</f>
        <v>3773.5849056603806</v>
      </c>
      <c r="G140" s="109">
        <v>11.2</v>
      </c>
      <c r="H140" s="107">
        <f>IF(ISNUMBER(G140), (G140 - $B140) / $B140, "")</f>
        <v>5.6603773584905627E-2</v>
      </c>
      <c r="I140" s="110">
        <f>IF(ISNUMBER(G140), $B145 * H140, "")</f>
        <v>5660.377358490563</v>
      </c>
      <c r="J140" s="106">
        <v>11.2</v>
      </c>
      <c r="K140" s="107">
        <f>IF(ISNUMBER(J140), (J140 - $B140) / $B140, "")</f>
        <v>5.6603773584905627E-2</v>
      </c>
      <c r="L140" s="108">
        <f>IF(ISNUMBER(J140), $B145 * K140, "")</f>
        <v>5660.377358490563</v>
      </c>
      <c r="M140" s="109">
        <v>11.2</v>
      </c>
      <c r="N140" s="107">
        <f>IF(ISNUMBER(M140), (M140 - $B140) / $B140, "")</f>
        <v>5.6603773584905627E-2</v>
      </c>
      <c r="O140" s="108">
        <f>IF(ISNUMBER(M140), $B145 * N140, "")</f>
        <v>5660.377358490563</v>
      </c>
      <c r="Q140" s="238"/>
      <c r="R140" s="238"/>
      <c r="S140" s="238"/>
    </row>
    <row r="141" spans="1:19" ht="17.25" thickBot="1">
      <c r="A141" s="125" t="s">
        <v>178</v>
      </c>
      <c r="B141" s="126">
        <v>16.3</v>
      </c>
      <c r="C141" s="77">
        <v>-5.7803468199999999E-2</v>
      </c>
      <c r="D141" s="15">
        <v>17</v>
      </c>
      <c r="E141" s="32">
        <f t="shared" ref="E141:E144" si="74">IF(ISNUMBER(D141), (D141 - $B141) / $B141, "")</f>
        <v>4.2944785276073573E-2</v>
      </c>
      <c r="F141" s="18">
        <f>IF(ISNUMBER(D141), $B145 * E141, "")</f>
        <v>4294.4785276073571</v>
      </c>
      <c r="G141" s="31">
        <v>17.100000000000001</v>
      </c>
      <c r="H141" s="32">
        <f t="shared" ref="H141:H144" si="75">IF(ISNUMBER(G141), (G141 - $B141) / $B141, "")</f>
        <v>4.9079754601227037E-2</v>
      </c>
      <c r="I141" s="101">
        <f>IF(ISNUMBER(G141), $B145 * H141, "")</f>
        <v>4907.9754601227032</v>
      </c>
      <c r="J141" s="15">
        <v>17.100000000000001</v>
      </c>
      <c r="K141" s="32">
        <f t="shared" ref="K141:K144" si="76">IF(ISNUMBER(J141), (J141 - $B141) / $B141, "")</f>
        <v>4.9079754601227037E-2</v>
      </c>
      <c r="L141" s="18">
        <f>IF(ISNUMBER(J141), $B145 * K141, "")</f>
        <v>4907.9754601227032</v>
      </c>
      <c r="M141" s="31">
        <v>17</v>
      </c>
      <c r="N141" s="32">
        <f t="shared" ref="N141:N144" si="77">IF(ISNUMBER(M141), (M141 - $B141) / $B141, "")</f>
        <v>4.2944785276073573E-2</v>
      </c>
      <c r="O141" s="18">
        <f>IF(ISNUMBER(M141), $B145 * N141, "")</f>
        <v>4294.4785276073571</v>
      </c>
      <c r="Q141" s="238"/>
      <c r="R141" s="238"/>
      <c r="S141" s="238"/>
    </row>
    <row r="142" spans="1:19" ht="17.25" thickBot="1">
      <c r="A142" s="125" t="s">
        <v>122</v>
      </c>
      <c r="B142" s="126">
        <v>32.6</v>
      </c>
      <c r="C142" s="77">
        <v>-6.3218390799999996E-2</v>
      </c>
      <c r="D142" s="15">
        <v>33.4</v>
      </c>
      <c r="E142" s="32">
        <f t="shared" si="74"/>
        <v>2.4539877300613407E-2</v>
      </c>
      <c r="F142" s="18">
        <f>IF(ISNUMBER(D142), $B145 * E142, "")</f>
        <v>2453.9877300613407</v>
      </c>
      <c r="G142" s="31">
        <v>35.1</v>
      </c>
      <c r="H142" s="32">
        <f t="shared" si="75"/>
        <v>7.6687116564417179E-2</v>
      </c>
      <c r="I142" s="101">
        <f>IF(ISNUMBER(G142), $B145 * H142, "")</f>
        <v>7668.7116564417183</v>
      </c>
      <c r="J142" s="15">
        <v>34.700000000000003</v>
      </c>
      <c r="K142" s="32">
        <f t="shared" si="76"/>
        <v>6.4417177914110474E-2</v>
      </c>
      <c r="L142" s="18">
        <f>IF(ISNUMBER(J142), $B145 * K142, "")</f>
        <v>6441.7177914110471</v>
      </c>
      <c r="M142" s="31">
        <v>33.799999999999997</v>
      </c>
      <c r="N142" s="32">
        <f t="shared" si="77"/>
        <v>3.6809815950920116E-2</v>
      </c>
      <c r="O142" s="18">
        <f>IF(ISNUMBER(M142), $B145 * N142, "")</f>
        <v>3680.9815950920115</v>
      </c>
      <c r="Q142" s="238"/>
      <c r="R142" s="238"/>
      <c r="S142" s="238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7"/>
      <c r="R143" s="228"/>
      <c r="S143" s="22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30"/>
      <c r="R144" s="231"/>
      <c r="S144" s="232"/>
    </row>
    <row r="145" spans="1:19" ht="17.25" thickBot="1">
      <c r="A145" s="132" t="s">
        <v>270</v>
      </c>
      <c r="B145" s="291">
        <f>$B$37</f>
        <v>100000</v>
      </c>
      <c r="C145" s="292"/>
      <c r="D145" s="26" t="s">
        <v>271</v>
      </c>
      <c r="E145" s="27">
        <f>IF(COUNT(E125:E144), SUM(E125:E144) / COUNT(E125:E144), 0)</f>
        <v>4.085627528030298E-2</v>
      </c>
      <c r="F145" s="28">
        <f>SUM(F125:F144)</f>
        <v>73541.295504545385</v>
      </c>
      <c r="G145" s="26" t="s">
        <v>271</v>
      </c>
      <c r="H145" s="27">
        <f>IF(COUNT(H125:H144), SUM(H125:H144) / COUNT(H125:H144), 0)</f>
        <v>5.8025191641920472E-2</v>
      </c>
      <c r="I145" s="28">
        <f>SUM(I125:I144)</f>
        <v>104445.34495545685</v>
      </c>
      <c r="J145" s="26" t="s">
        <v>271</v>
      </c>
      <c r="K145" s="27">
        <f>IF(COUNT(K125:K144), SUM(K125:K144) / COUNT(K125:K144), 0)</f>
        <v>5.1611199494895642E-2</v>
      </c>
      <c r="L145" s="28">
        <f>SUM(L125:L144)</f>
        <v>92900.159090812143</v>
      </c>
      <c r="M145" s="26" t="s">
        <v>271</v>
      </c>
      <c r="N145" s="27">
        <f>IF(COUNT(N125:N144), SUM(N125:N144) / COUNT(N125:N144), 0)</f>
        <v>4.5957034147640886E-2</v>
      </c>
      <c r="O145" s="28">
        <f>SUM(O125:O144)</f>
        <v>82722.661465753568</v>
      </c>
      <c r="Q145" s="233"/>
      <c r="R145" s="234"/>
      <c r="S145" s="23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48"/>
      <c r="R148" s="248"/>
      <c r="S148" s="248"/>
    </row>
    <row r="149" spans="1:19" ht="17.25" thickBot="1">
      <c r="A149" s="207" t="s">
        <v>267</v>
      </c>
      <c r="B149" s="249" t="s">
        <v>49</v>
      </c>
      <c r="C149" s="251"/>
      <c r="D149" s="249" t="s">
        <v>58</v>
      </c>
      <c r="E149" s="250"/>
      <c r="F149" s="251"/>
      <c r="G149" s="252">
        <f>_xlfn.IFNA(VLOOKUP(B149, 현재가테이블!$B$2:$D$200, 2, FALSE), "-")</f>
        <v>54440000</v>
      </c>
      <c r="H149" s="253"/>
      <c r="I149" s="254"/>
      <c r="J149" s="249" t="s">
        <v>59</v>
      </c>
      <c r="K149" s="250"/>
      <c r="L149" s="251"/>
      <c r="M149" s="255">
        <f>_xlfn.IFNA(VLOOKUP(B149, 현재가테이블!$B$2:$D$200, 3, FALSE), "-")</f>
        <v>1.07123628E-2</v>
      </c>
      <c r="N149" s="256"/>
      <c r="O149" s="257"/>
      <c r="Q149" s="248"/>
      <c r="R149" s="248"/>
      <c r="S149" s="248"/>
    </row>
    <row r="150" spans="1:19" ht="17.25" thickBot="1">
      <c r="A150" s="293" t="s">
        <v>55</v>
      </c>
      <c r="B150" s="289" t="str">
        <f>TEXT($G$1, "[$-ko-KR]yyyy-mm-dd(ddd) ") &amp; "오전 00:00"</f>
        <v>2021-08-13(금) 오전 00:00</v>
      </c>
      <c r="C150" s="290"/>
      <c r="D150" s="262" t="str">
        <f>TEXT($G$1, "[$-ko-KR]yyyy-mm-dd(ddd) ") &amp; "오후 14:00"</f>
        <v>2021-08-13(금) 오후 14:00</v>
      </c>
      <c r="E150" s="263"/>
      <c r="F150" s="264"/>
      <c r="G150" s="262" t="str">
        <f>TEXT($G$1, "[$-ko-KR]yyyy-mm-dd(ddd) ") &amp; "오후 19:00"</f>
        <v>2021-08-13(금) 오후 19:00</v>
      </c>
      <c r="H150" s="263"/>
      <c r="I150" s="264"/>
      <c r="J150" s="262" t="str">
        <f>TEXT($G$1, "[$-ko-KR]yyyy-mm-dd(ddd) ") &amp; "오후 21:00"</f>
        <v>2021-08-13(금) 오후 21:00</v>
      </c>
      <c r="K150" s="263"/>
      <c r="L150" s="264"/>
      <c r="M150" s="262" t="str">
        <f>TEXT($G$1+1, "[$-ko-KR]yyyy-mm-dd(ddd) ") &amp; "오전 00:00"</f>
        <v>2021-08-14(토) 오전 00:00</v>
      </c>
      <c r="N150" s="263"/>
      <c r="O150" s="264"/>
      <c r="Q150" s="248"/>
      <c r="R150" s="248"/>
      <c r="S150" s="248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8" t="s">
        <v>58</v>
      </c>
      <c r="H151" s="209" t="s">
        <v>268</v>
      </c>
      <c r="I151" s="21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8"/>
      <c r="R151" s="238"/>
      <c r="S151" s="238"/>
    </row>
    <row r="152" spans="1:19" ht="17.25" thickBot="1">
      <c r="A152" s="123" t="s">
        <v>130</v>
      </c>
      <c r="B152" s="124">
        <v>106</v>
      </c>
      <c r="C152" s="76">
        <v>-4.5045044999999999E-2</v>
      </c>
      <c r="D152" s="13">
        <v>114</v>
      </c>
      <c r="E152" s="14">
        <f>IF(ISNUMBER(D152), (D152 - $B152) / $B152, "")</f>
        <v>7.5471698113207544E-2</v>
      </c>
      <c r="F152" s="16">
        <f>IF(ISNUMBER(D152), $B172 * E152, "")</f>
        <v>7547.169811320754</v>
      </c>
      <c r="G152" s="29">
        <v>117</v>
      </c>
      <c r="H152" s="14">
        <f>IF(ISNUMBER(G152), (G152 - $B152) / $B152, "")</f>
        <v>0.10377358490566038</v>
      </c>
      <c r="I152" s="100">
        <f>IF(ISNUMBER(G152), $B172 * H152, "")</f>
        <v>10377.358490566039</v>
      </c>
      <c r="J152" s="13">
        <v>117</v>
      </c>
      <c r="K152" s="14">
        <f>IF(ISNUMBER(J152), (J152 - $B152) / $B152, "")</f>
        <v>0.10377358490566038</v>
      </c>
      <c r="L152" s="16">
        <f>IF(ISNUMBER(J152), $B172 * K152, "")</f>
        <v>10377.358490566039</v>
      </c>
      <c r="M152" s="29">
        <v>115</v>
      </c>
      <c r="N152" s="14">
        <f>IF(ISNUMBER(M152), (M152 - $B152) / $B152, "")</f>
        <v>8.4905660377358486E-2</v>
      </c>
      <c r="O152" s="16">
        <f>IF(ISNUMBER(M152), $B172 * N152, "")</f>
        <v>8490.566037735849</v>
      </c>
      <c r="Q152" s="248"/>
      <c r="R152" s="248"/>
      <c r="S152" s="248"/>
    </row>
    <row r="153" spans="1:19" ht="17.25" thickBot="1">
      <c r="A153" s="125" t="s">
        <v>162</v>
      </c>
      <c r="B153" s="126">
        <v>105</v>
      </c>
      <c r="C153" s="77">
        <v>-4.5454545499999999E-2</v>
      </c>
      <c r="D153" s="15">
        <v>110</v>
      </c>
      <c r="E153" s="32">
        <f t="shared" ref="E153:E156" si="78">IF(ISNUMBER(D153), (D153 - $B153) / $B153, "")</f>
        <v>4.7619047619047616E-2</v>
      </c>
      <c r="F153" s="18">
        <f>IF(ISNUMBER(D153), $B172 * E153, "")</f>
        <v>4761.9047619047615</v>
      </c>
      <c r="G153" s="31">
        <v>113</v>
      </c>
      <c r="H153" s="32">
        <f t="shared" ref="H153:H156" si="79">IF(ISNUMBER(G153), (G153 - $B153) / $B153, "")</f>
        <v>7.6190476190476197E-2</v>
      </c>
      <c r="I153" s="101">
        <f>IF(ISNUMBER(G153), $B172 * H153, "")</f>
        <v>7619.0476190476202</v>
      </c>
      <c r="J153" s="15">
        <v>113</v>
      </c>
      <c r="K153" s="32">
        <f t="shared" ref="K153:K156" si="80">IF(ISNUMBER(J153), (J153 - $B153) / $B153, "")</f>
        <v>7.6190476190476197E-2</v>
      </c>
      <c r="L153" s="18">
        <f>IF(ISNUMBER(J153), $B172 * K153, "")</f>
        <v>7619.0476190476202</v>
      </c>
      <c r="M153" s="31">
        <v>111</v>
      </c>
      <c r="N153" s="32">
        <f t="shared" ref="N153:N156" si="81">IF(ISNUMBER(M153), (M153 - $B153) / $B153, "")</f>
        <v>5.7142857142857141E-2</v>
      </c>
      <c r="O153" s="18">
        <f>IF(ISNUMBER(M153), $B172 * N153, "")</f>
        <v>5714.2857142857138</v>
      </c>
      <c r="Q153" s="248"/>
      <c r="R153" s="248"/>
      <c r="S153" s="248"/>
    </row>
    <row r="154" spans="1:19" ht="17.25" thickBot="1">
      <c r="A154" s="125" t="s">
        <v>230</v>
      </c>
      <c r="B154" s="126">
        <v>208</v>
      </c>
      <c r="C154" s="77">
        <v>-4.58715596E-2</v>
      </c>
      <c r="D154" s="15">
        <v>211</v>
      </c>
      <c r="E154" s="32">
        <f t="shared" si="78"/>
        <v>1.4423076923076924E-2</v>
      </c>
      <c r="F154" s="18">
        <f>IF(ISNUMBER(D154), $B172 * E154, "")</f>
        <v>1442.3076923076924</v>
      </c>
      <c r="G154" s="31">
        <v>213</v>
      </c>
      <c r="H154" s="32">
        <f t="shared" si="79"/>
        <v>2.403846153846154E-2</v>
      </c>
      <c r="I154" s="101">
        <f>IF(ISNUMBER(G154), $B172 * H154, "")</f>
        <v>2403.8461538461538</v>
      </c>
      <c r="J154" s="15">
        <v>211</v>
      </c>
      <c r="K154" s="32">
        <f t="shared" si="80"/>
        <v>1.4423076923076924E-2</v>
      </c>
      <c r="L154" s="18">
        <f>IF(ISNUMBER(J154), $B172 * K154, "")</f>
        <v>1442.3076923076924</v>
      </c>
      <c r="M154" s="31">
        <v>211</v>
      </c>
      <c r="N154" s="32">
        <f t="shared" si="81"/>
        <v>1.4423076923076924E-2</v>
      </c>
      <c r="O154" s="18">
        <f>IF(ISNUMBER(M154), $B172 * N154, "")</f>
        <v>1442.3076923076924</v>
      </c>
      <c r="Q154" s="238"/>
      <c r="R154" s="238"/>
      <c r="S154" s="238"/>
    </row>
    <row r="155" spans="1:19" ht="17.25" thickBot="1">
      <c r="A155" s="125" t="s">
        <v>238</v>
      </c>
      <c r="B155" s="126">
        <v>103</v>
      </c>
      <c r="C155" s="77">
        <v>-4.6296296299999998E-2</v>
      </c>
      <c r="D155" s="15">
        <v>106</v>
      </c>
      <c r="E155" s="32">
        <f t="shared" si="78"/>
        <v>2.9126213592233011E-2</v>
      </c>
      <c r="F155" s="18">
        <f>IF(ISNUMBER(D155), $B172 * E155, "")</f>
        <v>2912.6213592233012</v>
      </c>
      <c r="G155" s="31">
        <v>108</v>
      </c>
      <c r="H155" s="32">
        <f t="shared" si="79"/>
        <v>4.8543689320388349E-2</v>
      </c>
      <c r="I155" s="101">
        <f>IF(ISNUMBER(G155), $B172 * H155, "")</f>
        <v>4854.3689320388348</v>
      </c>
      <c r="J155" s="15">
        <v>108</v>
      </c>
      <c r="K155" s="32">
        <f t="shared" si="80"/>
        <v>4.8543689320388349E-2</v>
      </c>
      <c r="L155" s="18">
        <f>IF(ISNUMBER(J155), $B172 * K155, "")</f>
        <v>4854.3689320388348</v>
      </c>
      <c r="M155" s="31">
        <v>107</v>
      </c>
      <c r="N155" s="32">
        <f t="shared" si="81"/>
        <v>3.8834951456310676E-2</v>
      </c>
      <c r="O155" s="18">
        <f>IF(ISNUMBER(M155), $B172 * N155, "")</f>
        <v>3883.4951456310678</v>
      </c>
      <c r="Q155" s="238"/>
      <c r="R155" s="238"/>
      <c r="S155" s="238"/>
    </row>
    <row r="156" spans="1:19" ht="17.25" thickBot="1">
      <c r="A156" s="127" t="s">
        <v>114</v>
      </c>
      <c r="B156" s="128">
        <v>744</v>
      </c>
      <c r="C156" s="78">
        <v>-4.7375160100000001E-2</v>
      </c>
      <c r="D156" s="20">
        <v>749</v>
      </c>
      <c r="E156" s="21">
        <f t="shared" si="78"/>
        <v>6.7204301075268818E-3</v>
      </c>
      <c r="F156" s="22">
        <f>IF(ISNUMBER(D156), $B172 * E156, "")</f>
        <v>672.04301075268813</v>
      </c>
      <c r="G156" s="30">
        <v>763</v>
      </c>
      <c r="H156" s="21">
        <f t="shared" si="79"/>
        <v>2.5537634408602152E-2</v>
      </c>
      <c r="I156" s="105">
        <f>IF(ISNUMBER(G156), $B172 * H156, "")</f>
        <v>2553.7634408602153</v>
      </c>
      <c r="J156" s="20">
        <v>754</v>
      </c>
      <c r="K156" s="21">
        <f t="shared" si="80"/>
        <v>1.3440860215053764E-2</v>
      </c>
      <c r="L156" s="22">
        <f>IF(ISNUMBER(J156), $B172 * K156, "")</f>
        <v>1344.0860215053763</v>
      </c>
      <c r="M156" s="30">
        <v>743</v>
      </c>
      <c r="N156" s="21">
        <f t="shared" si="81"/>
        <v>-1.3440860215053765E-3</v>
      </c>
      <c r="O156" s="22">
        <f>IF(ISNUMBER(M156), $B172 * N156, "")</f>
        <v>-134.40860215053763</v>
      </c>
      <c r="Q156" s="238"/>
      <c r="R156" s="238"/>
      <c r="S156" s="238"/>
    </row>
    <row r="157" spans="1:19" ht="17.25" thickBot="1">
      <c r="A157" s="125" t="s">
        <v>200</v>
      </c>
      <c r="B157" s="129">
        <v>139</v>
      </c>
      <c r="C157" s="80">
        <v>-4.7945205499999997E-2</v>
      </c>
      <c r="D157" s="106">
        <v>142</v>
      </c>
      <c r="E157" s="107">
        <f>IF(ISNUMBER(D157), (D157 - $B157) / $B157, "")</f>
        <v>2.1582733812949641E-2</v>
      </c>
      <c r="F157" s="108">
        <f>IF(ISNUMBER(D157), $B172 * E157, "")</f>
        <v>2158.2733812949641</v>
      </c>
      <c r="G157" s="109">
        <v>144</v>
      </c>
      <c r="H157" s="107">
        <f>IF(ISNUMBER(G157), (G157 - $B157) / $B157, "")</f>
        <v>3.5971223021582732E-2</v>
      </c>
      <c r="I157" s="110">
        <f>IF(ISNUMBER(G157), $B172 * H157, "")</f>
        <v>3597.1223021582732</v>
      </c>
      <c r="J157" s="106">
        <v>143</v>
      </c>
      <c r="K157" s="107">
        <f>IF(ISNUMBER(J157), (J157 - $B157) / $B157, "")</f>
        <v>2.8776978417266189E-2</v>
      </c>
      <c r="L157" s="108">
        <f>IF(ISNUMBER(J157), $B172 * K157, "")</f>
        <v>2877.6978417266187</v>
      </c>
      <c r="M157" s="109">
        <v>143</v>
      </c>
      <c r="N157" s="107">
        <f>IF(ISNUMBER(M157), (M157 - $B157) / $B157, "")</f>
        <v>2.8776978417266189E-2</v>
      </c>
      <c r="O157" s="108">
        <f>IF(ISNUMBER(M157), $B172 * N157, "")</f>
        <v>2877.6978417266187</v>
      </c>
      <c r="Q157" s="238"/>
      <c r="R157" s="238"/>
      <c r="S157" s="238"/>
    </row>
    <row r="158" spans="1:19" ht="17.25" thickBot="1">
      <c r="A158" s="125" t="s">
        <v>220</v>
      </c>
      <c r="B158" s="126">
        <v>213</v>
      </c>
      <c r="C158" s="77">
        <v>-4.9107142899999998E-2</v>
      </c>
      <c r="D158" s="15">
        <v>217</v>
      </c>
      <c r="E158" s="32">
        <f t="shared" ref="E158:E161" si="82">IF(ISNUMBER(D158), (D158 - $B158) / $B158, "")</f>
        <v>1.8779342723004695E-2</v>
      </c>
      <c r="F158" s="18">
        <f>IF(ISNUMBER(D158), $B172 * E158, "")</f>
        <v>1877.9342723004695</v>
      </c>
      <c r="G158" s="31">
        <v>219</v>
      </c>
      <c r="H158" s="32">
        <f t="shared" ref="H158:H161" si="83">IF(ISNUMBER(G158), (G158 - $B158) / $B158, "")</f>
        <v>2.8169014084507043E-2</v>
      </c>
      <c r="I158" s="101">
        <f>IF(ISNUMBER(G158), $B172 * H158, "")</f>
        <v>2816.9014084507044</v>
      </c>
      <c r="J158" s="15">
        <v>217</v>
      </c>
      <c r="K158" s="32">
        <f t="shared" ref="K158:K161" si="84">IF(ISNUMBER(J158), (J158 - $B158) / $B158, "")</f>
        <v>1.8779342723004695E-2</v>
      </c>
      <c r="L158" s="18">
        <f>IF(ISNUMBER(J158), $B172 * K158, "")</f>
        <v>1877.9342723004695</v>
      </c>
      <c r="M158" s="31">
        <v>216</v>
      </c>
      <c r="N158" s="32">
        <f t="shared" ref="N158:N161" si="85">IF(ISNUMBER(M158), (M158 - $B158) / $B158, "")</f>
        <v>1.4084507042253521E-2</v>
      </c>
      <c r="O158" s="18">
        <f>IF(ISNUMBER(M158), $B172 * N158, "")</f>
        <v>1408.4507042253522</v>
      </c>
      <c r="Q158" s="238"/>
      <c r="R158" s="238"/>
      <c r="S158" s="238"/>
    </row>
    <row r="159" spans="1:19" ht="17.25" thickBot="1">
      <c r="A159" s="125" t="s">
        <v>174</v>
      </c>
      <c r="B159" s="126">
        <v>344</v>
      </c>
      <c r="C159" s="77">
        <v>-4.9723756899999999E-2</v>
      </c>
      <c r="D159" s="15">
        <v>349</v>
      </c>
      <c r="E159" s="32">
        <f t="shared" si="82"/>
        <v>1.4534883720930232E-2</v>
      </c>
      <c r="F159" s="18">
        <f>IF(ISNUMBER(D159), $B172 * E159, "")</f>
        <v>1453.4883720930231</v>
      </c>
      <c r="G159" s="31">
        <v>353</v>
      </c>
      <c r="H159" s="32">
        <f t="shared" si="83"/>
        <v>2.616279069767442E-2</v>
      </c>
      <c r="I159" s="101">
        <f>IF(ISNUMBER(G159), $B172 * H159, "")</f>
        <v>2616.2790697674418</v>
      </c>
      <c r="J159" s="15">
        <v>351</v>
      </c>
      <c r="K159" s="32">
        <f t="shared" si="84"/>
        <v>2.0348837209302327E-2</v>
      </c>
      <c r="L159" s="18">
        <f>IF(ISNUMBER(J159), $B172 * K159, "")</f>
        <v>2034.8837209302328</v>
      </c>
      <c r="M159" s="31">
        <v>353</v>
      </c>
      <c r="N159" s="32">
        <f t="shared" si="85"/>
        <v>2.616279069767442E-2</v>
      </c>
      <c r="O159" s="18">
        <f>IF(ISNUMBER(M159), $B172 * N159, "")</f>
        <v>2616.2790697674418</v>
      </c>
      <c r="Q159" s="238"/>
      <c r="R159" s="238"/>
      <c r="S159" s="238"/>
    </row>
    <row r="160" spans="1:19" ht="17.25" thickBot="1">
      <c r="A160" s="125" t="s">
        <v>252</v>
      </c>
      <c r="B160" s="126">
        <v>974</v>
      </c>
      <c r="C160" s="77">
        <v>-4.97560976E-2</v>
      </c>
      <c r="D160" s="15">
        <v>998</v>
      </c>
      <c r="E160" s="32">
        <f t="shared" si="82"/>
        <v>2.4640657084188913E-2</v>
      </c>
      <c r="F160" s="18">
        <f>IF(ISNUMBER(D160), $B172 * E160, "")</f>
        <v>2464.0657084188911</v>
      </c>
      <c r="G160" s="31">
        <v>1010</v>
      </c>
      <c r="H160" s="32">
        <f t="shared" si="83"/>
        <v>3.6960985626283367E-2</v>
      </c>
      <c r="I160" s="101">
        <f>IF(ISNUMBER(G160), $B172 * H160, "")</f>
        <v>3696.0985626283368</v>
      </c>
      <c r="J160" s="15">
        <v>1010</v>
      </c>
      <c r="K160" s="32">
        <f t="shared" si="84"/>
        <v>3.6960985626283367E-2</v>
      </c>
      <c r="L160" s="18">
        <f>IF(ISNUMBER(J160), $B172 * K160, "")</f>
        <v>3696.0985626283368</v>
      </c>
      <c r="M160" s="31">
        <v>999</v>
      </c>
      <c r="N160" s="32">
        <f t="shared" si="85"/>
        <v>2.5667351129363448E-2</v>
      </c>
      <c r="O160" s="18">
        <f>IF(ISNUMBER(M160), $B172 * N160, "")</f>
        <v>2566.7351129363446</v>
      </c>
      <c r="Q160" s="33"/>
      <c r="R160" s="33"/>
    </row>
    <row r="161" spans="1:19" ht="17.25" thickBot="1">
      <c r="A161" s="130" t="s">
        <v>242</v>
      </c>
      <c r="B161" s="131">
        <v>474</v>
      </c>
      <c r="C161" s="79">
        <v>-5.0100200400000003E-2</v>
      </c>
      <c r="D161" s="24">
        <v>485</v>
      </c>
      <c r="E161" s="25">
        <f t="shared" si="82"/>
        <v>2.3206751054852322E-2</v>
      </c>
      <c r="F161" s="104">
        <f>IF(ISNUMBER(D161), $B172 * E161, "")</f>
        <v>2320.6751054852321</v>
      </c>
      <c r="G161" s="102">
        <v>492</v>
      </c>
      <c r="H161" s="25">
        <f t="shared" si="83"/>
        <v>3.7974683544303799E-2</v>
      </c>
      <c r="I161" s="103">
        <f>IF(ISNUMBER(G161), $B172 * H161, "")</f>
        <v>3797.4683544303798</v>
      </c>
      <c r="J161" s="24">
        <v>488</v>
      </c>
      <c r="K161" s="25">
        <f t="shared" si="84"/>
        <v>2.9535864978902954E-2</v>
      </c>
      <c r="L161" s="104">
        <f>IF(ISNUMBER(J161), $B172 * K161, "")</f>
        <v>2953.5864978902955</v>
      </c>
      <c r="M161" s="102">
        <v>489</v>
      </c>
      <c r="N161" s="25">
        <f t="shared" si="85"/>
        <v>3.1645569620253167E-2</v>
      </c>
      <c r="O161" s="104">
        <f>IF(ISNUMBER(M161), $B172 * N161, "")</f>
        <v>3164.5569620253168</v>
      </c>
      <c r="Q161" s="239"/>
      <c r="R161" s="240"/>
      <c r="S161" s="241"/>
    </row>
    <row r="162" spans="1:19">
      <c r="A162" s="123" t="s">
        <v>218</v>
      </c>
      <c r="B162" s="124">
        <v>129</v>
      </c>
      <c r="C162" s="76">
        <v>-5.14705882E-2</v>
      </c>
      <c r="D162" s="13">
        <v>132</v>
      </c>
      <c r="E162" s="14">
        <f>IF(ISNUMBER(D162), (D162 - $B162) / $B162, "")</f>
        <v>2.3255813953488372E-2</v>
      </c>
      <c r="F162" s="16">
        <f>IF(ISNUMBER(D162), $B172 * E162, "")</f>
        <v>2325.5813953488373</v>
      </c>
      <c r="G162" s="29">
        <v>133</v>
      </c>
      <c r="H162" s="14">
        <f>IF(ISNUMBER(G162), (G162 - $B162) / $B162, "")</f>
        <v>3.1007751937984496E-2</v>
      </c>
      <c r="I162" s="100">
        <f>IF(ISNUMBER(G162), $B172 * H162, "")</f>
        <v>3100.7751937984494</v>
      </c>
      <c r="J162" s="13">
        <v>132</v>
      </c>
      <c r="K162" s="14">
        <f>IF(ISNUMBER(J162), (J162 - $B162) / $B162, "")</f>
        <v>2.3255813953488372E-2</v>
      </c>
      <c r="L162" s="16">
        <f>IF(ISNUMBER(J162), $B172 * K162, "")</f>
        <v>2325.5813953488373</v>
      </c>
      <c r="M162" s="29">
        <v>133</v>
      </c>
      <c r="N162" s="14">
        <f>IF(ISNUMBER(M162), (M162 - $B162) / $B162, "")</f>
        <v>3.1007751937984496E-2</v>
      </c>
      <c r="O162" s="16">
        <f>IF(ISNUMBER(M162), $B172 * N162, "")</f>
        <v>3100.7751937984494</v>
      </c>
      <c r="Q162" s="242"/>
      <c r="R162" s="243"/>
      <c r="S162" s="244"/>
    </row>
    <row r="163" spans="1:19" ht="17.25" thickBot="1">
      <c r="A163" s="125" t="s">
        <v>166</v>
      </c>
      <c r="B163" s="126">
        <v>254</v>
      </c>
      <c r="C163" s="77">
        <v>-5.2238805999999999E-2</v>
      </c>
      <c r="D163" s="15">
        <v>258</v>
      </c>
      <c r="E163" s="32">
        <f t="shared" ref="E163:E166" si="86">IF(ISNUMBER(D163), (D163 - $B163) / $B163, "")</f>
        <v>1.5748031496062992E-2</v>
      </c>
      <c r="F163" s="18">
        <f>IF(ISNUMBER(D163), $B172 * E163, "")</f>
        <v>1574.8031496062993</v>
      </c>
      <c r="G163" s="31">
        <v>261</v>
      </c>
      <c r="H163" s="32">
        <f t="shared" ref="H163:H166" si="87">IF(ISNUMBER(G163), (G163 - $B163) / $B163, "")</f>
        <v>2.7559055118110236E-2</v>
      </c>
      <c r="I163" s="101">
        <f>IF(ISNUMBER(G163), $B172 * H163, "")</f>
        <v>2755.9055118110236</v>
      </c>
      <c r="J163" s="15">
        <v>260</v>
      </c>
      <c r="K163" s="32">
        <f t="shared" ref="K163:K166" si="88">IF(ISNUMBER(J163), (J163 - $B163) / $B163, "")</f>
        <v>2.3622047244094488E-2</v>
      </c>
      <c r="L163" s="18">
        <f>IF(ISNUMBER(J163), $B172 * K163, "")</f>
        <v>2362.2047244094488</v>
      </c>
      <c r="M163" s="31">
        <v>257</v>
      </c>
      <c r="N163" s="32">
        <f t="shared" ref="N163:N166" si="89">IF(ISNUMBER(M163), (M163 - $B163) / $B163, "")</f>
        <v>1.1811023622047244E-2</v>
      </c>
      <c r="O163" s="18">
        <f>IF(ISNUMBER(M163), $B172 * N163, "")</f>
        <v>1181.1023622047244</v>
      </c>
      <c r="Q163" s="245"/>
      <c r="R163" s="246"/>
      <c r="S163" s="247"/>
    </row>
    <row r="164" spans="1:19" ht="17.25" thickBot="1">
      <c r="A164" s="125" t="s">
        <v>192</v>
      </c>
      <c r="B164" s="126">
        <v>228</v>
      </c>
      <c r="C164" s="77">
        <v>-5.3941908699999999E-2</v>
      </c>
      <c r="D164" s="15">
        <v>233</v>
      </c>
      <c r="E164" s="32">
        <f t="shared" si="86"/>
        <v>2.1929824561403508E-2</v>
      </c>
      <c r="F164" s="18">
        <f>IF(ISNUMBER(D164), $B172 * E164, "")</f>
        <v>2192.9824561403507</v>
      </c>
      <c r="G164" s="31">
        <v>237</v>
      </c>
      <c r="H164" s="32">
        <f t="shared" si="87"/>
        <v>3.9473684210526314E-2</v>
      </c>
      <c r="I164" s="101">
        <f>IF(ISNUMBER(G164), $B172 * H164, "")</f>
        <v>3947.3684210526312</v>
      </c>
      <c r="J164" s="15">
        <v>236</v>
      </c>
      <c r="K164" s="32">
        <f t="shared" si="88"/>
        <v>3.5087719298245612E-2</v>
      </c>
      <c r="L164" s="18">
        <f>IF(ISNUMBER(J164), $B172 * K164, "")</f>
        <v>3508.7719298245611</v>
      </c>
      <c r="M164" s="31">
        <v>235</v>
      </c>
      <c r="N164" s="32">
        <f t="shared" si="89"/>
        <v>3.0701754385964911E-2</v>
      </c>
      <c r="O164" s="18">
        <f>IF(ISNUMBER(M164), $B172 * N164, "")</f>
        <v>3070.1754385964909</v>
      </c>
      <c r="Q164" s="238"/>
      <c r="R164" s="238"/>
      <c r="S164" s="238"/>
    </row>
    <row r="165" spans="1:19" ht="17.25" thickBot="1">
      <c r="A165" s="125" t="s">
        <v>236</v>
      </c>
      <c r="B165" s="126">
        <v>612</v>
      </c>
      <c r="C165" s="77">
        <v>-5.4095826899999998E-2</v>
      </c>
      <c r="D165" s="15">
        <v>623</v>
      </c>
      <c r="E165" s="32">
        <f t="shared" si="86"/>
        <v>1.7973856209150325E-2</v>
      </c>
      <c r="F165" s="18">
        <f>IF(ISNUMBER(D165), $B172 * E165, "")</f>
        <v>1797.3856209150326</v>
      </c>
      <c r="G165" s="31">
        <v>637</v>
      </c>
      <c r="H165" s="32">
        <f t="shared" si="87"/>
        <v>4.084967320261438E-2</v>
      </c>
      <c r="I165" s="101">
        <f>IF(ISNUMBER(G165), $B172 * H165, "")</f>
        <v>4084.9673202614381</v>
      </c>
      <c r="J165" s="15">
        <v>636</v>
      </c>
      <c r="K165" s="32">
        <f t="shared" si="88"/>
        <v>3.9215686274509803E-2</v>
      </c>
      <c r="L165" s="18">
        <f>IF(ISNUMBER(J165), $B172 * K165, "")</f>
        <v>3921.5686274509803</v>
      </c>
      <c r="M165" s="31">
        <v>634</v>
      </c>
      <c r="N165" s="32">
        <f t="shared" si="89"/>
        <v>3.5947712418300651E-2</v>
      </c>
      <c r="O165" s="18">
        <f>IF(ISNUMBER(M165), $B172 * N165, "")</f>
        <v>3594.7712418300653</v>
      </c>
      <c r="Q165" s="248"/>
      <c r="R165" s="248"/>
      <c r="S165" s="248"/>
    </row>
    <row r="166" spans="1:19" ht="17.25" thickBot="1">
      <c r="A166" s="127" t="s">
        <v>124</v>
      </c>
      <c r="B166" s="128">
        <v>356</v>
      </c>
      <c r="C166" s="78">
        <v>-5.5702917800000001E-2</v>
      </c>
      <c r="D166" s="20">
        <v>384</v>
      </c>
      <c r="E166" s="21">
        <f t="shared" si="86"/>
        <v>7.8651685393258425E-2</v>
      </c>
      <c r="F166" s="22">
        <f>IF(ISNUMBER(D166), $B172 * E166, "")</f>
        <v>7865.1685393258422</v>
      </c>
      <c r="G166" s="30">
        <v>387</v>
      </c>
      <c r="H166" s="21">
        <f t="shared" si="87"/>
        <v>8.7078651685393263E-2</v>
      </c>
      <c r="I166" s="105">
        <f>IF(ISNUMBER(G166), $B172 * H166, "")</f>
        <v>8707.865168539327</v>
      </c>
      <c r="J166" s="20">
        <v>387</v>
      </c>
      <c r="K166" s="21">
        <f t="shared" si="88"/>
        <v>8.7078651685393263E-2</v>
      </c>
      <c r="L166" s="22">
        <f>IF(ISNUMBER(J166), $B172 * K166, "")</f>
        <v>8707.865168539327</v>
      </c>
      <c r="M166" s="30">
        <v>382</v>
      </c>
      <c r="N166" s="21">
        <f t="shared" si="89"/>
        <v>7.3033707865168537E-2</v>
      </c>
      <c r="O166" s="22">
        <f>IF(ISNUMBER(M166), $B172 * N166, "")</f>
        <v>7303.3707865168535</v>
      </c>
      <c r="Q166" s="248"/>
      <c r="R166" s="248"/>
      <c r="S166" s="248"/>
    </row>
    <row r="167" spans="1:19" ht="17.25" thickBot="1">
      <c r="A167" s="125" t="s">
        <v>110</v>
      </c>
      <c r="B167" s="129">
        <v>182</v>
      </c>
      <c r="C167" s="80">
        <v>-5.6994818699999998E-2</v>
      </c>
      <c r="D167" s="106">
        <v>192</v>
      </c>
      <c r="E167" s="107">
        <f>IF(ISNUMBER(D167), (D167 - $B167) / $B167, "")</f>
        <v>5.4945054945054944E-2</v>
      </c>
      <c r="F167" s="108">
        <f>IF(ISNUMBER(D167), $B172 * E167, "")</f>
        <v>5494.5054945054944</v>
      </c>
      <c r="G167" s="109">
        <v>191</v>
      </c>
      <c r="H167" s="107">
        <f>IF(ISNUMBER(G167), (G167 - $B167) / $B167, "")</f>
        <v>4.9450549450549448E-2</v>
      </c>
      <c r="I167" s="110">
        <f>IF(ISNUMBER(G167), $B172 * H167, "")</f>
        <v>4945.0549450549452</v>
      </c>
      <c r="J167" s="106">
        <v>190</v>
      </c>
      <c r="K167" s="107">
        <f>IF(ISNUMBER(J167), (J167 - $B167) / $B167, "")</f>
        <v>4.3956043956043959E-2</v>
      </c>
      <c r="L167" s="108">
        <f>IF(ISNUMBER(J167), $B172 * K167, "")</f>
        <v>4395.6043956043959</v>
      </c>
      <c r="M167" s="109">
        <v>189</v>
      </c>
      <c r="N167" s="107">
        <f>IF(ISNUMBER(M167), (M167 - $B167) / $B167, "")</f>
        <v>3.8461538461538464E-2</v>
      </c>
      <c r="O167" s="108">
        <f>IF(ISNUMBER(M167), $B172 * N167, "")</f>
        <v>3846.1538461538462</v>
      </c>
      <c r="Q167" s="238"/>
      <c r="R167" s="238"/>
      <c r="S167" s="238"/>
    </row>
    <row r="168" spans="1:19" ht="17.25" thickBot="1">
      <c r="A168" s="125" t="s">
        <v>164</v>
      </c>
      <c r="B168" s="126">
        <v>311</v>
      </c>
      <c r="C168" s="77">
        <v>-5.7575757599999999E-2</v>
      </c>
      <c r="D168" s="15">
        <v>317</v>
      </c>
      <c r="E168" s="32">
        <f t="shared" ref="E168:E171" si="90">IF(ISNUMBER(D168), (D168 - $B168) / $B168, "")</f>
        <v>1.9292604501607719E-2</v>
      </c>
      <c r="F168" s="18">
        <f>IF(ISNUMBER(D168), $B172 * E168, "")</f>
        <v>1929.2604501607718</v>
      </c>
      <c r="G168" s="31">
        <v>325</v>
      </c>
      <c r="H168" s="32">
        <f t="shared" ref="H168:H171" si="91">IF(ISNUMBER(G168), (G168 - $B168) / $B168, "")</f>
        <v>4.5016077170418008E-2</v>
      </c>
      <c r="I168" s="101">
        <f>IF(ISNUMBER(G168), $B172 * H168, "")</f>
        <v>4501.6077170418012</v>
      </c>
      <c r="J168" s="15">
        <v>322</v>
      </c>
      <c r="K168" s="32">
        <f t="shared" ref="K168:K171" si="92">IF(ISNUMBER(J168), (J168 - $B168) / $B168, "")</f>
        <v>3.5369774919614148E-2</v>
      </c>
      <c r="L168" s="18">
        <f>IF(ISNUMBER(J168), $B172 * K168, "")</f>
        <v>3536.9774919614147</v>
      </c>
      <c r="M168" s="31">
        <v>323</v>
      </c>
      <c r="N168" s="32">
        <f t="shared" ref="N168:N171" si="93">IF(ISNUMBER(M168), (M168 - $B168) / $B168, "")</f>
        <v>3.8585209003215437E-2</v>
      </c>
      <c r="O168" s="18">
        <f>IF(ISNUMBER(M168), $B172 * N168, "")</f>
        <v>3858.5209003215436</v>
      </c>
      <c r="Q168" s="238"/>
      <c r="R168" s="238"/>
      <c r="S168" s="238"/>
    </row>
    <row r="169" spans="1:19" ht="17.25" thickBot="1">
      <c r="A169" s="125" t="s">
        <v>132</v>
      </c>
      <c r="B169" s="126">
        <v>114</v>
      </c>
      <c r="C169" s="77">
        <v>-5.7851239700000001E-2</v>
      </c>
      <c r="D169" s="15">
        <v>118</v>
      </c>
      <c r="E169" s="32">
        <f t="shared" si="90"/>
        <v>3.5087719298245612E-2</v>
      </c>
      <c r="F169" s="18">
        <f>IF(ISNUMBER(D169), $B172 * E169, "")</f>
        <v>3508.7719298245611</v>
      </c>
      <c r="G169" s="31">
        <v>121</v>
      </c>
      <c r="H169" s="32">
        <f t="shared" si="91"/>
        <v>6.1403508771929821E-2</v>
      </c>
      <c r="I169" s="101">
        <f>IF(ISNUMBER(G169), $B172 * H169, "")</f>
        <v>6140.3508771929819</v>
      </c>
      <c r="J169" s="15">
        <v>121</v>
      </c>
      <c r="K169" s="32">
        <f t="shared" si="92"/>
        <v>6.1403508771929821E-2</v>
      </c>
      <c r="L169" s="18">
        <f>IF(ISNUMBER(J169), $B172 * K169, "")</f>
        <v>6140.3508771929819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38"/>
      <c r="R169" s="238"/>
      <c r="S169" s="238"/>
    </row>
    <row r="170" spans="1:19">
      <c r="A170" s="125" t="s">
        <v>222</v>
      </c>
      <c r="B170" s="126">
        <v>146</v>
      </c>
      <c r="C170" s="77">
        <v>-5.8064516099999998E-2</v>
      </c>
      <c r="D170" s="15">
        <v>148</v>
      </c>
      <c r="E170" s="32">
        <f t="shared" si="90"/>
        <v>1.3698630136986301E-2</v>
      </c>
      <c r="F170" s="18">
        <f>IF(ISNUMBER(D170), $B172 * E170, "")</f>
        <v>1369.8630136986301</v>
      </c>
      <c r="G170" s="31">
        <v>150</v>
      </c>
      <c r="H170" s="32">
        <f t="shared" si="91"/>
        <v>2.7397260273972601E-2</v>
      </c>
      <c r="I170" s="101">
        <f>IF(ISNUMBER(G170), $B172 * H170, "")</f>
        <v>2739.7260273972602</v>
      </c>
      <c r="J170" s="15">
        <v>149</v>
      </c>
      <c r="K170" s="32">
        <f t="shared" si="92"/>
        <v>2.0547945205479451E-2</v>
      </c>
      <c r="L170" s="18">
        <f>IF(ISNUMBER(J170), $B172 * K170, "")</f>
        <v>2054.794520547945</v>
      </c>
      <c r="M170" s="31">
        <v>146</v>
      </c>
      <c r="N170" s="32">
        <f t="shared" si="93"/>
        <v>0</v>
      </c>
      <c r="O170" s="18">
        <f>IF(ISNUMBER(M170), $B172 * N170, "")</f>
        <v>0</v>
      </c>
      <c r="Q170" s="227"/>
      <c r="R170" s="228"/>
      <c r="S170" s="229"/>
    </row>
    <row r="171" spans="1:19" ht="17.25" thickBot="1">
      <c r="A171" s="130" t="s">
        <v>206</v>
      </c>
      <c r="B171" s="131">
        <v>334</v>
      </c>
      <c r="C171" s="79">
        <v>-5.9154929600000003E-2</v>
      </c>
      <c r="D171" s="24">
        <v>343</v>
      </c>
      <c r="E171" s="25">
        <f t="shared" si="90"/>
        <v>2.6946107784431138E-2</v>
      </c>
      <c r="F171" s="104">
        <f>IF(ISNUMBER(D171), $B172 * E171, "")</f>
        <v>2694.6107784431138</v>
      </c>
      <c r="G171" s="102">
        <v>349</v>
      </c>
      <c r="H171" s="25">
        <f t="shared" si="91"/>
        <v>4.4910179640718563E-2</v>
      </c>
      <c r="I171" s="103">
        <f>IF(ISNUMBER(G171), $B172 * H171, "")</f>
        <v>4491.0179640718561</v>
      </c>
      <c r="J171" s="24">
        <v>348</v>
      </c>
      <c r="K171" s="25">
        <f t="shared" si="92"/>
        <v>4.1916167664670656E-2</v>
      </c>
      <c r="L171" s="104">
        <f>IF(ISNUMBER(J171), $B172 * K171, "")</f>
        <v>4191.6167664670656</v>
      </c>
      <c r="M171" s="102">
        <v>349</v>
      </c>
      <c r="N171" s="25">
        <f t="shared" si="93"/>
        <v>4.4910179640718563E-2</v>
      </c>
      <c r="O171" s="104">
        <f>IF(ISNUMBER(M171), $B172 * N171, "")</f>
        <v>4491.0179640718561</v>
      </c>
      <c r="Q171" s="230"/>
      <c r="R171" s="231"/>
      <c r="S171" s="232"/>
    </row>
    <row r="172" spans="1:19" ht="17.25" thickBot="1">
      <c r="A172" s="132" t="s">
        <v>270</v>
      </c>
      <c r="B172" s="291">
        <f>$B$37</f>
        <v>100000</v>
      </c>
      <c r="C172" s="292"/>
      <c r="D172" s="26" t="s">
        <v>271</v>
      </c>
      <c r="E172" s="27">
        <f>IF(COUNT(E152:E171), SUM(E152:E171) / COUNT(E152:E171), 0)</f>
        <v>2.9181708151535351E-2</v>
      </c>
      <c r="F172" s="28">
        <f>SUM(F152:F171)</f>
        <v>58363.416303070706</v>
      </c>
      <c r="G172" s="26" t="s">
        <v>271</v>
      </c>
      <c r="H172" s="27">
        <f>IF(COUNT(H152:H171), SUM(H152:H171) / COUNT(H152:H171), 0)</f>
        <v>4.4873446740007851E-2</v>
      </c>
      <c r="I172" s="28">
        <f>SUM(I152:I171)</f>
        <v>89746.8934800157</v>
      </c>
      <c r="J172" s="26" t="s">
        <v>271</v>
      </c>
      <c r="K172" s="27">
        <f>IF(COUNT(K152:K171), SUM(K152:K171) / COUNT(K152:K171), 0)</f>
        <v>4.0111352774144224E-2</v>
      </c>
      <c r="L172" s="28">
        <f>SUM(L152:L171)</f>
        <v>80222.705548288475</v>
      </c>
      <c r="M172" s="26" t="s">
        <v>271</v>
      </c>
      <c r="N172" s="27">
        <f>IF(COUNT(N152:N171), SUM(N152:N171) / COUNT(N152:N171), 0)</f>
        <v>3.2992312670904619E-2</v>
      </c>
      <c r="O172" s="28">
        <f>SUM(O152:O171)</f>
        <v>65984.625341809238</v>
      </c>
      <c r="Q172" s="233"/>
      <c r="R172" s="234"/>
      <c r="S172" s="23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48"/>
      <c r="R175" s="248"/>
      <c r="S175" s="248"/>
    </row>
    <row r="176" spans="1:19" ht="17.25" thickBot="1">
      <c r="A176" s="207" t="s">
        <v>267</v>
      </c>
      <c r="B176" s="249" t="s">
        <v>49</v>
      </c>
      <c r="C176" s="251"/>
      <c r="D176" s="249" t="s">
        <v>58</v>
      </c>
      <c r="E176" s="250"/>
      <c r="F176" s="251"/>
      <c r="G176" s="252">
        <f>_xlfn.IFNA(VLOOKUP(B176, 현재가테이블!$B$2:$D$200, 2, FALSE), "-")</f>
        <v>54440000</v>
      </c>
      <c r="H176" s="253"/>
      <c r="I176" s="254"/>
      <c r="J176" s="249" t="s">
        <v>59</v>
      </c>
      <c r="K176" s="250"/>
      <c r="L176" s="251"/>
      <c r="M176" s="255">
        <f>_xlfn.IFNA(VLOOKUP(B176, 현재가테이블!$B$2:$D$200, 3, FALSE), "-")</f>
        <v>1.07123628E-2</v>
      </c>
      <c r="N176" s="256"/>
      <c r="O176" s="257"/>
      <c r="Q176" s="248"/>
      <c r="R176" s="248"/>
      <c r="S176" s="248"/>
    </row>
    <row r="177" spans="1:19" ht="17.25" thickBot="1">
      <c r="A177" s="293" t="s">
        <v>55</v>
      </c>
      <c r="B177" s="289" t="str">
        <f>TEXT($G$1, "[$-ko-KR]yyyy-mm-dd(ddd) ") &amp; "오전 00:00"</f>
        <v>2021-08-13(금) 오전 00:00</v>
      </c>
      <c r="C177" s="290"/>
      <c r="D177" s="262" t="str">
        <f>TEXT($G$1, "[$-ko-KR]yyyy-mm-dd(ddd) ") &amp; "오후 14:00"</f>
        <v>2021-08-13(금) 오후 14:00</v>
      </c>
      <c r="E177" s="263"/>
      <c r="F177" s="264"/>
      <c r="G177" s="262" t="str">
        <f>TEXT($G$1, "[$-ko-KR]yyyy-mm-dd(ddd) ") &amp; "오후 19:00"</f>
        <v>2021-08-13(금) 오후 19:00</v>
      </c>
      <c r="H177" s="263"/>
      <c r="I177" s="264"/>
      <c r="J177" s="262" t="str">
        <f>TEXT($G$1, "[$-ko-KR]yyyy-mm-dd(ddd) ") &amp; "오후 21:00"</f>
        <v>2021-08-13(금) 오후 21:00</v>
      </c>
      <c r="K177" s="263"/>
      <c r="L177" s="264"/>
      <c r="M177" s="262" t="str">
        <f>TEXT($G$1+1, "[$-ko-KR]yyyy-mm-dd(ddd) ") &amp; "오전 00:00"</f>
        <v>2021-08-14(토) 오전 00:00</v>
      </c>
      <c r="N177" s="263"/>
      <c r="O177" s="264"/>
      <c r="Q177" s="248"/>
      <c r="R177" s="248"/>
      <c r="S177" s="248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8" t="s">
        <v>58</v>
      </c>
      <c r="H178" s="209" t="s">
        <v>268</v>
      </c>
      <c r="I178" s="21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8"/>
      <c r="R178" s="238"/>
      <c r="S178" s="238"/>
    </row>
    <row r="179" spans="1:19" ht="17.25" thickBot="1">
      <c r="A179" s="123" t="s">
        <v>216</v>
      </c>
      <c r="B179" s="124">
        <v>10.6</v>
      </c>
      <c r="C179" s="76">
        <v>-5.3571428599999998E-2</v>
      </c>
      <c r="D179" s="13">
        <v>11</v>
      </c>
      <c r="E179" s="14">
        <f>IF(ISNUMBER(D179), (D179 - $B179) / $B179, "")</f>
        <v>3.7735849056603807E-2</v>
      </c>
      <c r="F179" s="16">
        <f>IF(ISNUMBER(D179), $B199 * E179, "")</f>
        <v>3773.5849056603806</v>
      </c>
      <c r="G179" s="29">
        <v>11.2</v>
      </c>
      <c r="H179" s="14">
        <f>IF(ISNUMBER(G179), (G179 - $B179) / $B179, "")</f>
        <v>5.6603773584905627E-2</v>
      </c>
      <c r="I179" s="100">
        <f>IF(ISNUMBER(G179), $B199 * H179, "")</f>
        <v>5660.377358490563</v>
      </c>
      <c r="J179" s="13">
        <v>11.2</v>
      </c>
      <c r="K179" s="14">
        <f>IF(ISNUMBER(J179), (J179 - $B179) / $B179, "")</f>
        <v>5.6603773584905627E-2</v>
      </c>
      <c r="L179" s="16">
        <f>IF(ISNUMBER(J179), $B199 * K179, "")</f>
        <v>5660.377358490563</v>
      </c>
      <c r="M179" s="29">
        <v>11.2</v>
      </c>
      <c r="N179" s="14">
        <f>IF(ISNUMBER(M179), (M179 - $B179) / $B179, "")</f>
        <v>5.6603773584905627E-2</v>
      </c>
      <c r="O179" s="16">
        <f>IF(ISNUMBER(M179), $B199 * N179, "")</f>
        <v>5660.377358490563</v>
      </c>
      <c r="Q179" s="248"/>
      <c r="R179" s="248"/>
      <c r="S179" s="248"/>
    </row>
    <row r="180" spans="1:19" ht="17.25" thickBot="1">
      <c r="A180" s="125" t="s">
        <v>192</v>
      </c>
      <c r="B180" s="126">
        <v>228</v>
      </c>
      <c r="C180" s="77">
        <v>-5.3941908699999999E-2</v>
      </c>
      <c r="D180" s="15">
        <v>233</v>
      </c>
      <c r="E180" s="32">
        <f t="shared" ref="E180:E183" si="94">IF(ISNUMBER(D180), (D180 - $B180) / $B180, "")</f>
        <v>2.1929824561403508E-2</v>
      </c>
      <c r="F180" s="18">
        <f>IF(ISNUMBER(D180), $B199 * E180, "")</f>
        <v>2192.9824561403507</v>
      </c>
      <c r="G180" s="31">
        <v>237</v>
      </c>
      <c r="H180" s="32">
        <f t="shared" ref="H180:H183" si="95">IF(ISNUMBER(G180), (G180 - $B180) / $B180, "")</f>
        <v>3.9473684210526314E-2</v>
      </c>
      <c r="I180" s="101">
        <f>IF(ISNUMBER(G180), $B199 * H180, "")</f>
        <v>3947.3684210526312</v>
      </c>
      <c r="J180" s="15">
        <v>236</v>
      </c>
      <c r="K180" s="32">
        <f t="shared" ref="K180:K183" si="96">IF(ISNUMBER(J180), (J180 - $B180) / $B180, "")</f>
        <v>3.5087719298245612E-2</v>
      </c>
      <c r="L180" s="18">
        <f>IF(ISNUMBER(J180), $B199 * K180, "")</f>
        <v>3508.7719298245611</v>
      </c>
      <c r="M180" s="31">
        <v>235</v>
      </c>
      <c r="N180" s="32">
        <f t="shared" ref="N180:N183" si="97">IF(ISNUMBER(M180), (M180 - $B180) / $B180, "")</f>
        <v>3.0701754385964911E-2</v>
      </c>
      <c r="O180" s="18">
        <f>IF(ISNUMBER(M180), $B199 * N180, "")</f>
        <v>3070.1754385964909</v>
      </c>
      <c r="Q180" s="248"/>
      <c r="R180" s="248"/>
      <c r="S180" s="248"/>
    </row>
    <row r="181" spans="1:19" ht="17.25" thickBot="1">
      <c r="A181" s="125" t="s">
        <v>236</v>
      </c>
      <c r="B181" s="126">
        <v>612</v>
      </c>
      <c r="C181" s="77">
        <v>-5.4095826899999998E-2</v>
      </c>
      <c r="D181" s="15">
        <v>623</v>
      </c>
      <c r="E181" s="32">
        <f t="shared" si="94"/>
        <v>1.7973856209150325E-2</v>
      </c>
      <c r="F181" s="18">
        <f>IF(ISNUMBER(D181), $B199 * E181, "")</f>
        <v>1797.3856209150326</v>
      </c>
      <c r="G181" s="31">
        <v>637</v>
      </c>
      <c r="H181" s="32">
        <f t="shared" si="95"/>
        <v>4.084967320261438E-2</v>
      </c>
      <c r="I181" s="101">
        <f>IF(ISNUMBER(G181), $B199 * H181, "")</f>
        <v>4084.9673202614381</v>
      </c>
      <c r="J181" s="15">
        <v>636</v>
      </c>
      <c r="K181" s="32">
        <f t="shared" si="96"/>
        <v>3.9215686274509803E-2</v>
      </c>
      <c r="L181" s="18">
        <f>IF(ISNUMBER(J181), $B199 * K181, "")</f>
        <v>3921.5686274509803</v>
      </c>
      <c r="M181" s="31">
        <v>634</v>
      </c>
      <c r="N181" s="32">
        <f t="shared" si="97"/>
        <v>3.5947712418300651E-2</v>
      </c>
      <c r="O181" s="18">
        <f>IF(ISNUMBER(M181), $B199 * N181, "")</f>
        <v>3594.7712418300653</v>
      </c>
      <c r="Q181" s="238"/>
      <c r="R181" s="238"/>
      <c r="S181" s="238"/>
    </row>
    <row r="182" spans="1:19" ht="17.25" thickBot="1">
      <c r="A182" s="125" t="s">
        <v>108</v>
      </c>
      <c r="B182" s="126">
        <v>1295</v>
      </c>
      <c r="C182" s="77">
        <v>-5.4744525500000002E-2</v>
      </c>
      <c r="D182" s="15">
        <v>1330</v>
      </c>
      <c r="E182" s="32">
        <f t="shared" si="94"/>
        <v>2.7027027027027029E-2</v>
      </c>
      <c r="F182" s="18">
        <f>IF(ISNUMBER(D182), $B199 * E182, "")</f>
        <v>2702.7027027027029</v>
      </c>
      <c r="G182" s="31">
        <v>1380</v>
      </c>
      <c r="H182" s="32">
        <f t="shared" si="95"/>
        <v>6.5637065637065631E-2</v>
      </c>
      <c r="I182" s="101">
        <f>IF(ISNUMBER(G182), $B199 * H182, "")</f>
        <v>6563.7065637065634</v>
      </c>
      <c r="J182" s="15">
        <v>1370</v>
      </c>
      <c r="K182" s="32">
        <f t="shared" si="96"/>
        <v>5.7915057915057917E-2</v>
      </c>
      <c r="L182" s="18">
        <f>IF(ISNUMBER(J182), $B199 * K182, "")</f>
        <v>5791.5057915057914</v>
      </c>
      <c r="M182" s="31">
        <v>1360</v>
      </c>
      <c r="N182" s="32">
        <f t="shared" si="97"/>
        <v>5.019305019305019E-2</v>
      </c>
      <c r="O182" s="18">
        <f>IF(ISNUMBER(M182), $B199 * N182, "")</f>
        <v>5019.3050193050194</v>
      </c>
      <c r="Q182" s="238"/>
      <c r="R182" s="238"/>
      <c r="S182" s="238"/>
    </row>
    <row r="183" spans="1:19" ht="17.25" thickBot="1">
      <c r="A183" s="127" t="s">
        <v>102</v>
      </c>
      <c r="B183" s="128">
        <v>1105</v>
      </c>
      <c r="C183" s="78">
        <v>-5.5555555600000001E-2</v>
      </c>
      <c r="D183" s="20">
        <v>1155</v>
      </c>
      <c r="E183" s="21">
        <f t="shared" si="94"/>
        <v>4.5248868778280542E-2</v>
      </c>
      <c r="F183" s="22">
        <f>IF(ISNUMBER(D183), $B199 * E183, "")</f>
        <v>4524.8868778280539</v>
      </c>
      <c r="G183" s="30">
        <v>1200</v>
      </c>
      <c r="H183" s="21">
        <f t="shared" si="95"/>
        <v>8.5972850678733032E-2</v>
      </c>
      <c r="I183" s="105">
        <f>IF(ISNUMBER(G183), $B199 * H183, "")</f>
        <v>8597.285067873303</v>
      </c>
      <c r="J183" s="20">
        <v>1185</v>
      </c>
      <c r="K183" s="21">
        <f t="shared" si="96"/>
        <v>7.2398190045248875E-2</v>
      </c>
      <c r="L183" s="22">
        <f>IF(ISNUMBER(J183), $B199 * K183, "")</f>
        <v>7239.8190045248875</v>
      </c>
      <c r="M183" s="30">
        <v>1165</v>
      </c>
      <c r="N183" s="21">
        <f t="shared" si="97"/>
        <v>5.4298642533936653E-2</v>
      </c>
      <c r="O183" s="22">
        <f>IF(ISNUMBER(M183), $B199 * N183, "")</f>
        <v>5429.8642533936654</v>
      </c>
      <c r="Q183" s="238"/>
      <c r="R183" s="238"/>
      <c r="S183" s="238"/>
    </row>
    <row r="184" spans="1:19" ht="17.25" thickBot="1">
      <c r="A184" s="125" t="s">
        <v>124</v>
      </c>
      <c r="B184" s="129">
        <v>356</v>
      </c>
      <c r="C184" s="80">
        <v>-5.5702917800000001E-2</v>
      </c>
      <c r="D184" s="106">
        <v>384</v>
      </c>
      <c r="E184" s="107">
        <f>IF(ISNUMBER(D184), (D184 - $B184) / $B184, "")</f>
        <v>7.8651685393258425E-2</v>
      </c>
      <c r="F184" s="108">
        <f>IF(ISNUMBER(D184), $B199 * E184, "")</f>
        <v>7865.1685393258422</v>
      </c>
      <c r="G184" s="109">
        <v>387</v>
      </c>
      <c r="H184" s="107">
        <f>IF(ISNUMBER(G184), (G184 - $B184) / $B184, "")</f>
        <v>8.7078651685393263E-2</v>
      </c>
      <c r="I184" s="110">
        <f>IF(ISNUMBER(G184), $B199 * H184, "")</f>
        <v>8707.865168539327</v>
      </c>
      <c r="J184" s="106">
        <v>387</v>
      </c>
      <c r="K184" s="107">
        <f>IF(ISNUMBER(J184), (J184 - $B184) / $B184, "")</f>
        <v>8.7078651685393263E-2</v>
      </c>
      <c r="L184" s="108">
        <f>IF(ISNUMBER(J184), $B199 * K184, "")</f>
        <v>8707.865168539327</v>
      </c>
      <c r="M184" s="109">
        <v>382</v>
      </c>
      <c r="N184" s="107">
        <f>IF(ISNUMBER(M184), (M184 - $B184) / $B184, "")</f>
        <v>7.3033707865168537E-2</v>
      </c>
      <c r="O184" s="108">
        <f>IF(ISNUMBER(M184), $B199 * N184, "")</f>
        <v>7303.3707865168535</v>
      </c>
      <c r="Q184" s="238"/>
      <c r="R184" s="238"/>
      <c r="S184" s="238"/>
    </row>
    <row r="185" spans="1:19" ht="17.25" thickBot="1">
      <c r="A185" s="125" t="s">
        <v>224</v>
      </c>
      <c r="B185" s="126">
        <v>4460</v>
      </c>
      <c r="C185" s="77">
        <v>-5.6084656099999998E-2</v>
      </c>
      <c r="D185" s="15">
        <v>4700</v>
      </c>
      <c r="E185" s="32">
        <f t="shared" ref="E185:E188" si="98">IF(ISNUMBER(D185), (D185 - $B185) / $B185, "")</f>
        <v>5.3811659192825115E-2</v>
      </c>
      <c r="F185" s="18">
        <f>IF(ISNUMBER(D185), $B199 * E185, "")</f>
        <v>5381.1659192825118</v>
      </c>
      <c r="G185" s="31">
        <v>4800</v>
      </c>
      <c r="H185" s="32">
        <f t="shared" ref="H185:H188" si="99">IF(ISNUMBER(G185), (G185 - $B185) / $B185, "")</f>
        <v>7.623318385650224E-2</v>
      </c>
      <c r="I185" s="101">
        <f>IF(ISNUMBER(G185), $B199 * H185, "")</f>
        <v>7623.3183856502237</v>
      </c>
      <c r="J185" s="15">
        <v>4755</v>
      </c>
      <c r="K185" s="32">
        <f t="shared" ref="K185:K188" si="100">IF(ISNUMBER(J185), (J185 - $B185) / $B185, "")</f>
        <v>6.614349775784753E-2</v>
      </c>
      <c r="L185" s="18">
        <f>IF(ISNUMBER(J185), $B199 * K185, "")</f>
        <v>6614.3497757847526</v>
      </c>
      <c r="M185" s="31">
        <v>4700</v>
      </c>
      <c r="N185" s="32">
        <f t="shared" ref="N185:N188" si="101">IF(ISNUMBER(M185), (M185 - $B185) / $B185, "")</f>
        <v>5.3811659192825115E-2</v>
      </c>
      <c r="O185" s="18">
        <f>IF(ISNUMBER(M185), $B199 * N185, "")</f>
        <v>5381.1659192825118</v>
      </c>
      <c r="Q185" s="238"/>
      <c r="R185" s="238"/>
      <c r="S185" s="238"/>
    </row>
    <row r="186" spans="1:19" ht="17.25" thickBot="1">
      <c r="A186" s="125" t="s">
        <v>184</v>
      </c>
      <c r="B186" s="126">
        <v>1000</v>
      </c>
      <c r="C186" s="77">
        <v>-5.6603773599999997E-2</v>
      </c>
      <c r="D186" s="15">
        <v>1015</v>
      </c>
      <c r="E186" s="32">
        <f t="shared" si="98"/>
        <v>1.4999999999999999E-2</v>
      </c>
      <c r="F186" s="18">
        <f>IF(ISNUMBER(D186), $B199 * E186, "")</f>
        <v>1500</v>
      </c>
      <c r="G186" s="31">
        <v>1055</v>
      </c>
      <c r="H186" s="32">
        <f t="shared" si="99"/>
        <v>5.5E-2</v>
      </c>
      <c r="I186" s="101">
        <f>IF(ISNUMBER(G186), $B199 * H186, "")</f>
        <v>5500</v>
      </c>
      <c r="J186" s="15">
        <v>1040</v>
      </c>
      <c r="K186" s="32">
        <f t="shared" si="100"/>
        <v>0.04</v>
      </c>
      <c r="L186" s="18">
        <f>IF(ISNUMBER(J186), $B199 * K186, "")</f>
        <v>4000</v>
      </c>
      <c r="M186" s="31">
        <v>1030</v>
      </c>
      <c r="N186" s="32">
        <f t="shared" si="101"/>
        <v>0.03</v>
      </c>
      <c r="O186" s="18">
        <f>IF(ISNUMBER(M186), $B199 * N186, "")</f>
        <v>3000</v>
      </c>
      <c r="Q186" s="238"/>
      <c r="R186" s="238"/>
      <c r="S186" s="238"/>
    </row>
    <row r="187" spans="1:19" ht="17.25" thickBot="1">
      <c r="A187" s="125" t="s">
        <v>160</v>
      </c>
      <c r="B187" s="126">
        <v>1325</v>
      </c>
      <c r="C187" s="77">
        <v>-5.69395018E-2</v>
      </c>
      <c r="D187" s="15">
        <v>1360</v>
      </c>
      <c r="E187" s="32">
        <f t="shared" si="98"/>
        <v>2.6415094339622643E-2</v>
      </c>
      <c r="F187" s="18">
        <f>IF(ISNUMBER(D187), $B199 * E187, "")</f>
        <v>2641.5094339622642</v>
      </c>
      <c r="G187" s="31">
        <v>1410</v>
      </c>
      <c r="H187" s="32">
        <f t="shared" si="99"/>
        <v>6.4150943396226415E-2</v>
      </c>
      <c r="I187" s="101">
        <f>IF(ISNUMBER(G187), $B199 * H187, "")</f>
        <v>6415.0943396226412</v>
      </c>
      <c r="J187" s="15">
        <v>1390</v>
      </c>
      <c r="K187" s="32">
        <f t="shared" si="100"/>
        <v>4.9056603773584909E-2</v>
      </c>
      <c r="L187" s="18">
        <f>IF(ISNUMBER(J187), $B199 * K187, "")</f>
        <v>4905.6603773584911</v>
      </c>
      <c r="M187" s="31">
        <v>1415</v>
      </c>
      <c r="N187" s="32">
        <f t="shared" si="101"/>
        <v>6.7924528301886791E-2</v>
      </c>
      <c r="O187" s="18">
        <f>IF(ISNUMBER(M187), $B199 * N187, "")</f>
        <v>6792.4528301886794</v>
      </c>
      <c r="Q187" s="33"/>
      <c r="R187" s="33"/>
    </row>
    <row r="188" spans="1:19" ht="17.25" thickBot="1">
      <c r="A188" s="130" t="s">
        <v>110</v>
      </c>
      <c r="B188" s="131">
        <v>182</v>
      </c>
      <c r="C188" s="79">
        <v>-5.6994818699999998E-2</v>
      </c>
      <c r="D188" s="24">
        <v>192</v>
      </c>
      <c r="E188" s="25">
        <f t="shared" si="98"/>
        <v>5.4945054945054944E-2</v>
      </c>
      <c r="F188" s="104">
        <f>IF(ISNUMBER(D188), $B199 * E188, "")</f>
        <v>5494.5054945054944</v>
      </c>
      <c r="G188" s="102">
        <v>191</v>
      </c>
      <c r="H188" s="25">
        <f t="shared" si="99"/>
        <v>4.9450549450549448E-2</v>
      </c>
      <c r="I188" s="103">
        <f>IF(ISNUMBER(G188), $B199 * H188, "")</f>
        <v>4945.0549450549452</v>
      </c>
      <c r="J188" s="24">
        <v>190</v>
      </c>
      <c r="K188" s="25">
        <f t="shared" si="100"/>
        <v>4.3956043956043959E-2</v>
      </c>
      <c r="L188" s="104">
        <f>IF(ISNUMBER(J188), $B199 * K188, "")</f>
        <v>4395.6043956043959</v>
      </c>
      <c r="M188" s="102">
        <v>189</v>
      </c>
      <c r="N188" s="25">
        <f t="shared" si="101"/>
        <v>3.8461538461538464E-2</v>
      </c>
      <c r="O188" s="104">
        <f>IF(ISNUMBER(M188), $B199 * N188, "")</f>
        <v>3846.1538461538462</v>
      </c>
      <c r="Q188" s="239"/>
      <c r="R188" s="240"/>
      <c r="S188" s="241"/>
    </row>
    <row r="189" spans="1:19">
      <c r="A189" s="123" t="s">
        <v>164</v>
      </c>
      <c r="B189" s="124">
        <v>311</v>
      </c>
      <c r="C189" s="76">
        <v>-5.7575757599999999E-2</v>
      </c>
      <c r="D189" s="13">
        <v>317</v>
      </c>
      <c r="E189" s="14">
        <f>IF(ISNUMBER(D189), (D189 - $B189) / $B189, "")</f>
        <v>1.9292604501607719E-2</v>
      </c>
      <c r="F189" s="16">
        <f>IF(ISNUMBER(D189), $B199 * E189, "")</f>
        <v>1929.2604501607718</v>
      </c>
      <c r="G189" s="29">
        <v>325</v>
      </c>
      <c r="H189" s="14">
        <f>IF(ISNUMBER(G189), (G189 - $B189) / $B189, "")</f>
        <v>4.5016077170418008E-2</v>
      </c>
      <c r="I189" s="100">
        <f>IF(ISNUMBER(G189), $B199 * H189, "")</f>
        <v>4501.6077170418012</v>
      </c>
      <c r="J189" s="13">
        <v>322</v>
      </c>
      <c r="K189" s="14">
        <f>IF(ISNUMBER(J189), (J189 - $B189) / $B189, "")</f>
        <v>3.5369774919614148E-2</v>
      </c>
      <c r="L189" s="16">
        <f>IF(ISNUMBER(J189), $B199 * K189, "")</f>
        <v>3536.9774919614147</v>
      </c>
      <c r="M189" s="29">
        <v>323</v>
      </c>
      <c r="N189" s="14">
        <f>IF(ISNUMBER(M189), (M189 - $B189) / $B189, "")</f>
        <v>3.8585209003215437E-2</v>
      </c>
      <c r="O189" s="16">
        <f>IF(ISNUMBER(M189), $B199 * N189, "")</f>
        <v>3858.5209003215436</v>
      </c>
      <c r="Q189" s="242"/>
      <c r="R189" s="243"/>
      <c r="S189" s="244"/>
    </row>
    <row r="190" spans="1:19" ht="17.25" thickBot="1">
      <c r="A190" s="125" t="s">
        <v>178</v>
      </c>
      <c r="B190" s="126">
        <v>16.3</v>
      </c>
      <c r="C190" s="77">
        <v>-5.7803468199999999E-2</v>
      </c>
      <c r="D190" s="15">
        <v>17</v>
      </c>
      <c r="E190" s="32">
        <f t="shared" ref="E190:E193" si="102">IF(ISNUMBER(D190), (D190 - $B190) / $B190, "")</f>
        <v>4.2944785276073573E-2</v>
      </c>
      <c r="F190" s="18">
        <f>IF(ISNUMBER(D190), $B199 * E190, "")</f>
        <v>4294.4785276073571</v>
      </c>
      <c r="G190" s="31">
        <v>17.100000000000001</v>
      </c>
      <c r="H190" s="32">
        <f t="shared" ref="H190:H193" si="103">IF(ISNUMBER(G190), (G190 - $B190) / $B190, "")</f>
        <v>4.9079754601227037E-2</v>
      </c>
      <c r="I190" s="101">
        <f>IF(ISNUMBER(G190), $B199 * H190, "")</f>
        <v>4907.9754601227032</v>
      </c>
      <c r="J190" s="15">
        <v>17.100000000000001</v>
      </c>
      <c r="K190" s="32">
        <f t="shared" ref="K190:K193" si="104">IF(ISNUMBER(J190), (J190 - $B190) / $B190, "")</f>
        <v>4.9079754601227037E-2</v>
      </c>
      <c r="L190" s="18">
        <f>IF(ISNUMBER(J190), $B199 * K190, "")</f>
        <v>4907.9754601227032</v>
      </c>
      <c r="M190" s="31">
        <v>17</v>
      </c>
      <c r="N190" s="32">
        <f t="shared" ref="N190:N193" si="105">IF(ISNUMBER(M190), (M190 - $B190) / $B190, "")</f>
        <v>4.2944785276073573E-2</v>
      </c>
      <c r="O190" s="18">
        <f>IF(ISNUMBER(M190), $B199 * N190, "")</f>
        <v>4294.4785276073571</v>
      </c>
      <c r="Q190" s="245"/>
      <c r="R190" s="246"/>
      <c r="S190" s="247"/>
    </row>
    <row r="191" spans="1:19" ht="17.25" thickBot="1">
      <c r="A191" s="125" t="s">
        <v>132</v>
      </c>
      <c r="B191" s="126">
        <v>114</v>
      </c>
      <c r="C191" s="77">
        <v>-5.7851239700000001E-2</v>
      </c>
      <c r="D191" s="15">
        <v>118</v>
      </c>
      <c r="E191" s="32">
        <f t="shared" si="102"/>
        <v>3.5087719298245612E-2</v>
      </c>
      <c r="F191" s="18">
        <f>IF(ISNUMBER(D191), $B199 * E191, "")</f>
        <v>3508.7719298245611</v>
      </c>
      <c r="G191" s="31">
        <v>121</v>
      </c>
      <c r="H191" s="32">
        <f t="shared" si="103"/>
        <v>6.1403508771929821E-2</v>
      </c>
      <c r="I191" s="101">
        <f>IF(ISNUMBER(G191), $B199 * H191, "")</f>
        <v>6140.3508771929819</v>
      </c>
      <c r="J191" s="15">
        <v>121</v>
      </c>
      <c r="K191" s="32">
        <f t="shared" si="104"/>
        <v>6.1403508771929821E-2</v>
      </c>
      <c r="L191" s="18">
        <f>IF(ISNUMBER(J191), $B199 * K191, "")</f>
        <v>6140.3508771929819</v>
      </c>
      <c r="M191" s="31">
        <v>118</v>
      </c>
      <c r="N191" s="32">
        <f t="shared" si="105"/>
        <v>3.5087719298245612E-2</v>
      </c>
      <c r="O191" s="18">
        <f>IF(ISNUMBER(M191), $B199 * N191, "")</f>
        <v>3508.7719298245611</v>
      </c>
      <c r="Q191" s="238"/>
      <c r="R191" s="238"/>
      <c r="S191" s="238"/>
    </row>
    <row r="192" spans="1:19" ht="17.25" thickBot="1">
      <c r="A192" s="125" t="s">
        <v>222</v>
      </c>
      <c r="B192" s="126">
        <v>146</v>
      </c>
      <c r="C192" s="77">
        <v>-5.8064516099999998E-2</v>
      </c>
      <c r="D192" s="15">
        <v>148</v>
      </c>
      <c r="E192" s="32">
        <f t="shared" si="102"/>
        <v>1.3698630136986301E-2</v>
      </c>
      <c r="F192" s="18">
        <f>IF(ISNUMBER(D192), $B199 * E192, "")</f>
        <v>1369.8630136986301</v>
      </c>
      <c r="G192" s="31">
        <v>150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149</v>
      </c>
      <c r="K192" s="32">
        <f t="shared" si="104"/>
        <v>2.0547945205479451E-2</v>
      </c>
      <c r="L192" s="18">
        <f>IF(ISNUMBER(J192), $B199 * K192, "")</f>
        <v>2054.794520547945</v>
      </c>
      <c r="M192" s="31">
        <v>146</v>
      </c>
      <c r="N192" s="32">
        <f t="shared" si="105"/>
        <v>0</v>
      </c>
      <c r="O192" s="18">
        <f>IF(ISNUMBER(M192), $B199 * N192, "")</f>
        <v>0</v>
      </c>
      <c r="Q192" s="248"/>
      <c r="R192" s="248"/>
      <c r="S192" s="248"/>
    </row>
    <row r="193" spans="1:19" ht="17.25" thickBot="1">
      <c r="A193" s="127" t="s">
        <v>176</v>
      </c>
      <c r="B193" s="128">
        <v>1540</v>
      </c>
      <c r="C193" s="78">
        <v>-5.8103975500000002E-2</v>
      </c>
      <c r="D193" s="20">
        <v>1565</v>
      </c>
      <c r="E193" s="21">
        <f t="shared" si="102"/>
        <v>1.6233766233766232E-2</v>
      </c>
      <c r="F193" s="22">
        <f>IF(ISNUMBER(D193), $B199 * E193, "")</f>
        <v>1623.3766233766232</v>
      </c>
      <c r="G193" s="30">
        <v>1600</v>
      </c>
      <c r="H193" s="21">
        <f t="shared" si="103"/>
        <v>3.896103896103896E-2</v>
      </c>
      <c r="I193" s="105">
        <f>IF(ISNUMBER(G193), $B199 * H193, "")</f>
        <v>3896.1038961038962</v>
      </c>
      <c r="J193" s="20">
        <v>1590</v>
      </c>
      <c r="K193" s="21">
        <f t="shared" si="104"/>
        <v>3.2467532467532464E-2</v>
      </c>
      <c r="L193" s="22">
        <f>IF(ISNUMBER(J193), $B199 * K193, "")</f>
        <v>3246.7532467532465</v>
      </c>
      <c r="M193" s="30">
        <v>1570</v>
      </c>
      <c r="N193" s="21">
        <f t="shared" si="105"/>
        <v>1.948051948051948E-2</v>
      </c>
      <c r="O193" s="22">
        <f>IF(ISNUMBER(M193), $B199 * N193, "")</f>
        <v>1948.0519480519481</v>
      </c>
      <c r="Q193" s="248"/>
      <c r="R193" s="248"/>
      <c r="S193" s="248"/>
    </row>
    <row r="194" spans="1:19" ht="17.25" thickBot="1">
      <c r="A194" s="125" t="s">
        <v>206</v>
      </c>
      <c r="B194" s="129">
        <v>334</v>
      </c>
      <c r="C194" s="80">
        <v>-5.9154929600000003E-2</v>
      </c>
      <c r="D194" s="106">
        <v>343</v>
      </c>
      <c r="E194" s="107">
        <f>IF(ISNUMBER(D194), (D194 - $B194) / $B194, "")</f>
        <v>2.6946107784431138E-2</v>
      </c>
      <c r="F194" s="108">
        <f>IF(ISNUMBER(D194), $B199 * E194, "")</f>
        <v>2694.6107784431138</v>
      </c>
      <c r="G194" s="109">
        <v>349</v>
      </c>
      <c r="H194" s="107">
        <f>IF(ISNUMBER(G194), (G194 - $B194) / $B194, "")</f>
        <v>4.4910179640718563E-2</v>
      </c>
      <c r="I194" s="110">
        <f>IF(ISNUMBER(G194), $B199 * H194, "")</f>
        <v>4491.0179640718561</v>
      </c>
      <c r="J194" s="106">
        <v>348</v>
      </c>
      <c r="K194" s="107">
        <f>IF(ISNUMBER(J194), (J194 - $B194) / $B194, "")</f>
        <v>4.1916167664670656E-2</v>
      </c>
      <c r="L194" s="108">
        <f>IF(ISNUMBER(J194), $B199 * K194, "")</f>
        <v>4191.6167664670656</v>
      </c>
      <c r="M194" s="109">
        <v>349</v>
      </c>
      <c r="N194" s="107">
        <f>IF(ISNUMBER(M194), (M194 - $B194) / $B194, "")</f>
        <v>4.4910179640718563E-2</v>
      </c>
      <c r="O194" s="108">
        <f>IF(ISNUMBER(M194), $B199 * N194, "")</f>
        <v>4491.0179640718561</v>
      </c>
      <c r="Q194" s="238"/>
      <c r="R194" s="238"/>
      <c r="S194" s="238"/>
    </row>
    <row r="195" spans="1:19" ht="17.25" thickBot="1">
      <c r="A195" s="125" t="s">
        <v>106</v>
      </c>
      <c r="B195" s="126">
        <v>63550</v>
      </c>
      <c r="C195" s="77">
        <v>-6.0328256699999999E-2</v>
      </c>
      <c r="D195" s="15">
        <v>64350</v>
      </c>
      <c r="E195" s="32">
        <f t="shared" ref="E195:E198" si="106">IF(ISNUMBER(D195), (D195 - $B195) / $B195, "")</f>
        <v>1.2588512981904013E-2</v>
      </c>
      <c r="F195" s="18">
        <f>IF(ISNUMBER(D195), $B199 * E195, "")</f>
        <v>1258.8512981904012</v>
      </c>
      <c r="G195" s="31">
        <v>65600</v>
      </c>
      <c r="H195" s="32">
        <f t="shared" ref="H195:H198" si="107">IF(ISNUMBER(G195), (G195 - $B195) / $B195, "")</f>
        <v>3.2258064516129031E-2</v>
      </c>
      <c r="I195" s="101">
        <f>IF(ISNUMBER(G195), $B199 * H195, "")</f>
        <v>3225.8064516129029</v>
      </c>
      <c r="J195" s="15">
        <v>65030</v>
      </c>
      <c r="K195" s="32">
        <f t="shared" ref="K195:K198" si="108">IF(ISNUMBER(J195), (J195 - $B195) / $B195, "")</f>
        <v>2.3288749016522423E-2</v>
      </c>
      <c r="L195" s="18">
        <f>IF(ISNUMBER(J195), $B199 * K195, "")</f>
        <v>2328.8749016522424</v>
      </c>
      <c r="M195" s="31">
        <v>64510</v>
      </c>
      <c r="N195" s="32">
        <f t="shared" ref="N195:N198" si="109">IF(ISNUMBER(M195), (M195 - $B195) / $B195, "")</f>
        <v>1.5106215578284815E-2</v>
      </c>
      <c r="O195" s="18">
        <f>IF(ISNUMBER(M195), $B199 * N195, "")</f>
        <v>1510.6215578284814</v>
      </c>
      <c r="Q195" s="238"/>
      <c r="R195" s="238"/>
      <c r="S195" s="238"/>
    </row>
    <row r="196" spans="1:19" ht="17.25" thickBot="1">
      <c r="A196" s="125" t="s">
        <v>168</v>
      </c>
      <c r="B196" s="126">
        <v>1555</v>
      </c>
      <c r="C196" s="77">
        <v>-6.04229607E-2</v>
      </c>
      <c r="D196" s="15">
        <v>1585</v>
      </c>
      <c r="E196" s="32">
        <f t="shared" si="106"/>
        <v>1.9292604501607719E-2</v>
      </c>
      <c r="F196" s="18">
        <f>IF(ISNUMBER(D196), $B199 * E196, "")</f>
        <v>1929.2604501607718</v>
      </c>
      <c r="G196" s="31">
        <v>1615</v>
      </c>
      <c r="H196" s="32">
        <f t="shared" si="107"/>
        <v>3.8585209003215437E-2</v>
      </c>
      <c r="I196" s="101">
        <f>IF(ISNUMBER(G196), $B199 * H196, "")</f>
        <v>3858.5209003215436</v>
      </c>
      <c r="J196" s="15">
        <v>1605</v>
      </c>
      <c r="K196" s="32">
        <f t="shared" si="108"/>
        <v>3.215434083601286E-2</v>
      </c>
      <c r="L196" s="18">
        <f>IF(ISNUMBER(J196), $B199 * K196, "")</f>
        <v>3215.4340836012861</v>
      </c>
      <c r="M196" s="31">
        <v>1595</v>
      </c>
      <c r="N196" s="32">
        <f t="shared" si="109"/>
        <v>2.5723472668810289E-2</v>
      </c>
      <c r="O196" s="18">
        <f>IF(ISNUMBER(M196), $B199 * N196, "")</f>
        <v>2572.3472668810291</v>
      </c>
      <c r="Q196" s="238"/>
      <c r="R196" s="238"/>
      <c r="S196" s="238"/>
    </row>
    <row r="197" spans="1:19">
      <c r="A197" s="125" t="s">
        <v>170</v>
      </c>
      <c r="B197" s="126">
        <v>31010</v>
      </c>
      <c r="C197" s="77">
        <v>-6.1156524400000002E-2</v>
      </c>
      <c r="D197" s="15">
        <v>31410</v>
      </c>
      <c r="E197" s="32">
        <f t="shared" si="106"/>
        <v>1.2899064817800709E-2</v>
      </c>
      <c r="F197" s="18">
        <f>IF(ISNUMBER(D197), $B199 * E197, "")</f>
        <v>1289.9064817800709</v>
      </c>
      <c r="G197" s="31">
        <v>32010</v>
      </c>
      <c r="H197" s="32">
        <f t="shared" si="107"/>
        <v>3.2247662044501774E-2</v>
      </c>
      <c r="I197" s="101">
        <f>IF(ISNUMBER(G197), $B199 * H197, "")</f>
        <v>3224.7662044501772</v>
      </c>
      <c r="J197" s="15">
        <v>31850</v>
      </c>
      <c r="K197" s="32">
        <f t="shared" si="108"/>
        <v>2.7088036117381489E-2</v>
      </c>
      <c r="L197" s="18">
        <f>IF(ISNUMBER(J197), $B199 * K197, "")</f>
        <v>2708.8036117381489</v>
      </c>
      <c r="M197" s="31">
        <v>31640</v>
      </c>
      <c r="N197" s="32">
        <f t="shared" si="109"/>
        <v>2.0316027088036117E-2</v>
      </c>
      <c r="O197" s="18">
        <f>IF(ISNUMBER(M197), $B199 * N197, "")</f>
        <v>2031.6027088036117</v>
      </c>
      <c r="Q197" s="227"/>
      <c r="R197" s="228"/>
      <c r="S197" s="229"/>
    </row>
    <row r="198" spans="1:19" ht="17.25" thickBot="1">
      <c r="A198" s="130" t="s">
        <v>122</v>
      </c>
      <c r="B198" s="131">
        <v>32.6</v>
      </c>
      <c r="C198" s="79">
        <v>-6.3218390799999996E-2</v>
      </c>
      <c r="D198" s="24">
        <v>33.4</v>
      </c>
      <c r="E198" s="25">
        <f t="shared" si="106"/>
        <v>2.4539877300613407E-2</v>
      </c>
      <c r="F198" s="104">
        <f>IF(ISNUMBER(D198), $B199 * E198, "")</f>
        <v>2453.9877300613407</v>
      </c>
      <c r="G198" s="102">
        <v>35.1</v>
      </c>
      <c r="H198" s="25">
        <f t="shared" si="107"/>
        <v>7.6687116564417179E-2</v>
      </c>
      <c r="I198" s="103">
        <f>IF(ISNUMBER(G198), $B199 * H198, "")</f>
        <v>7668.7116564417183</v>
      </c>
      <c r="J198" s="24">
        <v>34.700000000000003</v>
      </c>
      <c r="K198" s="25">
        <f t="shared" si="108"/>
        <v>6.4417177914110474E-2</v>
      </c>
      <c r="L198" s="104">
        <f>IF(ISNUMBER(J198), $B199 * K198, "")</f>
        <v>6441.7177914110471</v>
      </c>
      <c r="M198" s="102">
        <v>33.799999999999997</v>
      </c>
      <c r="N198" s="25">
        <f t="shared" si="109"/>
        <v>3.6809815950920116E-2</v>
      </c>
      <c r="O198" s="104">
        <f>IF(ISNUMBER(M198), $B199 * N198, "")</f>
        <v>3680.9815950920115</v>
      </c>
      <c r="Q198" s="230"/>
      <c r="R198" s="231"/>
      <c r="S198" s="232"/>
    </row>
    <row r="199" spans="1:19" ht="17.25" thickBot="1">
      <c r="A199" s="132" t="s">
        <v>270</v>
      </c>
      <c r="B199" s="291">
        <f>$B$37</f>
        <v>100000</v>
      </c>
      <c r="C199" s="292"/>
      <c r="D199" s="26" t="s">
        <v>271</v>
      </c>
      <c r="E199" s="27">
        <f>IF(COUNT(E179:E198), SUM(E179:E198) / COUNT(E179:E198), 0)</f>
        <v>3.0113129616813138E-2</v>
      </c>
      <c r="F199" s="28">
        <f>SUM(F179:F198)</f>
        <v>60226.259233626275</v>
      </c>
      <c r="G199" s="26" t="s">
        <v>271</v>
      </c>
      <c r="H199" s="27">
        <f>IF(COUNT(H179:H198), SUM(H179:H198) / COUNT(H179:H198), 0)</f>
        <v>5.3349812362504231E-2</v>
      </c>
      <c r="I199" s="28">
        <f>SUM(I179:I198)</f>
        <v>106699.62472500849</v>
      </c>
      <c r="J199" s="26" t="s">
        <v>271</v>
      </c>
      <c r="K199" s="27">
        <f>IF(COUNT(K179:K198), SUM(K179:K198) / COUNT(K179:K198), 0)</f>
        <v>4.6759410590265914E-2</v>
      </c>
      <c r="L199" s="28">
        <f>SUM(L179:L198)</f>
        <v>93518.821180531828</v>
      </c>
      <c r="M199" s="26" t="s">
        <v>271</v>
      </c>
      <c r="N199" s="27">
        <f>IF(COUNT(N179:N198), SUM(N179:N198) / COUNT(N179:N198), 0)</f>
        <v>3.8497015546120048E-2</v>
      </c>
      <c r="O199" s="28">
        <f>SUM(O179:O198)</f>
        <v>76994.031092240097</v>
      </c>
      <c r="Q199" s="233"/>
      <c r="R199" s="234"/>
      <c r="S199" s="23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6077C-5AD2-4063-A43E-4578C856156D}">
  <sheetPr codeName="Sheet20"/>
  <dimension ref="A1:S199"/>
  <sheetViews>
    <sheetView topLeftCell="A36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80">
        <v>44422</v>
      </c>
      <c r="H1" s="281"/>
      <c r="I1" s="282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83" t="s">
        <v>8</v>
      </c>
      <c r="C2" s="284"/>
      <c r="D2" s="284"/>
      <c r="E2" s="284"/>
      <c r="F2" s="285"/>
      <c r="G2" s="277" t="s">
        <v>46</v>
      </c>
      <c r="H2" s="278"/>
      <c r="I2" s="279"/>
      <c r="J2" s="1" t="s">
        <v>3</v>
      </c>
      <c r="K2" s="283" t="s">
        <v>320</v>
      </c>
      <c r="L2" s="284"/>
      <c r="M2" s="284"/>
      <c r="N2" s="284"/>
      <c r="O2" s="285"/>
      <c r="Q2" s="2" t="s">
        <v>6</v>
      </c>
      <c r="R2" s="3">
        <v>0.375</v>
      </c>
    </row>
    <row r="3" spans="1:19" ht="17.25" customHeight="1" thickBot="1">
      <c r="A3" s="118" t="s">
        <v>7</v>
      </c>
      <c r="B3" s="274" t="s">
        <v>328</v>
      </c>
      <c r="C3" s="275"/>
      <c r="D3" s="275"/>
      <c r="E3" s="275"/>
      <c r="F3" s="276"/>
      <c r="G3" s="27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117,524 KRW (5.88%)</v>
      </c>
      <c r="H3" s="271"/>
      <c r="I3" s="272"/>
      <c r="J3" s="4" t="s">
        <v>7</v>
      </c>
      <c r="K3" s="274" t="s">
        <v>321</v>
      </c>
      <c r="L3" s="275"/>
      <c r="M3" s="275"/>
      <c r="N3" s="275"/>
      <c r="O3" s="27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4" t="s">
        <v>16</v>
      </c>
      <c r="C4" s="275"/>
      <c r="D4" s="275"/>
      <c r="E4" s="275"/>
      <c r="F4" s="276"/>
      <c r="G4" s="277" t="s">
        <v>44</v>
      </c>
      <c r="H4" s="278"/>
      <c r="I4" s="279"/>
      <c r="J4" s="4" t="s">
        <v>11</v>
      </c>
      <c r="K4" s="274" t="s">
        <v>322</v>
      </c>
      <c r="L4" s="275"/>
      <c r="M4" s="275"/>
      <c r="N4" s="275"/>
      <c r="O4" s="27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4" t="s">
        <v>319</v>
      </c>
      <c r="C5" s="275"/>
      <c r="D5" s="275"/>
      <c r="E5" s="275"/>
      <c r="F5" s="276"/>
      <c r="G5" s="27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41,880 KRW (2.46%)</v>
      </c>
      <c r="H5" s="271"/>
      <c r="I5" s="272"/>
      <c r="J5" s="4" t="s">
        <v>15</v>
      </c>
      <c r="K5" s="274" t="s">
        <v>323</v>
      </c>
      <c r="L5" s="275"/>
      <c r="M5" s="275"/>
      <c r="N5" s="275"/>
      <c r="O5" s="276"/>
    </row>
    <row r="6" spans="1:19">
      <c r="A6" s="118" t="s">
        <v>18</v>
      </c>
      <c r="B6" s="274"/>
      <c r="C6" s="275"/>
      <c r="D6" s="275"/>
      <c r="E6" s="275"/>
      <c r="F6" s="276"/>
      <c r="G6" s="277" t="s">
        <v>45</v>
      </c>
      <c r="H6" s="278"/>
      <c r="I6" s="279"/>
      <c r="J6" s="4" t="s">
        <v>18</v>
      </c>
      <c r="K6" s="274" t="s">
        <v>324</v>
      </c>
      <c r="L6" s="275"/>
      <c r="M6" s="275"/>
      <c r="N6" s="275"/>
      <c r="O6" s="276"/>
    </row>
    <row r="7" spans="1:19" ht="17.25" thickBot="1">
      <c r="A7" s="118" t="s">
        <v>21</v>
      </c>
      <c r="B7" s="274"/>
      <c r="C7" s="275"/>
      <c r="D7" s="275"/>
      <c r="E7" s="275"/>
      <c r="F7" s="276"/>
      <c r="G7" s="27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82,818 KRW (4.14%)</v>
      </c>
      <c r="H7" s="271"/>
      <c r="I7" s="272"/>
      <c r="J7" s="4" t="s">
        <v>21</v>
      </c>
      <c r="K7" s="274" t="s">
        <v>325</v>
      </c>
      <c r="L7" s="275"/>
      <c r="M7" s="275"/>
      <c r="N7" s="275"/>
      <c r="O7" s="276"/>
    </row>
    <row r="8" spans="1:19" ht="17.25" thickBot="1">
      <c r="A8" s="118" t="s">
        <v>24</v>
      </c>
      <c r="B8" s="274"/>
      <c r="C8" s="275"/>
      <c r="D8" s="275"/>
      <c r="E8" s="275"/>
      <c r="F8" s="276"/>
      <c r="G8" s="277" t="s">
        <v>255</v>
      </c>
      <c r="H8" s="278"/>
      <c r="I8" s="279"/>
      <c r="J8" s="4" t="s">
        <v>24</v>
      </c>
      <c r="K8" s="274"/>
      <c r="L8" s="275"/>
      <c r="M8" s="275"/>
      <c r="N8" s="275"/>
      <c r="O8" s="276"/>
      <c r="Q8" s="249" t="s">
        <v>27</v>
      </c>
      <c r="R8" s="251"/>
    </row>
    <row r="9" spans="1:19" ht="17.25" thickBot="1">
      <c r="A9" s="118" t="s">
        <v>28</v>
      </c>
      <c r="B9" s="274"/>
      <c r="C9" s="275"/>
      <c r="D9" s="275"/>
      <c r="E9" s="275"/>
      <c r="F9" s="276"/>
      <c r="G9" s="27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47,817 KRW (2.39%)</v>
      </c>
      <c r="H9" s="271"/>
      <c r="I9" s="272"/>
      <c r="J9" s="4" t="s">
        <v>28</v>
      </c>
      <c r="K9" s="274"/>
      <c r="L9" s="275"/>
      <c r="M9" s="275"/>
      <c r="N9" s="275"/>
      <c r="O9" s="276"/>
      <c r="Q9" s="2" t="s">
        <v>29</v>
      </c>
      <c r="R9" s="6">
        <v>10</v>
      </c>
    </row>
    <row r="10" spans="1:19">
      <c r="A10" s="118" t="s">
        <v>30</v>
      </c>
      <c r="B10" s="274"/>
      <c r="C10" s="275"/>
      <c r="D10" s="275"/>
      <c r="E10" s="275"/>
      <c r="F10" s="276"/>
      <c r="G10" s="277" t="s">
        <v>47</v>
      </c>
      <c r="H10" s="278"/>
      <c r="I10" s="279"/>
      <c r="J10" s="4" t="s">
        <v>30</v>
      </c>
      <c r="K10" s="274" t="s">
        <v>326</v>
      </c>
      <c r="L10" s="275"/>
      <c r="M10" s="275"/>
      <c r="N10" s="275"/>
      <c r="O10" s="276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7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1"/>
      <c r="I11" s="272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48"/>
      <c r="R13" s="248"/>
      <c r="S13" s="248"/>
    </row>
    <row r="14" spans="1:19" ht="17.25" customHeight="1" thickBot="1">
      <c r="A14" s="211" t="s">
        <v>35</v>
      </c>
      <c r="B14" s="249" t="s">
        <v>36</v>
      </c>
      <c r="C14" s="251"/>
      <c r="D14" s="249" t="s">
        <v>37</v>
      </c>
      <c r="E14" s="250"/>
      <c r="F14" s="251"/>
      <c r="G14" s="252">
        <f>_xlfn.IFNA(VLOOKUP(B14, 현재가테이블!$B$2:$D$200, 2, FALSE), "-")</f>
        <v>54440000</v>
      </c>
      <c r="H14" s="253"/>
      <c r="I14" s="254"/>
      <c r="J14" s="249" t="s">
        <v>38</v>
      </c>
      <c r="K14" s="250"/>
      <c r="L14" s="251"/>
      <c r="M14" s="255">
        <f>_xlfn.IFNA(VLOOKUP(B14, 현재가테이블!$B$2:$D$200, 3, FALSE), "-")</f>
        <v>1.07123628E-2</v>
      </c>
      <c r="N14" s="256"/>
      <c r="O14" s="257"/>
      <c r="Q14" s="248"/>
      <c r="R14" s="248"/>
      <c r="S14" s="248"/>
    </row>
    <row r="15" spans="1:19" ht="17.25" customHeight="1" thickBot="1">
      <c r="A15" s="286" t="s">
        <v>39</v>
      </c>
      <c r="B15" s="287" t="str">
        <f>TEXT($G$1, "[$-ko-KR]yyyy-mm-dd(ddd) ") &amp; "오전 00:00"</f>
        <v>2021-08-14(토) 오전 00:00</v>
      </c>
      <c r="C15" s="288"/>
      <c r="D15" s="262" t="str">
        <f>TEXT($G$1, "[$-ko-KR]yyyy-mm-dd(ddd) ") &amp; "오후 14:00"</f>
        <v>2021-08-14(토) 오후 14:00</v>
      </c>
      <c r="E15" s="263"/>
      <c r="F15" s="264"/>
      <c r="G15" s="262" t="str">
        <f>TEXT($G$1, "[$-ko-KR]yyyy-mm-dd(ddd) ") &amp; "오후 19:00"</f>
        <v>2021-08-14(토) 오후 19:00</v>
      </c>
      <c r="H15" s="263"/>
      <c r="I15" s="264"/>
      <c r="J15" s="262" t="str">
        <f>TEXT($G$1, "[$-ko-KR]yyyy-mm-dd(ddd) ") &amp; "오후 21:00"</f>
        <v>2021-08-14(토) 오후 21:00</v>
      </c>
      <c r="K15" s="263"/>
      <c r="L15" s="264"/>
      <c r="M15" s="262" t="str">
        <f>TEXT($G$1+1, "[$-ko-KR]yyyy-mm-dd(ddd) ") &amp; "오전 00:00"</f>
        <v>2021-08-15(일) 오전 00:00</v>
      </c>
      <c r="N15" s="263"/>
      <c r="O15" s="264"/>
      <c r="Q15" s="248"/>
      <c r="R15" s="248"/>
      <c r="S15" s="248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2" t="s">
        <v>37</v>
      </c>
      <c r="H16" s="213" t="s">
        <v>40</v>
      </c>
      <c r="I16" s="2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8"/>
      <c r="R17" s="248"/>
      <c r="S17" s="24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8"/>
      <c r="R18" s="248"/>
      <c r="S18" s="24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8"/>
      <c r="R19" s="238"/>
      <c r="S19" s="23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8"/>
      <c r="R20" s="238"/>
      <c r="S20" s="23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8"/>
      <c r="R21" s="238"/>
      <c r="S21" s="23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8"/>
      <c r="R22" s="238"/>
      <c r="S22" s="23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8"/>
      <c r="R23" s="238"/>
      <c r="S23" s="23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8"/>
      <c r="R24" s="238"/>
      <c r="S24" s="23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9"/>
      <c r="R26" s="240"/>
      <c r="S26" s="24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2"/>
      <c r="R27" s="243"/>
      <c r="S27" s="24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5"/>
      <c r="R28" s="246"/>
      <c r="S28" s="24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8"/>
      <c r="R29" s="238"/>
      <c r="S29" s="23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8"/>
      <c r="R30" s="248"/>
      <c r="S30" s="24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8"/>
      <c r="R31" s="248"/>
      <c r="S31" s="24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8"/>
      <c r="R32" s="238"/>
      <c r="S32" s="23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7"/>
      <c r="R35" s="228"/>
      <c r="S35" s="22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0"/>
      <c r="R36" s="231"/>
      <c r="S36" s="232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3"/>
      <c r="R37" s="234"/>
      <c r="S37" s="23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48"/>
      <c r="R40" s="248"/>
      <c r="S40" s="248"/>
    </row>
    <row r="41" spans="1:19" ht="17.25" customHeight="1" thickBot="1">
      <c r="A41" s="211" t="s">
        <v>267</v>
      </c>
      <c r="B41" s="249" t="s">
        <v>49</v>
      </c>
      <c r="C41" s="251"/>
      <c r="D41" s="249" t="s">
        <v>58</v>
      </c>
      <c r="E41" s="250"/>
      <c r="F41" s="251"/>
      <c r="G41" s="252">
        <f>_xlfn.IFNA(VLOOKUP(B41, 현재가테이블!$B$2:$D$200, 2, FALSE), "-")</f>
        <v>54440000</v>
      </c>
      <c r="H41" s="253"/>
      <c r="I41" s="254"/>
      <c r="J41" s="249" t="s">
        <v>59</v>
      </c>
      <c r="K41" s="250"/>
      <c r="L41" s="251"/>
      <c r="M41" s="255">
        <f>_xlfn.IFNA(VLOOKUP(B41, 현재가테이블!$B$2:$D$200, 3, FALSE), "-")</f>
        <v>1.07123628E-2</v>
      </c>
      <c r="N41" s="256"/>
      <c r="O41" s="257"/>
      <c r="Q41" s="248"/>
      <c r="R41" s="248"/>
      <c r="S41" s="248"/>
    </row>
    <row r="42" spans="1:19" ht="17.25" customHeight="1" thickBot="1">
      <c r="A42" s="293" t="s">
        <v>55</v>
      </c>
      <c r="B42" s="289" t="str">
        <f>TEXT($G$1, "[$-ko-KR]yyyy-mm-dd(ddd) ") &amp; "오전 00:00"</f>
        <v>2021-08-14(토) 오전 00:00</v>
      </c>
      <c r="C42" s="290"/>
      <c r="D42" s="262" t="str">
        <f>TEXT($G$1, "[$-ko-KR]yyyy-mm-dd(ddd) ") &amp; "오후 14:00"</f>
        <v>2021-08-14(토) 오후 14:00</v>
      </c>
      <c r="E42" s="263"/>
      <c r="F42" s="264"/>
      <c r="G42" s="262" t="str">
        <f>TEXT($G$1, "[$-ko-KR]yyyy-mm-dd(ddd) ") &amp; "오후 19:00"</f>
        <v>2021-08-14(토) 오후 19:00</v>
      </c>
      <c r="H42" s="263"/>
      <c r="I42" s="264"/>
      <c r="J42" s="262" t="str">
        <f>TEXT($G$1, "[$-ko-KR]yyyy-mm-dd(ddd) ") &amp; "오후 21:00"</f>
        <v>2021-08-14(토) 오후 21:00</v>
      </c>
      <c r="K42" s="263"/>
      <c r="L42" s="264"/>
      <c r="M42" s="262" t="str">
        <f>TEXT($G$1+1, "[$-ko-KR]yyyy-mm-dd(ddd) ") &amp; "오전 00:00"</f>
        <v>2021-08-15(일) 오전 00:00</v>
      </c>
      <c r="N42" s="263"/>
      <c r="O42" s="264"/>
      <c r="Q42" s="248"/>
      <c r="R42" s="248"/>
      <c r="S42" s="248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2" t="s">
        <v>58</v>
      </c>
      <c r="H43" s="213" t="s">
        <v>268</v>
      </c>
      <c r="I43" s="2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8"/>
      <c r="R43" s="238"/>
      <c r="S43" s="238"/>
    </row>
    <row r="44" spans="1:19" ht="17.25" customHeight="1" thickBot="1">
      <c r="A44" s="123" t="s">
        <v>240</v>
      </c>
      <c r="B44" s="124">
        <v>78.099999999999994</v>
      </c>
      <c r="C44" s="76">
        <v>5.2560646900000001E-2</v>
      </c>
      <c r="D44" s="13">
        <v>79.7</v>
      </c>
      <c r="E44" s="14">
        <f>IF(ISNUMBER(D44), (D44 - $B44) / $B44, "")</f>
        <v>2.0486555697823414E-2</v>
      </c>
      <c r="F44" s="16">
        <f>IF(ISNUMBER(D44), $B64 * E44, "")</f>
        <v>2048.6555697823414</v>
      </c>
      <c r="G44" s="29">
        <v>79</v>
      </c>
      <c r="H44" s="14">
        <f>IF(ISNUMBER(G44), (G44 - $B44) / $B44, "")</f>
        <v>1.1523687580025681E-2</v>
      </c>
      <c r="I44" s="100">
        <f>IF(ISNUMBER(G44), $B64 * H44, "")</f>
        <v>1152.3687580025683</v>
      </c>
      <c r="J44" s="13">
        <v>78.099999999999994</v>
      </c>
      <c r="K44" s="14">
        <f>IF(ISNUMBER(J44), (J44 - $B44) / $B44, "")</f>
        <v>0</v>
      </c>
      <c r="L44" s="16">
        <f>IF(ISNUMBER(J44), $B64 * K44, "")</f>
        <v>0</v>
      </c>
      <c r="M44" s="29">
        <v>79</v>
      </c>
      <c r="N44" s="14">
        <f>IF(ISNUMBER(M44), (M44 - $B44) / $B44, "")</f>
        <v>1.1523687580025681E-2</v>
      </c>
      <c r="O44" s="16">
        <f>IF(ISNUMBER(M44), $B64 * N44, "")</f>
        <v>1152.3687580025683</v>
      </c>
      <c r="Q44" s="248"/>
      <c r="R44" s="248"/>
      <c r="S44" s="248"/>
    </row>
    <row r="45" spans="1:19" ht="17.25" customHeight="1" thickBot="1">
      <c r="A45" s="125" t="s">
        <v>216</v>
      </c>
      <c r="B45" s="126">
        <v>11.2</v>
      </c>
      <c r="C45" s="77">
        <v>3.7037037000000002E-2</v>
      </c>
      <c r="D45" s="15">
        <v>11.4</v>
      </c>
      <c r="E45" s="32">
        <f t="shared" ref="E45:E48" si="14">IF(ISNUMBER(D45), (D45 - $B45) / $B45, "")</f>
        <v>1.7857142857142953E-2</v>
      </c>
      <c r="F45" s="18">
        <f>IF(ISNUMBER(D45), $B64 * E45, "")</f>
        <v>1785.7142857142953</v>
      </c>
      <c r="G45" s="31">
        <v>11.3</v>
      </c>
      <c r="H45" s="32">
        <f t="shared" ref="H45:H48" si="15">IF(ISNUMBER(G45), (G45 - $B45) / $B45, "")</f>
        <v>8.9285714285715564E-3</v>
      </c>
      <c r="I45" s="101">
        <f>IF(ISNUMBER(G45), $B64 * H45, "")</f>
        <v>892.85714285715562</v>
      </c>
      <c r="J45" s="15">
        <v>11.2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11.5</v>
      </c>
      <c r="N45" s="32">
        <f t="shared" ref="N45:N48" si="17">IF(ISNUMBER(M45), (M45 - $B45) / $B45, "")</f>
        <v>2.678571428571435E-2</v>
      </c>
      <c r="O45" s="18">
        <f>IF(ISNUMBER(M45), $B64 * N45, "")</f>
        <v>2678.5714285714348</v>
      </c>
      <c r="Q45" s="248"/>
      <c r="R45" s="248"/>
      <c r="S45" s="248"/>
    </row>
    <row r="46" spans="1:19" ht="17.25" customHeight="1" thickBot="1">
      <c r="A46" s="125" t="s">
        <v>210</v>
      </c>
      <c r="B46" s="126">
        <v>12.5</v>
      </c>
      <c r="C46" s="77">
        <v>3.3057851200000002E-2</v>
      </c>
      <c r="D46" s="15">
        <v>12.8</v>
      </c>
      <c r="E46" s="32">
        <f t="shared" si="14"/>
        <v>2.4000000000000056E-2</v>
      </c>
      <c r="F46" s="18">
        <f>IF(ISNUMBER(D46), $B64 * E46, "")</f>
        <v>2400.0000000000055</v>
      </c>
      <c r="G46" s="31">
        <v>12.5</v>
      </c>
      <c r="H46" s="32">
        <f t="shared" si="15"/>
        <v>0</v>
      </c>
      <c r="I46" s="101">
        <f>IF(ISNUMBER(G46), $B64 * H46, "")</f>
        <v>0</v>
      </c>
      <c r="J46" s="15">
        <v>12.6</v>
      </c>
      <c r="K46" s="32">
        <f t="shared" si="16"/>
        <v>7.9999999999999724E-3</v>
      </c>
      <c r="L46" s="18">
        <f>IF(ISNUMBER(J46), $B64 * K46, "")</f>
        <v>799.99999999999727</v>
      </c>
      <c r="M46" s="31">
        <v>12.7</v>
      </c>
      <c r="N46" s="32">
        <f t="shared" si="17"/>
        <v>1.5999999999999945E-2</v>
      </c>
      <c r="O46" s="18">
        <f>IF(ISNUMBER(M46), $B64 * N46, "")</f>
        <v>1599.9999999999945</v>
      </c>
      <c r="Q46" s="238"/>
      <c r="R46" s="238"/>
      <c r="S46" s="238"/>
    </row>
    <row r="47" spans="1:19" ht="17.25" customHeight="1" thickBot="1">
      <c r="A47" s="125" t="s">
        <v>148</v>
      </c>
      <c r="B47" s="126">
        <v>21.2</v>
      </c>
      <c r="C47" s="77">
        <v>2.4154589399999999E-2</v>
      </c>
      <c r="D47" s="15">
        <v>22.1</v>
      </c>
      <c r="E47" s="32">
        <f t="shared" si="14"/>
        <v>4.2452830188679347E-2</v>
      </c>
      <c r="F47" s="18">
        <f>IF(ISNUMBER(D47), $B64 * E47, "")</f>
        <v>4245.2830188679345</v>
      </c>
      <c r="G47" s="31">
        <v>21.8</v>
      </c>
      <c r="H47" s="32">
        <f t="shared" si="15"/>
        <v>2.8301886792452897E-2</v>
      </c>
      <c r="I47" s="101">
        <f>IF(ISNUMBER(G47), $B64 * H47, "")</f>
        <v>2830.1886792452897</v>
      </c>
      <c r="J47" s="15">
        <v>21.5</v>
      </c>
      <c r="K47" s="32">
        <f t="shared" si="16"/>
        <v>1.4150943396226448E-2</v>
      </c>
      <c r="L47" s="18">
        <f>IF(ISNUMBER(J47), $B64 * K47, "")</f>
        <v>1415.0943396226448</v>
      </c>
      <c r="M47" s="31">
        <v>22.1</v>
      </c>
      <c r="N47" s="32">
        <f t="shared" si="17"/>
        <v>4.2452830188679347E-2</v>
      </c>
      <c r="O47" s="18">
        <f>IF(ISNUMBER(M47), $B64 * N47, "")</f>
        <v>4245.2830188679345</v>
      </c>
      <c r="Q47" s="238"/>
      <c r="R47" s="238"/>
      <c r="S47" s="238"/>
    </row>
    <row r="48" spans="1:19" ht="17.25" customHeight="1" thickBot="1">
      <c r="A48" s="127" t="s">
        <v>122</v>
      </c>
      <c r="B48" s="128">
        <v>33.799999999999997</v>
      </c>
      <c r="C48" s="78">
        <v>2.1148036299999999E-2</v>
      </c>
      <c r="D48" s="20">
        <v>35.1</v>
      </c>
      <c r="E48" s="21">
        <f t="shared" si="14"/>
        <v>3.8461538461538589E-2</v>
      </c>
      <c r="F48" s="22">
        <f>IF(ISNUMBER(D48), $B64 * E48, "")</f>
        <v>3846.1538461538589</v>
      </c>
      <c r="G48" s="30">
        <v>34.6</v>
      </c>
      <c r="H48" s="21">
        <f t="shared" si="15"/>
        <v>2.3668639053254566E-2</v>
      </c>
      <c r="I48" s="105">
        <f>IF(ISNUMBER(G48), $B64 * H48, "")</f>
        <v>2366.8639053254565</v>
      </c>
      <c r="J48" s="20">
        <v>34.1</v>
      </c>
      <c r="K48" s="21">
        <f t="shared" si="16"/>
        <v>8.8757396449705411E-3</v>
      </c>
      <c r="L48" s="22">
        <f>IF(ISNUMBER(J48), $B64 * K48, "")</f>
        <v>887.57396449705413</v>
      </c>
      <c r="M48" s="30">
        <v>34.9</v>
      </c>
      <c r="N48" s="21">
        <f t="shared" si="17"/>
        <v>3.25443786982249E-2</v>
      </c>
      <c r="O48" s="22">
        <f>IF(ISNUMBER(M48), $B64 * N48, "")</f>
        <v>3254.43786982249</v>
      </c>
      <c r="Q48" s="238"/>
      <c r="R48" s="238"/>
      <c r="S48" s="238"/>
    </row>
    <row r="49" spans="1:19" ht="17.25" customHeight="1" thickBot="1">
      <c r="A49" s="125" t="s">
        <v>72</v>
      </c>
      <c r="B49" s="129">
        <v>23.9</v>
      </c>
      <c r="C49" s="80">
        <v>1.27118644E-2</v>
      </c>
      <c r="D49" s="106">
        <v>24.6</v>
      </c>
      <c r="E49" s="107">
        <f>IF(ISNUMBER(D49), (D49 - $B49) / $B49, "")</f>
        <v>2.9288702928870414E-2</v>
      </c>
      <c r="F49" s="108">
        <f>IF(ISNUMBER(D49), $B64 * E49, "")</f>
        <v>2928.8702928870416</v>
      </c>
      <c r="G49" s="109">
        <v>24.4</v>
      </c>
      <c r="H49" s="107">
        <f>IF(ISNUMBER(G49), (G49 - $B49) / $B49, "")</f>
        <v>2.0920502092050212E-2</v>
      </c>
      <c r="I49" s="110">
        <f>IF(ISNUMBER(G49), $B64 * H49, "")</f>
        <v>2092.050209205021</v>
      </c>
      <c r="J49" s="106">
        <v>24.1</v>
      </c>
      <c r="K49" s="107">
        <f>IF(ISNUMBER(J49), (J49 - $B49) / $B49, "")</f>
        <v>8.3682008368202027E-3</v>
      </c>
      <c r="L49" s="108">
        <f>IF(ISNUMBER(J49), $B64 * K49, "")</f>
        <v>836.82008368202025</v>
      </c>
      <c r="M49" s="109">
        <v>24.7</v>
      </c>
      <c r="N49" s="107">
        <f>IF(ISNUMBER(M49), (M49 - $B49) / $B49, "")</f>
        <v>3.3472803347280367E-2</v>
      </c>
      <c r="O49" s="108">
        <f>IF(ISNUMBER(M49), $B64 * N49, "")</f>
        <v>3347.2803347280365</v>
      </c>
      <c r="Q49" s="238"/>
      <c r="R49" s="238"/>
      <c r="S49" s="238"/>
    </row>
    <row r="50" spans="1:19" ht="17.25" customHeight="1" thickBot="1">
      <c r="A50" s="125" t="s">
        <v>178</v>
      </c>
      <c r="B50" s="126">
        <v>17</v>
      </c>
      <c r="C50" s="77">
        <v>1.19047619E-2</v>
      </c>
      <c r="D50" s="15">
        <v>17.399999999999999</v>
      </c>
      <c r="E50" s="32">
        <f t="shared" ref="E50:E53" si="18">IF(ISNUMBER(D50), (D50 - $B50) / $B50, "")</f>
        <v>2.3529411764705799E-2</v>
      </c>
      <c r="F50" s="18">
        <f>IF(ISNUMBER(D50), $B64 * E50, "")</f>
        <v>2352.9411764705801</v>
      </c>
      <c r="G50" s="31">
        <v>17.2</v>
      </c>
      <c r="H50" s="32">
        <f t="shared" ref="H50:H53" si="19">IF(ISNUMBER(G50), (G50 - $B50) / $B50, "")</f>
        <v>1.1764705882352899E-2</v>
      </c>
      <c r="I50" s="101">
        <f>IF(ISNUMBER(G50), $B64 * H50, "")</f>
        <v>1176.4705882352901</v>
      </c>
      <c r="J50" s="15">
        <v>17.2</v>
      </c>
      <c r="K50" s="32">
        <f t="shared" ref="K50:K53" si="20">IF(ISNUMBER(J50), (J50 - $B50) / $B50, "")</f>
        <v>1.1764705882352899E-2</v>
      </c>
      <c r="L50" s="18">
        <f>IF(ISNUMBER(J50), $B64 * K50, "")</f>
        <v>1176.4705882352901</v>
      </c>
      <c r="M50" s="31">
        <v>17.3</v>
      </c>
      <c r="N50" s="32">
        <f t="shared" ref="N50:N53" si="21">IF(ISNUMBER(M50), (M50 - $B50) / $B50, "")</f>
        <v>1.7647058823529453E-2</v>
      </c>
      <c r="O50" s="18">
        <f>IF(ISNUMBER(M50), $B64 * N50, "")</f>
        <v>1764.7058823529453</v>
      </c>
      <c r="Q50" s="238"/>
      <c r="R50" s="238"/>
      <c r="S50" s="238"/>
    </row>
    <row r="51" spans="1:19" ht="17.25" customHeight="1" thickBot="1">
      <c r="A51" s="125" t="s">
        <v>234</v>
      </c>
      <c r="B51" s="126">
        <v>75.599999999999994</v>
      </c>
      <c r="C51" s="77">
        <v>9.3457943999999994E-3</v>
      </c>
      <c r="D51" s="15">
        <v>77.599999999999994</v>
      </c>
      <c r="E51" s="32">
        <f t="shared" si="18"/>
        <v>2.6455026455026457E-2</v>
      </c>
      <c r="F51" s="18">
        <f>IF(ISNUMBER(D51), $B64 * E51, "")</f>
        <v>2645.5026455026459</v>
      </c>
      <c r="G51" s="31">
        <v>76.400000000000006</v>
      </c>
      <c r="H51" s="32">
        <f t="shared" si="19"/>
        <v>1.0582010582010732E-2</v>
      </c>
      <c r="I51" s="101">
        <f>IF(ISNUMBER(G51), $B64 * H51, "")</f>
        <v>1058.2010582010732</v>
      </c>
      <c r="J51" s="15">
        <v>75.900000000000006</v>
      </c>
      <c r="K51" s="32">
        <f t="shared" si="20"/>
        <v>3.968253968254119E-3</v>
      </c>
      <c r="L51" s="18">
        <f>IF(ISNUMBER(J51), $B64 * K51, "")</f>
        <v>396.82539682541187</v>
      </c>
      <c r="M51" s="31">
        <v>78.900000000000006</v>
      </c>
      <c r="N51" s="32">
        <f t="shared" si="21"/>
        <v>4.3650793650793801E-2</v>
      </c>
      <c r="O51" s="18">
        <f>IF(ISNUMBER(M51), $B64 * N51, "")</f>
        <v>4365.0793650793803</v>
      </c>
      <c r="Q51" s="238"/>
      <c r="R51" s="238"/>
      <c r="S51" s="238"/>
    </row>
    <row r="52" spans="1:19" ht="17.25" customHeight="1" thickBot="1">
      <c r="A52" s="125" t="s">
        <v>250</v>
      </c>
      <c r="B52" s="126">
        <v>78.5</v>
      </c>
      <c r="C52" s="77">
        <v>8.9974293E-3</v>
      </c>
      <c r="D52" s="15">
        <v>80.599999999999994</v>
      </c>
      <c r="E52" s="32">
        <f t="shared" si="18"/>
        <v>2.6751592356687826E-2</v>
      </c>
      <c r="F52" s="18">
        <f>IF(ISNUMBER(D52), $B64 * E52, "")</f>
        <v>2675.1592356687825</v>
      </c>
      <c r="G52" s="31">
        <v>79.900000000000006</v>
      </c>
      <c r="H52" s="32">
        <f t="shared" si="19"/>
        <v>1.7834394904458671E-2</v>
      </c>
      <c r="I52" s="101">
        <f>IF(ISNUMBER(G52), $B64 * H52, "")</f>
        <v>1783.439490445867</v>
      </c>
      <c r="J52" s="15">
        <v>79.3</v>
      </c>
      <c r="K52" s="32">
        <f t="shared" si="20"/>
        <v>1.0191082802547734E-2</v>
      </c>
      <c r="L52" s="18">
        <f>IF(ISNUMBER(J52), $B64 * K52, "")</f>
        <v>1019.1082802547734</v>
      </c>
      <c r="M52" s="31">
        <v>81</v>
      </c>
      <c r="N52" s="32">
        <f t="shared" si="21"/>
        <v>3.1847133757961783E-2</v>
      </c>
      <c r="O52" s="18">
        <f>IF(ISNUMBER(M52), $B64 * N52, "")</f>
        <v>3184.7133757961783</v>
      </c>
      <c r="Q52" s="33"/>
      <c r="R52" s="33"/>
    </row>
    <row r="53" spans="1:19" ht="17.25" customHeight="1" thickBot="1">
      <c r="A53" s="130" t="s">
        <v>188</v>
      </c>
      <c r="B53" s="131">
        <v>13.3</v>
      </c>
      <c r="C53" s="79">
        <v>7.5757576E-3</v>
      </c>
      <c r="D53" s="24">
        <v>13.5</v>
      </c>
      <c r="E53" s="25">
        <f t="shared" si="18"/>
        <v>1.5037593984962351E-2</v>
      </c>
      <c r="F53" s="104">
        <f>IF(ISNUMBER(D53), $B64 * E53, "")</f>
        <v>1503.7593984962352</v>
      </c>
      <c r="G53" s="102">
        <v>13.3</v>
      </c>
      <c r="H53" s="25">
        <f t="shared" si="19"/>
        <v>0</v>
      </c>
      <c r="I53" s="103">
        <f>IF(ISNUMBER(G53), $B64 * H53, "")</f>
        <v>0</v>
      </c>
      <c r="J53" s="24">
        <v>13.3</v>
      </c>
      <c r="K53" s="25">
        <f t="shared" si="20"/>
        <v>0</v>
      </c>
      <c r="L53" s="104">
        <f>IF(ISNUMBER(J53), $B64 * K53, "")</f>
        <v>0</v>
      </c>
      <c r="M53" s="102">
        <v>13.5</v>
      </c>
      <c r="N53" s="25">
        <f t="shared" si="21"/>
        <v>1.5037593984962351E-2</v>
      </c>
      <c r="O53" s="104">
        <f>IF(ISNUMBER(M53), $B64 * N53, "")</f>
        <v>1503.7593984962352</v>
      </c>
      <c r="Q53" s="239"/>
      <c r="R53" s="240"/>
      <c r="S53" s="241"/>
    </row>
    <row r="54" spans="1:19" ht="17.25" customHeight="1">
      <c r="A54" s="123" t="s">
        <v>65</v>
      </c>
      <c r="B54" s="124">
        <v>35.700000000000003</v>
      </c>
      <c r="C54" s="76">
        <v>0</v>
      </c>
      <c r="D54" s="13">
        <v>37</v>
      </c>
      <c r="E54" s="14">
        <f>IF(ISNUMBER(D54), (D54 - $B54) / $B54, "")</f>
        <v>3.6414565826330451E-2</v>
      </c>
      <c r="F54" s="16">
        <f>IF(ISNUMBER(D54), $B64 * E54, "")</f>
        <v>3641.4565826330449</v>
      </c>
      <c r="G54" s="29">
        <v>36.1</v>
      </c>
      <c r="H54" s="14">
        <f>IF(ISNUMBER(G54), (G54 - $B54) / $B54, "")</f>
        <v>1.1204481792717045E-2</v>
      </c>
      <c r="I54" s="100">
        <f>IF(ISNUMBER(G54), $B64 * H54, "")</f>
        <v>1120.4481792717045</v>
      </c>
      <c r="J54" s="13">
        <v>35.700000000000003</v>
      </c>
      <c r="K54" s="14">
        <f>IF(ISNUMBER(J54), (J54 - $B54) / $B54, "")</f>
        <v>0</v>
      </c>
      <c r="L54" s="16">
        <f>IF(ISNUMBER(J54), $B64 * K54, "")</f>
        <v>0</v>
      </c>
      <c r="M54" s="29">
        <v>36.6</v>
      </c>
      <c r="N54" s="14">
        <f>IF(ISNUMBER(M54), (M54 - $B54) / $B54, "")</f>
        <v>2.5210084033613404E-2</v>
      </c>
      <c r="O54" s="16">
        <f>IF(ISNUMBER(M54), $B64 * N54, "")</f>
        <v>2521.0084033613402</v>
      </c>
      <c r="Q54" s="242"/>
      <c r="R54" s="243"/>
      <c r="S54" s="244"/>
    </row>
    <row r="55" spans="1:19" ht="17.25" customHeight="1" thickBot="1">
      <c r="A55" s="125" t="s">
        <v>204</v>
      </c>
      <c r="B55" s="126">
        <v>15.2</v>
      </c>
      <c r="C55" s="77">
        <v>0</v>
      </c>
      <c r="D55" s="15">
        <v>15.6</v>
      </c>
      <c r="E55" s="32">
        <f t="shared" ref="E55:E58" si="22">IF(ISNUMBER(D55), (D55 - $B55) / $B55, "")</f>
        <v>2.6315789473684237E-2</v>
      </c>
      <c r="F55" s="18">
        <f>IF(ISNUMBER(D55), $B64 * E55, "")</f>
        <v>2631.5789473684235</v>
      </c>
      <c r="G55" s="31">
        <v>15.3</v>
      </c>
      <c r="H55" s="32">
        <f t="shared" ref="H55:H58" si="23">IF(ISNUMBER(G55), (G55 - $B55) / $B55, "")</f>
        <v>6.5789473684211468E-3</v>
      </c>
      <c r="I55" s="101">
        <f>IF(ISNUMBER(G55), $B64 * H55, "")</f>
        <v>657.89473684211464</v>
      </c>
      <c r="J55" s="15">
        <v>15.2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15.5</v>
      </c>
      <c r="N55" s="32">
        <f t="shared" ref="N55:N58" si="25">IF(ISNUMBER(M55), (M55 - $B55) / $B55, "")</f>
        <v>1.9736842105263205E-2</v>
      </c>
      <c r="O55" s="18">
        <f>IF(ISNUMBER(M55), $B64 * N55, "")</f>
        <v>1973.6842105263206</v>
      </c>
      <c r="Q55" s="245"/>
      <c r="R55" s="246"/>
      <c r="S55" s="247"/>
    </row>
    <row r="56" spans="1:19" ht="17.25" customHeight="1" thickBot="1">
      <c r="A56" s="125" t="s">
        <v>208</v>
      </c>
      <c r="B56" s="126">
        <v>14.3</v>
      </c>
      <c r="C56" s="77">
        <v>0</v>
      </c>
      <c r="D56" s="15">
        <v>14.5</v>
      </c>
      <c r="E56" s="32">
        <f t="shared" si="22"/>
        <v>1.3986013986013936E-2</v>
      </c>
      <c r="F56" s="18">
        <f>IF(ISNUMBER(D56), $B64 * E56, "")</f>
        <v>1398.6013986013936</v>
      </c>
      <c r="G56" s="31">
        <v>14.4</v>
      </c>
      <c r="H56" s="32">
        <f t="shared" si="23"/>
        <v>6.9930069930069678E-3</v>
      </c>
      <c r="I56" s="101">
        <f>IF(ISNUMBER(G56), $B64 * H56, "")</f>
        <v>699.30069930069681</v>
      </c>
      <c r="J56" s="15">
        <v>14.2</v>
      </c>
      <c r="K56" s="32">
        <f t="shared" si="24"/>
        <v>-6.9930069930070919E-3</v>
      </c>
      <c r="L56" s="18">
        <f>IF(ISNUMBER(J56), $B64 * K56, "")</f>
        <v>-699.3006993007092</v>
      </c>
      <c r="M56" s="31">
        <v>14.5</v>
      </c>
      <c r="N56" s="32">
        <f t="shared" si="25"/>
        <v>1.3986013986013936E-2</v>
      </c>
      <c r="O56" s="18">
        <f>IF(ISNUMBER(M56), $B64 * N56, "")</f>
        <v>1398.6013986013936</v>
      </c>
      <c r="Q56" s="238"/>
      <c r="R56" s="238"/>
      <c r="S56" s="238"/>
    </row>
    <row r="57" spans="1:19" ht="17.25" customHeight="1" thickBot="1">
      <c r="A57" s="125" t="s">
        <v>150</v>
      </c>
      <c r="B57" s="126">
        <v>13</v>
      </c>
      <c r="C57" s="77">
        <v>0</v>
      </c>
      <c r="D57" s="15">
        <v>13.3</v>
      </c>
      <c r="E57" s="32">
        <f t="shared" si="22"/>
        <v>2.307692307692313E-2</v>
      </c>
      <c r="F57" s="18">
        <f>IF(ISNUMBER(D57), $B64 * E57, "")</f>
        <v>2307.6923076923131</v>
      </c>
      <c r="G57" s="31">
        <v>13.2</v>
      </c>
      <c r="H57" s="32">
        <f t="shared" si="23"/>
        <v>1.538461538461533E-2</v>
      </c>
      <c r="I57" s="101">
        <f>IF(ISNUMBER(G57), $B64 * H57, "")</f>
        <v>1538.4615384615331</v>
      </c>
      <c r="J57" s="15">
        <v>13.1</v>
      </c>
      <c r="K57" s="32">
        <f t="shared" si="24"/>
        <v>7.692307692307665E-3</v>
      </c>
      <c r="L57" s="18">
        <f>IF(ISNUMBER(J57), $B64 * K57, "")</f>
        <v>769.23076923076655</v>
      </c>
      <c r="M57" s="31">
        <v>13.4</v>
      </c>
      <c r="N57" s="32">
        <f t="shared" si="25"/>
        <v>3.0769230769230795E-2</v>
      </c>
      <c r="O57" s="18">
        <f>IF(ISNUMBER(M57), $B64 * N57, "")</f>
        <v>3076.9230769230794</v>
      </c>
      <c r="Q57" s="248"/>
      <c r="R57" s="248"/>
      <c r="S57" s="248"/>
    </row>
    <row r="58" spans="1:19" ht="17.25" customHeight="1" thickBot="1">
      <c r="A58" s="127" t="s">
        <v>98</v>
      </c>
      <c r="B58" s="128">
        <v>5.39</v>
      </c>
      <c r="C58" s="78">
        <v>-5.5350553999999998E-3</v>
      </c>
      <c r="D58" s="20">
        <v>5.55</v>
      </c>
      <c r="E58" s="21">
        <f t="shared" si="22"/>
        <v>2.968460111317257E-2</v>
      </c>
      <c r="F58" s="22">
        <f>IF(ISNUMBER(D58), $B64 * E58, "")</f>
        <v>2968.4601113172571</v>
      </c>
      <c r="G58" s="30">
        <v>5.56</v>
      </c>
      <c r="H58" s="21">
        <f t="shared" si="23"/>
        <v>3.1539888682745813E-2</v>
      </c>
      <c r="I58" s="105">
        <f>IF(ISNUMBER(G58), $B64 * H58, "")</f>
        <v>3153.9888682745814</v>
      </c>
      <c r="J58" s="20">
        <v>5.47</v>
      </c>
      <c r="K58" s="21">
        <f t="shared" si="24"/>
        <v>1.4842300556586285E-2</v>
      </c>
      <c r="L58" s="22">
        <f>IF(ISNUMBER(J58), $B64 * K58, "")</f>
        <v>1484.2300556586285</v>
      </c>
      <c r="M58" s="30">
        <v>5.6</v>
      </c>
      <c r="N58" s="21">
        <f t="shared" si="25"/>
        <v>3.896103896103896E-2</v>
      </c>
      <c r="O58" s="22">
        <f>IF(ISNUMBER(M58), $B64 * N58, "")</f>
        <v>3896.1038961038962</v>
      </c>
      <c r="Q58" s="248"/>
      <c r="R58" s="248"/>
      <c r="S58" s="248"/>
    </row>
    <row r="59" spans="1:19" ht="17.25" customHeight="1" thickBot="1">
      <c r="A59" s="125" t="s">
        <v>190</v>
      </c>
      <c r="B59" s="129">
        <v>19.899999999999999</v>
      </c>
      <c r="C59" s="80">
        <v>-9.9502488000000004E-3</v>
      </c>
      <c r="D59" s="106">
        <v>20.6</v>
      </c>
      <c r="E59" s="107">
        <f>IF(ISNUMBER(D59), (D59 - $B59) / $B59, "")</f>
        <v>3.517587939698507E-2</v>
      </c>
      <c r="F59" s="108">
        <f>IF(ISNUMBER(D59), $B64 * E59, "")</f>
        <v>3517.5879396985069</v>
      </c>
      <c r="G59" s="109">
        <v>20</v>
      </c>
      <c r="H59" s="107">
        <f>IF(ISNUMBER(G59), (G59 - $B59) / $B59, "")</f>
        <v>5.0251256281407756E-3</v>
      </c>
      <c r="I59" s="110">
        <f>IF(ISNUMBER(G59), $B64 * H59, "")</f>
        <v>502.51256281407757</v>
      </c>
      <c r="J59" s="106">
        <v>19.8</v>
      </c>
      <c r="K59" s="107">
        <f>IF(ISNUMBER(J59), (J59 - $B59) / $B59, "")</f>
        <v>-5.0251256281405969E-3</v>
      </c>
      <c r="L59" s="108">
        <f>IF(ISNUMBER(J59), $B64 * K59, "")</f>
        <v>-502.51256281405966</v>
      </c>
      <c r="M59" s="109">
        <v>20.2</v>
      </c>
      <c r="N59" s="107">
        <f>IF(ISNUMBER(M59), (M59 - $B59) / $B59, "")</f>
        <v>1.5075376884422148E-2</v>
      </c>
      <c r="O59" s="108">
        <f>IF(ISNUMBER(M59), $B64 * N59, "")</f>
        <v>1507.5376884422149</v>
      </c>
      <c r="Q59" s="238"/>
      <c r="R59" s="238"/>
      <c r="S59" s="238"/>
    </row>
    <row r="60" spans="1:19" ht="17.25" customHeight="1" thickBot="1">
      <c r="A60" s="125" t="s">
        <v>202</v>
      </c>
      <c r="B60" s="126">
        <v>97.6</v>
      </c>
      <c r="C60" s="77">
        <v>-1.01419878E-2</v>
      </c>
      <c r="D60" s="15">
        <v>99.3</v>
      </c>
      <c r="E60" s="32">
        <f t="shared" ref="E60:E63" si="26">IF(ISNUMBER(D60), (D60 - $B60) / $B60, "")</f>
        <v>1.7418032786885276E-2</v>
      </c>
      <c r="F60" s="18">
        <f>IF(ISNUMBER(D60), $B64 * E60, "")</f>
        <v>1741.8032786885276</v>
      </c>
      <c r="G60" s="31">
        <v>97.9</v>
      </c>
      <c r="H60" s="32">
        <f t="shared" ref="H60:H63" si="27">IF(ISNUMBER(G60), (G60 - $B60) / $B60, "")</f>
        <v>3.0737704918033953E-3</v>
      </c>
      <c r="I60" s="101">
        <f>IF(ISNUMBER(G60), $B64 * H60, "")</f>
        <v>307.37704918033955</v>
      </c>
      <c r="J60" s="15">
        <v>96.9</v>
      </c>
      <c r="K60" s="32">
        <f t="shared" ref="K60:K63" si="28">IF(ISNUMBER(J60), (J60 - $B60) / $B60, "")</f>
        <v>-7.1721311475408675E-3</v>
      </c>
      <c r="L60" s="18">
        <f>IF(ISNUMBER(J60), $B64 * K60, "")</f>
        <v>-717.21311475408675</v>
      </c>
      <c r="M60" s="31">
        <v>98</v>
      </c>
      <c r="N60" s="32">
        <f t="shared" ref="N60:N63" si="29">IF(ISNUMBER(M60), (M60 - $B60) / $B60, "")</f>
        <v>4.0983606557377632E-3</v>
      </c>
      <c r="O60" s="18">
        <f>IF(ISNUMBER(M60), $B64 * N60, "")</f>
        <v>409.83606557377635</v>
      </c>
      <c r="Q60" s="238"/>
      <c r="R60" s="238"/>
      <c r="S60" s="238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8"/>
      <c r="R61" s="238"/>
      <c r="S61" s="238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7"/>
      <c r="R62" s="228"/>
      <c r="S62" s="22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30"/>
      <c r="R63" s="231"/>
      <c r="S63" s="232"/>
    </row>
    <row r="64" spans="1:19" ht="17.25" customHeight="1" thickBot="1">
      <c r="A64" s="132" t="s">
        <v>270</v>
      </c>
      <c r="B64" s="291">
        <f>$B$37</f>
        <v>100000</v>
      </c>
      <c r="C64" s="292"/>
      <c r="D64" s="26" t="s">
        <v>271</v>
      </c>
      <c r="E64" s="27">
        <f>IF(COUNT(E44:E63), SUM(E44:E63) / COUNT(E44:E63), 0)</f>
        <v>2.625836472679011E-2</v>
      </c>
      <c r="F64" s="28">
        <f>SUM(F44:F63)</f>
        <v>44639.220035543185</v>
      </c>
      <c r="G64" s="26" t="s">
        <v>271</v>
      </c>
      <c r="H64" s="27">
        <f>IF(COUNT(H44:H63), SUM(H44:H63) / COUNT(H44:H63), 0)</f>
        <v>1.2548484391566337E-2</v>
      </c>
      <c r="I64" s="28">
        <f>SUM(I44:I63)</f>
        <v>21332.42346566277</v>
      </c>
      <c r="J64" s="26" t="s">
        <v>271</v>
      </c>
      <c r="K64" s="27">
        <f>IF(COUNT(K44:K63), SUM(K44:K63) / COUNT(K44:K63), 0)</f>
        <v>4.0390159418457238E-3</v>
      </c>
      <c r="L64" s="28">
        <f>SUM(L44:L63)</f>
        <v>6866.3271011377319</v>
      </c>
      <c r="M64" s="26" t="s">
        <v>271</v>
      </c>
      <c r="N64" s="27">
        <f>IF(COUNT(N44:N63), SUM(N44:N63) / COUNT(N44:N63), 0)</f>
        <v>2.463523186544072E-2</v>
      </c>
      <c r="O64" s="28">
        <f>SUM(O44:O63)</f>
        <v>41879.894171249216</v>
      </c>
      <c r="Q64" s="233"/>
      <c r="R64" s="234"/>
      <c r="S64" s="23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48"/>
      <c r="R67" s="248"/>
      <c r="S67" s="248"/>
    </row>
    <row r="68" spans="1:19" ht="17.25" thickBot="1">
      <c r="A68" s="211" t="s">
        <v>267</v>
      </c>
      <c r="B68" s="249" t="s">
        <v>49</v>
      </c>
      <c r="C68" s="251"/>
      <c r="D68" s="249" t="s">
        <v>58</v>
      </c>
      <c r="E68" s="250"/>
      <c r="F68" s="251"/>
      <c r="G68" s="252">
        <f>_xlfn.IFNA(VLOOKUP(B68, 현재가테이블!$B$2:$D$200, 2, FALSE), "-")</f>
        <v>54440000</v>
      </c>
      <c r="H68" s="253"/>
      <c r="I68" s="254"/>
      <c r="J68" s="249" t="s">
        <v>59</v>
      </c>
      <c r="K68" s="250"/>
      <c r="L68" s="251"/>
      <c r="M68" s="255">
        <f>_xlfn.IFNA(VLOOKUP(B68, 현재가테이블!$B$2:$D$200, 3, FALSE), "-")</f>
        <v>1.07123628E-2</v>
      </c>
      <c r="N68" s="256"/>
      <c r="O68" s="257"/>
      <c r="Q68" s="248"/>
      <c r="R68" s="248"/>
      <c r="S68" s="248"/>
    </row>
    <row r="69" spans="1:19" ht="17.25" thickBot="1">
      <c r="A69" s="293" t="s">
        <v>55</v>
      </c>
      <c r="B69" s="289" t="str">
        <f>TEXT($G$1, "[$-ko-KR]yyyy-mm-dd(ddd) ") &amp; "오전 00:00"</f>
        <v>2021-08-14(토) 오전 00:00</v>
      </c>
      <c r="C69" s="290"/>
      <c r="D69" s="262" t="str">
        <f>TEXT($G$1, "[$-ko-KR]yyyy-mm-dd(ddd) ") &amp; "오후 14:00"</f>
        <v>2021-08-14(토) 오후 14:00</v>
      </c>
      <c r="E69" s="263"/>
      <c r="F69" s="264"/>
      <c r="G69" s="262" t="str">
        <f>TEXT($G$1, "[$-ko-KR]yyyy-mm-dd(ddd) ") &amp; "오후 19:00"</f>
        <v>2021-08-14(토) 오후 19:00</v>
      </c>
      <c r="H69" s="263"/>
      <c r="I69" s="264"/>
      <c r="J69" s="262" t="str">
        <f>TEXT($G$1, "[$-ko-KR]yyyy-mm-dd(ddd) ") &amp; "오후 21:00"</f>
        <v>2021-08-14(토) 오후 21:00</v>
      </c>
      <c r="K69" s="263"/>
      <c r="L69" s="264"/>
      <c r="M69" s="262" t="str">
        <f>TEXT($G$1+1, "[$-ko-KR]yyyy-mm-dd(ddd) ") &amp; "오전 00:00"</f>
        <v>2021-08-15(일) 오전 00:00</v>
      </c>
      <c r="N69" s="263"/>
      <c r="O69" s="264"/>
      <c r="Q69" s="248"/>
      <c r="R69" s="248"/>
      <c r="S69" s="248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2" t="s">
        <v>58</v>
      </c>
      <c r="H70" s="213" t="s">
        <v>268</v>
      </c>
      <c r="I70" s="2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8"/>
      <c r="R70" s="238"/>
      <c r="S70" s="238"/>
    </row>
    <row r="71" spans="1:19" ht="17.25" thickBot="1">
      <c r="A71" s="123" t="s">
        <v>130</v>
      </c>
      <c r="B71" s="124">
        <v>115</v>
      </c>
      <c r="C71" s="76">
        <v>8.4905660399999999E-2</v>
      </c>
      <c r="D71" s="13">
        <v>114</v>
      </c>
      <c r="E71" s="14">
        <f>IF(ISNUMBER(D71), (D71 - $B71) / $B71, "")</f>
        <v>-8.6956521739130436E-3</v>
      </c>
      <c r="F71" s="16">
        <f>IF(ISNUMBER(D71), $B91 * E71, "")</f>
        <v>-869.56521739130437</v>
      </c>
      <c r="G71" s="29">
        <v>113</v>
      </c>
      <c r="H71" s="14">
        <f>IF(ISNUMBER(G71), (G71 - $B71) / $B71, "")</f>
        <v>-1.7391304347826087E-2</v>
      </c>
      <c r="I71" s="100">
        <f>IF(ISNUMBER(G71), $B91 * H71, "")</f>
        <v>-1739.1304347826087</v>
      </c>
      <c r="J71" s="13">
        <v>113</v>
      </c>
      <c r="K71" s="14">
        <f>IF(ISNUMBER(J71), (J71 - $B71) / $B71, "")</f>
        <v>-1.7391304347826087E-2</v>
      </c>
      <c r="L71" s="16">
        <f>IF(ISNUMBER(J71), $B91 * K71, "")</f>
        <v>-1739.1304347826087</v>
      </c>
      <c r="M71" s="29">
        <v>115</v>
      </c>
      <c r="N71" s="14">
        <f>IF(ISNUMBER(M71), (M71 - $B71) / $B71, "")</f>
        <v>0</v>
      </c>
      <c r="O71" s="16">
        <f>IF(ISNUMBER(M71), $B91 * N71, "")</f>
        <v>0</v>
      </c>
      <c r="Q71" s="248"/>
      <c r="R71" s="248"/>
      <c r="S71" s="248"/>
    </row>
    <row r="72" spans="1:19" ht="17.25" thickBot="1">
      <c r="A72" s="125" t="s">
        <v>144</v>
      </c>
      <c r="B72" s="126">
        <v>117</v>
      </c>
      <c r="C72" s="77">
        <v>6.3636363599999995E-2</v>
      </c>
      <c r="D72" s="15">
        <v>121</v>
      </c>
      <c r="E72" s="32">
        <f t="shared" ref="E72:E75" si="30">IF(ISNUMBER(D72), (D72 - $B72) / $B72, "")</f>
        <v>3.4188034188034191E-2</v>
      </c>
      <c r="F72" s="18">
        <f>IF(ISNUMBER(D72), $B91 * E72, "")</f>
        <v>3418.8034188034189</v>
      </c>
      <c r="G72" s="31">
        <v>119</v>
      </c>
      <c r="H72" s="32">
        <f t="shared" ref="H72:H75" si="31">IF(ISNUMBER(G72), (G72 - $B72) / $B72, "")</f>
        <v>1.7094017094017096E-2</v>
      </c>
      <c r="I72" s="101">
        <f>IF(ISNUMBER(G72), $B91 * H72, "")</f>
        <v>1709.4017094017095</v>
      </c>
      <c r="J72" s="15">
        <v>116</v>
      </c>
      <c r="K72" s="32">
        <f t="shared" ref="K72:K75" si="32">IF(ISNUMBER(J72), (J72 - $B72) / $B72, "")</f>
        <v>-8.5470085470085479E-3</v>
      </c>
      <c r="L72" s="18">
        <f>IF(ISNUMBER(J72), $B91 * K72, "")</f>
        <v>-854.70085470085473</v>
      </c>
      <c r="M72" s="31">
        <v>120</v>
      </c>
      <c r="N72" s="32">
        <f t="shared" ref="N72:N75" si="33">IF(ISNUMBER(M72), (M72 - $B72) / $B72, "")</f>
        <v>2.564102564102564E-2</v>
      </c>
      <c r="O72" s="18">
        <f>IF(ISNUMBER(M72), $B91 * N72, "")</f>
        <v>2564.102564102564</v>
      </c>
      <c r="Q72" s="248"/>
      <c r="R72" s="248"/>
      <c r="S72" s="248"/>
    </row>
    <row r="73" spans="1:19" ht="17.25" thickBot="1">
      <c r="A73" s="125" t="s">
        <v>162</v>
      </c>
      <c r="B73" s="126">
        <v>111</v>
      </c>
      <c r="C73" s="77">
        <v>4.7169811300000003E-2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114</v>
      </c>
      <c r="H73" s="32">
        <f t="shared" si="31"/>
        <v>2.7027027027027029E-2</v>
      </c>
      <c r="I73" s="101">
        <f>IF(ISNUMBER(G73), $B91 * H73, "")</f>
        <v>2702.7027027027029</v>
      </c>
      <c r="J73" s="15">
        <v>113</v>
      </c>
      <c r="K73" s="32">
        <f t="shared" si="32"/>
        <v>1.8018018018018018E-2</v>
      </c>
      <c r="L73" s="18">
        <f>IF(ISNUMBER(J73), $B91 * K73, "")</f>
        <v>1801.8018018018017</v>
      </c>
      <c r="M73" s="31">
        <v>116</v>
      </c>
      <c r="N73" s="32">
        <f t="shared" si="33"/>
        <v>4.5045045045045043E-2</v>
      </c>
      <c r="O73" s="18">
        <f>IF(ISNUMBER(M73), $B91 * N73, "")</f>
        <v>4504.5045045045044</v>
      </c>
      <c r="Q73" s="238"/>
      <c r="R73" s="238"/>
      <c r="S73" s="238"/>
    </row>
    <row r="74" spans="1:19" ht="17.25" thickBot="1">
      <c r="A74" s="125" t="s">
        <v>51</v>
      </c>
      <c r="B74" s="126">
        <v>403</v>
      </c>
      <c r="C74" s="77">
        <v>4.40414508E-2</v>
      </c>
      <c r="D74" s="15">
        <v>417</v>
      </c>
      <c r="E74" s="32">
        <f t="shared" si="30"/>
        <v>3.4739454094292806E-2</v>
      </c>
      <c r="F74" s="18">
        <f>IF(ISNUMBER(D74), $B91 * E74, "")</f>
        <v>3473.9454094292805</v>
      </c>
      <c r="G74" s="31">
        <v>417</v>
      </c>
      <c r="H74" s="32">
        <f t="shared" si="31"/>
        <v>3.4739454094292806E-2</v>
      </c>
      <c r="I74" s="101">
        <f>IF(ISNUMBER(G74), $B91 * H74, "")</f>
        <v>3473.9454094292805</v>
      </c>
      <c r="J74" s="15">
        <v>419</v>
      </c>
      <c r="K74" s="32">
        <f t="shared" si="32"/>
        <v>3.9702233250620347E-2</v>
      </c>
      <c r="L74" s="18">
        <f>IF(ISNUMBER(J74), $B91 * K74, "")</f>
        <v>3970.2233250620347</v>
      </c>
      <c r="M74" s="31">
        <v>433</v>
      </c>
      <c r="N74" s="32">
        <f t="shared" si="33"/>
        <v>7.4441687344913146E-2</v>
      </c>
      <c r="O74" s="18">
        <f>IF(ISNUMBER(M74), $B91 * N74, "")</f>
        <v>7444.1687344913144</v>
      </c>
      <c r="Q74" s="238"/>
      <c r="R74" s="238"/>
      <c r="S74" s="238"/>
    </row>
    <row r="75" spans="1:19" ht="17.25" thickBot="1">
      <c r="A75" s="127" t="s">
        <v>118</v>
      </c>
      <c r="B75" s="128">
        <v>170</v>
      </c>
      <c r="C75" s="78">
        <v>4.2944785300000003E-2</v>
      </c>
      <c r="D75" s="20">
        <v>176</v>
      </c>
      <c r="E75" s="21">
        <f t="shared" si="30"/>
        <v>3.5294117647058823E-2</v>
      </c>
      <c r="F75" s="22">
        <f>IF(ISNUMBER(D75), $B91 * E75, "")</f>
        <v>3529.4117647058824</v>
      </c>
      <c r="G75" s="30">
        <v>173</v>
      </c>
      <c r="H75" s="21">
        <f t="shared" si="31"/>
        <v>1.7647058823529412E-2</v>
      </c>
      <c r="I75" s="105">
        <f>IF(ISNUMBER(G75), $B91 * H75, "")</f>
        <v>1764.7058823529412</v>
      </c>
      <c r="J75" s="20">
        <v>173</v>
      </c>
      <c r="K75" s="21">
        <f t="shared" si="32"/>
        <v>1.7647058823529412E-2</v>
      </c>
      <c r="L75" s="22">
        <f>IF(ISNUMBER(J75), $B91 * K75, "")</f>
        <v>1764.7058823529412</v>
      </c>
      <c r="M75" s="30">
        <v>174</v>
      </c>
      <c r="N75" s="21">
        <f t="shared" si="33"/>
        <v>2.3529411764705882E-2</v>
      </c>
      <c r="O75" s="22">
        <f>IF(ISNUMBER(M75), $B91 * N75, "")</f>
        <v>2352.9411764705883</v>
      </c>
      <c r="Q75" s="238"/>
      <c r="R75" s="238"/>
      <c r="S75" s="238"/>
    </row>
    <row r="76" spans="1:19" ht="17.25" thickBot="1">
      <c r="A76" s="125" t="s">
        <v>124</v>
      </c>
      <c r="B76" s="129">
        <v>382</v>
      </c>
      <c r="C76" s="80">
        <v>4.08719346E-2</v>
      </c>
      <c r="D76" s="106">
        <v>390</v>
      </c>
      <c r="E76" s="107">
        <f>IF(ISNUMBER(D76), (D76 - $B76) / $B76, "")</f>
        <v>2.0942408376963352E-2</v>
      </c>
      <c r="F76" s="108">
        <f>IF(ISNUMBER(D76), $B91 * E76, "")</f>
        <v>2094.2408376963353</v>
      </c>
      <c r="G76" s="109">
        <v>387</v>
      </c>
      <c r="H76" s="107">
        <f>IF(ISNUMBER(G76), (G76 - $B76) / $B76, "")</f>
        <v>1.3089005235602094E-2</v>
      </c>
      <c r="I76" s="110">
        <f>IF(ISNUMBER(G76), $B91 * H76, "")</f>
        <v>1308.9005235602094</v>
      </c>
      <c r="J76" s="106">
        <v>381</v>
      </c>
      <c r="K76" s="107">
        <f>IF(ISNUMBER(J76), (J76 - $B76) / $B76, "")</f>
        <v>-2.617801047120419E-3</v>
      </c>
      <c r="L76" s="108">
        <f>IF(ISNUMBER(J76), $B91 * K76, "")</f>
        <v>-261.78010471204192</v>
      </c>
      <c r="M76" s="109">
        <v>389</v>
      </c>
      <c r="N76" s="107">
        <f>IF(ISNUMBER(M76), (M76 - $B76) / $B76, "")</f>
        <v>1.832460732984293E-2</v>
      </c>
      <c r="O76" s="108">
        <f>IF(ISNUMBER(M76), $B91 * N76, "")</f>
        <v>1832.4607329842931</v>
      </c>
      <c r="Q76" s="238"/>
      <c r="R76" s="238"/>
      <c r="S76" s="238"/>
    </row>
    <row r="77" spans="1:19" ht="17.25" thickBot="1">
      <c r="A77" s="125" t="s">
        <v>128</v>
      </c>
      <c r="B77" s="126">
        <v>131</v>
      </c>
      <c r="C77" s="77">
        <v>3.9682539699999998E-2</v>
      </c>
      <c r="D77" s="15">
        <v>144</v>
      </c>
      <c r="E77" s="32">
        <f t="shared" ref="E77:E80" si="34">IF(ISNUMBER(D77), (D77 - $B77) / $B77, "")</f>
        <v>9.9236641221374045E-2</v>
      </c>
      <c r="F77" s="18">
        <f>IF(ISNUMBER(D77), $B91 * E77, "")</f>
        <v>9923.6641221374048</v>
      </c>
      <c r="G77" s="31">
        <v>143</v>
      </c>
      <c r="H77" s="32">
        <f t="shared" ref="H77:H80" si="35">IF(ISNUMBER(G77), (G77 - $B77) / $B77, "")</f>
        <v>9.1603053435114504E-2</v>
      </c>
      <c r="I77" s="101">
        <f>IF(ISNUMBER(G77), $B91 * H77, "")</f>
        <v>9160.3053435114507</v>
      </c>
      <c r="J77" s="15">
        <v>143</v>
      </c>
      <c r="K77" s="32">
        <f t="shared" ref="K77:K80" si="36">IF(ISNUMBER(J77), (J77 - $B77) / $B77, "")</f>
        <v>9.1603053435114504E-2</v>
      </c>
      <c r="L77" s="18">
        <f>IF(ISNUMBER(J77), $B91 * K77, "")</f>
        <v>9160.3053435114507</v>
      </c>
      <c r="M77" s="31">
        <v>153</v>
      </c>
      <c r="N77" s="32">
        <f t="shared" ref="N77:N80" si="37">IF(ISNUMBER(M77), (M77 - $B77) / $B77, "")</f>
        <v>0.16793893129770993</v>
      </c>
      <c r="O77" s="18">
        <f>IF(ISNUMBER(M77), $B91 * N77, "")</f>
        <v>16793.893129770993</v>
      </c>
      <c r="Q77" s="238"/>
      <c r="R77" s="238"/>
      <c r="S77" s="238"/>
    </row>
    <row r="78" spans="1:19" ht="17.25" thickBot="1">
      <c r="A78" s="125" t="s">
        <v>80</v>
      </c>
      <c r="B78" s="126">
        <v>872</v>
      </c>
      <c r="C78" s="77">
        <v>3.8095238099999998E-2</v>
      </c>
      <c r="D78" s="15">
        <v>896</v>
      </c>
      <c r="E78" s="32">
        <f t="shared" si="34"/>
        <v>2.7522935779816515E-2</v>
      </c>
      <c r="F78" s="18">
        <f>IF(ISNUMBER(D78), $B91 * E78, "")</f>
        <v>2752.2935779816517</v>
      </c>
      <c r="G78" s="31">
        <v>883</v>
      </c>
      <c r="H78" s="32">
        <f t="shared" si="35"/>
        <v>1.261467889908257E-2</v>
      </c>
      <c r="I78" s="101">
        <f>IF(ISNUMBER(G78), $B91 * H78, "")</f>
        <v>1261.4678899082569</v>
      </c>
      <c r="J78" s="15">
        <v>878</v>
      </c>
      <c r="K78" s="32">
        <f t="shared" si="36"/>
        <v>6.8807339449541288E-3</v>
      </c>
      <c r="L78" s="18">
        <f>IF(ISNUMBER(J78), $B91 * K78, "")</f>
        <v>688.07339449541291</v>
      </c>
      <c r="M78" s="31">
        <v>895</v>
      </c>
      <c r="N78" s="32">
        <f t="shared" si="37"/>
        <v>2.6376146788990827E-2</v>
      </c>
      <c r="O78" s="18">
        <f>IF(ISNUMBER(M78), $B91 * N78, "")</f>
        <v>2637.6146788990827</v>
      </c>
      <c r="Q78" s="238"/>
      <c r="R78" s="238"/>
      <c r="S78" s="238"/>
    </row>
    <row r="79" spans="1:19" ht="17.25" thickBot="1">
      <c r="A79" s="125" t="s">
        <v>254</v>
      </c>
      <c r="B79" s="126">
        <v>315</v>
      </c>
      <c r="C79" s="77">
        <v>3.6184210500000001E-2</v>
      </c>
      <c r="D79" s="15">
        <v>319</v>
      </c>
      <c r="E79" s="32">
        <f t="shared" si="34"/>
        <v>1.2698412698412698E-2</v>
      </c>
      <c r="F79" s="18">
        <f>IF(ISNUMBER(D79), $B91 * E79, "")</f>
        <v>1269.8412698412699</v>
      </c>
      <c r="G79" s="31">
        <v>312</v>
      </c>
      <c r="H79" s="32">
        <f t="shared" si="35"/>
        <v>-9.5238095238095247E-3</v>
      </c>
      <c r="I79" s="101">
        <f>IF(ISNUMBER(G79), $B91 * H79, "")</f>
        <v>-952.38095238095252</v>
      </c>
      <c r="J79" s="15">
        <v>315</v>
      </c>
      <c r="K79" s="32">
        <f t="shared" si="36"/>
        <v>0</v>
      </c>
      <c r="L79" s="18">
        <f>IF(ISNUMBER(J79), $B91 * K79, "")</f>
        <v>0</v>
      </c>
      <c r="M79" s="31">
        <v>320</v>
      </c>
      <c r="N79" s="32">
        <f t="shared" si="37"/>
        <v>1.5873015873015872E-2</v>
      </c>
      <c r="O79" s="18">
        <f>IF(ISNUMBER(M79), $B91 * N79, "")</f>
        <v>1587.3015873015872</v>
      </c>
      <c r="Q79" s="33"/>
      <c r="R79" s="33"/>
    </row>
    <row r="80" spans="1:19" ht="17.25" thickBot="1">
      <c r="A80" s="130" t="s">
        <v>206</v>
      </c>
      <c r="B80" s="131">
        <v>349</v>
      </c>
      <c r="C80" s="79">
        <v>2.9498525099999999E-2</v>
      </c>
      <c r="D80" s="24">
        <v>350</v>
      </c>
      <c r="E80" s="25">
        <f t="shared" si="34"/>
        <v>2.8653295128939827E-3</v>
      </c>
      <c r="F80" s="104">
        <f>IF(ISNUMBER(D80), $B91 * E80, "")</f>
        <v>286.53295128939828</v>
      </c>
      <c r="G80" s="102">
        <v>348</v>
      </c>
      <c r="H80" s="25">
        <f t="shared" si="35"/>
        <v>-2.8653295128939827E-3</v>
      </c>
      <c r="I80" s="103">
        <f>IF(ISNUMBER(G80), $B91 * H80, "")</f>
        <v>-286.53295128939828</v>
      </c>
      <c r="J80" s="24">
        <v>347</v>
      </c>
      <c r="K80" s="25">
        <f t="shared" si="36"/>
        <v>-5.7306590257879654E-3</v>
      </c>
      <c r="L80" s="104">
        <f>IF(ISNUMBER(J80), $B91 * K80, "")</f>
        <v>-573.06590257879657</v>
      </c>
      <c r="M80" s="102">
        <v>350</v>
      </c>
      <c r="N80" s="25">
        <f t="shared" si="37"/>
        <v>2.8653295128939827E-3</v>
      </c>
      <c r="O80" s="104">
        <f>IF(ISNUMBER(M80), $B91 * N80, "")</f>
        <v>286.53295128939828</v>
      </c>
      <c r="Q80" s="239"/>
      <c r="R80" s="240"/>
      <c r="S80" s="241"/>
    </row>
    <row r="81" spans="1:19">
      <c r="A81" s="123" t="s">
        <v>57</v>
      </c>
      <c r="B81" s="124">
        <v>226</v>
      </c>
      <c r="C81" s="76">
        <v>2.7272727300000001E-2</v>
      </c>
      <c r="D81" s="13">
        <v>235</v>
      </c>
      <c r="E81" s="14">
        <f>IF(ISNUMBER(D81), (D81 - $B81) / $B81, "")</f>
        <v>3.9823008849557522E-2</v>
      </c>
      <c r="F81" s="16">
        <f>IF(ISNUMBER(D81), $B91 * E81, "")</f>
        <v>3982.3008849557523</v>
      </c>
      <c r="G81" s="29">
        <v>232</v>
      </c>
      <c r="H81" s="14">
        <f>IF(ISNUMBER(G81), (G81 - $B81) / $B81, "")</f>
        <v>2.6548672566371681E-2</v>
      </c>
      <c r="I81" s="100">
        <f>IF(ISNUMBER(G81), $B91 * H81, "")</f>
        <v>2654.8672566371679</v>
      </c>
      <c r="J81" s="13">
        <v>234</v>
      </c>
      <c r="K81" s="14">
        <f>IF(ISNUMBER(J81), (J81 - $B81) / $B81, "")</f>
        <v>3.5398230088495575E-2</v>
      </c>
      <c r="L81" s="16">
        <f>IF(ISNUMBER(J81), $B91 * K81, "")</f>
        <v>3539.8230088495575</v>
      </c>
      <c r="M81" s="29">
        <v>241</v>
      </c>
      <c r="N81" s="14">
        <f>IF(ISNUMBER(M81), (M81 - $B81) / $B81, "")</f>
        <v>6.637168141592921E-2</v>
      </c>
      <c r="O81" s="16">
        <f>IF(ISNUMBER(M81), $B91 * N81, "")</f>
        <v>6637.1681415929206</v>
      </c>
      <c r="Q81" s="242"/>
      <c r="R81" s="243"/>
      <c r="S81" s="244"/>
    </row>
    <row r="82" spans="1:19" ht="17.25" thickBot="1">
      <c r="A82" s="125" t="s">
        <v>152</v>
      </c>
      <c r="B82" s="126">
        <v>101</v>
      </c>
      <c r="C82" s="77">
        <v>2.4340770800000001E-2</v>
      </c>
      <c r="D82" s="15">
        <v>102</v>
      </c>
      <c r="E82" s="32">
        <f t="shared" ref="E82:E85" si="38">IF(ISNUMBER(D82), (D82 - $B82) / $B82, "")</f>
        <v>9.9009900990099011E-3</v>
      </c>
      <c r="F82" s="18">
        <f>IF(ISNUMBER(D82), $B91 * E82, "")</f>
        <v>990.09900990099015</v>
      </c>
      <c r="G82" s="31">
        <v>103</v>
      </c>
      <c r="H82" s="32">
        <f t="shared" ref="H82:H85" si="39">IF(ISNUMBER(G82), (G82 - $B82) / $B82, "")</f>
        <v>1.9801980198019802E-2</v>
      </c>
      <c r="I82" s="101">
        <f>IF(ISNUMBER(G82), $B91 * H82, "")</f>
        <v>1980.1980198019803</v>
      </c>
      <c r="J82" s="15">
        <v>102</v>
      </c>
      <c r="K82" s="32">
        <f t="shared" ref="K82:K85" si="40">IF(ISNUMBER(J82), (J82 - $B82) / $B82, "")</f>
        <v>9.9009900990099011E-3</v>
      </c>
      <c r="L82" s="18">
        <f>IF(ISNUMBER(J82), $B91 * K82, "")</f>
        <v>990.09900990099015</v>
      </c>
      <c r="M82" s="31">
        <v>105</v>
      </c>
      <c r="N82" s="32">
        <f t="shared" ref="N82:N85" si="41">IF(ISNUMBER(M82), (M82 - $B82) / $B82, "")</f>
        <v>3.9603960396039604E-2</v>
      </c>
      <c r="O82" s="18">
        <f>IF(ISNUMBER(M82), $B91 * N82, "")</f>
        <v>3960.3960396039606</v>
      </c>
      <c r="Q82" s="245"/>
      <c r="R82" s="246"/>
      <c r="S82" s="247"/>
    </row>
    <row r="83" spans="1:19" ht="17.25" thickBot="1">
      <c r="A83" s="125" t="s">
        <v>266</v>
      </c>
      <c r="B83" s="126">
        <v>317</v>
      </c>
      <c r="C83" s="77">
        <v>2.2580645199999999E-2</v>
      </c>
      <c r="D83" s="15">
        <v>336</v>
      </c>
      <c r="E83" s="32">
        <f t="shared" si="38"/>
        <v>5.993690851735016E-2</v>
      </c>
      <c r="F83" s="18">
        <f>IF(ISNUMBER(D83), $B91 * E83, "")</f>
        <v>5993.6908517350157</v>
      </c>
      <c r="G83" s="31">
        <v>332</v>
      </c>
      <c r="H83" s="32">
        <f t="shared" si="39"/>
        <v>4.7318611987381701E-2</v>
      </c>
      <c r="I83" s="101">
        <f>IF(ISNUMBER(G83), $B91 * H83, "")</f>
        <v>4731.8611987381701</v>
      </c>
      <c r="J83" s="15">
        <v>325</v>
      </c>
      <c r="K83" s="32">
        <f t="shared" si="40"/>
        <v>2.5236593059936908E-2</v>
      </c>
      <c r="L83" s="18">
        <f>IF(ISNUMBER(J83), $B91 * K83, "")</f>
        <v>2523.6593059936909</v>
      </c>
      <c r="M83" s="31">
        <v>339</v>
      </c>
      <c r="N83" s="32">
        <f t="shared" si="41"/>
        <v>6.9400630914826497E-2</v>
      </c>
      <c r="O83" s="18">
        <f>IF(ISNUMBER(M83), $B91 * N83, "")</f>
        <v>6940.0630914826497</v>
      </c>
      <c r="Q83" s="238"/>
      <c r="R83" s="238"/>
      <c r="S83" s="238"/>
    </row>
    <row r="84" spans="1:19" ht="17.25" thickBot="1">
      <c r="A84" s="125" t="s">
        <v>110</v>
      </c>
      <c r="B84" s="126">
        <v>189</v>
      </c>
      <c r="C84" s="77">
        <v>2.1621621600000002E-2</v>
      </c>
      <c r="D84" s="15">
        <v>201</v>
      </c>
      <c r="E84" s="32">
        <f t="shared" si="38"/>
        <v>6.3492063492063489E-2</v>
      </c>
      <c r="F84" s="18">
        <f>IF(ISNUMBER(D84), $B91 * E84, "")</f>
        <v>6349.2063492063489</v>
      </c>
      <c r="G84" s="31">
        <v>194</v>
      </c>
      <c r="H84" s="32">
        <f t="shared" si="39"/>
        <v>2.6455026455026454E-2</v>
      </c>
      <c r="I84" s="101">
        <f>IF(ISNUMBER(G84), $B91 * H84, "")</f>
        <v>2645.5026455026455</v>
      </c>
      <c r="J84" s="15">
        <v>192</v>
      </c>
      <c r="K84" s="32">
        <f t="shared" si="40"/>
        <v>1.5873015873015872E-2</v>
      </c>
      <c r="L84" s="18">
        <f>IF(ISNUMBER(J84), $B91 * K84, "")</f>
        <v>1587.3015873015872</v>
      </c>
      <c r="M84" s="31">
        <v>197</v>
      </c>
      <c r="N84" s="32">
        <f t="shared" si="41"/>
        <v>4.2328042328042326E-2</v>
      </c>
      <c r="O84" s="18">
        <f>IF(ISNUMBER(M84), $B91 * N84, "")</f>
        <v>4232.8042328042329</v>
      </c>
      <c r="Q84" s="248"/>
      <c r="R84" s="248"/>
      <c r="S84" s="248"/>
    </row>
    <row r="85" spans="1:19" ht="17.25" thickBot="1">
      <c r="A85" s="127" t="s">
        <v>236</v>
      </c>
      <c r="B85" s="128">
        <v>634</v>
      </c>
      <c r="C85" s="78">
        <v>1.9292604500000001E-2</v>
      </c>
      <c r="D85" s="20">
        <v>695</v>
      </c>
      <c r="E85" s="21">
        <f t="shared" si="38"/>
        <v>9.6214511041009462E-2</v>
      </c>
      <c r="F85" s="22">
        <f>IF(ISNUMBER(D85), $B91 * E85, "")</f>
        <v>9621.4511041009464</v>
      </c>
      <c r="G85" s="30">
        <v>673</v>
      </c>
      <c r="H85" s="21">
        <f t="shared" si="39"/>
        <v>6.1514195583596214E-2</v>
      </c>
      <c r="I85" s="105">
        <f>IF(ISNUMBER(G85), $B91 * H85, "")</f>
        <v>6151.4195583596211</v>
      </c>
      <c r="J85" s="20">
        <v>678</v>
      </c>
      <c r="K85" s="21">
        <f t="shared" si="40"/>
        <v>6.9400630914826497E-2</v>
      </c>
      <c r="L85" s="22">
        <f>IF(ISNUMBER(J85), $B91 * K85, "")</f>
        <v>6940.0630914826497</v>
      </c>
      <c r="M85" s="30">
        <v>684</v>
      </c>
      <c r="N85" s="21">
        <f t="shared" si="41"/>
        <v>7.8864353312302835E-2</v>
      </c>
      <c r="O85" s="22">
        <f>IF(ISNUMBER(M85), $B91 * N85, "")</f>
        <v>7886.4353312302837</v>
      </c>
      <c r="Q85" s="248"/>
      <c r="R85" s="248"/>
      <c r="S85" s="248"/>
    </row>
    <row r="86" spans="1:19" ht="17.25" thickBot="1">
      <c r="A86" s="125" t="s">
        <v>238</v>
      </c>
      <c r="B86" s="129">
        <v>107</v>
      </c>
      <c r="C86" s="80">
        <v>1.9047618999999998E-2</v>
      </c>
      <c r="D86" s="106">
        <v>112</v>
      </c>
      <c r="E86" s="107">
        <f>IF(ISNUMBER(D86), (D86 - $B86) / $B86, "")</f>
        <v>4.6728971962616821E-2</v>
      </c>
      <c r="F86" s="108">
        <f>IF(ISNUMBER(D86), $B91 * E86, "")</f>
        <v>4672.8971962616824</v>
      </c>
      <c r="G86" s="109">
        <v>110</v>
      </c>
      <c r="H86" s="107">
        <f>IF(ISNUMBER(G86), (G86 - $B86) / $B86, "")</f>
        <v>2.8037383177570093E-2</v>
      </c>
      <c r="I86" s="110">
        <f>IF(ISNUMBER(G86), $B91 * H86, "")</f>
        <v>2803.7383177570091</v>
      </c>
      <c r="J86" s="106">
        <v>108</v>
      </c>
      <c r="K86" s="107">
        <f>IF(ISNUMBER(J86), (J86 - $B86) / $B86, "")</f>
        <v>9.3457943925233638E-3</v>
      </c>
      <c r="L86" s="108">
        <f>IF(ISNUMBER(J86), $B91 * K86, "")</f>
        <v>934.57943925233633</v>
      </c>
      <c r="M86" s="109">
        <v>111</v>
      </c>
      <c r="N86" s="107">
        <f>IF(ISNUMBER(M86), (M86 - $B86) / $B86, "")</f>
        <v>3.7383177570093455E-2</v>
      </c>
      <c r="O86" s="108">
        <f>IF(ISNUMBER(M86), $B91 * N86, "")</f>
        <v>3738.3177570093453</v>
      </c>
      <c r="Q86" s="238"/>
      <c r="R86" s="238"/>
      <c r="S86" s="238"/>
    </row>
    <row r="87" spans="1:19" ht="17.25" thickBot="1">
      <c r="A87" s="125" t="s">
        <v>174</v>
      </c>
      <c r="B87" s="126">
        <v>353</v>
      </c>
      <c r="C87" s="77">
        <v>1.7291066300000001E-2</v>
      </c>
      <c r="D87" s="15">
        <v>357</v>
      </c>
      <c r="E87" s="32">
        <f t="shared" ref="E87:E90" si="42">IF(ISNUMBER(D87), (D87 - $B87) / $B87, "")</f>
        <v>1.1331444759206799E-2</v>
      </c>
      <c r="F87" s="18">
        <f>IF(ISNUMBER(D87), $B91 * E87, "")</f>
        <v>1133.14447592068</v>
      </c>
      <c r="G87" s="31">
        <v>352</v>
      </c>
      <c r="H87" s="32">
        <f t="shared" ref="H87:H90" si="43">IF(ISNUMBER(G87), (G87 - $B87) / $B87, "")</f>
        <v>-2.8328611898016999E-3</v>
      </c>
      <c r="I87" s="101">
        <f>IF(ISNUMBER(G87), $B91 * H87, "")</f>
        <v>-283.28611898016999</v>
      </c>
      <c r="J87" s="15">
        <v>352</v>
      </c>
      <c r="K87" s="32">
        <f t="shared" ref="K87:K90" si="44">IF(ISNUMBER(J87), (J87 - $B87) / $B87, "")</f>
        <v>-2.8328611898016999E-3</v>
      </c>
      <c r="L87" s="18">
        <f>IF(ISNUMBER(J87), $B91 * K87, "")</f>
        <v>-283.28611898016999</v>
      </c>
      <c r="M87" s="31">
        <v>356</v>
      </c>
      <c r="N87" s="32">
        <f t="shared" ref="N87:N90" si="45">IF(ISNUMBER(M87), (M87 - $B87) / $B87, "")</f>
        <v>8.4985835694051E-3</v>
      </c>
      <c r="O87" s="18">
        <f>IF(ISNUMBER(M87), $B91 * N87, "")</f>
        <v>849.85835694051002</v>
      </c>
      <c r="Q87" s="238"/>
      <c r="R87" s="238"/>
      <c r="S87" s="238"/>
    </row>
    <row r="88" spans="1:19" ht="17.25" thickBot="1">
      <c r="A88" s="125" t="s">
        <v>200</v>
      </c>
      <c r="B88" s="126">
        <v>143</v>
      </c>
      <c r="C88" s="77">
        <v>1.4184397200000001E-2</v>
      </c>
      <c r="D88" s="15">
        <v>146</v>
      </c>
      <c r="E88" s="32">
        <f t="shared" si="42"/>
        <v>2.097902097902098E-2</v>
      </c>
      <c r="F88" s="18">
        <f>IF(ISNUMBER(D88), $B91 * E88, "")</f>
        <v>2097.9020979020979</v>
      </c>
      <c r="G88" s="31">
        <v>143</v>
      </c>
      <c r="H88" s="32">
        <f t="shared" si="43"/>
        <v>0</v>
      </c>
      <c r="I88" s="101">
        <f>IF(ISNUMBER(G88), $B91 * H88, "")</f>
        <v>0</v>
      </c>
      <c r="J88" s="15">
        <v>143</v>
      </c>
      <c r="K88" s="32">
        <f t="shared" si="44"/>
        <v>0</v>
      </c>
      <c r="L88" s="18">
        <f>IF(ISNUMBER(J88), $B91 * K88, "")</f>
        <v>0</v>
      </c>
      <c r="M88" s="31">
        <v>144</v>
      </c>
      <c r="N88" s="32">
        <f t="shared" si="45"/>
        <v>6.993006993006993E-3</v>
      </c>
      <c r="O88" s="18">
        <f>IF(ISNUMBER(M88), $B91 * N88, "")</f>
        <v>699.30069930069931</v>
      </c>
      <c r="Q88" s="238"/>
      <c r="R88" s="238"/>
      <c r="S88" s="238"/>
    </row>
    <row r="89" spans="1:19">
      <c r="A89" s="125" t="s">
        <v>220</v>
      </c>
      <c r="B89" s="126">
        <v>216</v>
      </c>
      <c r="C89" s="77">
        <v>1.4084507E-2</v>
      </c>
      <c r="D89" s="15">
        <v>217</v>
      </c>
      <c r="E89" s="32">
        <f t="shared" si="42"/>
        <v>4.6296296296296294E-3</v>
      </c>
      <c r="F89" s="18">
        <f>IF(ISNUMBER(D89), $B91 * E89, "")</f>
        <v>462.96296296296293</v>
      </c>
      <c r="G89" s="31">
        <v>216</v>
      </c>
      <c r="H89" s="32">
        <f t="shared" si="43"/>
        <v>0</v>
      </c>
      <c r="I89" s="101">
        <f>IF(ISNUMBER(G89), $B91 * H89, "")</f>
        <v>0</v>
      </c>
      <c r="J89" s="15">
        <v>215</v>
      </c>
      <c r="K89" s="32">
        <f t="shared" si="44"/>
        <v>-4.6296296296296294E-3</v>
      </c>
      <c r="L89" s="18">
        <f>IF(ISNUMBER(J89), $B91 * K89, "")</f>
        <v>-462.96296296296293</v>
      </c>
      <c r="M89" s="31">
        <v>218</v>
      </c>
      <c r="N89" s="32">
        <f t="shared" si="45"/>
        <v>9.2592592592592587E-3</v>
      </c>
      <c r="O89" s="18">
        <f>IF(ISNUMBER(M89), $B91 * N89, "")</f>
        <v>925.92592592592587</v>
      </c>
      <c r="Q89" s="227"/>
      <c r="R89" s="228"/>
      <c r="S89" s="229"/>
    </row>
    <row r="90" spans="1:19" ht="17.25" thickBot="1">
      <c r="A90" s="130" t="s">
        <v>194</v>
      </c>
      <c r="B90" s="131">
        <v>144</v>
      </c>
      <c r="C90" s="79">
        <v>1.4084507E-2</v>
      </c>
      <c r="D90" s="24">
        <v>157</v>
      </c>
      <c r="E90" s="25">
        <f t="shared" si="42"/>
        <v>9.0277777777777776E-2</v>
      </c>
      <c r="F90" s="104">
        <f>IF(ISNUMBER(D90), $B91 * E90, "")</f>
        <v>9027.7777777777774</v>
      </c>
      <c r="G90" s="102">
        <v>152</v>
      </c>
      <c r="H90" s="25">
        <f t="shared" si="43"/>
        <v>5.5555555555555552E-2</v>
      </c>
      <c r="I90" s="103">
        <f>IF(ISNUMBER(G90), $B91 * H90, "")</f>
        <v>5555.5555555555557</v>
      </c>
      <c r="J90" s="24">
        <v>150</v>
      </c>
      <c r="K90" s="25">
        <f t="shared" si="44"/>
        <v>4.1666666666666664E-2</v>
      </c>
      <c r="L90" s="104">
        <f>IF(ISNUMBER(J90), $B91 * K90, "")</f>
        <v>4166.6666666666661</v>
      </c>
      <c r="M90" s="102">
        <v>154</v>
      </c>
      <c r="N90" s="25">
        <f t="shared" si="45"/>
        <v>6.9444444444444448E-2</v>
      </c>
      <c r="O90" s="104">
        <f>IF(ISNUMBER(M90), $B91 * N90, "")</f>
        <v>6944.4444444444443</v>
      </c>
      <c r="Q90" s="230"/>
      <c r="R90" s="231"/>
      <c r="S90" s="232"/>
    </row>
    <row r="91" spans="1:19" ht="17.25" thickBot="1">
      <c r="A91" s="132" t="s">
        <v>270</v>
      </c>
      <c r="B91" s="291">
        <f>$B$37</f>
        <v>100000</v>
      </c>
      <c r="C91" s="292"/>
      <c r="D91" s="26" t="s">
        <v>271</v>
      </c>
      <c r="E91" s="27">
        <f>IF(COUNT(E71:E90), SUM(E71:E90) / COUNT(E71:E90), 0)</f>
        <v>3.6456651773960146E-2</v>
      </c>
      <c r="F91" s="28">
        <f>SUM(F71:F90)</f>
        <v>72913.303547920295</v>
      </c>
      <c r="G91" s="26" t="s">
        <v>271</v>
      </c>
      <c r="H91" s="27">
        <f>IF(COUNT(H71:H90), SUM(H71:H90) / COUNT(H71:H90), 0)</f>
        <v>2.2321620777892785E-2</v>
      </c>
      <c r="I91" s="28">
        <f>SUM(I71:I90)</f>
        <v>44643.241555785571</v>
      </c>
      <c r="J91" s="26" t="s">
        <v>271</v>
      </c>
      <c r="K91" s="27">
        <f>IF(COUNT(K71:K90), SUM(K71:K90) / COUNT(K71:K90), 0)</f>
        <v>1.6946187738976846E-2</v>
      </c>
      <c r="L91" s="28">
        <f>SUM(L71:L90)</f>
        <v>33892.375477953683</v>
      </c>
      <c r="M91" s="26" t="s">
        <v>271</v>
      </c>
      <c r="N91" s="27">
        <f>IF(COUNT(N71:N90), SUM(N71:N90) / COUNT(N71:N90), 0)</f>
        <v>4.1409117040074647E-2</v>
      </c>
      <c r="O91" s="28">
        <f>SUM(O71:O90)</f>
        <v>82818.234080149297</v>
      </c>
      <c r="Q91" s="233"/>
      <c r="R91" s="234"/>
      <c r="S91" s="23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48"/>
      <c r="R94" s="248"/>
      <c r="S94" s="248"/>
    </row>
    <row r="95" spans="1:19" ht="17.25" thickBot="1">
      <c r="A95" s="211" t="s">
        <v>267</v>
      </c>
      <c r="B95" s="249" t="s">
        <v>49</v>
      </c>
      <c r="C95" s="251"/>
      <c r="D95" s="249" t="s">
        <v>58</v>
      </c>
      <c r="E95" s="250"/>
      <c r="F95" s="251"/>
      <c r="G95" s="252">
        <f>_xlfn.IFNA(VLOOKUP(B95, 현재가테이블!$B$2:$D$200, 2, FALSE), "-")</f>
        <v>54440000</v>
      </c>
      <c r="H95" s="253"/>
      <c r="I95" s="254"/>
      <c r="J95" s="249" t="s">
        <v>59</v>
      </c>
      <c r="K95" s="250"/>
      <c r="L95" s="251"/>
      <c r="M95" s="255">
        <f>_xlfn.IFNA(VLOOKUP(B95, 현재가테이블!$B$2:$D$200, 3, FALSE), "-")</f>
        <v>1.07123628E-2</v>
      </c>
      <c r="N95" s="256"/>
      <c r="O95" s="257"/>
      <c r="Q95" s="248"/>
      <c r="R95" s="248"/>
      <c r="S95" s="248"/>
    </row>
    <row r="96" spans="1:19" ht="17.25" thickBot="1">
      <c r="A96" s="293" t="s">
        <v>55</v>
      </c>
      <c r="B96" s="289" t="str">
        <f>TEXT($G$1, "[$-ko-KR]yyyy-mm-dd(ddd) ") &amp; "오전 00:00"</f>
        <v>2021-08-14(토) 오전 00:00</v>
      </c>
      <c r="C96" s="290"/>
      <c r="D96" s="262" t="str">
        <f>TEXT($G$1, "[$-ko-KR]yyyy-mm-dd(ddd) ") &amp; "오후 14:00"</f>
        <v>2021-08-14(토) 오후 14:00</v>
      </c>
      <c r="E96" s="263"/>
      <c r="F96" s="264"/>
      <c r="G96" s="262" t="str">
        <f>TEXT($G$1, "[$-ko-KR]yyyy-mm-dd(ddd) ") &amp; "오후 19:00"</f>
        <v>2021-08-14(토) 오후 19:00</v>
      </c>
      <c r="H96" s="263"/>
      <c r="I96" s="264"/>
      <c r="J96" s="262" t="str">
        <f>TEXT($G$1, "[$-ko-KR]yyyy-mm-dd(ddd) ") &amp; "오후 21:00"</f>
        <v>2021-08-14(토) 오후 21:00</v>
      </c>
      <c r="K96" s="263"/>
      <c r="L96" s="264"/>
      <c r="M96" s="262" t="str">
        <f>TEXT($G$1+1, "[$-ko-KR]yyyy-mm-dd(ddd) ") &amp; "오전 00:00"</f>
        <v>2021-08-15(일) 오전 00:00</v>
      </c>
      <c r="N96" s="263"/>
      <c r="O96" s="264"/>
      <c r="Q96" s="248"/>
      <c r="R96" s="248"/>
      <c r="S96" s="248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2" t="s">
        <v>58</v>
      </c>
      <c r="H97" s="213" t="s">
        <v>268</v>
      </c>
      <c r="I97" s="2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8"/>
      <c r="R97" s="238"/>
      <c r="S97" s="238"/>
    </row>
    <row r="98" spans="1:19" ht="17.25" thickBot="1">
      <c r="A98" s="123" t="s">
        <v>180</v>
      </c>
      <c r="B98" s="124">
        <v>13940</v>
      </c>
      <c r="C98" s="76">
        <v>0.14921681780000001</v>
      </c>
      <c r="D98" s="13">
        <v>17270</v>
      </c>
      <c r="E98" s="14">
        <f>IF(ISNUMBER(D98), (D98 - $B98) / $B98, "")</f>
        <v>0.23888091822094693</v>
      </c>
      <c r="F98" s="16">
        <f>IF(ISNUMBER(D98), $B118 * E98, "")</f>
        <v>23888.091822094691</v>
      </c>
      <c r="G98" s="29">
        <v>16670</v>
      </c>
      <c r="H98" s="14">
        <f>IF(ISNUMBER(G98), (G98 - $B98) / $B98, "")</f>
        <v>0.19583931133428981</v>
      </c>
      <c r="I98" s="100">
        <f>IF(ISNUMBER(G98), $B118 * H98, "")</f>
        <v>19583.931133428981</v>
      </c>
      <c r="J98" s="13">
        <v>16430</v>
      </c>
      <c r="K98" s="14">
        <f>IF(ISNUMBER(J98), (J98 - $B98) / $B98, "")</f>
        <v>0.17862266857962697</v>
      </c>
      <c r="L98" s="16">
        <f>IF(ISNUMBER(J98), $B118 * K98, "")</f>
        <v>17862.266857962695</v>
      </c>
      <c r="M98" s="29">
        <v>16540</v>
      </c>
      <c r="N98" s="14">
        <f>IF(ISNUMBER(M98), (M98 - $B98) / $B98, "")</f>
        <v>0.18651362984218078</v>
      </c>
      <c r="O98" s="16">
        <f>IF(ISNUMBER(M98), $B118 * N98, "")</f>
        <v>18651.362984218078</v>
      </c>
      <c r="Q98" s="248"/>
      <c r="R98" s="248"/>
      <c r="S98" s="248"/>
    </row>
    <row r="99" spans="1:19" ht="17.25" thickBot="1">
      <c r="A99" s="125" t="s">
        <v>130</v>
      </c>
      <c r="B99" s="126">
        <v>115</v>
      </c>
      <c r="C99" s="77">
        <v>8.4905660399999999E-2</v>
      </c>
      <c r="D99" s="15">
        <v>114</v>
      </c>
      <c r="E99" s="32">
        <f t="shared" ref="E99:E102" si="46">IF(ISNUMBER(D99), (D99 - $B99) / $B99, "")</f>
        <v>-8.6956521739130436E-3</v>
      </c>
      <c r="F99" s="18">
        <f>IF(ISNUMBER(D99), $B118 * E99, "")</f>
        <v>-869.56521739130437</v>
      </c>
      <c r="G99" s="31">
        <v>113</v>
      </c>
      <c r="H99" s="32">
        <f t="shared" ref="H99:H102" si="47">IF(ISNUMBER(G99), (G99 - $B99) / $B99, "")</f>
        <v>-1.7391304347826087E-2</v>
      </c>
      <c r="I99" s="101">
        <f>IF(ISNUMBER(G99), $B118 * H99, "")</f>
        <v>-1739.1304347826087</v>
      </c>
      <c r="J99" s="15">
        <v>113</v>
      </c>
      <c r="K99" s="32">
        <f t="shared" ref="K99:K102" si="48">IF(ISNUMBER(J99), (J99 - $B99) / $B99, "")</f>
        <v>-1.7391304347826087E-2</v>
      </c>
      <c r="L99" s="18">
        <f>IF(ISNUMBER(J99), $B118 * K99, "")</f>
        <v>-1739.1304347826087</v>
      </c>
      <c r="M99" s="31">
        <v>115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48"/>
      <c r="R99" s="248"/>
      <c r="S99" s="248"/>
    </row>
    <row r="100" spans="1:19" ht="17.25" thickBot="1">
      <c r="A100" s="125" t="s">
        <v>82</v>
      </c>
      <c r="B100" s="126">
        <v>2315</v>
      </c>
      <c r="C100" s="77">
        <v>7.6744186000000006E-2</v>
      </c>
      <c r="D100" s="15">
        <v>2485</v>
      </c>
      <c r="E100" s="32">
        <f t="shared" si="46"/>
        <v>7.3434125269978404E-2</v>
      </c>
      <c r="F100" s="18">
        <f>IF(ISNUMBER(D100), $B118 * E100, "")</f>
        <v>7343.4125269978404</v>
      </c>
      <c r="G100" s="31">
        <v>2505</v>
      </c>
      <c r="H100" s="32">
        <f t="shared" si="47"/>
        <v>8.2073434125269976E-2</v>
      </c>
      <c r="I100" s="101">
        <f>IF(ISNUMBER(G100), $B118 * H100, "")</f>
        <v>8207.3434125269978</v>
      </c>
      <c r="J100" s="15">
        <v>2480</v>
      </c>
      <c r="K100" s="32">
        <f t="shared" si="48"/>
        <v>7.1274298056155511E-2</v>
      </c>
      <c r="L100" s="18">
        <f>IF(ISNUMBER(J100), $B118 * K100, "")</f>
        <v>7127.4298056155512</v>
      </c>
      <c r="M100" s="31">
        <v>2570</v>
      </c>
      <c r="N100" s="32">
        <f t="shared" si="49"/>
        <v>0.1101511879049676</v>
      </c>
      <c r="O100" s="18">
        <f>IF(ISNUMBER(M100), $B118 * N100, "")</f>
        <v>11015.118790496759</v>
      </c>
      <c r="Q100" s="238"/>
      <c r="R100" s="238"/>
      <c r="S100" s="238"/>
    </row>
    <row r="101" spans="1:19" ht="17.25" thickBot="1">
      <c r="A101" s="125" t="s">
        <v>144</v>
      </c>
      <c r="B101" s="126">
        <v>117</v>
      </c>
      <c r="C101" s="77">
        <v>6.3636363599999995E-2</v>
      </c>
      <c r="D101" s="15">
        <v>121</v>
      </c>
      <c r="E101" s="32">
        <f t="shared" si="46"/>
        <v>3.4188034188034191E-2</v>
      </c>
      <c r="F101" s="18">
        <f>IF(ISNUMBER(D101), $B118 * E101, "")</f>
        <v>3418.8034188034189</v>
      </c>
      <c r="G101" s="31">
        <v>119</v>
      </c>
      <c r="H101" s="32">
        <f t="shared" si="47"/>
        <v>1.7094017094017096E-2</v>
      </c>
      <c r="I101" s="101">
        <f>IF(ISNUMBER(G101), $B118 * H101, "")</f>
        <v>1709.4017094017095</v>
      </c>
      <c r="J101" s="15">
        <v>116</v>
      </c>
      <c r="K101" s="32">
        <f t="shared" si="48"/>
        <v>-8.5470085470085479E-3</v>
      </c>
      <c r="L101" s="18">
        <f>IF(ISNUMBER(J101), $B118 * K101, "")</f>
        <v>-854.70085470085473</v>
      </c>
      <c r="M101" s="31">
        <v>120</v>
      </c>
      <c r="N101" s="32">
        <f t="shared" si="49"/>
        <v>2.564102564102564E-2</v>
      </c>
      <c r="O101" s="18">
        <f>IF(ISNUMBER(M101), $B118 * N101, "")</f>
        <v>2564.102564102564</v>
      </c>
      <c r="Q101" s="238"/>
      <c r="R101" s="238"/>
      <c r="S101" s="238"/>
    </row>
    <row r="102" spans="1:19" ht="17.25" thickBot="1">
      <c r="A102" s="127" t="s">
        <v>140</v>
      </c>
      <c r="B102" s="128">
        <v>6280</v>
      </c>
      <c r="C102" s="78">
        <v>6.3505503800000002E-2</v>
      </c>
      <c r="D102" s="20">
        <v>6480</v>
      </c>
      <c r="E102" s="21">
        <f t="shared" si="46"/>
        <v>3.1847133757961783E-2</v>
      </c>
      <c r="F102" s="22">
        <f>IF(ISNUMBER(D102), $B118 * E102, "")</f>
        <v>3184.7133757961783</v>
      </c>
      <c r="G102" s="30">
        <v>6390</v>
      </c>
      <c r="H102" s="21">
        <f t="shared" si="47"/>
        <v>1.751592356687898E-2</v>
      </c>
      <c r="I102" s="105">
        <f>IF(ISNUMBER(G102), $B118 * H102, "")</f>
        <v>1751.592356687898</v>
      </c>
      <c r="J102" s="20">
        <v>6365</v>
      </c>
      <c r="K102" s="21">
        <f t="shared" si="48"/>
        <v>1.3535031847133758E-2</v>
      </c>
      <c r="L102" s="22">
        <f>IF(ISNUMBER(J102), $B118 * K102, "")</f>
        <v>1353.5031847133757</v>
      </c>
      <c r="M102" s="30">
        <v>6470</v>
      </c>
      <c r="N102" s="21">
        <f t="shared" si="49"/>
        <v>3.0254777070063694E-2</v>
      </c>
      <c r="O102" s="22">
        <f>IF(ISNUMBER(M102), $B118 * N102, "")</f>
        <v>3025.4777070063697</v>
      </c>
      <c r="Q102" s="238"/>
      <c r="R102" s="238"/>
      <c r="S102" s="238"/>
    </row>
    <row r="103" spans="1:19" ht="17.25" thickBot="1">
      <c r="A103" s="125" t="s">
        <v>104</v>
      </c>
      <c r="B103" s="129">
        <v>1180</v>
      </c>
      <c r="C103" s="80">
        <v>5.3571428599999998E-2</v>
      </c>
      <c r="D103" s="106">
        <v>1240</v>
      </c>
      <c r="E103" s="107">
        <f>IF(ISNUMBER(D103), (D103 - $B103) / $B103, "")</f>
        <v>5.0847457627118647E-2</v>
      </c>
      <c r="F103" s="108">
        <f>IF(ISNUMBER(D103), $B118 * E103, "")</f>
        <v>5084.7457627118647</v>
      </c>
      <c r="G103" s="109">
        <v>1205</v>
      </c>
      <c r="H103" s="107">
        <f>IF(ISNUMBER(G103), (G103 - $B103) / $B103, "")</f>
        <v>2.1186440677966101E-2</v>
      </c>
      <c r="I103" s="110">
        <f>IF(ISNUMBER(G103), $B118 * H103, "")</f>
        <v>2118.6440677966102</v>
      </c>
      <c r="J103" s="106">
        <v>1200</v>
      </c>
      <c r="K103" s="107">
        <f>IF(ISNUMBER(J103), (J103 - $B103) / $B103, "")</f>
        <v>1.6949152542372881E-2</v>
      </c>
      <c r="L103" s="108">
        <f>IF(ISNUMBER(J103), $B118 * K103, "")</f>
        <v>1694.9152542372881</v>
      </c>
      <c r="M103" s="109">
        <v>1235</v>
      </c>
      <c r="N103" s="107">
        <f>IF(ISNUMBER(M103), (M103 - $B103) / $B103, "")</f>
        <v>4.6610169491525424E-2</v>
      </c>
      <c r="O103" s="108">
        <f>IF(ISNUMBER(M103), $B118 * N103, "")</f>
        <v>4661.0169491525421</v>
      </c>
      <c r="Q103" s="238"/>
      <c r="R103" s="238"/>
      <c r="S103" s="238"/>
    </row>
    <row r="104" spans="1:19" ht="17.25" thickBot="1">
      <c r="A104" s="125" t="s">
        <v>240</v>
      </c>
      <c r="B104" s="126">
        <v>78.099999999999994</v>
      </c>
      <c r="C104" s="77">
        <v>5.2560646900000001E-2</v>
      </c>
      <c r="D104" s="15">
        <v>79.7</v>
      </c>
      <c r="E104" s="32">
        <f t="shared" ref="E104:E107" si="50">IF(ISNUMBER(D104), (D104 - $B104) / $B104, "")</f>
        <v>2.0486555697823414E-2</v>
      </c>
      <c r="F104" s="18">
        <f>IF(ISNUMBER(D104), $B118 * E104, "")</f>
        <v>2048.6555697823414</v>
      </c>
      <c r="G104" s="31">
        <v>79</v>
      </c>
      <c r="H104" s="32">
        <f t="shared" ref="H104:H107" si="51">IF(ISNUMBER(G104), (G104 - $B104) / $B104, "")</f>
        <v>1.1523687580025681E-2</v>
      </c>
      <c r="I104" s="101">
        <f>IF(ISNUMBER(G104), $B118 * H104, "")</f>
        <v>1152.3687580025683</v>
      </c>
      <c r="J104" s="15">
        <v>78.099999999999994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79</v>
      </c>
      <c r="N104" s="32">
        <f t="shared" ref="N104:N107" si="53">IF(ISNUMBER(M104), (M104 - $B104) / $B104, "")</f>
        <v>1.1523687580025681E-2</v>
      </c>
      <c r="O104" s="18">
        <f>IF(ISNUMBER(M104), $B118 * N104, "")</f>
        <v>1152.3687580025683</v>
      </c>
      <c r="Q104" s="238"/>
      <c r="R104" s="238"/>
      <c r="S104" s="238"/>
    </row>
    <row r="105" spans="1:19" ht="17.25" thickBot="1">
      <c r="A105" s="125" t="s">
        <v>126</v>
      </c>
      <c r="B105" s="126">
        <v>203750</v>
      </c>
      <c r="C105" s="77">
        <v>5.1612903199999997E-2</v>
      </c>
      <c r="D105" s="15">
        <v>208900</v>
      </c>
      <c r="E105" s="32">
        <f t="shared" si="50"/>
        <v>2.5276073619631901E-2</v>
      </c>
      <c r="F105" s="18">
        <f>IF(ISNUMBER(D105), $B118 * E105, "")</f>
        <v>2527.6073619631902</v>
      </c>
      <c r="G105" s="31">
        <v>207300</v>
      </c>
      <c r="H105" s="32">
        <f t="shared" si="51"/>
        <v>1.7423312883435581E-2</v>
      </c>
      <c r="I105" s="101">
        <f>IF(ISNUMBER(G105), $B118 * H105, "")</f>
        <v>1742.3312883435581</v>
      </c>
      <c r="J105" s="15">
        <v>206700</v>
      </c>
      <c r="K105" s="32">
        <f t="shared" si="52"/>
        <v>1.4478527607361963E-2</v>
      </c>
      <c r="L105" s="18">
        <f>IF(ISNUMBER(J105), $B118 * K105, "")</f>
        <v>1447.8527607361962</v>
      </c>
      <c r="M105" s="31">
        <v>211850</v>
      </c>
      <c r="N105" s="32">
        <f t="shared" si="53"/>
        <v>3.9754601226993862E-2</v>
      </c>
      <c r="O105" s="18">
        <f>IF(ISNUMBER(M105), $B118 * N105, "")</f>
        <v>3975.4601226993864</v>
      </c>
      <c r="Q105" s="238"/>
      <c r="R105" s="238"/>
      <c r="S105" s="238"/>
    </row>
    <row r="106" spans="1:19" ht="17.25" thickBot="1">
      <c r="A106" s="125" t="s">
        <v>162</v>
      </c>
      <c r="B106" s="126">
        <v>111</v>
      </c>
      <c r="C106" s="77">
        <v>4.7169811300000003E-2</v>
      </c>
      <c r="D106" s="15">
        <v>114</v>
      </c>
      <c r="E106" s="32">
        <f t="shared" si="50"/>
        <v>2.7027027027027029E-2</v>
      </c>
      <c r="F106" s="18">
        <f>IF(ISNUMBER(D106), $B118 * E106, "")</f>
        <v>2702.7027027027029</v>
      </c>
      <c r="G106" s="31">
        <v>114</v>
      </c>
      <c r="H106" s="32">
        <f t="shared" si="51"/>
        <v>2.7027027027027029E-2</v>
      </c>
      <c r="I106" s="101">
        <f>IF(ISNUMBER(G106), $B118 * H106, "")</f>
        <v>2702.7027027027029</v>
      </c>
      <c r="J106" s="15">
        <v>113</v>
      </c>
      <c r="K106" s="32">
        <f t="shared" si="52"/>
        <v>1.8018018018018018E-2</v>
      </c>
      <c r="L106" s="18">
        <f>IF(ISNUMBER(J106), $B118 * K106, "")</f>
        <v>1801.8018018018017</v>
      </c>
      <c r="M106" s="31">
        <v>116</v>
      </c>
      <c r="N106" s="32">
        <f t="shared" si="53"/>
        <v>4.5045045045045043E-2</v>
      </c>
      <c r="O106" s="18">
        <f>IF(ISNUMBER(M106), $B118 * N106, "")</f>
        <v>4504.5045045045044</v>
      </c>
      <c r="Q106" s="33"/>
      <c r="R106" s="33"/>
    </row>
    <row r="107" spans="1:19" ht="17.25" thickBot="1">
      <c r="A107" s="130" t="s">
        <v>90</v>
      </c>
      <c r="B107" s="131">
        <v>1185</v>
      </c>
      <c r="C107" s="79">
        <v>4.4052863400000003E-2</v>
      </c>
      <c r="D107" s="24">
        <v>1270</v>
      </c>
      <c r="E107" s="25">
        <f t="shared" si="50"/>
        <v>7.1729957805907171E-2</v>
      </c>
      <c r="F107" s="104">
        <f>IF(ISNUMBER(D107), $B118 * E107, "")</f>
        <v>7172.995780590717</v>
      </c>
      <c r="G107" s="102">
        <v>1325</v>
      </c>
      <c r="H107" s="25">
        <f t="shared" si="51"/>
        <v>0.11814345991561181</v>
      </c>
      <c r="I107" s="103">
        <f>IF(ISNUMBER(G107), $B118 * H107, "")</f>
        <v>11814.345991561182</v>
      </c>
      <c r="J107" s="24">
        <v>1320</v>
      </c>
      <c r="K107" s="25">
        <f t="shared" si="52"/>
        <v>0.11392405063291139</v>
      </c>
      <c r="L107" s="104">
        <f>IF(ISNUMBER(J107), $B118 * K107, "")</f>
        <v>11392.405063291139</v>
      </c>
      <c r="M107" s="102">
        <v>1400</v>
      </c>
      <c r="N107" s="25">
        <f t="shared" si="53"/>
        <v>0.18143459915611815</v>
      </c>
      <c r="O107" s="104">
        <f>IF(ISNUMBER(M107), $B118 * N107, "")</f>
        <v>18143.459915611817</v>
      </c>
      <c r="Q107" s="239"/>
      <c r="R107" s="240"/>
      <c r="S107" s="241"/>
    </row>
    <row r="108" spans="1:19">
      <c r="A108" s="123" t="s">
        <v>51</v>
      </c>
      <c r="B108" s="124">
        <v>403</v>
      </c>
      <c r="C108" s="76">
        <v>4.40414508E-2</v>
      </c>
      <c r="D108" s="13">
        <v>417</v>
      </c>
      <c r="E108" s="14">
        <f>IF(ISNUMBER(D108), (D108 - $B108) / $B108, "")</f>
        <v>3.4739454094292806E-2</v>
      </c>
      <c r="F108" s="16">
        <f>IF(ISNUMBER(D108), $B118 * E108, "")</f>
        <v>3473.9454094292805</v>
      </c>
      <c r="G108" s="29">
        <v>417</v>
      </c>
      <c r="H108" s="14">
        <f>IF(ISNUMBER(G108), (G108 - $B108) / $B108, "")</f>
        <v>3.4739454094292806E-2</v>
      </c>
      <c r="I108" s="100">
        <f>IF(ISNUMBER(G108), $B118 * H108, "")</f>
        <v>3473.9454094292805</v>
      </c>
      <c r="J108" s="13">
        <v>419</v>
      </c>
      <c r="K108" s="14">
        <f>IF(ISNUMBER(J108), (J108 - $B108) / $B108, "")</f>
        <v>3.9702233250620347E-2</v>
      </c>
      <c r="L108" s="16">
        <f>IF(ISNUMBER(J108), $B118 * K108, "")</f>
        <v>3970.2233250620347</v>
      </c>
      <c r="M108" s="29">
        <v>433</v>
      </c>
      <c r="N108" s="14">
        <f>IF(ISNUMBER(M108), (M108 - $B108) / $B108, "")</f>
        <v>7.4441687344913146E-2</v>
      </c>
      <c r="O108" s="16">
        <f>IF(ISNUMBER(M108), $B118 * N108, "")</f>
        <v>7444.1687344913144</v>
      </c>
      <c r="Q108" s="242"/>
      <c r="R108" s="243"/>
      <c r="S108" s="244"/>
    </row>
    <row r="109" spans="1:19" ht="17.25" thickBot="1">
      <c r="A109" s="125" t="s">
        <v>94</v>
      </c>
      <c r="B109" s="126">
        <v>3729000</v>
      </c>
      <c r="C109" s="77">
        <v>4.3952967500000002E-2</v>
      </c>
      <c r="D109" s="15">
        <v>3830000</v>
      </c>
      <c r="E109" s="32">
        <f t="shared" ref="E109:E112" si="54">IF(ISNUMBER(D109), (D109 - $B109) / $B109, "")</f>
        <v>2.7085009385894341E-2</v>
      </c>
      <c r="F109" s="18">
        <f>IF(ISNUMBER(D109), $B118 * E109, "")</f>
        <v>2708.5009385894341</v>
      </c>
      <c r="G109" s="31">
        <v>3793000</v>
      </c>
      <c r="H109" s="32">
        <f t="shared" ref="H109:H112" si="55">IF(ISNUMBER(G109), (G109 - $B109) / $B109, "")</f>
        <v>1.7162778224725127E-2</v>
      </c>
      <c r="I109" s="101">
        <f>IF(ISNUMBER(G109), $B118 * H109, "")</f>
        <v>1716.2778224725128</v>
      </c>
      <c r="J109" s="15">
        <v>3757000</v>
      </c>
      <c r="K109" s="32">
        <f t="shared" ref="K109:K112" si="56">IF(ISNUMBER(J109), (J109 - $B109) / $B109, "")</f>
        <v>7.508715473317243E-3</v>
      </c>
      <c r="L109" s="18">
        <f>IF(ISNUMBER(J109), $B118 * K109, "")</f>
        <v>750.87154733172429</v>
      </c>
      <c r="M109" s="31">
        <v>3804000</v>
      </c>
      <c r="N109" s="32">
        <f t="shared" ref="N109:N112" si="57">IF(ISNUMBER(M109), (M109 - $B109) / $B109, "")</f>
        <v>2.0112630732099759E-2</v>
      </c>
      <c r="O109" s="18">
        <f>IF(ISNUMBER(M109), $B118 * N109, "")</f>
        <v>2011.2630732099758</v>
      </c>
      <c r="Q109" s="245"/>
      <c r="R109" s="246"/>
      <c r="S109" s="247"/>
    </row>
    <row r="110" spans="1:19" ht="17.25" thickBot="1">
      <c r="A110" s="125" t="s">
        <v>118</v>
      </c>
      <c r="B110" s="126">
        <v>170</v>
      </c>
      <c r="C110" s="77">
        <v>4.2944785300000003E-2</v>
      </c>
      <c r="D110" s="15">
        <v>176</v>
      </c>
      <c r="E110" s="32">
        <f t="shared" si="54"/>
        <v>3.5294117647058823E-2</v>
      </c>
      <c r="F110" s="18">
        <f>IF(ISNUMBER(D110), $B118 * E110, "")</f>
        <v>3529.4117647058824</v>
      </c>
      <c r="G110" s="31">
        <v>173</v>
      </c>
      <c r="H110" s="32">
        <f t="shared" si="55"/>
        <v>1.7647058823529412E-2</v>
      </c>
      <c r="I110" s="101">
        <f>IF(ISNUMBER(G110), $B118 * H110, "")</f>
        <v>1764.7058823529412</v>
      </c>
      <c r="J110" s="15">
        <v>173</v>
      </c>
      <c r="K110" s="32">
        <f t="shared" si="56"/>
        <v>1.7647058823529412E-2</v>
      </c>
      <c r="L110" s="18">
        <f>IF(ISNUMBER(J110), $B118 * K110, "")</f>
        <v>1764.7058823529412</v>
      </c>
      <c r="M110" s="31">
        <v>174</v>
      </c>
      <c r="N110" s="32">
        <f t="shared" si="57"/>
        <v>2.3529411764705882E-2</v>
      </c>
      <c r="O110" s="18">
        <f>IF(ISNUMBER(M110), $B118 * N110, "")</f>
        <v>2352.9411764705883</v>
      </c>
      <c r="Q110" s="238"/>
      <c r="R110" s="238"/>
      <c r="S110" s="238"/>
    </row>
    <row r="111" spans="1:19" ht="17.25" thickBot="1">
      <c r="A111" s="125" t="s">
        <v>124</v>
      </c>
      <c r="B111" s="126">
        <v>382</v>
      </c>
      <c r="C111" s="77">
        <v>4.08719346E-2</v>
      </c>
      <c r="D111" s="15">
        <v>390</v>
      </c>
      <c r="E111" s="32">
        <f t="shared" si="54"/>
        <v>2.0942408376963352E-2</v>
      </c>
      <c r="F111" s="18">
        <f>IF(ISNUMBER(D111), $B118 * E111, "")</f>
        <v>2094.2408376963353</v>
      </c>
      <c r="G111" s="31">
        <v>387</v>
      </c>
      <c r="H111" s="32">
        <f t="shared" si="55"/>
        <v>1.3089005235602094E-2</v>
      </c>
      <c r="I111" s="101">
        <f>IF(ISNUMBER(G111), $B118 * H111, "")</f>
        <v>1308.9005235602094</v>
      </c>
      <c r="J111" s="15">
        <v>381</v>
      </c>
      <c r="K111" s="32">
        <f t="shared" si="56"/>
        <v>-2.617801047120419E-3</v>
      </c>
      <c r="L111" s="18">
        <f>IF(ISNUMBER(J111), $B118 * K111, "")</f>
        <v>-261.78010471204192</v>
      </c>
      <c r="M111" s="31">
        <v>389</v>
      </c>
      <c r="N111" s="32">
        <f t="shared" si="57"/>
        <v>1.832460732984293E-2</v>
      </c>
      <c r="O111" s="18">
        <f>IF(ISNUMBER(M111), $B118 * N111, "")</f>
        <v>1832.4607329842931</v>
      </c>
      <c r="Q111" s="248"/>
      <c r="R111" s="248"/>
      <c r="S111" s="248"/>
    </row>
    <row r="112" spans="1:19" ht="17.25" thickBot="1">
      <c r="A112" s="127" t="s">
        <v>63</v>
      </c>
      <c r="B112" s="128">
        <v>59300</v>
      </c>
      <c r="C112" s="78">
        <v>4.0350877200000003E-2</v>
      </c>
      <c r="D112" s="20">
        <v>64930</v>
      </c>
      <c r="E112" s="21">
        <f t="shared" si="54"/>
        <v>9.4940978077571667E-2</v>
      </c>
      <c r="F112" s="22">
        <f>IF(ISNUMBER(D112), $B118 * E112, "")</f>
        <v>9494.0978077571672</v>
      </c>
      <c r="G112" s="30">
        <v>63050</v>
      </c>
      <c r="H112" s="21">
        <f t="shared" si="55"/>
        <v>6.3237774030354132E-2</v>
      </c>
      <c r="I112" s="105">
        <f>IF(ISNUMBER(G112), $B118 * H112, "")</f>
        <v>6323.777403035413</v>
      </c>
      <c r="J112" s="20">
        <v>62590</v>
      </c>
      <c r="K112" s="21">
        <f t="shared" si="56"/>
        <v>5.5480607082630688E-2</v>
      </c>
      <c r="L112" s="22">
        <f>IF(ISNUMBER(J112), $B118 * K112, "")</f>
        <v>5548.0607082630686</v>
      </c>
      <c r="M112" s="30">
        <v>64300</v>
      </c>
      <c r="N112" s="21">
        <f t="shared" si="57"/>
        <v>8.4317032040472181E-2</v>
      </c>
      <c r="O112" s="22">
        <f>IF(ISNUMBER(M112), $B118 * N112, "")</f>
        <v>8431.7032040472186</v>
      </c>
      <c r="Q112" s="248"/>
      <c r="R112" s="248"/>
      <c r="S112" s="248"/>
    </row>
    <row r="113" spans="1:19" ht="17.25" thickBot="1">
      <c r="A113" s="125" t="s">
        <v>146</v>
      </c>
      <c r="B113" s="129">
        <v>4020</v>
      </c>
      <c r="C113" s="80">
        <v>4.0103492900000003E-2</v>
      </c>
      <c r="D113" s="106">
        <v>4055</v>
      </c>
      <c r="E113" s="107">
        <f>IF(ISNUMBER(D113), (D113 - $B113) / $B113, "")</f>
        <v>8.7064676616915426E-3</v>
      </c>
      <c r="F113" s="108">
        <f>IF(ISNUMBER(D113), $B118 * E113, "")</f>
        <v>870.64676616915426</v>
      </c>
      <c r="G113" s="109">
        <v>4035</v>
      </c>
      <c r="H113" s="107">
        <f>IF(ISNUMBER(G113), (G113 - $B113) / $B113, "")</f>
        <v>3.7313432835820895E-3</v>
      </c>
      <c r="I113" s="110">
        <f>IF(ISNUMBER(G113), $B118 * H113, "")</f>
        <v>373.13432835820896</v>
      </c>
      <c r="J113" s="106">
        <v>3995</v>
      </c>
      <c r="K113" s="107">
        <f>IF(ISNUMBER(J113), (J113 - $B113) / $B113, "")</f>
        <v>-6.2189054726368162E-3</v>
      </c>
      <c r="L113" s="108">
        <f>IF(ISNUMBER(J113), $B118 * K113, "")</f>
        <v>-621.89054726368158</v>
      </c>
      <c r="M113" s="109">
        <v>4070</v>
      </c>
      <c r="N113" s="107">
        <f>IF(ISNUMBER(M113), (M113 - $B113) / $B113, "")</f>
        <v>1.2437810945273632E-2</v>
      </c>
      <c r="O113" s="108">
        <f>IF(ISNUMBER(M113), $B118 * N113, "")</f>
        <v>1243.7810945273632</v>
      </c>
      <c r="Q113" s="238"/>
      <c r="R113" s="238"/>
      <c r="S113" s="238"/>
    </row>
    <row r="114" spans="1:19" ht="17.25" thickBot="1">
      <c r="A114" s="125" t="s">
        <v>76</v>
      </c>
      <c r="B114" s="126">
        <v>30420</v>
      </c>
      <c r="C114" s="77">
        <v>0.04</v>
      </c>
      <c r="D114" s="15">
        <v>31880</v>
      </c>
      <c r="E114" s="32">
        <f t="shared" ref="E114:E117" si="58">IF(ISNUMBER(D114), (D114 - $B114) / $B114, "")</f>
        <v>4.7994740302432608E-2</v>
      </c>
      <c r="F114" s="18">
        <f>IF(ISNUMBER(D114), $B118 * E114, "")</f>
        <v>4799.474030243261</v>
      </c>
      <c r="G114" s="31">
        <v>31330</v>
      </c>
      <c r="H114" s="32">
        <f t="shared" ref="H114:H117" si="59">IF(ISNUMBER(G114), (G114 - $B114) / $B114, "")</f>
        <v>2.9914529914529916E-2</v>
      </c>
      <c r="I114" s="101">
        <f>IF(ISNUMBER(G114), $B118 * H114, "")</f>
        <v>2991.4529914529917</v>
      </c>
      <c r="J114" s="15">
        <v>30980</v>
      </c>
      <c r="K114" s="32">
        <f t="shared" ref="K114:K117" si="60">IF(ISNUMBER(J114), (J114 - $B114) / $B114, "")</f>
        <v>1.8408941485864562E-2</v>
      </c>
      <c r="L114" s="18">
        <f>IF(ISNUMBER(J114), $B118 * K114, "")</f>
        <v>1840.8941485864561</v>
      </c>
      <c r="M114" s="31">
        <v>31760</v>
      </c>
      <c r="N114" s="32">
        <f t="shared" ref="N114:N117" si="61">IF(ISNUMBER(M114), (M114 - $B114) / $B114, "")</f>
        <v>4.4049967126890202E-2</v>
      </c>
      <c r="O114" s="18">
        <f>IF(ISNUMBER(M114), $B118 * N114, "")</f>
        <v>4404.9967126890206</v>
      </c>
      <c r="Q114" s="238"/>
      <c r="R114" s="238"/>
      <c r="S114" s="238"/>
    </row>
    <row r="115" spans="1:19" ht="17.25" thickBot="1">
      <c r="A115" s="125" t="s">
        <v>128</v>
      </c>
      <c r="B115" s="126">
        <v>131</v>
      </c>
      <c r="C115" s="77">
        <v>3.9682539699999998E-2</v>
      </c>
      <c r="D115" s="15">
        <v>144</v>
      </c>
      <c r="E115" s="32">
        <f t="shared" si="58"/>
        <v>9.9236641221374045E-2</v>
      </c>
      <c r="F115" s="18">
        <f>IF(ISNUMBER(D115), $B118 * E115, "")</f>
        <v>9923.6641221374048</v>
      </c>
      <c r="G115" s="31">
        <v>143</v>
      </c>
      <c r="H115" s="32">
        <f t="shared" si="59"/>
        <v>9.1603053435114504E-2</v>
      </c>
      <c r="I115" s="101">
        <f>IF(ISNUMBER(G115), $B118 * H115, "")</f>
        <v>9160.3053435114507</v>
      </c>
      <c r="J115" s="15">
        <v>143</v>
      </c>
      <c r="K115" s="32">
        <f t="shared" si="60"/>
        <v>9.1603053435114504E-2</v>
      </c>
      <c r="L115" s="18">
        <f>IF(ISNUMBER(J115), $B118 * K115, "")</f>
        <v>9160.3053435114507</v>
      </c>
      <c r="M115" s="31">
        <v>153</v>
      </c>
      <c r="N115" s="32">
        <f t="shared" si="61"/>
        <v>0.16793893129770993</v>
      </c>
      <c r="O115" s="18">
        <f>IF(ISNUMBER(M115), $B118 * N115, "")</f>
        <v>16793.893129770993</v>
      </c>
      <c r="Q115" s="238"/>
      <c r="R115" s="238"/>
      <c r="S115" s="238"/>
    </row>
    <row r="116" spans="1:19">
      <c r="A116" s="125" t="s">
        <v>80</v>
      </c>
      <c r="B116" s="126">
        <v>872</v>
      </c>
      <c r="C116" s="77">
        <v>3.8095238099999998E-2</v>
      </c>
      <c r="D116" s="15">
        <v>896</v>
      </c>
      <c r="E116" s="32">
        <f t="shared" si="58"/>
        <v>2.7522935779816515E-2</v>
      </c>
      <c r="F116" s="18">
        <f>IF(ISNUMBER(D116), $B118 * E116, "")</f>
        <v>2752.2935779816517</v>
      </c>
      <c r="G116" s="31">
        <v>883</v>
      </c>
      <c r="H116" s="32">
        <f t="shared" si="59"/>
        <v>1.261467889908257E-2</v>
      </c>
      <c r="I116" s="101">
        <f>IF(ISNUMBER(G116), $B118 * H116, "")</f>
        <v>1261.4678899082569</v>
      </c>
      <c r="J116" s="15">
        <v>878</v>
      </c>
      <c r="K116" s="32">
        <f t="shared" si="60"/>
        <v>6.8807339449541288E-3</v>
      </c>
      <c r="L116" s="18">
        <f>IF(ISNUMBER(J116), $B118 * K116, "")</f>
        <v>688.07339449541291</v>
      </c>
      <c r="M116" s="31">
        <v>895</v>
      </c>
      <c r="N116" s="32">
        <f t="shared" si="61"/>
        <v>2.6376146788990827E-2</v>
      </c>
      <c r="O116" s="18">
        <f>IF(ISNUMBER(M116), $B118 * N116, "")</f>
        <v>2637.6146788990827</v>
      </c>
      <c r="Q116" s="227"/>
      <c r="R116" s="228"/>
      <c r="S116" s="229"/>
    </row>
    <row r="117" spans="1:19" ht="17.25" thickBot="1">
      <c r="A117" s="130" t="s">
        <v>216</v>
      </c>
      <c r="B117" s="131">
        <v>11.2</v>
      </c>
      <c r="C117" s="79">
        <v>3.7037037000000002E-2</v>
      </c>
      <c r="D117" s="24">
        <v>11.4</v>
      </c>
      <c r="E117" s="25">
        <f t="shared" si="58"/>
        <v>1.7857142857142953E-2</v>
      </c>
      <c r="F117" s="104">
        <f>IF(ISNUMBER(D117), $B118 * E117, "")</f>
        <v>1785.7142857142953</v>
      </c>
      <c r="G117" s="102">
        <v>11.3</v>
      </c>
      <c r="H117" s="25">
        <f t="shared" si="59"/>
        <v>8.9285714285715564E-3</v>
      </c>
      <c r="I117" s="103">
        <f>IF(ISNUMBER(G117), $B118 * H117, "")</f>
        <v>892.85714285715562</v>
      </c>
      <c r="J117" s="24">
        <v>11.2</v>
      </c>
      <c r="K117" s="25">
        <f t="shared" si="60"/>
        <v>0</v>
      </c>
      <c r="L117" s="104">
        <f>IF(ISNUMBER(J117), $B118 * K117, "")</f>
        <v>0</v>
      </c>
      <c r="M117" s="102">
        <v>11.5</v>
      </c>
      <c r="N117" s="25">
        <f t="shared" si="61"/>
        <v>2.678571428571435E-2</v>
      </c>
      <c r="O117" s="104">
        <f>IF(ISNUMBER(M117), $B118 * N117, "")</f>
        <v>2678.5714285714348</v>
      </c>
      <c r="Q117" s="230"/>
      <c r="R117" s="231"/>
      <c r="S117" s="232"/>
    </row>
    <row r="118" spans="1:19" ht="17.25" thickBot="1">
      <c r="A118" s="132" t="s">
        <v>270</v>
      </c>
      <c r="B118" s="291">
        <f>$B$37</f>
        <v>100000</v>
      </c>
      <c r="C118" s="292"/>
      <c r="D118" s="26" t="s">
        <v>271</v>
      </c>
      <c r="E118" s="27">
        <f>IF(COUNT(E98:E117), SUM(E98:E117) / COUNT(E98:E117), 0)</f>
        <v>4.8967076322237749E-2</v>
      </c>
      <c r="F118" s="28">
        <f>SUM(F98:F117)</f>
        <v>97934.1526444755</v>
      </c>
      <c r="G118" s="26" t="s">
        <v>271</v>
      </c>
      <c r="H118" s="27">
        <f>IF(COUNT(H98:H117), SUM(H98:H117) / COUNT(H98:H117), 0)</f>
        <v>3.9155177861304007E-2</v>
      </c>
      <c r="I118" s="28">
        <f>SUM(I98:I117)</f>
        <v>78310.355722608016</v>
      </c>
      <c r="J118" s="26" t="s">
        <v>271</v>
      </c>
      <c r="K118" s="27">
        <f>IF(COUNT(K98:K117), SUM(K98:K117) / COUNT(K98:K117), 0)</f>
        <v>3.1462903568250974E-2</v>
      </c>
      <c r="L118" s="28">
        <f>SUM(L98:L117)</f>
        <v>62925.807136501942</v>
      </c>
      <c r="M118" s="26" t="s">
        <v>271</v>
      </c>
      <c r="N118" s="27">
        <f>IF(COUNT(N98:N117), SUM(N98:N117) / COUNT(N98:N117), 0)</f>
        <v>5.8762133130727957E-2</v>
      </c>
      <c r="O118" s="28">
        <f>SUM(O98:O117)</f>
        <v>117524.26626145588</v>
      </c>
      <c r="Q118" s="233"/>
      <c r="R118" s="234"/>
      <c r="S118" s="23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48"/>
      <c r="R121" s="248"/>
      <c r="S121" s="248"/>
    </row>
    <row r="122" spans="1:19" ht="17.25" thickBot="1">
      <c r="A122" s="211" t="s">
        <v>267</v>
      </c>
      <c r="B122" s="249" t="s">
        <v>49</v>
      </c>
      <c r="C122" s="251"/>
      <c r="D122" s="249" t="s">
        <v>58</v>
      </c>
      <c r="E122" s="250"/>
      <c r="F122" s="251"/>
      <c r="G122" s="252">
        <f>_xlfn.IFNA(VLOOKUP(B122, 현재가테이블!$B$2:$D$200, 2, FALSE), "-")</f>
        <v>54440000</v>
      </c>
      <c r="H122" s="253"/>
      <c r="I122" s="254"/>
      <c r="J122" s="249" t="s">
        <v>59</v>
      </c>
      <c r="K122" s="250"/>
      <c r="L122" s="251"/>
      <c r="M122" s="255">
        <f>_xlfn.IFNA(VLOOKUP(B122, 현재가테이블!$B$2:$D$200, 3, FALSE), "-")</f>
        <v>1.07123628E-2</v>
      </c>
      <c r="N122" s="256"/>
      <c r="O122" s="257"/>
      <c r="Q122" s="248"/>
      <c r="R122" s="248"/>
      <c r="S122" s="248"/>
    </row>
    <row r="123" spans="1:19" ht="17.25" thickBot="1">
      <c r="A123" s="293" t="s">
        <v>55</v>
      </c>
      <c r="B123" s="289" t="str">
        <f>TEXT($G$1, "[$-ko-KR]yyyy-mm-dd(ddd) ") &amp; "오전 00:00"</f>
        <v>2021-08-14(토) 오전 00:00</v>
      </c>
      <c r="C123" s="290"/>
      <c r="D123" s="262" t="str">
        <f>TEXT($G$1, "[$-ko-KR]yyyy-mm-dd(ddd) ") &amp; "오후 14:00"</f>
        <v>2021-08-14(토) 오후 14:00</v>
      </c>
      <c r="E123" s="263"/>
      <c r="F123" s="264"/>
      <c r="G123" s="262" t="str">
        <f>TEXT($G$1, "[$-ko-KR]yyyy-mm-dd(ddd) ") &amp; "오후 19:00"</f>
        <v>2021-08-14(토) 오후 19:00</v>
      </c>
      <c r="H123" s="263"/>
      <c r="I123" s="264"/>
      <c r="J123" s="262" t="str">
        <f>TEXT($G$1, "[$-ko-KR]yyyy-mm-dd(ddd) ") &amp; "오후 21:00"</f>
        <v>2021-08-14(토) 오후 21:00</v>
      </c>
      <c r="K123" s="263"/>
      <c r="L123" s="264"/>
      <c r="M123" s="262" t="str">
        <f>TEXT($G$1+1, "[$-ko-KR]yyyy-mm-dd(ddd) ") &amp; "오전 00:00"</f>
        <v>2021-08-15(일) 오전 00:00</v>
      </c>
      <c r="N123" s="263"/>
      <c r="O123" s="264"/>
      <c r="Q123" s="248"/>
      <c r="R123" s="248"/>
      <c r="S123" s="248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2" t="s">
        <v>58</v>
      </c>
      <c r="H124" s="213" t="s">
        <v>268</v>
      </c>
      <c r="I124" s="2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8"/>
      <c r="R124" s="238"/>
      <c r="S124" s="238"/>
    </row>
    <row r="125" spans="1:19" ht="17.25" thickBot="1">
      <c r="A125" s="123" t="s">
        <v>240</v>
      </c>
      <c r="B125" s="124">
        <v>78.099999999999994</v>
      </c>
      <c r="C125" s="76">
        <v>5.2560646900000001E-2</v>
      </c>
      <c r="D125" s="13">
        <v>79.7</v>
      </c>
      <c r="E125" s="14">
        <f>IF(ISNUMBER(D125), (D125 - $B125) / $B125, "")</f>
        <v>2.0486555697823414E-2</v>
      </c>
      <c r="F125" s="16">
        <f>IF(ISNUMBER(D125), $B145 * E125, "")</f>
        <v>2048.6555697823414</v>
      </c>
      <c r="G125" s="29">
        <v>79</v>
      </c>
      <c r="H125" s="14">
        <f>IF(ISNUMBER(G125), (G125 - $B125) / $B125, "")</f>
        <v>1.1523687580025681E-2</v>
      </c>
      <c r="I125" s="100">
        <f>IF(ISNUMBER(G125), $B145 * H125, "")</f>
        <v>1152.3687580025683</v>
      </c>
      <c r="J125" s="13">
        <v>78.099999999999994</v>
      </c>
      <c r="K125" s="14">
        <f>IF(ISNUMBER(J125), (J125 - $B125) / $B125, "")</f>
        <v>0</v>
      </c>
      <c r="L125" s="16">
        <f>IF(ISNUMBER(J125), $B145 * K125, "")</f>
        <v>0</v>
      </c>
      <c r="M125" s="29">
        <v>79</v>
      </c>
      <c r="N125" s="14">
        <f>IF(ISNUMBER(M125), (M125 - $B125) / $B125, "")</f>
        <v>1.1523687580025681E-2</v>
      </c>
      <c r="O125" s="16">
        <f>IF(ISNUMBER(M125), $B145 * N125, "")</f>
        <v>1152.3687580025683</v>
      </c>
      <c r="Q125" s="248"/>
      <c r="R125" s="248"/>
      <c r="S125" s="248"/>
    </row>
    <row r="126" spans="1:19" ht="17.25" thickBot="1">
      <c r="A126" s="125" t="s">
        <v>216</v>
      </c>
      <c r="B126" s="126">
        <v>11.2</v>
      </c>
      <c r="C126" s="77">
        <v>3.7037037000000002E-2</v>
      </c>
      <c r="D126" s="15">
        <v>11.4</v>
      </c>
      <c r="E126" s="32">
        <f t="shared" ref="E126:E129" si="62">IF(ISNUMBER(D126), (D126 - $B126) / $B126, "")</f>
        <v>1.7857142857142953E-2</v>
      </c>
      <c r="F126" s="18">
        <f>IF(ISNUMBER(D126), $B145 * E126, "")</f>
        <v>1785.7142857142953</v>
      </c>
      <c r="G126" s="31">
        <v>11.3</v>
      </c>
      <c r="H126" s="32">
        <f t="shared" ref="H126:H129" si="63">IF(ISNUMBER(G126), (G126 - $B126) / $B126, "")</f>
        <v>8.9285714285715564E-3</v>
      </c>
      <c r="I126" s="101">
        <f>IF(ISNUMBER(G126), $B145 * H126, "")</f>
        <v>892.85714285715562</v>
      </c>
      <c r="J126" s="15">
        <v>11.2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11.5</v>
      </c>
      <c r="N126" s="32">
        <f t="shared" ref="N126:N129" si="65">IF(ISNUMBER(M126), (M126 - $B126) / $B126, "")</f>
        <v>2.678571428571435E-2</v>
      </c>
      <c r="O126" s="18">
        <f>IF(ISNUMBER(M126), $B145 * N126, "")</f>
        <v>2678.5714285714348</v>
      </c>
      <c r="Q126" s="248"/>
      <c r="R126" s="248"/>
      <c r="S126" s="248"/>
    </row>
    <row r="127" spans="1:19" ht="17.25" thickBot="1">
      <c r="A127" s="125" t="s">
        <v>210</v>
      </c>
      <c r="B127" s="126">
        <v>12.5</v>
      </c>
      <c r="C127" s="77">
        <v>3.3057851200000002E-2</v>
      </c>
      <c r="D127" s="15">
        <v>12.8</v>
      </c>
      <c r="E127" s="32">
        <f t="shared" si="62"/>
        <v>2.4000000000000056E-2</v>
      </c>
      <c r="F127" s="18">
        <f>IF(ISNUMBER(D127), $B145 * E127, "")</f>
        <v>2400.0000000000055</v>
      </c>
      <c r="G127" s="31">
        <v>12.5</v>
      </c>
      <c r="H127" s="32">
        <f t="shared" si="63"/>
        <v>0</v>
      </c>
      <c r="I127" s="101">
        <f>IF(ISNUMBER(G127), $B145 * H127, "")</f>
        <v>0</v>
      </c>
      <c r="J127" s="15">
        <v>12.6</v>
      </c>
      <c r="K127" s="32">
        <f t="shared" si="64"/>
        <v>7.9999999999999724E-3</v>
      </c>
      <c r="L127" s="18">
        <f>IF(ISNUMBER(J127), $B145 * K127, "")</f>
        <v>799.99999999999727</v>
      </c>
      <c r="M127" s="31">
        <v>12.7</v>
      </c>
      <c r="N127" s="32">
        <f t="shared" si="65"/>
        <v>1.5999999999999945E-2</v>
      </c>
      <c r="O127" s="18">
        <f>IF(ISNUMBER(M127), $B145 * N127, "")</f>
        <v>1599.9999999999945</v>
      </c>
      <c r="Q127" s="238"/>
      <c r="R127" s="238"/>
      <c r="S127" s="238"/>
    </row>
    <row r="128" spans="1:19" ht="17.25" thickBot="1">
      <c r="A128" s="125" t="s">
        <v>148</v>
      </c>
      <c r="B128" s="126">
        <v>21.2</v>
      </c>
      <c r="C128" s="77">
        <v>2.4154589399999999E-2</v>
      </c>
      <c r="D128" s="15">
        <v>22.1</v>
      </c>
      <c r="E128" s="32">
        <f t="shared" si="62"/>
        <v>4.2452830188679347E-2</v>
      </c>
      <c r="F128" s="18">
        <f>IF(ISNUMBER(D128), $B145 * E128, "")</f>
        <v>4245.2830188679345</v>
      </c>
      <c r="G128" s="31">
        <v>21.8</v>
      </c>
      <c r="H128" s="32">
        <f t="shared" si="63"/>
        <v>2.8301886792452897E-2</v>
      </c>
      <c r="I128" s="101">
        <f>IF(ISNUMBER(G128), $B145 * H128, "")</f>
        <v>2830.1886792452897</v>
      </c>
      <c r="J128" s="15">
        <v>21.5</v>
      </c>
      <c r="K128" s="32">
        <f t="shared" si="64"/>
        <v>1.4150943396226448E-2</v>
      </c>
      <c r="L128" s="18">
        <f>IF(ISNUMBER(J128), $B145 * K128, "")</f>
        <v>1415.0943396226448</v>
      </c>
      <c r="M128" s="31">
        <v>22.1</v>
      </c>
      <c r="N128" s="32">
        <f t="shared" si="65"/>
        <v>4.2452830188679347E-2</v>
      </c>
      <c r="O128" s="18">
        <f>IF(ISNUMBER(M128), $B145 * N128, "")</f>
        <v>4245.2830188679345</v>
      </c>
      <c r="Q128" s="238"/>
      <c r="R128" s="238"/>
      <c r="S128" s="238"/>
    </row>
    <row r="129" spans="1:19" ht="17.25" thickBot="1">
      <c r="A129" s="127" t="s">
        <v>122</v>
      </c>
      <c r="B129" s="128">
        <v>33.799999999999997</v>
      </c>
      <c r="C129" s="78">
        <v>2.1148036299999999E-2</v>
      </c>
      <c r="D129" s="20">
        <v>35.1</v>
      </c>
      <c r="E129" s="21">
        <f t="shared" si="62"/>
        <v>3.8461538461538589E-2</v>
      </c>
      <c r="F129" s="22">
        <f>IF(ISNUMBER(D129), $B145 * E129, "")</f>
        <v>3846.1538461538589</v>
      </c>
      <c r="G129" s="30">
        <v>34.6</v>
      </c>
      <c r="H129" s="21">
        <f t="shared" si="63"/>
        <v>2.3668639053254566E-2</v>
      </c>
      <c r="I129" s="105">
        <f>IF(ISNUMBER(G129), $B145 * H129, "")</f>
        <v>2366.8639053254565</v>
      </c>
      <c r="J129" s="20">
        <v>34.1</v>
      </c>
      <c r="K129" s="21">
        <f t="shared" si="64"/>
        <v>8.8757396449705411E-3</v>
      </c>
      <c r="L129" s="22">
        <f>IF(ISNUMBER(J129), $B145 * K129, "")</f>
        <v>887.57396449705413</v>
      </c>
      <c r="M129" s="30">
        <v>34.9</v>
      </c>
      <c r="N129" s="21">
        <f t="shared" si="65"/>
        <v>3.25443786982249E-2</v>
      </c>
      <c r="O129" s="22">
        <f>IF(ISNUMBER(M129), $B145 * N129, "")</f>
        <v>3254.43786982249</v>
      </c>
      <c r="Q129" s="238"/>
      <c r="R129" s="238"/>
      <c r="S129" s="238"/>
    </row>
    <row r="130" spans="1:19" ht="17.25" thickBot="1">
      <c r="A130" s="125" t="s">
        <v>72</v>
      </c>
      <c r="B130" s="129">
        <v>23.9</v>
      </c>
      <c r="C130" s="80">
        <v>1.27118644E-2</v>
      </c>
      <c r="D130" s="106">
        <v>24.6</v>
      </c>
      <c r="E130" s="107">
        <f>IF(ISNUMBER(D130), (D130 - $B130) / $B130, "")</f>
        <v>2.9288702928870414E-2</v>
      </c>
      <c r="F130" s="108">
        <f>IF(ISNUMBER(D130), $B145 * E130, "")</f>
        <v>2928.8702928870416</v>
      </c>
      <c r="G130" s="109">
        <v>24.4</v>
      </c>
      <c r="H130" s="107">
        <f>IF(ISNUMBER(G130), (G130 - $B130) / $B130, "")</f>
        <v>2.0920502092050212E-2</v>
      </c>
      <c r="I130" s="110">
        <f>IF(ISNUMBER(G130), $B145 * H130, "")</f>
        <v>2092.050209205021</v>
      </c>
      <c r="J130" s="106">
        <v>24.1</v>
      </c>
      <c r="K130" s="107">
        <f>IF(ISNUMBER(J130), (J130 - $B130) / $B130, "")</f>
        <v>8.3682008368202027E-3</v>
      </c>
      <c r="L130" s="108">
        <f>IF(ISNUMBER(J130), $B145 * K130, "")</f>
        <v>836.82008368202025</v>
      </c>
      <c r="M130" s="109">
        <v>24.7</v>
      </c>
      <c r="N130" s="107">
        <f>IF(ISNUMBER(M130), (M130 - $B130) / $B130, "")</f>
        <v>3.3472803347280367E-2</v>
      </c>
      <c r="O130" s="108">
        <f>IF(ISNUMBER(M130), $B145 * N130, "")</f>
        <v>3347.2803347280365</v>
      </c>
      <c r="Q130" s="238"/>
      <c r="R130" s="238"/>
      <c r="S130" s="238"/>
    </row>
    <row r="131" spans="1:19" ht="17.25" thickBot="1">
      <c r="A131" s="125" t="s">
        <v>178</v>
      </c>
      <c r="B131" s="126">
        <v>17</v>
      </c>
      <c r="C131" s="77">
        <v>1.19047619E-2</v>
      </c>
      <c r="D131" s="15">
        <v>17.399999999999999</v>
      </c>
      <c r="E131" s="32">
        <f t="shared" ref="E131:E134" si="66">IF(ISNUMBER(D131), (D131 - $B131) / $B131, "")</f>
        <v>2.3529411764705799E-2</v>
      </c>
      <c r="F131" s="18">
        <f>IF(ISNUMBER(D131), $B145 * E131, "")</f>
        <v>2352.9411764705801</v>
      </c>
      <c r="G131" s="31">
        <v>17.2</v>
      </c>
      <c r="H131" s="32">
        <f t="shared" ref="H131:H134" si="67">IF(ISNUMBER(G131), (G131 - $B131) / $B131, "")</f>
        <v>1.1764705882352899E-2</v>
      </c>
      <c r="I131" s="101">
        <f>IF(ISNUMBER(G131), $B145 * H131, "")</f>
        <v>1176.4705882352901</v>
      </c>
      <c r="J131" s="15">
        <v>17.2</v>
      </c>
      <c r="K131" s="32">
        <f t="shared" ref="K131:K134" si="68">IF(ISNUMBER(J131), (J131 - $B131) / $B131, "")</f>
        <v>1.1764705882352899E-2</v>
      </c>
      <c r="L131" s="18">
        <f>IF(ISNUMBER(J131), $B145 * K131, "")</f>
        <v>1176.4705882352901</v>
      </c>
      <c r="M131" s="31">
        <v>17.3</v>
      </c>
      <c r="N131" s="32">
        <f t="shared" ref="N131:N134" si="69">IF(ISNUMBER(M131), (M131 - $B131) / $B131, "")</f>
        <v>1.7647058823529453E-2</v>
      </c>
      <c r="O131" s="18">
        <f>IF(ISNUMBER(M131), $B145 * N131, "")</f>
        <v>1764.7058823529453</v>
      </c>
      <c r="Q131" s="238"/>
      <c r="R131" s="238"/>
      <c r="S131" s="238"/>
    </row>
    <row r="132" spans="1:19" ht="17.25" thickBot="1">
      <c r="A132" s="125" t="s">
        <v>234</v>
      </c>
      <c r="B132" s="126">
        <v>75.599999999999994</v>
      </c>
      <c r="C132" s="77">
        <v>9.3457943999999994E-3</v>
      </c>
      <c r="D132" s="15">
        <v>77.599999999999994</v>
      </c>
      <c r="E132" s="32">
        <f t="shared" si="66"/>
        <v>2.6455026455026457E-2</v>
      </c>
      <c r="F132" s="18">
        <f>IF(ISNUMBER(D132), $B145 * E132, "")</f>
        <v>2645.5026455026459</v>
      </c>
      <c r="G132" s="31">
        <v>76.400000000000006</v>
      </c>
      <c r="H132" s="32">
        <f t="shared" si="67"/>
        <v>1.0582010582010732E-2</v>
      </c>
      <c r="I132" s="101">
        <f>IF(ISNUMBER(G132), $B145 * H132, "")</f>
        <v>1058.2010582010732</v>
      </c>
      <c r="J132" s="15">
        <v>75.900000000000006</v>
      </c>
      <c r="K132" s="32">
        <f t="shared" si="68"/>
        <v>3.968253968254119E-3</v>
      </c>
      <c r="L132" s="18">
        <f>IF(ISNUMBER(J132), $B145 * K132, "")</f>
        <v>396.82539682541187</v>
      </c>
      <c r="M132" s="31">
        <v>78.900000000000006</v>
      </c>
      <c r="N132" s="32">
        <f t="shared" si="69"/>
        <v>4.3650793650793801E-2</v>
      </c>
      <c r="O132" s="18">
        <f>IF(ISNUMBER(M132), $B145 * N132, "")</f>
        <v>4365.0793650793803</v>
      </c>
      <c r="Q132" s="238"/>
      <c r="R132" s="238"/>
      <c r="S132" s="238"/>
    </row>
    <row r="133" spans="1:19" ht="17.25" thickBot="1">
      <c r="A133" s="125" t="s">
        <v>250</v>
      </c>
      <c r="B133" s="126">
        <v>78.5</v>
      </c>
      <c r="C133" s="77">
        <v>8.9974293E-3</v>
      </c>
      <c r="D133" s="15">
        <v>80.599999999999994</v>
      </c>
      <c r="E133" s="32">
        <f t="shared" si="66"/>
        <v>2.6751592356687826E-2</v>
      </c>
      <c r="F133" s="18">
        <f>IF(ISNUMBER(D133), $B145 * E133, "")</f>
        <v>2675.1592356687825</v>
      </c>
      <c r="G133" s="31">
        <v>79.900000000000006</v>
      </c>
      <c r="H133" s="32">
        <f t="shared" si="67"/>
        <v>1.7834394904458671E-2</v>
      </c>
      <c r="I133" s="101">
        <f>IF(ISNUMBER(G133), $B145 * H133, "")</f>
        <v>1783.439490445867</v>
      </c>
      <c r="J133" s="15">
        <v>79.3</v>
      </c>
      <c r="K133" s="32">
        <f t="shared" si="68"/>
        <v>1.0191082802547734E-2</v>
      </c>
      <c r="L133" s="18">
        <f>IF(ISNUMBER(J133), $B145 * K133, "")</f>
        <v>1019.1082802547734</v>
      </c>
      <c r="M133" s="31">
        <v>81</v>
      </c>
      <c r="N133" s="32">
        <f t="shared" si="69"/>
        <v>3.1847133757961783E-2</v>
      </c>
      <c r="O133" s="18">
        <f>IF(ISNUMBER(M133), $B145 * N133, "")</f>
        <v>3184.7133757961783</v>
      </c>
      <c r="Q133" s="33"/>
      <c r="R133" s="33"/>
    </row>
    <row r="134" spans="1:19" ht="17.25" thickBot="1">
      <c r="A134" s="130" t="s">
        <v>188</v>
      </c>
      <c r="B134" s="131">
        <v>13.3</v>
      </c>
      <c r="C134" s="79">
        <v>7.5757576E-3</v>
      </c>
      <c r="D134" s="24">
        <v>13.5</v>
      </c>
      <c r="E134" s="25">
        <f t="shared" si="66"/>
        <v>1.5037593984962351E-2</v>
      </c>
      <c r="F134" s="104">
        <f>IF(ISNUMBER(D134), $B145 * E134, "")</f>
        <v>1503.7593984962352</v>
      </c>
      <c r="G134" s="102">
        <v>13.3</v>
      </c>
      <c r="H134" s="25">
        <f t="shared" si="67"/>
        <v>0</v>
      </c>
      <c r="I134" s="103">
        <f>IF(ISNUMBER(G134), $B145 * H134, "")</f>
        <v>0</v>
      </c>
      <c r="J134" s="24">
        <v>13.3</v>
      </c>
      <c r="K134" s="25">
        <f t="shared" si="68"/>
        <v>0</v>
      </c>
      <c r="L134" s="104">
        <f>IF(ISNUMBER(J134), $B145 * K134, "")</f>
        <v>0</v>
      </c>
      <c r="M134" s="102">
        <v>13.5</v>
      </c>
      <c r="N134" s="25">
        <f t="shared" si="69"/>
        <v>1.5037593984962351E-2</v>
      </c>
      <c r="O134" s="104">
        <f>IF(ISNUMBER(M134), $B145 * N134, "")</f>
        <v>1503.7593984962352</v>
      </c>
      <c r="Q134" s="239"/>
      <c r="R134" s="240"/>
      <c r="S134" s="241"/>
    </row>
    <row r="135" spans="1:19">
      <c r="A135" s="123" t="s">
        <v>65</v>
      </c>
      <c r="B135" s="124">
        <v>35.700000000000003</v>
      </c>
      <c r="C135" s="76">
        <v>0</v>
      </c>
      <c r="D135" s="13">
        <v>37</v>
      </c>
      <c r="E135" s="14">
        <f>IF(ISNUMBER(D135), (D135 - $B135) / $B135, "")</f>
        <v>3.6414565826330451E-2</v>
      </c>
      <c r="F135" s="16">
        <f>IF(ISNUMBER(D135), $B145 * E135, "")</f>
        <v>3641.4565826330449</v>
      </c>
      <c r="G135" s="29">
        <v>36.1</v>
      </c>
      <c r="H135" s="14">
        <f>IF(ISNUMBER(G135), (G135 - $B135) / $B135, "")</f>
        <v>1.1204481792717045E-2</v>
      </c>
      <c r="I135" s="100">
        <f>IF(ISNUMBER(G135), $B145 * H135, "")</f>
        <v>1120.4481792717045</v>
      </c>
      <c r="J135" s="13">
        <v>35.700000000000003</v>
      </c>
      <c r="K135" s="14">
        <f>IF(ISNUMBER(J135), (J135 - $B135) / $B135, "")</f>
        <v>0</v>
      </c>
      <c r="L135" s="16">
        <f>IF(ISNUMBER(J135), $B145 * K135, "")</f>
        <v>0</v>
      </c>
      <c r="M135" s="29">
        <v>36.6</v>
      </c>
      <c r="N135" s="14">
        <f>IF(ISNUMBER(M135), (M135 - $B135) / $B135, "")</f>
        <v>2.5210084033613404E-2</v>
      </c>
      <c r="O135" s="16">
        <f>IF(ISNUMBER(M135), $B145 * N135, "")</f>
        <v>2521.0084033613402</v>
      </c>
      <c r="Q135" s="242"/>
      <c r="R135" s="243"/>
      <c r="S135" s="244"/>
    </row>
    <row r="136" spans="1:19" ht="17.25" thickBot="1">
      <c r="A136" s="125" t="s">
        <v>204</v>
      </c>
      <c r="B136" s="126">
        <v>15.2</v>
      </c>
      <c r="C136" s="77">
        <v>0</v>
      </c>
      <c r="D136" s="15">
        <v>15.6</v>
      </c>
      <c r="E136" s="32">
        <f t="shared" ref="E136:E139" si="70">IF(ISNUMBER(D136), (D136 - $B136) / $B136, "")</f>
        <v>2.6315789473684237E-2</v>
      </c>
      <c r="F136" s="18">
        <f>IF(ISNUMBER(D136), $B145 * E136, "")</f>
        <v>2631.5789473684235</v>
      </c>
      <c r="G136" s="31">
        <v>15.3</v>
      </c>
      <c r="H136" s="32">
        <f t="shared" ref="H136:H139" si="71">IF(ISNUMBER(G136), (G136 - $B136) / $B136, "")</f>
        <v>6.5789473684211468E-3</v>
      </c>
      <c r="I136" s="101">
        <f>IF(ISNUMBER(G136), $B145 * H136, "")</f>
        <v>657.89473684211464</v>
      </c>
      <c r="J136" s="15">
        <v>15.2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15.5</v>
      </c>
      <c r="N136" s="32">
        <f t="shared" ref="N136:N139" si="73">IF(ISNUMBER(M136), (M136 - $B136) / $B136, "")</f>
        <v>1.9736842105263205E-2</v>
      </c>
      <c r="O136" s="18">
        <f>IF(ISNUMBER(M136), $B145 * N136, "")</f>
        <v>1973.6842105263206</v>
      </c>
      <c r="Q136" s="245"/>
      <c r="R136" s="246"/>
      <c r="S136" s="247"/>
    </row>
    <row r="137" spans="1:19" ht="17.25" thickBot="1">
      <c r="A137" s="125" t="s">
        <v>208</v>
      </c>
      <c r="B137" s="126">
        <v>14.3</v>
      </c>
      <c r="C137" s="77">
        <v>0</v>
      </c>
      <c r="D137" s="15">
        <v>14.5</v>
      </c>
      <c r="E137" s="32">
        <f t="shared" si="70"/>
        <v>1.3986013986013936E-2</v>
      </c>
      <c r="F137" s="18">
        <f>IF(ISNUMBER(D137), $B145 * E137, "")</f>
        <v>1398.6013986013936</v>
      </c>
      <c r="G137" s="31">
        <v>14.4</v>
      </c>
      <c r="H137" s="32">
        <f t="shared" si="71"/>
        <v>6.9930069930069678E-3</v>
      </c>
      <c r="I137" s="101">
        <f>IF(ISNUMBER(G137), $B145 * H137, "")</f>
        <v>699.30069930069681</v>
      </c>
      <c r="J137" s="15">
        <v>14.2</v>
      </c>
      <c r="K137" s="32">
        <f t="shared" si="72"/>
        <v>-6.9930069930070919E-3</v>
      </c>
      <c r="L137" s="18">
        <f>IF(ISNUMBER(J137), $B145 * K137, "")</f>
        <v>-699.3006993007092</v>
      </c>
      <c r="M137" s="31">
        <v>14.5</v>
      </c>
      <c r="N137" s="32">
        <f t="shared" si="73"/>
        <v>1.3986013986013936E-2</v>
      </c>
      <c r="O137" s="18">
        <f>IF(ISNUMBER(M137), $B145 * N137, "")</f>
        <v>1398.6013986013936</v>
      </c>
      <c r="Q137" s="238"/>
      <c r="R137" s="238"/>
      <c r="S137" s="238"/>
    </row>
    <row r="138" spans="1:19" ht="17.25" thickBot="1">
      <c r="A138" s="125" t="s">
        <v>150</v>
      </c>
      <c r="B138" s="126">
        <v>13</v>
      </c>
      <c r="C138" s="77">
        <v>0</v>
      </c>
      <c r="D138" s="15">
        <v>13.3</v>
      </c>
      <c r="E138" s="32">
        <f t="shared" si="70"/>
        <v>2.307692307692313E-2</v>
      </c>
      <c r="F138" s="18">
        <f>IF(ISNUMBER(D138), $B145 * E138, "")</f>
        <v>2307.6923076923131</v>
      </c>
      <c r="G138" s="31">
        <v>13.2</v>
      </c>
      <c r="H138" s="32">
        <f t="shared" si="71"/>
        <v>1.538461538461533E-2</v>
      </c>
      <c r="I138" s="101">
        <f>IF(ISNUMBER(G138), $B145 * H138, "")</f>
        <v>1538.4615384615331</v>
      </c>
      <c r="J138" s="15">
        <v>13.1</v>
      </c>
      <c r="K138" s="32">
        <f t="shared" si="72"/>
        <v>7.692307692307665E-3</v>
      </c>
      <c r="L138" s="18">
        <f>IF(ISNUMBER(J138), $B145 * K138, "")</f>
        <v>769.23076923076655</v>
      </c>
      <c r="M138" s="31">
        <v>13.4</v>
      </c>
      <c r="N138" s="32">
        <f t="shared" si="73"/>
        <v>3.0769230769230795E-2</v>
      </c>
      <c r="O138" s="18">
        <f>IF(ISNUMBER(M138), $B145 * N138, "")</f>
        <v>3076.9230769230794</v>
      </c>
      <c r="Q138" s="248"/>
      <c r="R138" s="248"/>
      <c r="S138" s="248"/>
    </row>
    <row r="139" spans="1:19" ht="17.25" thickBot="1">
      <c r="A139" s="127" t="s">
        <v>98</v>
      </c>
      <c r="B139" s="128">
        <v>5.39</v>
      </c>
      <c r="C139" s="78">
        <v>-5.5350553999999998E-3</v>
      </c>
      <c r="D139" s="20">
        <v>5.55</v>
      </c>
      <c r="E139" s="21">
        <f t="shared" si="70"/>
        <v>2.968460111317257E-2</v>
      </c>
      <c r="F139" s="22">
        <f>IF(ISNUMBER(D139), $B145 * E139, "")</f>
        <v>2968.4601113172571</v>
      </c>
      <c r="G139" s="30">
        <v>5.56</v>
      </c>
      <c r="H139" s="21">
        <f t="shared" si="71"/>
        <v>3.1539888682745813E-2</v>
      </c>
      <c r="I139" s="105">
        <f>IF(ISNUMBER(G139), $B145 * H139, "")</f>
        <v>3153.9888682745814</v>
      </c>
      <c r="J139" s="20">
        <v>5.47</v>
      </c>
      <c r="K139" s="21">
        <f t="shared" si="72"/>
        <v>1.4842300556586285E-2</v>
      </c>
      <c r="L139" s="22">
        <f>IF(ISNUMBER(J139), $B145 * K139, "")</f>
        <v>1484.2300556586285</v>
      </c>
      <c r="M139" s="30">
        <v>5.6</v>
      </c>
      <c r="N139" s="21">
        <f t="shared" si="73"/>
        <v>3.896103896103896E-2</v>
      </c>
      <c r="O139" s="22">
        <f>IF(ISNUMBER(M139), $B145 * N139, "")</f>
        <v>3896.1038961038962</v>
      </c>
      <c r="Q139" s="248"/>
      <c r="R139" s="248"/>
      <c r="S139" s="248"/>
    </row>
    <row r="140" spans="1:19" ht="17.25" thickBot="1">
      <c r="A140" s="125" t="s">
        <v>190</v>
      </c>
      <c r="B140" s="129">
        <v>19.899999999999999</v>
      </c>
      <c r="C140" s="80">
        <v>-9.9502488000000004E-3</v>
      </c>
      <c r="D140" s="106">
        <v>20.6</v>
      </c>
      <c r="E140" s="107">
        <f>IF(ISNUMBER(D140), (D140 - $B140) / $B140, "")</f>
        <v>3.517587939698507E-2</v>
      </c>
      <c r="F140" s="108">
        <f>IF(ISNUMBER(D140), $B145 * E140, "")</f>
        <v>3517.5879396985069</v>
      </c>
      <c r="G140" s="109">
        <v>20</v>
      </c>
      <c r="H140" s="107">
        <f>IF(ISNUMBER(G140), (G140 - $B140) / $B140, "")</f>
        <v>5.0251256281407756E-3</v>
      </c>
      <c r="I140" s="110">
        <f>IF(ISNUMBER(G140), $B145 * H140, "")</f>
        <v>502.51256281407757</v>
      </c>
      <c r="J140" s="106">
        <v>19.8</v>
      </c>
      <c r="K140" s="107">
        <f>IF(ISNUMBER(J140), (J140 - $B140) / $B140, "")</f>
        <v>-5.0251256281405969E-3</v>
      </c>
      <c r="L140" s="108">
        <f>IF(ISNUMBER(J140), $B145 * K140, "")</f>
        <v>-502.51256281405966</v>
      </c>
      <c r="M140" s="109">
        <v>20.2</v>
      </c>
      <c r="N140" s="107">
        <f>IF(ISNUMBER(M140), (M140 - $B140) / $B140, "")</f>
        <v>1.5075376884422148E-2</v>
      </c>
      <c r="O140" s="108">
        <f>IF(ISNUMBER(M140), $B145 * N140, "")</f>
        <v>1507.5376884422149</v>
      </c>
      <c r="Q140" s="238"/>
      <c r="R140" s="238"/>
      <c r="S140" s="238"/>
    </row>
    <row r="141" spans="1:19" ht="17.25" thickBot="1">
      <c r="A141" s="125" t="s">
        <v>202</v>
      </c>
      <c r="B141" s="126">
        <v>97.6</v>
      </c>
      <c r="C141" s="77">
        <v>-1.01419878E-2</v>
      </c>
      <c r="D141" s="15">
        <v>99.3</v>
      </c>
      <c r="E141" s="32">
        <f t="shared" ref="E141:E144" si="74">IF(ISNUMBER(D141), (D141 - $B141) / $B141, "")</f>
        <v>1.7418032786885276E-2</v>
      </c>
      <c r="F141" s="18">
        <f>IF(ISNUMBER(D141), $B145 * E141, "")</f>
        <v>1741.8032786885276</v>
      </c>
      <c r="G141" s="31">
        <v>97.9</v>
      </c>
      <c r="H141" s="32">
        <f t="shared" ref="H141:H144" si="75">IF(ISNUMBER(G141), (G141 - $B141) / $B141, "")</f>
        <v>3.0737704918033953E-3</v>
      </c>
      <c r="I141" s="101">
        <f>IF(ISNUMBER(G141), $B145 * H141, "")</f>
        <v>307.37704918033955</v>
      </c>
      <c r="J141" s="15">
        <v>96.9</v>
      </c>
      <c r="K141" s="32">
        <f t="shared" ref="K141:K144" si="76">IF(ISNUMBER(J141), (J141 - $B141) / $B141, "")</f>
        <v>-7.1721311475408675E-3</v>
      </c>
      <c r="L141" s="18">
        <f>IF(ISNUMBER(J141), $B145 * K141, "")</f>
        <v>-717.21311475408675</v>
      </c>
      <c r="M141" s="31">
        <v>98</v>
      </c>
      <c r="N141" s="32">
        <f t="shared" ref="N141:N144" si="77">IF(ISNUMBER(M141), (M141 - $B141) / $B141, "")</f>
        <v>4.0983606557377632E-3</v>
      </c>
      <c r="O141" s="18">
        <f>IF(ISNUMBER(M141), $B145 * N141, "")</f>
        <v>409.83606557377635</v>
      </c>
      <c r="Q141" s="238"/>
      <c r="R141" s="238"/>
      <c r="S141" s="238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8"/>
      <c r="R142" s="238"/>
      <c r="S142" s="238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7"/>
      <c r="R143" s="228"/>
      <c r="S143" s="22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30"/>
      <c r="R144" s="231"/>
      <c r="S144" s="232"/>
    </row>
    <row r="145" spans="1:19" ht="17.25" thickBot="1">
      <c r="A145" s="132" t="s">
        <v>270</v>
      </c>
      <c r="B145" s="291">
        <f>$B$37</f>
        <v>100000</v>
      </c>
      <c r="C145" s="292"/>
      <c r="D145" s="26" t="s">
        <v>271</v>
      </c>
      <c r="E145" s="27">
        <f>IF(COUNT(E125:E144), SUM(E125:E144) / COUNT(E125:E144), 0)</f>
        <v>2.625836472679011E-2</v>
      </c>
      <c r="F145" s="28">
        <f>SUM(F125:F144)</f>
        <v>44639.220035543185</v>
      </c>
      <c r="G145" s="26" t="s">
        <v>271</v>
      </c>
      <c r="H145" s="27">
        <f>IF(COUNT(H125:H144), SUM(H125:H144) / COUNT(H125:H144), 0)</f>
        <v>1.2548484391566337E-2</v>
      </c>
      <c r="I145" s="28">
        <f>SUM(I125:I144)</f>
        <v>21332.42346566277</v>
      </c>
      <c r="J145" s="26" t="s">
        <v>271</v>
      </c>
      <c r="K145" s="27">
        <f>IF(COUNT(K125:K144), SUM(K125:K144) / COUNT(K125:K144), 0)</f>
        <v>4.0390159418457238E-3</v>
      </c>
      <c r="L145" s="28">
        <f>SUM(L125:L144)</f>
        <v>6866.3271011377319</v>
      </c>
      <c r="M145" s="26" t="s">
        <v>271</v>
      </c>
      <c r="N145" s="27">
        <f>IF(COUNT(N125:N144), SUM(N125:N144) / COUNT(N125:N144), 0)</f>
        <v>2.463523186544072E-2</v>
      </c>
      <c r="O145" s="28">
        <f>SUM(O125:O144)</f>
        <v>41879.894171249216</v>
      </c>
      <c r="Q145" s="233"/>
      <c r="R145" s="234"/>
      <c r="S145" s="23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48"/>
      <c r="R148" s="248"/>
      <c r="S148" s="248"/>
    </row>
    <row r="149" spans="1:19" ht="17.25" thickBot="1">
      <c r="A149" s="211" t="s">
        <v>267</v>
      </c>
      <c r="B149" s="249" t="s">
        <v>49</v>
      </c>
      <c r="C149" s="251"/>
      <c r="D149" s="249" t="s">
        <v>58</v>
      </c>
      <c r="E149" s="250"/>
      <c r="F149" s="251"/>
      <c r="G149" s="252">
        <f>_xlfn.IFNA(VLOOKUP(B149, 현재가테이블!$B$2:$D$200, 2, FALSE), "-")</f>
        <v>54440000</v>
      </c>
      <c r="H149" s="253"/>
      <c r="I149" s="254"/>
      <c r="J149" s="249" t="s">
        <v>59</v>
      </c>
      <c r="K149" s="250"/>
      <c r="L149" s="251"/>
      <c r="M149" s="255">
        <f>_xlfn.IFNA(VLOOKUP(B149, 현재가테이블!$B$2:$D$200, 3, FALSE), "-")</f>
        <v>1.07123628E-2</v>
      </c>
      <c r="N149" s="256"/>
      <c r="O149" s="257"/>
      <c r="Q149" s="248"/>
      <c r="R149" s="248"/>
      <c r="S149" s="248"/>
    </row>
    <row r="150" spans="1:19" ht="17.25" thickBot="1">
      <c r="A150" s="293" t="s">
        <v>55</v>
      </c>
      <c r="B150" s="289" t="str">
        <f>TEXT($G$1, "[$-ko-KR]yyyy-mm-dd(ddd) ") &amp; "오전 00:00"</f>
        <v>2021-08-14(토) 오전 00:00</v>
      </c>
      <c r="C150" s="290"/>
      <c r="D150" s="262" t="str">
        <f>TEXT($G$1, "[$-ko-KR]yyyy-mm-dd(ddd) ") &amp; "오후 14:00"</f>
        <v>2021-08-14(토) 오후 14:00</v>
      </c>
      <c r="E150" s="263"/>
      <c r="F150" s="264"/>
      <c r="G150" s="262" t="str">
        <f>TEXT($G$1, "[$-ko-KR]yyyy-mm-dd(ddd) ") &amp; "오후 19:00"</f>
        <v>2021-08-14(토) 오후 19:00</v>
      </c>
      <c r="H150" s="263"/>
      <c r="I150" s="264"/>
      <c r="J150" s="262" t="str">
        <f>TEXT($G$1, "[$-ko-KR]yyyy-mm-dd(ddd) ") &amp; "오후 21:00"</f>
        <v>2021-08-14(토) 오후 21:00</v>
      </c>
      <c r="K150" s="263"/>
      <c r="L150" s="264"/>
      <c r="M150" s="262" t="str">
        <f>TEXT($G$1+1, "[$-ko-KR]yyyy-mm-dd(ddd) ") &amp; "오전 00:00"</f>
        <v>2021-08-15(일) 오전 00:00</v>
      </c>
      <c r="N150" s="263"/>
      <c r="O150" s="264"/>
      <c r="Q150" s="248"/>
      <c r="R150" s="248"/>
      <c r="S150" s="248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2" t="s">
        <v>58</v>
      </c>
      <c r="H151" s="213" t="s">
        <v>268</v>
      </c>
      <c r="I151" s="2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8"/>
      <c r="R151" s="238"/>
      <c r="S151" s="238"/>
    </row>
    <row r="152" spans="1:19" ht="17.25" thickBot="1">
      <c r="A152" s="123" t="s">
        <v>174</v>
      </c>
      <c r="B152" s="124">
        <v>353</v>
      </c>
      <c r="C152" s="76">
        <v>1.7291066300000001E-2</v>
      </c>
      <c r="D152" s="13">
        <v>357</v>
      </c>
      <c r="E152" s="14">
        <f>IF(ISNUMBER(D152), (D152 - $B152) / $B152, "")</f>
        <v>1.1331444759206799E-2</v>
      </c>
      <c r="F152" s="16">
        <f>IF(ISNUMBER(D152), $B172 * E152, "")</f>
        <v>1133.14447592068</v>
      </c>
      <c r="G152" s="29">
        <v>352</v>
      </c>
      <c r="H152" s="14">
        <f>IF(ISNUMBER(G152), (G152 - $B152) / $B152, "")</f>
        <v>-2.8328611898016999E-3</v>
      </c>
      <c r="I152" s="100">
        <f>IF(ISNUMBER(G152), $B172 * H152, "")</f>
        <v>-283.28611898016999</v>
      </c>
      <c r="J152" s="13">
        <v>352</v>
      </c>
      <c r="K152" s="14">
        <f>IF(ISNUMBER(J152), (J152 - $B152) / $B152, "")</f>
        <v>-2.8328611898016999E-3</v>
      </c>
      <c r="L152" s="16">
        <f>IF(ISNUMBER(J152), $B172 * K152, "")</f>
        <v>-283.28611898016999</v>
      </c>
      <c r="M152" s="29">
        <v>356</v>
      </c>
      <c r="N152" s="14">
        <f>IF(ISNUMBER(M152), (M152 - $B152) / $B152, "")</f>
        <v>8.4985835694051E-3</v>
      </c>
      <c r="O152" s="16">
        <f>IF(ISNUMBER(M152), $B172 * N152, "")</f>
        <v>849.85835694051002</v>
      </c>
      <c r="Q152" s="248"/>
      <c r="R152" s="248"/>
      <c r="S152" s="248"/>
    </row>
    <row r="153" spans="1:19" ht="17.25" thickBot="1">
      <c r="A153" s="125" t="s">
        <v>200</v>
      </c>
      <c r="B153" s="126">
        <v>143</v>
      </c>
      <c r="C153" s="77">
        <v>1.4184397200000001E-2</v>
      </c>
      <c r="D153" s="15">
        <v>146</v>
      </c>
      <c r="E153" s="32">
        <f t="shared" ref="E153:E156" si="78">IF(ISNUMBER(D153), (D153 - $B153) / $B153, "")</f>
        <v>2.097902097902098E-2</v>
      </c>
      <c r="F153" s="18">
        <f>IF(ISNUMBER(D153), $B172 * E153, "")</f>
        <v>2097.9020979020979</v>
      </c>
      <c r="G153" s="31">
        <v>143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143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144</v>
      </c>
      <c r="N153" s="32">
        <f t="shared" ref="N153:N156" si="81">IF(ISNUMBER(M153), (M153 - $B153) / $B153, "")</f>
        <v>6.993006993006993E-3</v>
      </c>
      <c r="O153" s="18">
        <f>IF(ISNUMBER(M153), $B172 * N153, "")</f>
        <v>699.30069930069931</v>
      </c>
      <c r="Q153" s="248"/>
      <c r="R153" s="248"/>
      <c r="S153" s="248"/>
    </row>
    <row r="154" spans="1:19" ht="17.25" thickBot="1">
      <c r="A154" s="125" t="s">
        <v>220</v>
      </c>
      <c r="B154" s="126">
        <v>216</v>
      </c>
      <c r="C154" s="77">
        <v>1.4084507E-2</v>
      </c>
      <c r="D154" s="15">
        <v>217</v>
      </c>
      <c r="E154" s="32">
        <f t="shared" si="78"/>
        <v>4.6296296296296294E-3</v>
      </c>
      <c r="F154" s="18">
        <f>IF(ISNUMBER(D154), $B172 * E154, "")</f>
        <v>462.96296296296293</v>
      </c>
      <c r="G154" s="31">
        <v>216</v>
      </c>
      <c r="H154" s="32">
        <f t="shared" si="79"/>
        <v>0</v>
      </c>
      <c r="I154" s="101">
        <f>IF(ISNUMBER(G154), $B172 * H154, "")</f>
        <v>0</v>
      </c>
      <c r="J154" s="15">
        <v>215</v>
      </c>
      <c r="K154" s="32">
        <f t="shared" si="80"/>
        <v>-4.6296296296296294E-3</v>
      </c>
      <c r="L154" s="18">
        <f>IF(ISNUMBER(J154), $B172 * K154, "")</f>
        <v>-462.96296296296293</v>
      </c>
      <c r="M154" s="31">
        <v>218</v>
      </c>
      <c r="N154" s="32">
        <f t="shared" si="81"/>
        <v>9.2592592592592587E-3</v>
      </c>
      <c r="O154" s="18">
        <f>IF(ISNUMBER(M154), $B172 * N154, "")</f>
        <v>925.92592592592587</v>
      </c>
      <c r="Q154" s="238"/>
      <c r="R154" s="238"/>
      <c r="S154" s="238"/>
    </row>
    <row r="155" spans="1:19" ht="17.25" thickBot="1">
      <c r="A155" s="125" t="s">
        <v>194</v>
      </c>
      <c r="B155" s="126">
        <v>144</v>
      </c>
      <c r="C155" s="77">
        <v>1.4084507E-2</v>
      </c>
      <c r="D155" s="15">
        <v>157</v>
      </c>
      <c r="E155" s="32">
        <f t="shared" si="78"/>
        <v>9.0277777777777776E-2</v>
      </c>
      <c r="F155" s="18">
        <f>IF(ISNUMBER(D155), $B172 * E155, "")</f>
        <v>9027.7777777777774</v>
      </c>
      <c r="G155" s="31">
        <v>152</v>
      </c>
      <c r="H155" s="32">
        <f t="shared" si="79"/>
        <v>5.5555555555555552E-2</v>
      </c>
      <c r="I155" s="101">
        <f>IF(ISNUMBER(G155), $B172 * H155, "")</f>
        <v>5555.5555555555557</v>
      </c>
      <c r="J155" s="15">
        <v>150</v>
      </c>
      <c r="K155" s="32">
        <f t="shared" si="80"/>
        <v>4.1666666666666664E-2</v>
      </c>
      <c r="L155" s="18">
        <f>IF(ISNUMBER(J155), $B172 * K155, "")</f>
        <v>4166.6666666666661</v>
      </c>
      <c r="M155" s="31">
        <v>154</v>
      </c>
      <c r="N155" s="32">
        <f t="shared" si="81"/>
        <v>6.9444444444444448E-2</v>
      </c>
      <c r="O155" s="18">
        <f>IF(ISNUMBER(M155), $B172 * N155, "")</f>
        <v>6944.4444444444443</v>
      </c>
      <c r="Q155" s="238"/>
      <c r="R155" s="238"/>
      <c r="S155" s="238"/>
    </row>
    <row r="156" spans="1:19" ht="17.25" thickBot="1">
      <c r="A156" s="127" t="s">
        <v>54</v>
      </c>
      <c r="B156" s="128">
        <v>260</v>
      </c>
      <c r="C156" s="78">
        <v>1.16731518E-2</v>
      </c>
      <c r="D156" s="20">
        <v>268</v>
      </c>
      <c r="E156" s="21">
        <f t="shared" si="78"/>
        <v>3.0769230769230771E-2</v>
      </c>
      <c r="F156" s="22">
        <f>IF(ISNUMBER(D156), $B172 * E156, "")</f>
        <v>3076.9230769230771</v>
      </c>
      <c r="G156" s="30">
        <v>271</v>
      </c>
      <c r="H156" s="21">
        <f t="shared" si="79"/>
        <v>4.230769230769231E-2</v>
      </c>
      <c r="I156" s="105">
        <f>IF(ISNUMBER(G156), $B172 * H156, "")</f>
        <v>4230.7692307692314</v>
      </c>
      <c r="J156" s="20">
        <v>279</v>
      </c>
      <c r="K156" s="21">
        <f t="shared" si="80"/>
        <v>7.3076923076923081E-2</v>
      </c>
      <c r="L156" s="22">
        <f>IF(ISNUMBER(J156), $B172 * K156, "")</f>
        <v>7307.6923076923085</v>
      </c>
      <c r="M156" s="30">
        <v>285</v>
      </c>
      <c r="N156" s="21">
        <f t="shared" si="81"/>
        <v>9.6153846153846159E-2</v>
      </c>
      <c r="O156" s="22">
        <f>IF(ISNUMBER(M156), $B172 * N156, "")</f>
        <v>9615.3846153846152</v>
      </c>
      <c r="Q156" s="238"/>
      <c r="R156" s="238"/>
      <c r="S156" s="238"/>
    </row>
    <row r="157" spans="1:19" ht="17.25" thickBot="1">
      <c r="A157" s="125" t="s">
        <v>164</v>
      </c>
      <c r="B157" s="129">
        <v>323</v>
      </c>
      <c r="C157" s="80">
        <v>9.3749999999999997E-3</v>
      </c>
      <c r="D157" s="106">
        <v>327</v>
      </c>
      <c r="E157" s="107">
        <f>IF(ISNUMBER(D157), (D157 - $B157) / $B157, "")</f>
        <v>1.238390092879257E-2</v>
      </c>
      <c r="F157" s="108">
        <f>IF(ISNUMBER(D157), $B172 * E157, "")</f>
        <v>1238.3900928792571</v>
      </c>
      <c r="G157" s="109">
        <v>324</v>
      </c>
      <c r="H157" s="107">
        <f>IF(ISNUMBER(G157), (G157 - $B157) / $B157, "")</f>
        <v>3.0959752321981426E-3</v>
      </c>
      <c r="I157" s="110">
        <f>IF(ISNUMBER(G157), $B172 * H157, "")</f>
        <v>309.59752321981426</v>
      </c>
      <c r="J157" s="106">
        <v>323</v>
      </c>
      <c r="K157" s="107">
        <f>IF(ISNUMBER(J157), (J157 - $B157) / $B157, "")</f>
        <v>0</v>
      </c>
      <c r="L157" s="108">
        <f>IF(ISNUMBER(J157), $B172 * K157, "")</f>
        <v>0</v>
      </c>
      <c r="M157" s="109">
        <v>327</v>
      </c>
      <c r="N157" s="107">
        <f>IF(ISNUMBER(M157), (M157 - $B157) / $B157, "")</f>
        <v>1.238390092879257E-2</v>
      </c>
      <c r="O157" s="108">
        <f>IF(ISNUMBER(M157), $B172 * N157, "")</f>
        <v>1238.3900928792571</v>
      </c>
      <c r="Q157" s="238"/>
      <c r="R157" s="238"/>
      <c r="S157" s="238"/>
    </row>
    <row r="158" spans="1:19" ht="17.25" thickBot="1">
      <c r="A158" s="125" t="s">
        <v>252</v>
      </c>
      <c r="B158" s="126">
        <v>999</v>
      </c>
      <c r="C158" s="77">
        <v>9.0909091000000008E-3</v>
      </c>
      <c r="D158" s="15">
        <v>1015</v>
      </c>
      <c r="E158" s="32">
        <f t="shared" ref="E158:E161" si="82">IF(ISNUMBER(D158), (D158 - $B158) / $B158, "")</f>
        <v>1.6016016016016016E-2</v>
      </c>
      <c r="F158" s="18">
        <f>IF(ISNUMBER(D158), $B172 * E158, "")</f>
        <v>1601.6016016016015</v>
      </c>
      <c r="G158" s="31">
        <v>1010</v>
      </c>
      <c r="H158" s="32">
        <f t="shared" ref="H158:H161" si="83">IF(ISNUMBER(G158), (G158 - $B158) / $B158, "")</f>
        <v>1.1011011011011011E-2</v>
      </c>
      <c r="I158" s="101">
        <f>IF(ISNUMBER(G158), $B172 * H158, "")</f>
        <v>1101.101101101101</v>
      </c>
      <c r="J158" s="15">
        <v>998</v>
      </c>
      <c r="K158" s="32">
        <f t="shared" ref="K158:K161" si="84">IF(ISNUMBER(J158), (J158 - $B158) / $B158, "")</f>
        <v>-1.001001001001001E-3</v>
      </c>
      <c r="L158" s="18">
        <f>IF(ISNUMBER(J158), $B172 * K158, "")</f>
        <v>-100.10010010010009</v>
      </c>
      <c r="M158" s="31">
        <v>1015</v>
      </c>
      <c r="N158" s="32">
        <f t="shared" ref="N158:N161" si="85">IF(ISNUMBER(M158), (M158 - $B158) / $B158, "")</f>
        <v>1.6016016016016016E-2</v>
      </c>
      <c r="O158" s="18">
        <f>IF(ISNUMBER(M158), $B172 * N158, "")</f>
        <v>1601.6016016016015</v>
      </c>
      <c r="Q158" s="238"/>
      <c r="R158" s="238"/>
      <c r="S158" s="238"/>
    </row>
    <row r="159" spans="1:19" ht="17.25" thickBot="1">
      <c r="A159" s="125" t="s">
        <v>192</v>
      </c>
      <c r="B159" s="126">
        <v>235</v>
      </c>
      <c r="C159" s="77">
        <v>8.5836909999999992E-3</v>
      </c>
      <c r="D159" s="15">
        <v>241</v>
      </c>
      <c r="E159" s="32">
        <f t="shared" si="82"/>
        <v>2.553191489361702E-2</v>
      </c>
      <c r="F159" s="18">
        <f>IF(ISNUMBER(D159), $B172 * E159, "")</f>
        <v>2553.1914893617018</v>
      </c>
      <c r="G159" s="31">
        <v>236</v>
      </c>
      <c r="H159" s="32">
        <f t="shared" si="83"/>
        <v>4.2553191489361703E-3</v>
      </c>
      <c r="I159" s="101">
        <f>IF(ISNUMBER(G159), $B172 * H159, "")</f>
        <v>425.53191489361706</v>
      </c>
      <c r="J159" s="15">
        <v>235</v>
      </c>
      <c r="K159" s="32">
        <f t="shared" si="84"/>
        <v>0</v>
      </c>
      <c r="L159" s="18">
        <f>IF(ISNUMBER(J159), $B172 * K159, "")</f>
        <v>0</v>
      </c>
      <c r="M159" s="31">
        <v>239</v>
      </c>
      <c r="N159" s="32">
        <f t="shared" si="85"/>
        <v>1.7021276595744681E-2</v>
      </c>
      <c r="O159" s="18">
        <f>IF(ISNUMBER(M159), $B172 * N159, "")</f>
        <v>1702.1276595744682</v>
      </c>
      <c r="Q159" s="238"/>
      <c r="R159" s="238"/>
      <c r="S159" s="238"/>
    </row>
    <row r="160" spans="1:19" ht="17.25" thickBot="1">
      <c r="A160" s="125" t="s">
        <v>132</v>
      </c>
      <c r="B160" s="126">
        <v>118</v>
      </c>
      <c r="C160" s="77">
        <v>8.5470084999999998E-3</v>
      </c>
      <c r="D160" s="15">
        <v>129</v>
      </c>
      <c r="E160" s="32">
        <f t="shared" si="82"/>
        <v>9.3220338983050849E-2</v>
      </c>
      <c r="F160" s="18">
        <f>IF(ISNUMBER(D160), $B172 * E160, "")</f>
        <v>9322.0338983050842</v>
      </c>
      <c r="G160" s="31">
        <v>128</v>
      </c>
      <c r="H160" s="32">
        <f t="shared" si="83"/>
        <v>8.4745762711864403E-2</v>
      </c>
      <c r="I160" s="101">
        <f>IF(ISNUMBER(G160), $B172 * H160, "")</f>
        <v>8474.5762711864409</v>
      </c>
      <c r="J160" s="15">
        <v>127</v>
      </c>
      <c r="K160" s="32">
        <f t="shared" si="84"/>
        <v>7.6271186440677971E-2</v>
      </c>
      <c r="L160" s="18">
        <f>IF(ISNUMBER(J160), $B172 * K160, "")</f>
        <v>7627.1186440677975</v>
      </c>
      <c r="M160" s="31">
        <v>131</v>
      </c>
      <c r="N160" s="32">
        <f t="shared" si="85"/>
        <v>0.11016949152542373</v>
      </c>
      <c r="O160" s="18">
        <f>IF(ISNUMBER(M160), $B172 * N160, "")</f>
        <v>11016.949152542373</v>
      </c>
      <c r="Q160" s="33"/>
      <c r="R160" s="33"/>
    </row>
    <row r="161" spans="1:19" ht="17.25" thickBot="1">
      <c r="A161" s="130" t="s">
        <v>242</v>
      </c>
      <c r="B161" s="131">
        <v>489</v>
      </c>
      <c r="C161" s="79">
        <v>8.2474226999999997E-3</v>
      </c>
      <c r="D161" s="24">
        <v>498</v>
      </c>
      <c r="E161" s="25">
        <f t="shared" si="82"/>
        <v>1.8404907975460124E-2</v>
      </c>
      <c r="F161" s="104">
        <f>IF(ISNUMBER(D161), $B172 * E161, "")</f>
        <v>1840.4907975460123</v>
      </c>
      <c r="G161" s="102">
        <v>491</v>
      </c>
      <c r="H161" s="25">
        <f t="shared" si="83"/>
        <v>4.0899795501022499E-3</v>
      </c>
      <c r="I161" s="103">
        <f>IF(ISNUMBER(G161), $B172 * H161, "")</f>
        <v>408.99795501022498</v>
      </c>
      <c r="J161" s="24">
        <v>490</v>
      </c>
      <c r="K161" s="25">
        <f t="shared" si="84"/>
        <v>2.0449897750511249E-3</v>
      </c>
      <c r="L161" s="104">
        <f>IF(ISNUMBER(J161), $B172 * K161, "")</f>
        <v>204.49897750511249</v>
      </c>
      <c r="M161" s="102">
        <v>501</v>
      </c>
      <c r="N161" s="25">
        <f t="shared" si="85"/>
        <v>2.4539877300613498E-2</v>
      </c>
      <c r="O161" s="104">
        <f>IF(ISNUMBER(M161), $B172 * N161, "")</f>
        <v>2453.9877300613498</v>
      </c>
      <c r="Q161" s="239"/>
      <c r="R161" s="240"/>
      <c r="S161" s="241"/>
    </row>
    <row r="162" spans="1:19">
      <c r="A162" s="123" t="s">
        <v>218</v>
      </c>
      <c r="B162" s="124">
        <v>133</v>
      </c>
      <c r="C162" s="76">
        <v>7.5757576E-3</v>
      </c>
      <c r="D162" s="13">
        <v>136</v>
      </c>
      <c r="E162" s="14">
        <f>IF(ISNUMBER(D162), (D162 - $B162) / $B162, "")</f>
        <v>2.2556390977443608E-2</v>
      </c>
      <c r="F162" s="16">
        <f>IF(ISNUMBER(D162), $B172 * E162, "")</f>
        <v>2255.6390977443607</v>
      </c>
      <c r="G162" s="29">
        <v>139</v>
      </c>
      <c r="H162" s="14">
        <f>IF(ISNUMBER(G162), (G162 - $B162) / $B162, "")</f>
        <v>4.5112781954887216E-2</v>
      </c>
      <c r="I162" s="100">
        <f>IF(ISNUMBER(G162), $B172 * H162, "")</f>
        <v>4511.2781954887214</v>
      </c>
      <c r="J162" s="13">
        <v>137</v>
      </c>
      <c r="K162" s="14">
        <f>IF(ISNUMBER(J162), (J162 - $B162) / $B162, "")</f>
        <v>3.007518796992481E-2</v>
      </c>
      <c r="L162" s="16">
        <f>IF(ISNUMBER(J162), $B172 * K162, "")</f>
        <v>3007.5187969924809</v>
      </c>
      <c r="M162" s="29">
        <v>139</v>
      </c>
      <c r="N162" s="14">
        <f>IF(ISNUMBER(M162), (M162 - $B162) / $B162, "")</f>
        <v>4.5112781954887216E-2</v>
      </c>
      <c r="O162" s="16">
        <f>IF(ISNUMBER(M162), $B172 * N162, "")</f>
        <v>4511.2781954887214</v>
      </c>
      <c r="Q162" s="242"/>
      <c r="R162" s="243"/>
      <c r="S162" s="244"/>
    </row>
    <row r="163" spans="1:19" ht="17.25" thickBot="1">
      <c r="A163" s="125" t="s">
        <v>232</v>
      </c>
      <c r="B163" s="126">
        <v>554</v>
      </c>
      <c r="C163" s="77">
        <v>5.4446460999999996E-3</v>
      </c>
      <c r="D163" s="15">
        <v>562</v>
      </c>
      <c r="E163" s="32">
        <f t="shared" ref="E163:E166" si="86">IF(ISNUMBER(D163), (D163 - $B163) / $B163, "")</f>
        <v>1.444043321299639E-2</v>
      </c>
      <c r="F163" s="18">
        <f>IF(ISNUMBER(D163), $B172 * E163, "")</f>
        <v>1444.043321299639</v>
      </c>
      <c r="G163" s="31">
        <v>552</v>
      </c>
      <c r="H163" s="32">
        <f t="shared" ref="H163:H166" si="87">IF(ISNUMBER(G163), (G163 - $B163) / $B163, "")</f>
        <v>-3.6101083032490976E-3</v>
      </c>
      <c r="I163" s="101">
        <f>IF(ISNUMBER(G163), $B172 * H163, "")</f>
        <v>-361.01083032490976</v>
      </c>
      <c r="J163" s="15">
        <v>548</v>
      </c>
      <c r="K163" s="32">
        <f t="shared" ref="K163:K166" si="88">IF(ISNUMBER(J163), (J163 - $B163) / $B163, "")</f>
        <v>-1.0830324909747292E-2</v>
      </c>
      <c r="L163" s="18">
        <f>IF(ISNUMBER(J163), $B172 * K163, "")</f>
        <v>-1083.0324909747292</v>
      </c>
      <c r="M163" s="31">
        <v>558</v>
      </c>
      <c r="N163" s="32">
        <f t="shared" ref="N163:N166" si="89">IF(ISNUMBER(M163), (M163 - $B163) / $B163, "")</f>
        <v>7.2202166064981952E-3</v>
      </c>
      <c r="O163" s="18">
        <f>IF(ISNUMBER(M163), $B172 * N163, "")</f>
        <v>722.02166064981952</v>
      </c>
      <c r="Q163" s="245"/>
      <c r="R163" s="246"/>
      <c r="S163" s="247"/>
    </row>
    <row r="164" spans="1:19" ht="17.25" thickBot="1">
      <c r="A164" s="125" t="s">
        <v>61</v>
      </c>
      <c r="B164" s="126">
        <v>941</v>
      </c>
      <c r="C164" s="77">
        <v>5.3418802999999999E-3</v>
      </c>
      <c r="D164" s="15">
        <v>973</v>
      </c>
      <c r="E164" s="32">
        <f t="shared" si="86"/>
        <v>3.4006376195536661E-2</v>
      </c>
      <c r="F164" s="18">
        <f>IF(ISNUMBER(D164), $B172 * E164, "")</f>
        <v>3400.6376195536659</v>
      </c>
      <c r="G164" s="31">
        <v>955</v>
      </c>
      <c r="H164" s="32">
        <f t="shared" si="87"/>
        <v>1.487778958554729E-2</v>
      </c>
      <c r="I164" s="101">
        <f>IF(ISNUMBER(G164), $B172 * H164, "")</f>
        <v>1487.7789585547291</v>
      </c>
      <c r="J164" s="15">
        <v>946</v>
      </c>
      <c r="K164" s="32">
        <f t="shared" si="88"/>
        <v>5.3134962805526037E-3</v>
      </c>
      <c r="L164" s="18">
        <f>IF(ISNUMBER(J164), $B172 * K164, "")</f>
        <v>531.34962805526038</v>
      </c>
      <c r="M164" s="31">
        <v>968</v>
      </c>
      <c r="N164" s="32">
        <f t="shared" si="89"/>
        <v>2.8692879914984058E-2</v>
      </c>
      <c r="O164" s="18">
        <f>IF(ISNUMBER(M164), $B172 * N164, "")</f>
        <v>2869.287991498406</v>
      </c>
      <c r="Q164" s="238"/>
      <c r="R164" s="238"/>
      <c r="S164" s="238"/>
    </row>
    <row r="165" spans="1:19" ht="17.25" thickBot="1">
      <c r="A165" s="125" t="s">
        <v>230</v>
      </c>
      <c r="B165" s="126">
        <v>211</v>
      </c>
      <c r="C165" s="77">
        <v>4.7619048000000002E-3</v>
      </c>
      <c r="D165" s="15">
        <v>217</v>
      </c>
      <c r="E165" s="32">
        <f t="shared" si="86"/>
        <v>2.843601895734597E-2</v>
      </c>
      <c r="F165" s="18">
        <f>IF(ISNUMBER(D165), $B172 * E165, "")</f>
        <v>2843.6018957345968</v>
      </c>
      <c r="G165" s="31">
        <v>213</v>
      </c>
      <c r="H165" s="32">
        <f t="shared" si="87"/>
        <v>9.4786729857819912E-3</v>
      </c>
      <c r="I165" s="101">
        <f>IF(ISNUMBER(G165), $B172 * H165, "")</f>
        <v>947.8672985781991</v>
      </c>
      <c r="J165" s="15">
        <v>213</v>
      </c>
      <c r="K165" s="32">
        <f t="shared" si="88"/>
        <v>9.4786729857819912E-3</v>
      </c>
      <c r="L165" s="18">
        <f>IF(ISNUMBER(J165), $B172 * K165, "")</f>
        <v>947.8672985781991</v>
      </c>
      <c r="M165" s="31">
        <v>216</v>
      </c>
      <c r="N165" s="32">
        <f t="shared" si="89"/>
        <v>2.3696682464454975E-2</v>
      </c>
      <c r="O165" s="18">
        <f>IF(ISNUMBER(M165), $B172 * N165, "")</f>
        <v>2369.6682464454975</v>
      </c>
      <c r="Q165" s="248"/>
      <c r="R165" s="248"/>
      <c r="S165" s="248"/>
    </row>
    <row r="166" spans="1:19" ht="17.25" thickBot="1">
      <c r="A166" s="127" t="s">
        <v>228</v>
      </c>
      <c r="B166" s="128">
        <v>398</v>
      </c>
      <c r="C166" s="78">
        <v>0</v>
      </c>
      <c r="D166" s="20">
        <v>413</v>
      </c>
      <c r="E166" s="21">
        <f t="shared" si="86"/>
        <v>3.7688442211055273E-2</v>
      </c>
      <c r="F166" s="22">
        <f>IF(ISNUMBER(D166), $B172 * E166, "")</f>
        <v>3768.8442211055271</v>
      </c>
      <c r="G166" s="30">
        <v>411</v>
      </c>
      <c r="H166" s="21">
        <f t="shared" si="87"/>
        <v>3.2663316582914576E-2</v>
      </c>
      <c r="I166" s="105">
        <f>IF(ISNUMBER(G166), $B172 * H166, "")</f>
        <v>3266.3316582914576</v>
      </c>
      <c r="J166" s="20">
        <v>413</v>
      </c>
      <c r="K166" s="21">
        <f t="shared" si="88"/>
        <v>3.7688442211055273E-2</v>
      </c>
      <c r="L166" s="22">
        <f>IF(ISNUMBER(J166), $B172 * K166, "")</f>
        <v>3768.8442211055271</v>
      </c>
      <c r="M166" s="30">
        <v>420</v>
      </c>
      <c r="N166" s="21">
        <f t="shared" si="89"/>
        <v>5.5276381909547742E-2</v>
      </c>
      <c r="O166" s="22">
        <f>IF(ISNUMBER(M166), $B172 * N166, "")</f>
        <v>5527.6381909547745</v>
      </c>
      <c r="Q166" s="248"/>
      <c r="R166" s="248"/>
      <c r="S166" s="248"/>
    </row>
    <row r="167" spans="1:19" ht="17.25" thickBot="1">
      <c r="A167" s="125" t="s">
        <v>166</v>
      </c>
      <c r="B167" s="129">
        <v>257</v>
      </c>
      <c r="C167" s="80">
        <v>-3.8759689999999999E-3</v>
      </c>
      <c r="D167" s="106">
        <v>263</v>
      </c>
      <c r="E167" s="107">
        <f>IF(ISNUMBER(D167), (D167 - $B167) / $B167, "")</f>
        <v>2.3346303501945526E-2</v>
      </c>
      <c r="F167" s="108">
        <f>IF(ISNUMBER(D167), $B172 * E167, "")</f>
        <v>2334.6303501945526</v>
      </c>
      <c r="G167" s="109">
        <v>262</v>
      </c>
      <c r="H167" s="107">
        <f>IF(ISNUMBER(G167), (G167 - $B167) / $B167, "")</f>
        <v>1.9455252918287938E-2</v>
      </c>
      <c r="I167" s="110">
        <f>IF(ISNUMBER(G167), $B172 * H167, "")</f>
        <v>1945.5252918287938</v>
      </c>
      <c r="J167" s="106">
        <v>259</v>
      </c>
      <c r="K167" s="107">
        <f>IF(ISNUMBER(J167), (J167 - $B167) / $B167, "")</f>
        <v>7.7821011673151752E-3</v>
      </c>
      <c r="L167" s="108">
        <f>IF(ISNUMBER(J167), $B172 * K167, "")</f>
        <v>778.21011673151747</v>
      </c>
      <c r="M167" s="109">
        <v>261</v>
      </c>
      <c r="N167" s="107">
        <f>IF(ISNUMBER(M167), (M167 - $B167) / $B167, "")</f>
        <v>1.556420233463035E-2</v>
      </c>
      <c r="O167" s="108">
        <f>IF(ISNUMBER(M167), $B172 * N167, "")</f>
        <v>1556.4202334630349</v>
      </c>
      <c r="Q167" s="238"/>
      <c r="R167" s="238"/>
      <c r="S167" s="238"/>
    </row>
    <row r="168" spans="1:19" ht="17.25" thickBot="1">
      <c r="A168" s="125" t="s">
        <v>138</v>
      </c>
      <c r="B168" s="126">
        <v>391</v>
      </c>
      <c r="C168" s="77">
        <v>-5.0890585000000002E-3</v>
      </c>
      <c r="D168" s="15">
        <v>402</v>
      </c>
      <c r="E168" s="32">
        <f t="shared" ref="E168:E171" si="90">IF(ISNUMBER(D168), (D168 - $B168) / $B168, "")</f>
        <v>2.8132992327365727E-2</v>
      </c>
      <c r="F168" s="18">
        <f>IF(ISNUMBER(D168), $B172 * E168, "")</f>
        <v>2813.2992327365728</v>
      </c>
      <c r="G168" s="31">
        <v>397</v>
      </c>
      <c r="H168" s="32">
        <f t="shared" ref="H168:H171" si="91">IF(ISNUMBER(G168), (G168 - $B168) / $B168, "")</f>
        <v>1.5345268542199489E-2</v>
      </c>
      <c r="I168" s="101">
        <f>IF(ISNUMBER(G168), $B172 * H168, "")</f>
        <v>1534.526854219949</v>
      </c>
      <c r="J168" s="15">
        <v>393</v>
      </c>
      <c r="K168" s="32">
        <f t="shared" ref="K168:K171" si="92">IF(ISNUMBER(J168), (J168 - $B168) / $B168, "")</f>
        <v>5.1150895140664966E-3</v>
      </c>
      <c r="L168" s="18">
        <f>IF(ISNUMBER(J168), $B172 * K168, "")</f>
        <v>511.50895140664966</v>
      </c>
      <c r="M168" s="31">
        <v>401</v>
      </c>
      <c r="N168" s="32">
        <f t="shared" ref="N168:N171" si="93">IF(ISNUMBER(M168), (M168 - $B168) / $B168, "")</f>
        <v>2.557544757033248E-2</v>
      </c>
      <c r="O168" s="18">
        <f>IF(ISNUMBER(M168), $B172 * N168, "")</f>
        <v>2557.5447570332481</v>
      </c>
      <c r="Q168" s="238"/>
      <c r="R168" s="238"/>
      <c r="S168" s="238"/>
    </row>
    <row r="169" spans="1:19" ht="17.25" thickBot="1">
      <c r="A169" s="125" t="s">
        <v>114</v>
      </c>
      <c r="B169" s="126">
        <v>743</v>
      </c>
      <c r="C169" s="77">
        <v>-5.3547522999999996E-3</v>
      </c>
      <c r="D169" s="15">
        <v>755</v>
      </c>
      <c r="E169" s="32">
        <f t="shared" si="90"/>
        <v>1.6150740242261104E-2</v>
      </c>
      <c r="F169" s="18">
        <f>IF(ISNUMBER(D169), $B172 * E169, "")</f>
        <v>1615.0740242261104</v>
      </c>
      <c r="G169" s="31">
        <v>739</v>
      </c>
      <c r="H169" s="32">
        <f t="shared" si="91"/>
        <v>-5.3835800807537013E-3</v>
      </c>
      <c r="I169" s="101">
        <f>IF(ISNUMBER(G169), $B172 * H169, "")</f>
        <v>-538.35800807537009</v>
      </c>
      <c r="J169" s="15">
        <v>737</v>
      </c>
      <c r="K169" s="32">
        <f t="shared" si="92"/>
        <v>-8.0753701211305519E-3</v>
      </c>
      <c r="L169" s="18">
        <f>IF(ISNUMBER(J169), $B172 * K169, "")</f>
        <v>-807.5370121130552</v>
      </c>
      <c r="M169" s="31">
        <v>742</v>
      </c>
      <c r="N169" s="32">
        <f t="shared" si="93"/>
        <v>-1.3458950201884253E-3</v>
      </c>
      <c r="O169" s="18">
        <f>IF(ISNUMBER(M169), $B172 * N169, "")</f>
        <v>-134.58950201884252</v>
      </c>
      <c r="Q169" s="238"/>
      <c r="R169" s="238"/>
      <c r="S169" s="238"/>
    </row>
    <row r="170" spans="1:19">
      <c r="A170" s="125" t="s">
        <v>222</v>
      </c>
      <c r="B170" s="126">
        <v>146</v>
      </c>
      <c r="C170" s="77">
        <v>-1.3513513499999999E-2</v>
      </c>
      <c r="D170" s="15">
        <v>152</v>
      </c>
      <c r="E170" s="32">
        <f t="shared" si="90"/>
        <v>4.1095890410958902E-2</v>
      </c>
      <c r="F170" s="18">
        <f>IF(ISNUMBER(D170), $B172 * E170, "")</f>
        <v>4109.58904109589</v>
      </c>
      <c r="G170" s="31">
        <v>150</v>
      </c>
      <c r="H170" s="32">
        <f t="shared" si="91"/>
        <v>2.7397260273972601E-2</v>
      </c>
      <c r="I170" s="101">
        <f>IF(ISNUMBER(G170), $B172 * H170, "")</f>
        <v>2739.7260273972602</v>
      </c>
      <c r="J170" s="15">
        <v>148</v>
      </c>
      <c r="K170" s="32">
        <f t="shared" si="92"/>
        <v>1.3698630136986301E-2</v>
      </c>
      <c r="L170" s="18">
        <f>IF(ISNUMBER(J170), $B172 * K170, "")</f>
        <v>1369.8630136986301</v>
      </c>
      <c r="M170" s="31">
        <v>150</v>
      </c>
      <c r="N170" s="32">
        <f t="shared" si="93"/>
        <v>2.7397260273972601E-2</v>
      </c>
      <c r="O170" s="18">
        <f>IF(ISNUMBER(M170), $B172 * N170, "")</f>
        <v>2739.7260273972602</v>
      </c>
      <c r="Q170" s="227"/>
      <c r="R170" s="228"/>
      <c r="S170" s="229"/>
    </row>
    <row r="171" spans="1:19" ht="17.25" thickBot="1">
      <c r="A171" s="130" t="s">
        <v>86</v>
      </c>
      <c r="B171" s="131">
        <v>426</v>
      </c>
      <c r="C171" s="79">
        <v>-1.84331797E-2</v>
      </c>
      <c r="D171" s="24">
        <v>437</v>
      </c>
      <c r="E171" s="25">
        <f t="shared" si="90"/>
        <v>2.5821596244131457E-2</v>
      </c>
      <c r="F171" s="104">
        <f>IF(ISNUMBER(D171), $B172 * E171, "")</f>
        <v>2582.1596244131456</v>
      </c>
      <c r="G171" s="102">
        <v>428</v>
      </c>
      <c r="H171" s="25">
        <f t="shared" si="91"/>
        <v>4.6948356807511738E-3</v>
      </c>
      <c r="I171" s="103">
        <f>IF(ISNUMBER(G171), $B172 * H171, "")</f>
        <v>469.48356807511738</v>
      </c>
      <c r="J171" s="24">
        <v>423</v>
      </c>
      <c r="K171" s="25">
        <f t="shared" si="92"/>
        <v>-7.0422535211267607E-3</v>
      </c>
      <c r="L171" s="104">
        <f>IF(ISNUMBER(J171), $B172 * K171, "")</f>
        <v>-704.22535211267609</v>
      </c>
      <c r="M171" s="102">
        <v>432</v>
      </c>
      <c r="N171" s="25">
        <f t="shared" si="93"/>
        <v>1.4084507042253521E-2</v>
      </c>
      <c r="O171" s="104">
        <f>IF(ISNUMBER(M171), $B172 * N171, "")</f>
        <v>1408.4507042253522</v>
      </c>
      <c r="Q171" s="230"/>
      <c r="R171" s="231"/>
      <c r="S171" s="232"/>
    </row>
    <row r="172" spans="1:19" ht="17.25" thickBot="1">
      <c r="A172" s="132" t="s">
        <v>270</v>
      </c>
      <c r="B172" s="291">
        <f>$B$37</f>
        <v>100000</v>
      </c>
      <c r="C172" s="292"/>
      <c r="D172" s="26" t="s">
        <v>271</v>
      </c>
      <c r="E172" s="27">
        <f>IF(COUNT(E152:E171), SUM(E152:E171) / COUNT(E152:E171), 0)</f>
        <v>2.9760968349642158E-2</v>
      </c>
      <c r="F172" s="28">
        <f>SUM(F152:F171)</f>
        <v>59521.936699284306</v>
      </c>
      <c r="G172" s="26" t="s">
        <v>271</v>
      </c>
      <c r="H172" s="27">
        <f>IF(COUNT(H152:H171), SUM(H152:H171) / COUNT(H152:H171), 0)</f>
        <v>1.8112996223394882E-2</v>
      </c>
      <c r="I172" s="28">
        <f>SUM(I152:I171)</f>
        <v>36225.992446789765</v>
      </c>
      <c r="J172" s="26" t="s">
        <v>271</v>
      </c>
      <c r="K172" s="27">
        <f>IF(COUNT(K152:K171), SUM(K152:K171) / COUNT(K152:K171), 0)</f>
        <v>1.3389997292628228E-2</v>
      </c>
      <c r="L172" s="28">
        <f>SUM(L152:L171)</f>
        <v>26779.994585256449</v>
      </c>
      <c r="M172" s="26" t="s">
        <v>271</v>
      </c>
      <c r="N172" s="27">
        <f>IF(COUNT(N152:N171), SUM(N152:N171) / COUNT(N152:N171), 0)</f>
        <v>3.058770839189625E-2</v>
      </c>
      <c r="O172" s="28">
        <f>SUM(O152:O171)</f>
        <v>61175.416783792527</v>
      </c>
      <c r="Q172" s="233"/>
      <c r="R172" s="234"/>
      <c r="S172" s="23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48"/>
      <c r="R175" s="248"/>
      <c r="S175" s="248"/>
    </row>
    <row r="176" spans="1:19" ht="17.25" thickBot="1">
      <c r="A176" s="211" t="s">
        <v>267</v>
      </c>
      <c r="B176" s="249" t="s">
        <v>49</v>
      </c>
      <c r="C176" s="251"/>
      <c r="D176" s="249" t="s">
        <v>58</v>
      </c>
      <c r="E176" s="250"/>
      <c r="F176" s="251"/>
      <c r="G176" s="252">
        <f>_xlfn.IFNA(VLOOKUP(B176, 현재가테이블!$B$2:$D$200, 2, FALSE), "-")</f>
        <v>54440000</v>
      </c>
      <c r="H176" s="253"/>
      <c r="I176" s="254"/>
      <c r="J176" s="249" t="s">
        <v>59</v>
      </c>
      <c r="K176" s="250"/>
      <c r="L176" s="251"/>
      <c r="M176" s="255">
        <f>_xlfn.IFNA(VLOOKUP(B176, 현재가테이블!$B$2:$D$200, 3, FALSE), "-")</f>
        <v>1.07123628E-2</v>
      </c>
      <c r="N176" s="256"/>
      <c r="O176" s="257"/>
      <c r="Q176" s="248"/>
      <c r="R176" s="248"/>
      <c r="S176" s="248"/>
    </row>
    <row r="177" spans="1:19" ht="17.25" thickBot="1">
      <c r="A177" s="293" t="s">
        <v>55</v>
      </c>
      <c r="B177" s="289" t="str">
        <f>TEXT($G$1, "[$-ko-KR]yyyy-mm-dd(ddd) ") &amp; "오전 00:00"</f>
        <v>2021-08-14(토) 오전 00:00</v>
      </c>
      <c r="C177" s="290"/>
      <c r="D177" s="262" t="str">
        <f>TEXT($G$1, "[$-ko-KR]yyyy-mm-dd(ddd) ") &amp; "오후 14:00"</f>
        <v>2021-08-14(토) 오후 14:00</v>
      </c>
      <c r="E177" s="263"/>
      <c r="F177" s="264"/>
      <c r="G177" s="262" t="str">
        <f>TEXT($G$1, "[$-ko-KR]yyyy-mm-dd(ddd) ") &amp; "오후 19:00"</f>
        <v>2021-08-14(토) 오후 19:00</v>
      </c>
      <c r="H177" s="263"/>
      <c r="I177" s="264"/>
      <c r="J177" s="262" t="str">
        <f>TEXT($G$1, "[$-ko-KR]yyyy-mm-dd(ddd) ") &amp; "오후 21:00"</f>
        <v>2021-08-14(토) 오후 21:00</v>
      </c>
      <c r="K177" s="263"/>
      <c r="L177" s="264"/>
      <c r="M177" s="262" t="str">
        <f>TEXT($G$1+1, "[$-ko-KR]yyyy-mm-dd(ddd) ") &amp; "오전 00:00"</f>
        <v>2021-08-15(일) 오전 00:00</v>
      </c>
      <c r="N177" s="263"/>
      <c r="O177" s="264"/>
      <c r="Q177" s="248"/>
      <c r="R177" s="248"/>
      <c r="S177" s="248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2" t="s">
        <v>58</v>
      </c>
      <c r="H178" s="213" t="s">
        <v>268</v>
      </c>
      <c r="I178" s="2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8"/>
      <c r="R178" s="238"/>
      <c r="S178" s="238"/>
    </row>
    <row r="179" spans="1:19" ht="17.25" thickBot="1">
      <c r="A179" s="123" t="s">
        <v>67</v>
      </c>
      <c r="B179" s="124">
        <v>4725</v>
      </c>
      <c r="C179" s="76">
        <v>1.0593219999999999E-3</v>
      </c>
      <c r="D179" s="13">
        <v>5110</v>
      </c>
      <c r="E179" s="14">
        <f>IF(ISNUMBER(D179), (D179 - $B179) / $B179, "")</f>
        <v>8.1481481481481488E-2</v>
      </c>
      <c r="F179" s="16">
        <f>IF(ISNUMBER(D179), $B199 * E179, "")</f>
        <v>8148.1481481481487</v>
      </c>
      <c r="G179" s="29">
        <v>4980</v>
      </c>
      <c r="H179" s="14">
        <f>IF(ISNUMBER(G179), (G179 - $B179) / $B179, "")</f>
        <v>5.3968253968253971E-2</v>
      </c>
      <c r="I179" s="100">
        <f>IF(ISNUMBER(G179), $B199 * H179, "")</f>
        <v>5396.8253968253966</v>
      </c>
      <c r="J179" s="13">
        <v>5015</v>
      </c>
      <c r="K179" s="14">
        <f>IF(ISNUMBER(J179), (J179 - $B179) / $B179, "")</f>
        <v>6.1375661375661375E-2</v>
      </c>
      <c r="L179" s="16">
        <f>IF(ISNUMBER(J179), $B199 * K179, "")</f>
        <v>6137.5661375661375</v>
      </c>
      <c r="M179" s="29">
        <v>5040</v>
      </c>
      <c r="N179" s="14">
        <f>IF(ISNUMBER(M179), (M179 - $B179) / $B179, "")</f>
        <v>6.6666666666666666E-2</v>
      </c>
      <c r="O179" s="16">
        <f>IF(ISNUMBER(M179), $B199 * N179, "")</f>
        <v>6666.666666666667</v>
      </c>
      <c r="Q179" s="248"/>
      <c r="R179" s="248"/>
      <c r="S179" s="248"/>
    </row>
    <row r="180" spans="1:19" ht="17.25" thickBot="1">
      <c r="A180" s="125" t="s">
        <v>170</v>
      </c>
      <c r="B180" s="126">
        <v>31640</v>
      </c>
      <c r="C180" s="77">
        <v>0</v>
      </c>
      <c r="D180" s="15">
        <v>32060</v>
      </c>
      <c r="E180" s="32">
        <f t="shared" ref="E180:E183" si="94">IF(ISNUMBER(D180), (D180 - $B180) / $B180, "")</f>
        <v>1.3274336283185841E-2</v>
      </c>
      <c r="F180" s="18">
        <f>IF(ISNUMBER(D180), $B199 * E180, "")</f>
        <v>1327.4336283185839</v>
      </c>
      <c r="G180" s="31">
        <v>31780</v>
      </c>
      <c r="H180" s="32">
        <f t="shared" ref="H180:H183" si="95">IF(ISNUMBER(G180), (G180 - $B180) / $B180, "")</f>
        <v>4.4247787610619468E-3</v>
      </c>
      <c r="I180" s="101">
        <f>IF(ISNUMBER(G180), $B199 * H180, "")</f>
        <v>442.47787610619469</v>
      </c>
      <c r="J180" s="15">
        <v>32670</v>
      </c>
      <c r="K180" s="32">
        <f t="shared" ref="K180:K183" si="96">IF(ISNUMBER(J180), (J180 - $B180) / $B180, "")</f>
        <v>3.2553729456384323E-2</v>
      </c>
      <c r="L180" s="18">
        <f>IF(ISNUMBER(J180), $B199 * K180, "")</f>
        <v>3255.3729456384322</v>
      </c>
      <c r="M180" s="31">
        <v>32740</v>
      </c>
      <c r="N180" s="32">
        <f t="shared" ref="N180:N183" si="97">IF(ISNUMBER(M180), (M180 - $B180) / $B180, "")</f>
        <v>3.47661188369153E-2</v>
      </c>
      <c r="O180" s="18">
        <f>IF(ISNUMBER(M180), $B199 * N180, "")</f>
        <v>3476.6118836915298</v>
      </c>
      <c r="Q180" s="248"/>
      <c r="R180" s="248"/>
      <c r="S180" s="248"/>
    </row>
    <row r="181" spans="1:19" ht="17.25" thickBot="1">
      <c r="A181" s="125" t="s">
        <v>65</v>
      </c>
      <c r="B181" s="126">
        <v>35.700000000000003</v>
      </c>
      <c r="C181" s="77">
        <v>0</v>
      </c>
      <c r="D181" s="15">
        <v>37</v>
      </c>
      <c r="E181" s="32">
        <f t="shared" si="94"/>
        <v>3.6414565826330451E-2</v>
      </c>
      <c r="F181" s="18">
        <f>IF(ISNUMBER(D181), $B199 * E181, "")</f>
        <v>3641.4565826330449</v>
      </c>
      <c r="G181" s="31">
        <v>36.1</v>
      </c>
      <c r="H181" s="32">
        <f t="shared" si="95"/>
        <v>1.1204481792717045E-2</v>
      </c>
      <c r="I181" s="101">
        <f>IF(ISNUMBER(G181), $B199 * H181, "")</f>
        <v>1120.4481792717045</v>
      </c>
      <c r="J181" s="15">
        <v>35.700000000000003</v>
      </c>
      <c r="K181" s="32">
        <f t="shared" si="96"/>
        <v>0</v>
      </c>
      <c r="L181" s="18">
        <f>IF(ISNUMBER(J181), $B199 * K181, "")</f>
        <v>0</v>
      </c>
      <c r="M181" s="31">
        <v>36.6</v>
      </c>
      <c r="N181" s="32">
        <f t="shared" si="97"/>
        <v>2.5210084033613404E-2</v>
      </c>
      <c r="O181" s="18">
        <f>IF(ISNUMBER(M181), $B199 * N181, "")</f>
        <v>2521.0084033613402</v>
      </c>
      <c r="Q181" s="238"/>
      <c r="R181" s="238"/>
      <c r="S181" s="238"/>
    </row>
    <row r="182" spans="1:19" ht="17.25" thickBot="1">
      <c r="A182" s="125" t="s">
        <v>204</v>
      </c>
      <c r="B182" s="126">
        <v>15.2</v>
      </c>
      <c r="C182" s="77">
        <v>0</v>
      </c>
      <c r="D182" s="15">
        <v>15.6</v>
      </c>
      <c r="E182" s="32">
        <f t="shared" si="94"/>
        <v>2.6315789473684237E-2</v>
      </c>
      <c r="F182" s="18">
        <f>IF(ISNUMBER(D182), $B199 * E182, "")</f>
        <v>2631.5789473684235</v>
      </c>
      <c r="G182" s="31">
        <v>15.3</v>
      </c>
      <c r="H182" s="32">
        <f t="shared" si="95"/>
        <v>6.5789473684211468E-3</v>
      </c>
      <c r="I182" s="101">
        <f>IF(ISNUMBER(G182), $B199 * H182, "")</f>
        <v>657.89473684211464</v>
      </c>
      <c r="J182" s="15">
        <v>15.2</v>
      </c>
      <c r="K182" s="32">
        <f t="shared" si="96"/>
        <v>0</v>
      </c>
      <c r="L182" s="18">
        <f>IF(ISNUMBER(J182), $B199 * K182, "")</f>
        <v>0</v>
      </c>
      <c r="M182" s="31">
        <v>15.5</v>
      </c>
      <c r="N182" s="32">
        <f t="shared" si="97"/>
        <v>1.9736842105263205E-2</v>
      </c>
      <c r="O182" s="18">
        <f>IF(ISNUMBER(M182), $B199 * N182, "")</f>
        <v>1973.6842105263206</v>
      </c>
      <c r="Q182" s="238"/>
      <c r="R182" s="238"/>
      <c r="S182" s="238"/>
    </row>
    <row r="183" spans="1:19" ht="17.25" thickBot="1">
      <c r="A183" s="127" t="s">
        <v>208</v>
      </c>
      <c r="B183" s="128">
        <v>14.3</v>
      </c>
      <c r="C183" s="78">
        <v>0</v>
      </c>
      <c r="D183" s="20">
        <v>14.5</v>
      </c>
      <c r="E183" s="21">
        <f t="shared" si="94"/>
        <v>1.3986013986013936E-2</v>
      </c>
      <c r="F183" s="22">
        <f>IF(ISNUMBER(D183), $B199 * E183, "")</f>
        <v>1398.6013986013936</v>
      </c>
      <c r="G183" s="30">
        <v>14.4</v>
      </c>
      <c r="H183" s="21">
        <f t="shared" si="95"/>
        <v>6.9930069930069678E-3</v>
      </c>
      <c r="I183" s="105">
        <f>IF(ISNUMBER(G183), $B199 * H183, "")</f>
        <v>699.30069930069681</v>
      </c>
      <c r="J183" s="20">
        <v>14.2</v>
      </c>
      <c r="K183" s="21">
        <f t="shared" si="96"/>
        <v>-6.9930069930070919E-3</v>
      </c>
      <c r="L183" s="22">
        <f>IF(ISNUMBER(J183), $B199 * K183, "")</f>
        <v>-699.3006993007092</v>
      </c>
      <c r="M183" s="30">
        <v>14.5</v>
      </c>
      <c r="N183" s="21">
        <f t="shared" si="97"/>
        <v>1.3986013986013936E-2</v>
      </c>
      <c r="O183" s="22">
        <f>IF(ISNUMBER(M183), $B199 * N183, "")</f>
        <v>1398.6013986013936</v>
      </c>
      <c r="Q183" s="238"/>
      <c r="R183" s="238"/>
      <c r="S183" s="238"/>
    </row>
    <row r="184" spans="1:19" ht="17.25" thickBot="1">
      <c r="A184" s="125" t="s">
        <v>150</v>
      </c>
      <c r="B184" s="129">
        <v>13</v>
      </c>
      <c r="C184" s="80">
        <v>0</v>
      </c>
      <c r="D184" s="106">
        <v>13.3</v>
      </c>
      <c r="E184" s="107">
        <f>IF(ISNUMBER(D184), (D184 - $B184) / $B184, "")</f>
        <v>2.307692307692313E-2</v>
      </c>
      <c r="F184" s="108">
        <f>IF(ISNUMBER(D184), $B199 * E184, "")</f>
        <v>2307.6923076923131</v>
      </c>
      <c r="G184" s="109">
        <v>13.2</v>
      </c>
      <c r="H184" s="107">
        <f>IF(ISNUMBER(G184), (G184 - $B184) / $B184, "")</f>
        <v>1.538461538461533E-2</v>
      </c>
      <c r="I184" s="110">
        <f>IF(ISNUMBER(G184), $B199 * H184, "")</f>
        <v>1538.4615384615331</v>
      </c>
      <c r="J184" s="106">
        <v>13.1</v>
      </c>
      <c r="K184" s="107">
        <f>IF(ISNUMBER(J184), (J184 - $B184) / $B184, "")</f>
        <v>7.692307692307665E-3</v>
      </c>
      <c r="L184" s="108">
        <f>IF(ISNUMBER(J184), $B199 * K184, "")</f>
        <v>769.23076923076655</v>
      </c>
      <c r="M184" s="109">
        <v>13.4</v>
      </c>
      <c r="N184" s="107">
        <f>IF(ISNUMBER(M184), (M184 - $B184) / $B184, "")</f>
        <v>3.0769230769230795E-2</v>
      </c>
      <c r="O184" s="108">
        <f>IF(ISNUMBER(M184), $B199 * N184, "")</f>
        <v>3076.9230769230794</v>
      </c>
      <c r="Q184" s="238"/>
      <c r="R184" s="238"/>
      <c r="S184" s="238"/>
    </row>
    <row r="185" spans="1:19" ht="17.25" thickBot="1">
      <c r="A185" s="125" t="s">
        <v>228</v>
      </c>
      <c r="B185" s="126">
        <v>398</v>
      </c>
      <c r="C185" s="77">
        <v>0</v>
      </c>
      <c r="D185" s="15">
        <v>413</v>
      </c>
      <c r="E185" s="32">
        <f t="shared" ref="E185:E188" si="98">IF(ISNUMBER(D185), (D185 - $B185) / $B185, "")</f>
        <v>3.7688442211055273E-2</v>
      </c>
      <c r="F185" s="18">
        <f>IF(ISNUMBER(D185), $B199 * E185, "")</f>
        <v>3768.8442211055271</v>
      </c>
      <c r="G185" s="31">
        <v>411</v>
      </c>
      <c r="H185" s="32">
        <f t="shared" ref="H185:H188" si="99">IF(ISNUMBER(G185), (G185 - $B185) / $B185, "")</f>
        <v>3.2663316582914576E-2</v>
      </c>
      <c r="I185" s="101">
        <f>IF(ISNUMBER(G185), $B199 * H185, "")</f>
        <v>3266.3316582914576</v>
      </c>
      <c r="J185" s="15">
        <v>413</v>
      </c>
      <c r="K185" s="32">
        <f t="shared" ref="K185:K188" si="100">IF(ISNUMBER(J185), (J185 - $B185) / $B185, "")</f>
        <v>3.7688442211055273E-2</v>
      </c>
      <c r="L185" s="18">
        <f>IF(ISNUMBER(J185), $B199 * K185, "")</f>
        <v>3768.8442211055271</v>
      </c>
      <c r="M185" s="31">
        <v>420</v>
      </c>
      <c r="N185" s="32">
        <f t="shared" ref="N185:N188" si="101">IF(ISNUMBER(M185), (M185 - $B185) / $B185, "")</f>
        <v>5.5276381909547742E-2</v>
      </c>
      <c r="O185" s="18">
        <f>IF(ISNUMBER(M185), $B199 * N185, "")</f>
        <v>5527.6381909547745</v>
      </c>
      <c r="Q185" s="238"/>
      <c r="R185" s="238"/>
      <c r="S185" s="238"/>
    </row>
    <row r="186" spans="1:19" ht="17.25" thickBot="1">
      <c r="A186" s="125" t="s">
        <v>214</v>
      </c>
      <c r="B186" s="126">
        <v>1165</v>
      </c>
      <c r="C186" s="77">
        <v>0</v>
      </c>
      <c r="D186" s="15">
        <v>1170</v>
      </c>
      <c r="E186" s="32">
        <f t="shared" si="98"/>
        <v>4.2918454935622317E-3</v>
      </c>
      <c r="F186" s="18">
        <f>IF(ISNUMBER(D186), $B199 * E186, "")</f>
        <v>429.18454935622316</v>
      </c>
      <c r="G186" s="31">
        <v>1150</v>
      </c>
      <c r="H186" s="32">
        <f t="shared" si="99"/>
        <v>-1.2875536480686695E-2</v>
      </c>
      <c r="I186" s="101">
        <f>IF(ISNUMBER(G186), $B199 * H186, "")</f>
        <v>-1287.5536480686694</v>
      </c>
      <c r="J186" s="15">
        <v>1095</v>
      </c>
      <c r="K186" s="32">
        <f t="shared" si="100"/>
        <v>-6.0085836909871244E-2</v>
      </c>
      <c r="L186" s="18">
        <f>IF(ISNUMBER(J186), $B199 * K186, "")</f>
        <v>-6008.5836909871241</v>
      </c>
      <c r="M186" s="31">
        <v>1120</v>
      </c>
      <c r="N186" s="32">
        <f t="shared" si="101"/>
        <v>-3.8626609442060089E-2</v>
      </c>
      <c r="O186" s="18">
        <f>IF(ISNUMBER(M186), $B199 * N186, "")</f>
        <v>-3862.6609442060089</v>
      </c>
      <c r="Q186" s="238"/>
      <c r="R186" s="238"/>
      <c r="S186" s="238"/>
    </row>
    <row r="187" spans="1:19" ht="17.25" thickBot="1">
      <c r="A187" s="125" t="s">
        <v>120</v>
      </c>
      <c r="B187" s="126">
        <v>4815</v>
      </c>
      <c r="C187" s="77">
        <v>-2.0725388999999999E-3</v>
      </c>
      <c r="D187" s="15">
        <v>5250</v>
      </c>
      <c r="E187" s="32">
        <f t="shared" si="98"/>
        <v>9.0342679127725853E-2</v>
      </c>
      <c r="F187" s="18">
        <f>IF(ISNUMBER(D187), $B199 * E187, "")</f>
        <v>9034.267912772586</v>
      </c>
      <c r="G187" s="31">
        <v>5420</v>
      </c>
      <c r="H187" s="32">
        <f t="shared" si="99"/>
        <v>0.12564901349948079</v>
      </c>
      <c r="I187" s="101">
        <f>IF(ISNUMBER(G187), $B199 * H187, "")</f>
        <v>12564.901349948079</v>
      </c>
      <c r="J187" s="15">
        <v>5250</v>
      </c>
      <c r="K187" s="32">
        <f t="shared" si="100"/>
        <v>9.0342679127725853E-2</v>
      </c>
      <c r="L187" s="18">
        <f>IF(ISNUMBER(J187), $B199 * K187, "")</f>
        <v>9034.267912772586</v>
      </c>
      <c r="M187" s="31">
        <v>5270</v>
      </c>
      <c r="N187" s="32">
        <f t="shared" si="101"/>
        <v>9.4496365524402909E-2</v>
      </c>
      <c r="O187" s="18">
        <f>IF(ISNUMBER(M187), $B199 * N187, "")</f>
        <v>9449.6365524402918</v>
      </c>
      <c r="Q187" s="33"/>
      <c r="R187" s="33"/>
    </row>
    <row r="188" spans="1:19" ht="17.25" thickBot="1">
      <c r="A188" s="130" t="s">
        <v>182</v>
      </c>
      <c r="B188" s="131">
        <v>62060</v>
      </c>
      <c r="C188" s="79">
        <v>-2.7318014E-3</v>
      </c>
      <c r="D188" s="24">
        <v>63480</v>
      </c>
      <c r="E188" s="25">
        <f t="shared" si="98"/>
        <v>2.2881082823074442E-2</v>
      </c>
      <c r="F188" s="104">
        <f>IF(ISNUMBER(D188), $B199 * E188, "")</f>
        <v>2288.1082823074444</v>
      </c>
      <c r="G188" s="102">
        <v>62530</v>
      </c>
      <c r="H188" s="25">
        <f t="shared" si="99"/>
        <v>7.573316145665485E-3</v>
      </c>
      <c r="I188" s="103">
        <f>IF(ISNUMBER(G188), $B199 * H188, "")</f>
        <v>757.33161456654852</v>
      </c>
      <c r="J188" s="24">
        <v>63010</v>
      </c>
      <c r="K188" s="25">
        <f t="shared" si="100"/>
        <v>1.5307766677408959E-2</v>
      </c>
      <c r="L188" s="104">
        <f>IF(ISNUMBER(J188), $B199 * K188, "")</f>
        <v>1530.7766677408958</v>
      </c>
      <c r="M188" s="102">
        <v>63450</v>
      </c>
      <c r="N188" s="25">
        <f t="shared" si="101"/>
        <v>2.2397679664840478E-2</v>
      </c>
      <c r="O188" s="104">
        <f>IF(ISNUMBER(M188), $B199 * N188, "")</f>
        <v>2239.767966484048</v>
      </c>
      <c r="Q188" s="239"/>
      <c r="R188" s="240"/>
      <c r="S188" s="241"/>
    </row>
    <row r="189" spans="1:19">
      <c r="A189" s="123" t="s">
        <v>106</v>
      </c>
      <c r="B189" s="124">
        <v>64510</v>
      </c>
      <c r="C189" s="76">
        <v>-3.3987332000000002E-3</v>
      </c>
      <c r="D189" s="13">
        <v>64720</v>
      </c>
      <c r="E189" s="14">
        <f>IF(ISNUMBER(D189), (D189 - $B189) / $B189, "")</f>
        <v>3.2553092543791662E-3</v>
      </c>
      <c r="F189" s="16">
        <f>IF(ISNUMBER(D189), $B199 * E189, "")</f>
        <v>325.53092543791661</v>
      </c>
      <c r="G189" s="29">
        <v>63990</v>
      </c>
      <c r="H189" s="14">
        <f>IF(ISNUMBER(G189), (G189 - $B189) / $B189, "")</f>
        <v>-8.0607657727484114E-3</v>
      </c>
      <c r="I189" s="100">
        <f>IF(ISNUMBER(G189), $B199 * H189, "")</f>
        <v>-806.07657727484116</v>
      </c>
      <c r="J189" s="13">
        <v>63650</v>
      </c>
      <c r="K189" s="14">
        <f>IF(ISNUMBER(J189), (J189 - $B189) / $B189, "")</f>
        <v>-1.3331266470314679E-2</v>
      </c>
      <c r="L189" s="16">
        <f>IF(ISNUMBER(J189), $B199 * K189, "")</f>
        <v>-1333.1266470314679</v>
      </c>
      <c r="M189" s="29">
        <v>63980</v>
      </c>
      <c r="N189" s="14">
        <f>IF(ISNUMBER(M189), (M189 - $B189) / $B189, "")</f>
        <v>-8.2157804991474185E-3</v>
      </c>
      <c r="O189" s="16">
        <f>IF(ISNUMBER(M189), $B199 * N189, "")</f>
        <v>-821.57804991474188</v>
      </c>
      <c r="Q189" s="242"/>
      <c r="R189" s="243"/>
      <c r="S189" s="244"/>
    </row>
    <row r="190" spans="1:19" ht="17.25" thickBot="1">
      <c r="A190" s="125" t="s">
        <v>166</v>
      </c>
      <c r="B190" s="126">
        <v>257</v>
      </c>
      <c r="C190" s="77">
        <v>-3.8759689999999999E-3</v>
      </c>
      <c r="D190" s="15">
        <v>263</v>
      </c>
      <c r="E190" s="32">
        <f t="shared" ref="E190:E193" si="102">IF(ISNUMBER(D190), (D190 - $B190) / $B190, "")</f>
        <v>2.3346303501945526E-2</v>
      </c>
      <c r="F190" s="18">
        <f>IF(ISNUMBER(D190), $B199 * E190, "")</f>
        <v>2334.6303501945526</v>
      </c>
      <c r="G190" s="31">
        <v>262</v>
      </c>
      <c r="H190" s="32">
        <f t="shared" ref="H190:H193" si="103">IF(ISNUMBER(G190), (G190 - $B190) / $B190, "")</f>
        <v>1.9455252918287938E-2</v>
      </c>
      <c r="I190" s="101">
        <f>IF(ISNUMBER(G190), $B199 * H190, "")</f>
        <v>1945.5252918287938</v>
      </c>
      <c r="J190" s="15">
        <v>259</v>
      </c>
      <c r="K190" s="32">
        <f t="shared" ref="K190:K193" si="104">IF(ISNUMBER(J190), (J190 - $B190) / $B190, "")</f>
        <v>7.7821011673151752E-3</v>
      </c>
      <c r="L190" s="18">
        <f>IF(ISNUMBER(J190), $B199 * K190, "")</f>
        <v>778.21011673151747</v>
      </c>
      <c r="M190" s="31">
        <v>261</v>
      </c>
      <c r="N190" s="32">
        <f t="shared" ref="N190:N193" si="105">IF(ISNUMBER(M190), (M190 - $B190) / $B190, "")</f>
        <v>1.556420233463035E-2</v>
      </c>
      <c r="O190" s="18">
        <f>IF(ISNUMBER(M190), $B199 * N190, "")</f>
        <v>1556.4202334630349</v>
      </c>
      <c r="Q190" s="245"/>
      <c r="R190" s="246"/>
      <c r="S190" s="247"/>
    </row>
    <row r="191" spans="1:19" ht="17.25" thickBot="1">
      <c r="A191" s="125" t="s">
        <v>138</v>
      </c>
      <c r="B191" s="126">
        <v>391</v>
      </c>
      <c r="C191" s="77">
        <v>-5.0890585000000002E-3</v>
      </c>
      <c r="D191" s="15">
        <v>402</v>
      </c>
      <c r="E191" s="32">
        <f t="shared" si="102"/>
        <v>2.8132992327365727E-2</v>
      </c>
      <c r="F191" s="18">
        <f>IF(ISNUMBER(D191), $B199 * E191, "")</f>
        <v>2813.2992327365728</v>
      </c>
      <c r="G191" s="31">
        <v>397</v>
      </c>
      <c r="H191" s="32">
        <f t="shared" si="103"/>
        <v>1.5345268542199489E-2</v>
      </c>
      <c r="I191" s="101">
        <f>IF(ISNUMBER(G191), $B199 * H191, "")</f>
        <v>1534.526854219949</v>
      </c>
      <c r="J191" s="15">
        <v>393</v>
      </c>
      <c r="K191" s="32">
        <f t="shared" si="104"/>
        <v>5.1150895140664966E-3</v>
      </c>
      <c r="L191" s="18">
        <f>IF(ISNUMBER(J191), $B199 * K191, "")</f>
        <v>511.50895140664966</v>
      </c>
      <c r="M191" s="31">
        <v>401</v>
      </c>
      <c r="N191" s="32">
        <f t="shared" si="105"/>
        <v>2.557544757033248E-2</v>
      </c>
      <c r="O191" s="18">
        <f>IF(ISNUMBER(M191), $B199 * N191, "")</f>
        <v>2557.5447570332481</v>
      </c>
      <c r="Q191" s="238"/>
      <c r="R191" s="238"/>
      <c r="S191" s="238"/>
    </row>
    <row r="192" spans="1:19" ht="17.25" thickBot="1">
      <c r="A192" s="125" t="s">
        <v>114</v>
      </c>
      <c r="B192" s="126">
        <v>743</v>
      </c>
      <c r="C192" s="77">
        <v>-5.3547522999999996E-3</v>
      </c>
      <c r="D192" s="15">
        <v>755</v>
      </c>
      <c r="E192" s="32">
        <f t="shared" si="102"/>
        <v>1.6150740242261104E-2</v>
      </c>
      <c r="F192" s="18">
        <f>IF(ISNUMBER(D192), $B199 * E192, "")</f>
        <v>1615.0740242261104</v>
      </c>
      <c r="G192" s="31">
        <v>739</v>
      </c>
      <c r="H192" s="32">
        <f t="shared" si="103"/>
        <v>-5.3835800807537013E-3</v>
      </c>
      <c r="I192" s="101">
        <f>IF(ISNUMBER(G192), $B199 * H192, "")</f>
        <v>-538.35800807537009</v>
      </c>
      <c r="J192" s="15">
        <v>737</v>
      </c>
      <c r="K192" s="32">
        <f t="shared" si="104"/>
        <v>-8.0753701211305519E-3</v>
      </c>
      <c r="L192" s="18">
        <f>IF(ISNUMBER(J192), $B199 * K192, "")</f>
        <v>-807.5370121130552</v>
      </c>
      <c r="M192" s="31">
        <v>742</v>
      </c>
      <c r="N192" s="32">
        <f t="shared" si="105"/>
        <v>-1.3458950201884253E-3</v>
      </c>
      <c r="O192" s="18">
        <f>IF(ISNUMBER(M192), $B199 * N192, "")</f>
        <v>-134.58950201884252</v>
      </c>
      <c r="Q192" s="248"/>
      <c r="R192" s="248"/>
      <c r="S192" s="248"/>
    </row>
    <row r="193" spans="1:19" ht="17.25" thickBot="1">
      <c r="A193" s="127" t="s">
        <v>98</v>
      </c>
      <c r="B193" s="128">
        <v>5.39</v>
      </c>
      <c r="C193" s="78">
        <v>-5.5350553999999998E-3</v>
      </c>
      <c r="D193" s="20">
        <v>5.55</v>
      </c>
      <c r="E193" s="21">
        <f t="shared" si="102"/>
        <v>2.968460111317257E-2</v>
      </c>
      <c r="F193" s="22">
        <f>IF(ISNUMBER(D193), $B199 * E193, "")</f>
        <v>2968.4601113172571</v>
      </c>
      <c r="G193" s="30">
        <v>5.56</v>
      </c>
      <c r="H193" s="21">
        <f t="shared" si="103"/>
        <v>3.1539888682745813E-2</v>
      </c>
      <c r="I193" s="105">
        <f>IF(ISNUMBER(G193), $B199 * H193, "")</f>
        <v>3153.9888682745814</v>
      </c>
      <c r="J193" s="20">
        <v>5.47</v>
      </c>
      <c r="K193" s="21">
        <f t="shared" si="104"/>
        <v>1.4842300556586285E-2</v>
      </c>
      <c r="L193" s="22">
        <f>IF(ISNUMBER(J193), $B199 * K193, "")</f>
        <v>1484.2300556586285</v>
      </c>
      <c r="M193" s="30">
        <v>5.6</v>
      </c>
      <c r="N193" s="21">
        <f t="shared" si="105"/>
        <v>3.896103896103896E-2</v>
      </c>
      <c r="O193" s="22">
        <f>IF(ISNUMBER(M193), $B199 * N193, "")</f>
        <v>3896.1038961038962</v>
      </c>
      <c r="Q193" s="248"/>
      <c r="R193" s="248"/>
      <c r="S193" s="248"/>
    </row>
    <row r="194" spans="1:19" ht="17.25" thickBot="1">
      <c r="A194" s="125" t="s">
        <v>176</v>
      </c>
      <c r="B194" s="129">
        <v>1570</v>
      </c>
      <c r="C194" s="80">
        <v>-6.3291138999999998E-3</v>
      </c>
      <c r="D194" s="106">
        <v>1595</v>
      </c>
      <c r="E194" s="107">
        <f>IF(ISNUMBER(D194), (D194 - $B194) / $B194, "")</f>
        <v>1.5923566878980892E-2</v>
      </c>
      <c r="F194" s="108">
        <f>IF(ISNUMBER(D194), $B199 * E194, "")</f>
        <v>1592.3566878980891</v>
      </c>
      <c r="G194" s="109">
        <v>1580</v>
      </c>
      <c r="H194" s="107">
        <f>IF(ISNUMBER(G194), (G194 - $B194) / $B194, "")</f>
        <v>6.369426751592357E-3</v>
      </c>
      <c r="I194" s="110">
        <f>IF(ISNUMBER(G194), $B199 * H194, "")</f>
        <v>636.9426751592357</v>
      </c>
      <c r="J194" s="106">
        <v>1580</v>
      </c>
      <c r="K194" s="107">
        <f>IF(ISNUMBER(J194), (J194 - $B194) / $B194, "")</f>
        <v>6.369426751592357E-3</v>
      </c>
      <c r="L194" s="108">
        <f>IF(ISNUMBER(J194), $B199 * K194, "")</f>
        <v>636.9426751592357</v>
      </c>
      <c r="M194" s="109">
        <v>1605</v>
      </c>
      <c r="N194" s="107">
        <f>IF(ISNUMBER(M194), (M194 - $B194) / $B194, "")</f>
        <v>2.2292993630573247E-2</v>
      </c>
      <c r="O194" s="108">
        <f>IF(ISNUMBER(M194), $B199 * N194, "")</f>
        <v>2229.2993630573246</v>
      </c>
      <c r="Q194" s="238"/>
      <c r="R194" s="238"/>
      <c r="S194" s="238"/>
    </row>
    <row r="195" spans="1:19" ht="17.25" thickBot="1">
      <c r="A195" s="125" t="s">
        <v>190</v>
      </c>
      <c r="B195" s="126">
        <v>19.899999999999999</v>
      </c>
      <c r="C195" s="77">
        <v>-9.9502488000000004E-3</v>
      </c>
      <c r="D195" s="15">
        <v>20.6</v>
      </c>
      <c r="E195" s="32">
        <f t="shared" ref="E195:E198" si="106">IF(ISNUMBER(D195), (D195 - $B195) / $B195, "")</f>
        <v>3.517587939698507E-2</v>
      </c>
      <c r="F195" s="18">
        <f>IF(ISNUMBER(D195), $B199 * E195, "")</f>
        <v>3517.5879396985069</v>
      </c>
      <c r="G195" s="31">
        <v>20</v>
      </c>
      <c r="H195" s="32">
        <f t="shared" ref="H195:H198" si="107">IF(ISNUMBER(G195), (G195 - $B195) / $B195, "")</f>
        <v>5.0251256281407756E-3</v>
      </c>
      <c r="I195" s="101">
        <f>IF(ISNUMBER(G195), $B199 * H195, "")</f>
        <v>502.51256281407757</v>
      </c>
      <c r="J195" s="15">
        <v>19.8</v>
      </c>
      <c r="K195" s="32">
        <f t="shared" ref="K195:K198" si="108">IF(ISNUMBER(J195), (J195 - $B195) / $B195, "")</f>
        <v>-5.0251256281405969E-3</v>
      </c>
      <c r="L195" s="18">
        <f>IF(ISNUMBER(J195), $B199 * K195, "")</f>
        <v>-502.51256281405966</v>
      </c>
      <c r="M195" s="31">
        <v>20.2</v>
      </c>
      <c r="N195" s="32">
        <f t="shared" ref="N195:N198" si="109">IF(ISNUMBER(M195), (M195 - $B195) / $B195, "")</f>
        <v>1.5075376884422148E-2</v>
      </c>
      <c r="O195" s="18">
        <f>IF(ISNUMBER(M195), $B199 * N195, "")</f>
        <v>1507.5376884422149</v>
      </c>
      <c r="Q195" s="238"/>
      <c r="R195" s="238"/>
      <c r="S195" s="238"/>
    </row>
    <row r="196" spans="1:19" ht="17.25" thickBot="1">
      <c r="A196" s="125" t="s">
        <v>202</v>
      </c>
      <c r="B196" s="126">
        <v>97.6</v>
      </c>
      <c r="C196" s="77">
        <v>-1.01419878E-2</v>
      </c>
      <c r="D196" s="15">
        <v>99.3</v>
      </c>
      <c r="E196" s="32">
        <f t="shared" si="106"/>
        <v>1.7418032786885276E-2</v>
      </c>
      <c r="F196" s="18">
        <f>IF(ISNUMBER(D196), $B199 * E196, "")</f>
        <v>1741.8032786885276</v>
      </c>
      <c r="G196" s="31">
        <v>97.9</v>
      </c>
      <c r="H196" s="32">
        <f t="shared" si="107"/>
        <v>3.0737704918033953E-3</v>
      </c>
      <c r="I196" s="101">
        <f>IF(ISNUMBER(G196), $B199 * H196, "")</f>
        <v>307.37704918033955</v>
      </c>
      <c r="J196" s="15">
        <v>96.9</v>
      </c>
      <c r="K196" s="32">
        <f t="shared" si="108"/>
        <v>-7.1721311475408675E-3</v>
      </c>
      <c r="L196" s="18">
        <f>IF(ISNUMBER(J196), $B199 * K196, "")</f>
        <v>-717.21311475408675</v>
      </c>
      <c r="M196" s="31">
        <v>98</v>
      </c>
      <c r="N196" s="32">
        <f t="shared" si="109"/>
        <v>4.0983606557377632E-3</v>
      </c>
      <c r="O196" s="18">
        <f>IF(ISNUMBER(M196), $B199 * N196, "")</f>
        <v>409.83606557377635</v>
      </c>
      <c r="Q196" s="238"/>
      <c r="R196" s="238"/>
      <c r="S196" s="238"/>
    </row>
    <row r="197" spans="1:19">
      <c r="A197" s="125" t="s">
        <v>222</v>
      </c>
      <c r="B197" s="126">
        <v>146</v>
      </c>
      <c r="C197" s="77">
        <v>-1.3513513499999999E-2</v>
      </c>
      <c r="D197" s="15">
        <v>152</v>
      </c>
      <c r="E197" s="32">
        <f t="shared" si="106"/>
        <v>4.1095890410958902E-2</v>
      </c>
      <c r="F197" s="18">
        <f>IF(ISNUMBER(D197), $B199 * E197, "")</f>
        <v>4109.58904109589</v>
      </c>
      <c r="G197" s="31">
        <v>150</v>
      </c>
      <c r="H197" s="32">
        <f t="shared" si="107"/>
        <v>2.7397260273972601E-2</v>
      </c>
      <c r="I197" s="101">
        <f>IF(ISNUMBER(G197), $B199 * H197, "")</f>
        <v>2739.7260273972602</v>
      </c>
      <c r="J197" s="15">
        <v>148</v>
      </c>
      <c r="K197" s="32">
        <f t="shared" si="108"/>
        <v>1.3698630136986301E-2</v>
      </c>
      <c r="L197" s="18">
        <f>IF(ISNUMBER(J197), $B199 * K197, "")</f>
        <v>1369.8630136986301</v>
      </c>
      <c r="M197" s="31">
        <v>150</v>
      </c>
      <c r="N197" s="32">
        <f t="shared" si="109"/>
        <v>2.7397260273972601E-2</v>
      </c>
      <c r="O197" s="18">
        <f>IF(ISNUMBER(M197), $B199 * N197, "")</f>
        <v>2739.7260273972602</v>
      </c>
      <c r="Q197" s="227"/>
      <c r="R197" s="228"/>
      <c r="S197" s="229"/>
    </row>
    <row r="198" spans="1:19" ht="17.25" thickBot="1">
      <c r="A198" s="130" t="s">
        <v>86</v>
      </c>
      <c r="B198" s="131">
        <v>426</v>
      </c>
      <c r="C198" s="79">
        <v>-1.84331797E-2</v>
      </c>
      <c r="D198" s="24">
        <v>437</v>
      </c>
      <c r="E198" s="25">
        <f t="shared" si="106"/>
        <v>2.5821596244131457E-2</v>
      </c>
      <c r="F198" s="104">
        <f>IF(ISNUMBER(D198), $B199 * E198, "")</f>
        <v>2582.1596244131456</v>
      </c>
      <c r="G198" s="102">
        <v>428</v>
      </c>
      <c r="H198" s="25">
        <f t="shared" si="107"/>
        <v>4.6948356807511738E-3</v>
      </c>
      <c r="I198" s="103">
        <f>IF(ISNUMBER(G198), $B199 * H198, "")</f>
        <v>469.48356807511738</v>
      </c>
      <c r="J198" s="24">
        <v>423</v>
      </c>
      <c r="K198" s="25">
        <f t="shared" si="108"/>
        <v>-7.0422535211267607E-3</v>
      </c>
      <c r="L198" s="104">
        <f>IF(ISNUMBER(J198), $B199 * K198, "")</f>
        <v>-704.22535211267609</v>
      </c>
      <c r="M198" s="102">
        <v>432</v>
      </c>
      <c r="N198" s="25">
        <f t="shared" si="109"/>
        <v>1.4084507042253521E-2</v>
      </c>
      <c r="O198" s="104">
        <f>IF(ISNUMBER(M198), $B199 * N198, "")</f>
        <v>1408.4507042253522</v>
      </c>
      <c r="Q198" s="230"/>
      <c r="R198" s="231"/>
      <c r="S198" s="232"/>
    </row>
    <row r="199" spans="1:19" ht="17.25" thickBot="1">
      <c r="A199" s="132" t="s">
        <v>270</v>
      </c>
      <c r="B199" s="291">
        <f>$B$37</f>
        <v>100000</v>
      </c>
      <c r="C199" s="292"/>
      <c r="D199" s="26" t="s">
        <v>271</v>
      </c>
      <c r="E199" s="27">
        <f>IF(COUNT(E179:E198), SUM(E179:E198) / COUNT(E179:E198), 0)</f>
        <v>2.9287903597005126E-2</v>
      </c>
      <c r="F199" s="28">
        <f>SUM(F179:F198)</f>
        <v>58575.807194010245</v>
      </c>
      <c r="G199" s="26" t="s">
        <v>271</v>
      </c>
      <c r="H199" s="27">
        <f>IF(COUNT(H179:H198), SUM(H179:H198) / COUNT(H179:H198), 0)</f>
        <v>1.7551033856572102E-2</v>
      </c>
      <c r="I199" s="28">
        <f>SUM(I179:I198)</f>
        <v>35102.067713144199</v>
      </c>
      <c r="J199" s="26" t="s">
        <v>271</v>
      </c>
      <c r="K199" s="27">
        <f>IF(COUNT(K179:K198), SUM(K179:K198) / COUNT(K179:K198), 0)</f>
        <v>9.2521571937979157E-3</v>
      </c>
      <c r="L199" s="28">
        <f>SUM(L179:L198)</f>
        <v>18504.314387595819</v>
      </c>
      <c r="M199" s="26" t="s">
        <v>271</v>
      </c>
      <c r="N199" s="27">
        <f>IF(COUNT(N179:N198), SUM(N179:N198) / COUNT(N179:N198), 0)</f>
        <v>2.3908314294402978E-2</v>
      </c>
      <c r="O199" s="28">
        <f>SUM(O179:O198)</f>
        <v>47816.628588805957</v>
      </c>
      <c r="Q199" s="233"/>
      <c r="R199" s="234"/>
      <c r="S199" s="23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9B495-2770-4E04-8D93-AEFD2566882C}">
  <sheetPr codeName="Sheet2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80">
        <v>44423</v>
      </c>
      <c r="H1" s="281"/>
      <c r="I1" s="282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83" t="s">
        <v>8</v>
      </c>
      <c r="C2" s="284"/>
      <c r="D2" s="284"/>
      <c r="E2" s="284"/>
      <c r="F2" s="285"/>
      <c r="G2" s="277" t="s">
        <v>46</v>
      </c>
      <c r="H2" s="278"/>
      <c r="I2" s="279"/>
      <c r="J2" s="1" t="s">
        <v>3</v>
      </c>
      <c r="K2" s="283" t="s">
        <v>320</v>
      </c>
      <c r="L2" s="284"/>
      <c r="M2" s="284"/>
      <c r="N2" s="284"/>
      <c r="O2" s="285"/>
      <c r="Q2" s="2" t="s">
        <v>6</v>
      </c>
      <c r="R2" s="3">
        <v>0.375</v>
      </c>
    </row>
    <row r="3" spans="1:19" ht="17.25" customHeight="1" thickBot="1">
      <c r="A3" s="118" t="s">
        <v>7</v>
      </c>
      <c r="B3" s="274" t="s">
        <v>328</v>
      </c>
      <c r="C3" s="275"/>
      <c r="D3" s="275"/>
      <c r="E3" s="275"/>
      <c r="F3" s="276"/>
      <c r="G3" s="27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-8,193 KRW (-0.41%)</v>
      </c>
      <c r="H3" s="271"/>
      <c r="I3" s="272"/>
      <c r="J3" s="4" t="s">
        <v>7</v>
      </c>
      <c r="K3" s="274" t="s">
        <v>321</v>
      </c>
      <c r="L3" s="275"/>
      <c r="M3" s="275"/>
      <c r="N3" s="275"/>
      <c r="O3" s="27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4" t="s">
        <v>16</v>
      </c>
      <c r="C4" s="275"/>
      <c r="D4" s="275"/>
      <c r="E4" s="275"/>
      <c r="F4" s="276"/>
      <c r="G4" s="277" t="s">
        <v>44</v>
      </c>
      <c r="H4" s="278"/>
      <c r="I4" s="279"/>
      <c r="J4" s="4" t="s">
        <v>11</v>
      </c>
      <c r="K4" s="274" t="s">
        <v>322</v>
      </c>
      <c r="L4" s="275"/>
      <c r="M4" s="275"/>
      <c r="N4" s="275"/>
      <c r="O4" s="27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4" t="s">
        <v>319</v>
      </c>
      <c r="C5" s="275"/>
      <c r="D5" s="275"/>
      <c r="E5" s="275"/>
      <c r="F5" s="276"/>
      <c r="G5" s="27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-7,606 KRW (-0.45%)</v>
      </c>
      <c r="H5" s="271"/>
      <c r="I5" s="272"/>
      <c r="J5" s="4" t="s">
        <v>15</v>
      </c>
      <c r="K5" s="274" t="s">
        <v>323</v>
      </c>
      <c r="L5" s="275"/>
      <c r="M5" s="275"/>
      <c r="N5" s="275"/>
      <c r="O5" s="276"/>
    </row>
    <row r="6" spans="1:19">
      <c r="A6" s="118" t="s">
        <v>18</v>
      </c>
      <c r="B6" s="274"/>
      <c r="C6" s="275"/>
      <c r="D6" s="275"/>
      <c r="E6" s="275"/>
      <c r="F6" s="276"/>
      <c r="G6" s="277" t="s">
        <v>45</v>
      </c>
      <c r="H6" s="278"/>
      <c r="I6" s="279"/>
      <c r="J6" s="4" t="s">
        <v>18</v>
      </c>
      <c r="K6" s="274" t="s">
        <v>324</v>
      </c>
      <c r="L6" s="275"/>
      <c r="M6" s="275"/>
      <c r="N6" s="275"/>
      <c r="O6" s="276"/>
    </row>
    <row r="7" spans="1:19" ht="17.25" thickBot="1">
      <c r="A7" s="118" t="s">
        <v>21</v>
      </c>
      <c r="B7" s="274"/>
      <c r="C7" s="275"/>
      <c r="D7" s="275"/>
      <c r="E7" s="275"/>
      <c r="F7" s="276"/>
      <c r="G7" s="27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1,067 KRW (0.05%)</v>
      </c>
      <c r="H7" s="271"/>
      <c r="I7" s="272"/>
      <c r="J7" s="4" t="s">
        <v>21</v>
      </c>
      <c r="K7" s="274" t="s">
        <v>325</v>
      </c>
      <c r="L7" s="275"/>
      <c r="M7" s="275"/>
      <c r="N7" s="275"/>
      <c r="O7" s="276"/>
    </row>
    <row r="8" spans="1:19" ht="17.25" thickBot="1">
      <c r="A8" s="118" t="s">
        <v>24</v>
      </c>
      <c r="B8" s="274"/>
      <c r="C8" s="275"/>
      <c r="D8" s="275"/>
      <c r="E8" s="275"/>
      <c r="F8" s="276"/>
      <c r="G8" s="277" t="s">
        <v>255</v>
      </c>
      <c r="H8" s="278"/>
      <c r="I8" s="279"/>
      <c r="J8" s="4" t="s">
        <v>24</v>
      </c>
      <c r="K8" s="274"/>
      <c r="L8" s="275"/>
      <c r="M8" s="275"/>
      <c r="N8" s="275"/>
      <c r="O8" s="276"/>
      <c r="Q8" s="249" t="s">
        <v>27</v>
      </c>
      <c r="R8" s="251"/>
    </row>
    <row r="9" spans="1:19" ht="17.25" thickBot="1">
      <c r="A9" s="118" t="s">
        <v>28</v>
      </c>
      <c r="B9" s="274"/>
      <c r="C9" s="275"/>
      <c r="D9" s="275"/>
      <c r="E9" s="275"/>
      <c r="F9" s="276"/>
      <c r="G9" s="27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-833 KRW (-0.04%)</v>
      </c>
      <c r="H9" s="271"/>
      <c r="I9" s="272"/>
      <c r="J9" s="4" t="s">
        <v>28</v>
      </c>
      <c r="K9" s="274"/>
      <c r="L9" s="275"/>
      <c r="M9" s="275"/>
      <c r="N9" s="275"/>
      <c r="O9" s="276"/>
      <c r="Q9" s="2" t="s">
        <v>29</v>
      </c>
      <c r="R9" s="6">
        <v>10</v>
      </c>
    </row>
    <row r="10" spans="1:19">
      <c r="A10" s="118" t="s">
        <v>30</v>
      </c>
      <c r="B10" s="274"/>
      <c r="C10" s="275"/>
      <c r="D10" s="275"/>
      <c r="E10" s="275"/>
      <c r="F10" s="276"/>
      <c r="G10" s="277" t="s">
        <v>47</v>
      </c>
      <c r="H10" s="278"/>
      <c r="I10" s="279"/>
      <c r="J10" s="4" t="s">
        <v>30</v>
      </c>
      <c r="K10" s="274" t="s">
        <v>326</v>
      </c>
      <c r="L10" s="275"/>
      <c r="M10" s="275"/>
      <c r="N10" s="275"/>
      <c r="O10" s="276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7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1"/>
      <c r="I11" s="272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48"/>
      <c r="R13" s="248"/>
      <c r="S13" s="248"/>
    </row>
    <row r="14" spans="1:19" ht="17.25" customHeight="1" thickBot="1">
      <c r="A14" s="215" t="s">
        <v>35</v>
      </c>
      <c r="B14" s="249" t="s">
        <v>36</v>
      </c>
      <c r="C14" s="251"/>
      <c r="D14" s="249" t="s">
        <v>37</v>
      </c>
      <c r="E14" s="250"/>
      <c r="F14" s="251"/>
      <c r="G14" s="252">
        <f>_xlfn.IFNA(VLOOKUP(B14, 현재가테이블!$B$2:$D$200, 2, FALSE), "-")</f>
        <v>54440000</v>
      </c>
      <c r="H14" s="253"/>
      <c r="I14" s="254"/>
      <c r="J14" s="249" t="s">
        <v>38</v>
      </c>
      <c r="K14" s="250"/>
      <c r="L14" s="251"/>
      <c r="M14" s="255">
        <f>_xlfn.IFNA(VLOOKUP(B14, 현재가테이블!$B$2:$D$200, 3, FALSE), "-")</f>
        <v>1.07123628E-2</v>
      </c>
      <c r="N14" s="256"/>
      <c r="O14" s="257"/>
      <c r="Q14" s="248"/>
      <c r="R14" s="248"/>
      <c r="S14" s="248"/>
    </row>
    <row r="15" spans="1:19" ht="17.25" customHeight="1" thickBot="1">
      <c r="A15" s="286" t="s">
        <v>39</v>
      </c>
      <c r="B15" s="287" t="str">
        <f>TEXT($G$1, "[$-ko-KR]yyyy-mm-dd(ddd) ") &amp; "오전 00:00"</f>
        <v>2021-08-15(일) 오전 00:00</v>
      </c>
      <c r="C15" s="288"/>
      <c r="D15" s="262" t="str">
        <f>TEXT($G$1, "[$-ko-KR]yyyy-mm-dd(ddd) ") &amp; "오후 14:00"</f>
        <v>2021-08-15(일) 오후 14:00</v>
      </c>
      <c r="E15" s="263"/>
      <c r="F15" s="264"/>
      <c r="G15" s="262" t="str">
        <f>TEXT($G$1, "[$-ko-KR]yyyy-mm-dd(ddd) ") &amp; "오후 19:00"</f>
        <v>2021-08-15(일) 오후 19:00</v>
      </c>
      <c r="H15" s="263"/>
      <c r="I15" s="264"/>
      <c r="J15" s="262" t="str">
        <f>TEXT($G$1, "[$-ko-KR]yyyy-mm-dd(ddd) ") &amp; "오후 21:00"</f>
        <v>2021-08-15(일) 오후 21:00</v>
      </c>
      <c r="K15" s="263"/>
      <c r="L15" s="264"/>
      <c r="M15" s="262" t="str">
        <f>TEXT($G$1+1, "[$-ko-KR]yyyy-mm-dd(ddd) ") &amp; "오전 00:00"</f>
        <v>2021-08-16(월) 오전 00:00</v>
      </c>
      <c r="N15" s="263"/>
      <c r="O15" s="264"/>
      <c r="Q15" s="248"/>
      <c r="R15" s="248"/>
      <c r="S15" s="248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6" t="s">
        <v>37</v>
      </c>
      <c r="H16" s="217" t="s">
        <v>40</v>
      </c>
      <c r="I16" s="21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8"/>
      <c r="R17" s="248"/>
      <c r="S17" s="24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8"/>
      <c r="R18" s="248"/>
      <c r="S18" s="24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8"/>
      <c r="R19" s="238"/>
      <c r="S19" s="23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8"/>
      <c r="R20" s="238"/>
      <c r="S20" s="23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8"/>
      <c r="R21" s="238"/>
      <c r="S21" s="23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8"/>
      <c r="R22" s="238"/>
      <c r="S22" s="23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8"/>
      <c r="R23" s="238"/>
      <c r="S23" s="23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8"/>
      <c r="R24" s="238"/>
      <c r="S24" s="23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9"/>
      <c r="R26" s="240"/>
      <c r="S26" s="24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2"/>
      <c r="R27" s="243"/>
      <c r="S27" s="24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5"/>
      <c r="R28" s="246"/>
      <c r="S28" s="24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8"/>
      <c r="R29" s="238"/>
      <c r="S29" s="23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8"/>
      <c r="R30" s="248"/>
      <c r="S30" s="24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8"/>
      <c r="R31" s="248"/>
      <c r="S31" s="24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8"/>
      <c r="R32" s="238"/>
      <c r="S32" s="23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7"/>
      <c r="R35" s="228"/>
      <c r="S35" s="22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0"/>
      <c r="R36" s="231"/>
      <c r="S36" s="232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3"/>
      <c r="R37" s="234"/>
      <c r="S37" s="23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48"/>
      <c r="R40" s="248"/>
      <c r="S40" s="248"/>
    </row>
    <row r="41" spans="1:19" ht="17.25" customHeight="1" thickBot="1">
      <c r="A41" s="215" t="s">
        <v>267</v>
      </c>
      <c r="B41" s="249" t="s">
        <v>49</v>
      </c>
      <c r="C41" s="251"/>
      <c r="D41" s="249" t="s">
        <v>58</v>
      </c>
      <c r="E41" s="250"/>
      <c r="F41" s="251"/>
      <c r="G41" s="252">
        <f>_xlfn.IFNA(VLOOKUP(B41, 현재가테이블!$B$2:$D$200, 2, FALSE), "-")</f>
        <v>54440000</v>
      </c>
      <c r="H41" s="253"/>
      <c r="I41" s="254"/>
      <c r="J41" s="249" t="s">
        <v>59</v>
      </c>
      <c r="K41" s="250"/>
      <c r="L41" s="251"/>
      <c r="M41" s="255">
        <f>_xlfn.IFNA(VLOOKUP(B41, 현재가테이블!$B$2:$D$200, 3, FALSE), "-")</f>
        <v>1.07123628E-2</v>
      </c>
      <c r="N41" s="256"/>
      <c r="O41" s="257"/>
      <c r="Q41" s="248"/>
      <c r="R41" s="248"/>
      <c r="S41" s="248"/>
    </row>
    <row r="42" spans="1:19" ht="17.25" customHeight="1" thickBot="1">
      <c r="A42" s="293" t="s">
        <v>55</v>
      </c>
      <c r="B42" s="289" t="str">
        <f>TEXT($G$1, "[$-ko-KR]yyyy-mm-dd(ddd) ") &amp; "오전 00:00"</f>
        <v>2021-08-15(일) 오전 00:00</v>
      </c>
      <c r="C42" s="290"/>
      <c r="D42" s="262" t="str">
        <f>TEXT($G$1, "[$-ko-KR]yyyy-mm-dd(ddd) ") &amp; "오후 14:00"</f>
        <v>2021-08-15(일) 오후 14:00</v>
      </c>
      <c r="E42" s="263"/>
      <c r="F42" s="264"/>
      <c r="G42" s="262" t="str">
        <f>TEXT($G$1, "[$-ko-KR]yyyy-mm-dd(ddd) ") &amp; "오후 19:00"</f>
        <v>2021-08-15(일) 오후 19:00</v>
      </c>
      <c r="H42" s="263"/>
      <c r="I42" s="264"/>
      <c r="J42" s="262" t="str">
        <f>TEXT($G$1, "[$-ko-KR]yyyy-mm-dd(ddd) ") &amp; "오후 21:00"</f>
        <v>2021-08-15(일) 오후 21:00</v>
      </c>
      <c r="K42" s="263"/>
      <c r="L42" s="264"/>
      <c r="M42" s="262" t="str">
        <f>TEXT($G$1+1, "[$-ko-KR]yyyy-mm-dd(ddd) ") &amp; "오전 00:00"</f>
        <v>2021-08-16(월) 오전 00:00</v>
      </c>
      <c r="N42" s="263"/>
      <c r="O42" s="264"/>
      <c r="Q42" s="248"/>
      <c r="R42" s="248"/>
      <c r="S42" s="248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6" t="s">
        <v>58</v>
      </c>
      <c r="H43" s="217" t="s">
        <v>268</v>
      </c>
      <c r="I43" s="21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8"/>
      <c r="R43" s="238"/>
      <c r="S43" s="238"/>
    </row>
    <row r="44" spans="1:19" ht="17.25" customHeight="1" thickBot="1">
      <c r="A44" s="123" t="s">
        <v>234</v>
      </c>
      <c r="B44" s="124">
        <v>78.900000000000006</v>
      </c>
      <c r="C44" s="76">
        <v>1.54440154E-2</v>
      </c>
      <c r="D44" s="13">
        <v>77.099999999999994</v>
      </c>
      <c r="E44" s="14">
        <f>IF(ISNUMBER(D44), (D44 - $B44) / $B44, "")</f>
        <v>-2.28136882129279E-2</v>
      </c>
      <c r="F44" s="16">
        <f>IF(ISNUMBER(D44), $B64 * E44, "")</f>
        <v>-2281.36882129279</v>
      </c>
      <c r="G44" s="29">
        <v>76.5</v>
      </c>
      <c r="H44" s="14">
        <f>IF(ISNUMBER(G44), (G44 - $B44) / $B44, "")</f>
        <v>-3.0418250950570411E-2</v>
      </c>
      <c r="I44" s="100">
        <f>IF(ISNUMBER(G44), $B64 * H44, "")</f>
        <v>-3041.8250950570409</v>
      </c>
      <c r="J44" s="13">
        <v>76.2</v>
      </c>
      <c r="K44" s="14">
        <f>IF(ISNUMBER(J44), (J44 - $B44) / $B44, "")</f>
        <v>-3.4220532319391671E-2</v>
      </c>
      <c r="L44" s="16">
        <f>IF(ISNUMBER(J44), $B64 * K44, "")</f>
        <v>-3422.0532319391673</v>
      </c>
      <c r="M44" s="29">
        <v>76.7</v>
      </c>
      <c r="N44" s="14">
        <f>IF(ISNUMBER(M44), (M44 - $B44) / $B44, "")</f>
        <v>-2.7883396704689513E-2</v>
      </c>
      <c r="O44" s="16">
        <f>IF(ISNUMBER(M44), $B64 * N44, "")</f>
        <v>-2788.3396704689512</v>
      </c>
      <c r="Q44" s="248"/>
      <c r="R44" s="248"/>
      <c r="S44" s="248"/>
    </row>
    <row r="45" spans="1:19" ht="17.25" customHeight="1" thickBot="1">
      <c r="A45" s="125" t="s">
        <v>148</v>
      </c>
      <c r="B45" s="126">
        <v>22.1</v>
      </c>
      <c r="C45" s="77">
        <v>0</v>
      </c>
      <c r="D45" s="15">
        <v>22.2</v>
      </c>
      <c r="E45" s="32">
        <f t="shared" ref="E45:E48" si="14">IF(ISNUMBER(D45), (D45 - $B45) / $B45, "")</f>
        <v>4.5248868778279576E-3</v>
      </c>
      <c r="F45" s="18">
        <f>IF(ISNUMBER(D45), $B64 * E45, "")</f>
        <v>452.48868778279575</v>
      </c>
      <c r="G45" s="31">
        <v>22</v>
      </c>
      <c r="H45" s="32">
        <f t="shared" ref="H45:H48" si="15">IF(ISNUMBER(G45), (G45 - $B45) / $B45, "")</f>
        <v>-4.524886877828118E-3</v>
      </c>
      <c r="I45" s="101">
        <f>IF(ISNUMBER(G45), $B64 * H45, "")</f>
        <v>-452.48868778281178</v>
      </c>
      <c r="J45" s="15">
        <v>21.9</v>
      </c>
      <c r="K45" s="32">
        <f t="shared" ref="K45:K48" si="16">IF(ISNUMBER(J45), (J45 - $B45) / $B45, "")</f>
        <v>-9.049773755656236E-3</v>
      </c>
      <c r="L45" s="18">
        <f>IF(ISNUMBER(J45), $B64 * K45, "")</f>
        <v>-904.97737556562356</v>
      </c>
      <c r="M45" s="31">
        <v>21.9</v>
      </c>
      <c r="N45" s="32">
        <f t="shared" ref="N45:N48" si="17">IF(ISNUMBER(M45), (M45 - $B45) / $B45, "")</f>
        <v>-9.049773755656236E-3</v>
      </c>
      <c r="O45" s="18">
        <f>IF(ISNUMBER(M45), $B64 * N45, "")</f>
        <v>-904.97737556562356</v>
      </c>
      <c r="Q45" s="248"/>
      <c r="R45" s="248"/>
      <c r="S45" s="248"/>
    </row>
    <row r="46" spans="1:19" ht="17.25" customHeight="1" thickBot="1">
      <c r="A46" s="125" t="s">
        <v>98</v>
      </c>
      <c r="B46" s="126">
        <v>5.6</v>
      </c>
      <c r="C46" s="77">
        <v>-3.5587189000000001E-3</v>
      </c>
      <c r="D46" s="15">
        <v>5.6</v>
      </c>
      <c r="E46" s="32">
        <f t="shared" si="14"/>
        <v>0</v>
      </c>
      <c r="F46" s="18">
        <f>IF(ISNUMBER(D46), $B64 * E46, "")</f>
        <v>0</v>
      </c>
      <c r="G46" s="31">
        <v>5.49</v>
      </c>
      <c r="H46" s="32">
        <f t="shared" si="15"/>
        <v>-1.9642857142857042E-2</v>
      </c>
      <c r="I46" s="101">
        <f>IF(ISNUMBER(G46), $B64 * H46, "")</f>
        <v>-1964.2857142857042</v>
      </c>
      <c r="J46" s="15">
        <v>5.45</v>
      </c>
      <c r="K46" s="32">
        <f t="shared" si="16"/>
        <v>-2.6785714285714191E-2</v>
      </c>
      <c r="L46" s="18">
        <f>IF(ISNUMBER(J46), $B64 * K46, "")</f>
        <v>-2678.5714285714189</v>
      </c>
      <c r="M46" s="31">
        <v>5.45</v>
      </c>
      <c r="N46" s="32">
        <f t="shared" si="17"/>
        <v>-2.6785714285714191E-2</v>
      </c>
      <c r="O46" s="18">
        <f>IF(ISNUMBER(M46), $B64 * N46, "")</f>
        <v>-2678.5714285714189</v>
      </c>
      <c r="Q46" s="238"/>
      <c r="R46" s="238"/>
      <c r="S46" s="238"/>
    </row>
    <row r="47" spans="1:19" ht="17.25" customHeight="1" thickBot="1">
      <c r="A47" s="125" t="s">
        <v>150</v>
      </c>
      <c r="B47" s="126">
        <v>13.4</v>
      </c>
      <c r="C47" s="77">
        <v>-7.4074073999999997E-3</v>
      </c>
      <c r="D47" s="15">
        <v>13.9</v>
      </c>
      <c r="E47" s="32">
        <f t="shared" si="14"/>
        <v>3.7313432835820892E-2</v>
      </c>
      <c r="F47" s="18">
        <f>IF(ISNUMBER(D47), $B64 * E47, "")</f>
        <v>3731.343283582089</v>
      </c>
      <c r="G47" s="31">
        <v>13.9</v>
      </c>
      <c r="H47" s="32">
        <f t="shared" si="15"/>
        <v>3.7313432835820892E-2</v>
      </c>
      <c r="I47" s="101">
        <f>IF(ISNUMBER(G47), $B64 * H47, "")</f>
        <v>3731.343283582089</v>
      </c>
      <c r="J47" s="15">
        <v>14.1</v>
      </c>
      <c r="K47" s="32">
        <f t="shared" si="16"/>
        <v>5.2238805970149196E-2</v>
      </c>
      <c r="L47" s="18">
        <f>IF(ISNUMBER(J47), $B64 * K47, "")</f>
        <v>5223.8805970149197</v>
      </c>
      <c r="M47" s="31">
        <v>14</v>
      </c>
      <c r="N47" s="32">
        <f t="shared" si="17"/>
        <v>4.4776119402985044E-2</v>
      </c>
      <c r="O47" s="18">
        <f>IF(ISNUMBER(M47), $B64 * N47, "")</f>
        <v>4477.6119402985041</v>
      </c>
      <c r="Q47" s="238"/>
      <c r="R47" s="238"/>
      <c r="S47" s="238"/>
    </row>
    <row r="48" spans="1:19" ht="17.25" customHeight="1" thickBot="1">
      <c r="A48" s="127" t="s">
        <v>72</v>
      </c>
      <c r="B48" s="128">
        <v>24.7</v>
      </c>
      <c r="C48" s="78">
        <v>-8.0321284999999992E-3</v>
      </c>
      <c r="D48" s="20">
        <v>25</v>
      </c>
      <c r="E48" s="21">
        <f t="shared" si="14"/>
        <v>1.2145748987854281E-2</v>
      </c>
      <c r="F48" s="22">
        <f>IF(ISNUMBER(D48), $B64 * E48, "")</f>
        <v>1214.5748987854281</v>
      </c>
      <c r="G48" s="30">
        <v>24.7</v>
      </c>
      <c r="H48" s="21">
        <f t="shared" si="15"/>
        <v>0</v>
      </c>
      <c r="I48" s="105">
        <f>IF(ISNUMBER(G48), $B64 * H48, "")</f>
        <v>0</v>
      </c>
      <c r="J48" s="20">
        <v>24.7</v>
      </c>
      <c r="K48" s="21">
        <f t="shared" si="16"/>
        <v>0</v>
      </c>
      <c r="L48" s="22">
        <f>IF(ISNUMBER(J48), $B64 * K48, "")</f>
        <v>0</v>
      </c>
      <c r="M48" s="30">
        <v>24.8</v>
      </c>
      <c r="N48" s="21">
        <f t="shared" si="17"/>
        <v>4.0485829959514743E-3</v>
      </c>
      <c r="O48" s="22">
        <f>IF(ISNUMBER(M48), $B64 * N48, "")</f>
        <v>404.85829959514746</v>
      </c>
      <c r="Q48" s="238"/>
      <c r="R48" s="238"/>
      <c r="S48" s="238"/>
    </row>
    <row r="49" spans="1:19" ht="17.25" customHeight="1" thickBot="1">
      <c r="A49" s="125" t="s">
        <v>216</v>
      </c>
      <c r="B49" s="129">
        <v>11.5</v>
      </c>
      <c r="C49" s="80">
        <v>-8.6206896999999998E-3</v>
      </c>
      <c r="D49" s="106">
        <v>11.8</v>
      </c>
      <c r="E49" s="107">
        <f>IF(ISNUMBER(D49), (D49 - $B49) / $B49, "")</f>
        <v>2.6086956521739191E-2</v>
      </c>
      <c r="F49" s="108">
        <f>IF(ISNUMBER(D49), $B64 * E49, "")</f>
        <v>2608.6956521739194</v>
      </c>
      <c r="G49" s="109">
        <v>11.9</v>
      </c>
      <c r="H49" s="107">
        <f>IF(ISNUMBER(G49), (G49 - $B49) / $B49, "")</f>
        <v>3.4782608695652202E-2</v>
      </c>
      <c r="I49" s="110">
        <f>IF(ISNUMBER(G49), $B64 * H49, "")</f>
        <v>3478.2608695652202</v>
      </c>
      <c r="J49" s="106">
        <v>11.8</v>
      </c>
      <c r="K49" s="107">
        <f>IF(ISNUMBER(J49), (J49 - $B49) / $B49, "")</f>
        <v>2.6086956521739191E-2</v>
      </c>
      <c r="L49" s="108">
        <f>IF(ISNUMBER(J49), $B64 * K49, "")</f>
        <v>2608.6956521739194</v>
      </c>
      <c r="M49" s="109">
        <v>11.8</v>
      </c>
      <c r="N49" s="107">
        <f>IF(ISNUMBER(M49), (M49 - $B49) / $B49, "")</f>
        <v>2.6086956521739191E-2</v>
      </c>
      <c r="O49" s="108">
        <f>IF(ISNUMBER(M49), $B64 * N49, "")</f>
        <v>2608.6956521739194</v>
      </c>
      <c r="Q49" s="238"/>
      <c r="R49" s="238"/>
      <c r="S49" s="238"/>
    </row>
    <row r="50" spans="1:19" ht="17.25" customHeight="1" thickBot="1">
      <c r="A50" s="125" t="s">
        <v>250</v>
      </c>
      <c r="B50" s="126">
        <v>81</v>
      </c>
      <c r="C50" s="77">
        <v>-9.7799510999999999E-3</v>
      </c>
      <c r="D50" s="15">
        <v>83.4</v>
      </c>
      <c r="E50" s="32">
        <f t="shared" ref="E50:E53" si="18">IF(ISNUMBER(D50), (D50 - $B50) / $B50, "")</f>
        <v>2.96296296296297E-2</v>
      </c>
      <c r="F50" s="18">
        <f>IF(ISNUMBER(D50), $B64 * E50, "")</f>
        <v>2962.9629629629699</v>
      </c>
      <c r="G50" s="31">
        <v>83.7</v>
      </c>
      <c r="H50" s="32">
        <f t="shared" ref="H50:H53" si="19">IF(ISNUMBER(G50), (G50 - $B50) / $B50, "")</f>
        <v>3.3333333333333368E-2</v>
      </c>
      <c r="I50" s="101">
        <f>IF(ISNUMBER(G50), $B64 * H50, "")</f>
        <v>3333.3333333333367</v>
      </c>
      <c r="J50" s="15">
        <v>82.2</v>
      </c>
      <c r="K50" s="32">
        <f t="shared" ref="K50:K53" si="20">IF(ISNUMBER(J50), (J50 - $B50) / $B50, "")</f>
        <v>1.481481481481485E-2</v>
      </c>
      <c r="L50" s="18">
        <f>IF(ISNUMBER(J50), $B64 * K50, "")</f>
        <v>1481.4814814814849</v>
      </c>
      <c r="M50" s="31">
        <v>82.3</v>
      </c>
      <c r="N50" s="32">
        <f t="shared" ref="N50:N53" si="21">IF(ISNUMBER(M50), (M50 - $B50) / $B50, "")</f>
        <v>1.6049382716049349E-2</v>
      </c>
      <c r="O50" s="18">
        <f>IF(ISNUMBER(M50), $B64 * N50, "")</f>
        <v>1604.9382716049349</v>
      </c>
      <c r="Q50" s="238"/>
      <c r="R50" s="238"/>
      <c r="S50" s="238"/>
    </row>
    <row r="51" spans="1:19" ht="17.25" customHeight="1" thickBot="1">
      <c r="A51" s="125" t="s">
        <v>122</v>
      </c>
      <c r="B51" s="126">
        <v>34.9</v>
      </c>
      <c r="C51" s="77">
        <v>-1.13314448E-2</v>
      </c>
      <c r="D51" s="15">
        <v>34.4</v>
      </c>
      <c r="E51" s="32">
        <f t="shared" si="18"/>
        <v>-1.4326647564469915E-2</v>
      </c>
      <c r="F51" s="18">
        <f>IF(ISNUMBER(D51), $B64 * E51, "")</f>
        <v>-1432.6647564469915</v>
      </c>
      <c r="G51" s="31">
        <v>34.1</v>
      </c>
      <c r="H51" s="32">
        <f t="shared" si="19"/>
        <v>-2.2922636103151782E-2</v>
      </c>
      <c r="I51" s="101">
        <f>IF(ISNUMBER(G51), $B64 * H51, "")</f>
        <v>-2292.2636103151781</v>
      </c>
      <c r="J51" s="15">
        <v>33.9</v>
      </c>
      <c r="K51" s="32">
        <f t="shared" si="20"/>
        <v>-2.865329512893983E-2</v>
      </c>
      <c r="L51" s="18">
        <f>IF(ISNUMBER(J51), $B64 * K51, "")</f>
        <v>-2865.3295128939831</v>
      </c>
      <c r="M51" s="31">
        <v>33.700000000000003</v>
      </c>
      <c r="N51" s="32">
        <f t="shared" si="21"/>
        <v>-3.4383954154727669E-2</v>
      </c>
      <c r="O51" s="18">
        <f>IF(ISNUMBER(M51), $B64 * N51, "")</f>
        <v>-3438.3954154727671</v>
      </c>
      <c r="Q51" s="238"/>
      <c r="R51" s="238"/>
      <c r="S51" s="238"/>
    </row>
    <row r="52" spans="1:19" ht="17.25" customHeight="1" thickBot="1">
      <c r="A52" s="125" t="s">
        <v>204</v>
      </c>
      <c r="B52" s="126">
        <v>15.5</v>
      </c>
      <c r="C52" s="77">
        <v>-1.2738853499999999E-2</v>
      </c>
      <c r="D52" s="15">
        <v>15.9</v>
      </c>
      <c r="E52" s="32">
        <f t="shared" si="18"/>
        <v>2.580645161290325E-2</v>
      </c>
      <c r="F52" s="18">
        <f>IF(ISNUMBER(D52), $B64 * E52, "")</f>
        <v>2580.6451612903252</v>
      </c>
      <c r="G52" s="31">
        <v>15.9</v>
      </c>
      <c r="H52" s="32">
        <f t="shared" si="19"/>
        <v>2.580645161290325E-2</v>
      </c>
      <c r="I52" s="101">
        <f>IF(ISNUMBER(G52), $B64 * H52, "")</f>
        <v>2580.6451612903252</v>
      </c>
      <c r="J52" s="15">
        <v>15.7</v>
      </c>
      <c r="K52" s="32">
        <f t="shared" si="20"/>
        <v>1.2903225806451568E-2</v>
      </c>
      <c r="L52" s="18">
        <f>IF(ISNUMBER(J52), $B64 * K52, "")</f>
        <v>1290.3225806451567</v>
      </c>
      <c r="M52" s="31">
        <v>15.7</v>
      </c>
      <c r="N52" s="32">
        <f t="shared" si="21"/>
        <v>1.2903225806451568E-2</v>
      </c>
      <c r="O52" s="18">
        <f>IF(ISNUMBER(M52), $B64 * N52, "")</f>
        <v>1290.3225806451567</v>
      </c>
      <c r="Q52" s="33"/>
      <c r="R52" s="33"/>
    </row>
    <row r="53" spans="1:19" ht="17.25" customHeight="1" thickBot="1">
      <c r="A53" s="130" t="s">
        <v>188</v>
      </c>
      <c r="B53" s="131">
        <v>13.5</v>
      </c>
      <c r="C53" s="79">
        <v>-1.45985401E-2</v>
      </c>
      <c r="D53" s="24">
        <v>13.4</v>
      </c>
      <c r="E53" s="25">
        <f t="shared" si="18"/>
        <v>-7.4074074074073808E-3</v>
      </c>
      <c r="F53" s="104">
        <f>IF(ISNUMBER(D53), $B64 * E53, "")</f>
        <v>-740.74074074073803</v>
      </c>
      <c r="G53" s="102">
        <v>13.2</v>
      </c>
      <c r="H53" s="25">
        <f t="shared" si="19"/>
        <v>-2.2222222222222275E-2</v>
      </c>
      <c r="I53" s="103">
        <f>IF(ISNUMBER(G53), $B64 * H53, "")</f>
        <v>-2222.2222222222276</v>
      </c>
      <c r="J53" s="24">
        <v>13.2</v>
      </c>
      <c r="K53" s="25">
        <f t="shared" si="20"/>
        <v>-2.2222222222222275E-2</v>
      </c>
      <c r="L53" s="104">
        <f>IF(ISNUMBER(J53), $B64 * K53, "")</f>
        <v>-2222.2222222222276</v>
      </c>
      <c r="M53" s="102">
        <v>13.3</v>
      </c>
      <c r="N53" s="25">
        <f t="shared" si="21"/>
        <v>-1.4814814814814762E-2</v>
      </c>
      <c r="O53" s="104">
        <f>IF(ISNUMBER(M53), $B64 * N53, "")</f>
        <v>-1481.4814814814761</v>
      </c>
      <c r="Q53" s="239"/>
      <c r="R53" s="240"/>
      <c r="S53" s="241"/>
    </row>
    <row r="54" spans="1:19" ht="17.25" customHeight="1">
      <c r="A54" s="123" t="s">
        <v>190</v>
      </c>
      <c r="B54" s="124">
        <v>20.2</v>
      </c>
      <c r="C54" s="76">
        <v>-1.4634146299999999E-2</v>
      </c>
      <c r="D54" s="13">
        <v>20.100000000000001</v>
      </c>
      <c r="E54" s="14">
        <f>IF(ISNUMBER(D54), (D54 - $B54) / $B54, "")</f>
        <v>-4.9504950495048447E-3</v>
      </c>
      <c r="F54" s="16">
        <f>IF(ISNUMBER(D54), $B64 * E54, "")</f>
        <v>-495.04950495048445</v>
      </c>
      <c r="G54" s="29">
        <v>19.899999999999999</v>
      </c>
      <c r="H54" s="14">
        <f>IF(ISNUMBER(G54), (G54 - $B54) / $B54, "")</f>
        <v>-1.4851485148514887E-2</v>
      </c>
      <c r="I54" s="100">
        <f>IF(ISNUMBER(G54), $B64 * H54, "")</f>
        <v>-1485.1485148514887</v>
      </c>
      <c r="J54" s="13">
        <v>19.899999999999999</v>
      </c>
      <c r="K54" s="14">
        <f>IF(ISNUMBER(J54), (J54 - $B54) / $B54, "")</f>
        <v>-1.4851485148514887E-2</v>
      </c>
      <c r="L54" s="16">
        <f>IF(ISNUMBER(J54), $B64 * K54, "")</f>
        <v>-1485.1485148514887</v>
      </c>
      <c r="M54" s="29">
        <v>19.8</v>
      </c>
      <c r="N54" s="14">
        <f>IF(ISNUMBER(M54), (M54 - $B54) / $B54, "")</f>
        <v>-1.9801980198019733E-2</v>
      </c>
      <c r="O54" s="16">
        <f>IF(ISNUMBER(M54), $B64 * N54, "")</f>
        <v>-1980.1980198019733</v>
      </c>
      <c r="Q54" s="242"/>
      <c r="R54" s="243"/>
      <c r="S54" s="244"/>
    </row>
    <row r="55" spans="1:19" ht="17.25" customHeight="1" thickBot="1">
      <c r="A55" s="125" t="s">
        <v>210</v>
      </c>
      <c r="B55" s="126">
        <v>12.7</v>
      </c>
      <c r="C55" s="77">
        <v>-1.5503876E-2</v>
      </c>
      <c r="D55" s="15">
        <v>13</v>
      </c>
      <c r="E55" s="32">
        <f t="shared" ref="E55:E58" si="22">IF(ISNUMBER(D55), (D55 - $B55) / $B55, "")</f>
        <v>2.3622047244094547E-2</v>
      </c>
      <c r="F55" s="18">
        <f>IF(ISNUMBER(D55), $B64 * E55, "")</f>
        <v>2362.2047244094547</v>
      </c>
      <c r="G55" s="31">
        <v>12.9</v>
      </c>
      <c r="H55" s="32">
        <f t="shared" ref="H55:H58" si="23">IF(ISNUMBER(G55), (G55 - $B55) / $B55, "")</f>
        <v>1.5748031496063079E-2</v>
      </c>
      <c r="I55" s="101">
        <f>IF(ISNUMBER(G55), $B64 * H55, "")</f>
        <v>1574.8031496063079</v>
      </c>
      <c r="J55" s="15">
        <v>12.8</v>
      </c>
      <c r="K55" s="32">
        <f t="shared" ref="K55:K58" si="24">IF(ISNUMBER(J55), (J55 - $B55) / $B55, "")</f>
        <v>7.8740157480316087E-3</v>
      </c>
      <c r="L55" s="18">
        <f>IF(ISNUMBER(J55), $B64 * K55, "")</f>
        <v>787.40157480316088</v>
      </c>
      <c r="M55" s="31">
        <v>12.8</v>
      </c>
      <c r="N55" s="32">
        <f t="shared" ref="N55:N58" si="25">IF(ISNUMBER(M55), (M55 - $B55) / $B55, "")</f>
        <v>7.8740157480316087E-3</v>
      </c>
      <c r="O55" s="18">
        <f>IF(ISNUMBER(M55), $B64 * N55, "")</f>
        <v>787.40157480316088</v>
      </c>
      <c r="Q55" s="245"/>
      <c r="R55" s="246"/>
      <c r="S55" s="247"/>
    </row>
    <row r="56" spans="1:19" ht="17.25" customHeight="1" thickBot="1">
      <c r="A56" s="125" t="s">
        <v>65</v>
      </c>
      <c r="B56" s="126">
        <v>36.6</v>
      </c>
      <c r="C56" s="77">
        <v>-1.6129032299999999E-2</v>
      </c>
      <c r="D56" s="15">
        <v>37.9</v>
      </c>
      <c r="E56" s="32">
        <f t="shared" si="22"/>
        <v>3.5519125683060031E-2</v>
      </c>
      <c r="F56" s="18">
        <f>IF(ISNUMBER(D56), $B64 * E56, "")</f>
        <v>3551.9125683060029</v>
      </c>
      <c r="G56" s="31">
        <v>37.299999999999997</v>
      </c>
      <c r="H56" s="32">
        <f t="shared" si="23"/>
        <v>1.9125683060109172E-2</v>
      </c>
      <c r="I56" s="101">
        <f>IF(ISNUMBER(G56), $B64 * H56, "")</f>
        <v>1912.5683060109172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36.799999999999997</v>
      </c>
      <c r="N56" s="32">
        <f t="shared" si="25"/>
        <v>5.4644808743168228E-3</v>
      </c>
      <c r="O56" s="18">
        <f>IF(ISNUMBER(M56), $B64 * N56, "")</f>
        <v>546.44808743168232</v>
      </c>
      <c r="Q56" s="238"/>
      <c r="R56" s="238"/>
      <c r="S56" s="238"/>
    </row>
    <row r="57" spans="1:19" ht="17.25" customHeight="1" thickBot="1">
      <c r="A57" s="125" t="s">
        <v>178</v>
      </c>
      <c r="B57" s="126">
        <v>17.3</v>
      </c>
      <c r="C57" s="77">
        <v>-1.7045454500000001E-2</v>
      </c>
      <c r="D57" s="15">
        <v>17.7</v>
      </c>
      <c r="E57" s="32">
        <f t="shared" si="22"/>
        <v>2.312138728323691E-2</v>
      </c>
      <c r="F57" s="18">
        <f>IF(ISNUMBER(D57), $B64 * E57, "")</f>
        <v>2312.1387283236909</v>
      </c>
      <c r="G57" s="31">
        <v>17.5</v>
      </c>
      <c r="H57" s="32">
        <f t="shared" si="23"/>
        <v>1.1560693641618455E-2</v>
      </c>
      <c r="I57" s="101">
        <f>IF(ISNUMBER(G57), $B64 * H57, "")</f>
        <v>1156.0693641618454</v>
      </c>
      <c r="J57" s="15">
        <v>17.399999999999999</v>
      </c>
      <c r="K57" s="32">
        <f t="shared" si="24"/>
        <v>5.7803468208091251E-3</v>
      </c>
      <c r="L57" s="18">
        <f>IF(ISNUMBER(J57), $B64 * K57, "")</f>
        <v>578.03468208091249</v>
      </c>
      <c r="M57" s="31">
        <v>17.600000000000001</v>
      </c>
      <c r="N57" s="32">
        <f t="shared" si="25"/>
        <v>1.7341040462427786E-2</v>
      </c>
      <c r="O57" s="18">
        <f>IF(ISNUMBER(M57), $B64 * N57, "")</f>
        <v>1734.1040462427786</v>
      </c>
      <c r="Q57" s="248"/>
      <c r="R57" s="248"/>
      <c r="S57" s="248"/>
    </row>
    <row r="58" spans="1:19" ht="17.25" customHeight="1" thickBot="1">
      <c r="A58" s="127" t="s">
        <v>202</v>
      </c>
      <c r="B58" s="128">
        <v>98</v>
      </c>
      <c r="C58" s="78">
        <v>-1.9019019000000002E-2</v>
      </c>
      <c r="D58" s="20">
        <v>96.7</v>
      </c>
      <c r="E58" s="21">
        <f t="shared" si="22"/>
        <v>-1.3265306122448951E-2</v>
      </c>
      <c r="F58" s="22">
        <f>IF(ISNUMBER(D58), $B64 * E58, "")</f>
        <v>-1326.5306122448951</v>
      </c>
      <c r="G58" s="30">
        <v>95.5</v>
      </c>
      <c r="H58" s="21">
        <f t="shared" si="23"/>
        <v>-2.5510204081632654E-2</v>
      </c>
      <c r="I58" s="105">
        <f>IF(ISNUMBER(G58), $B64 * H58, "")</f>
        <v>-2551.0204081632655</v>
      </c>
      <c r="J58" s="20">
        <v>95.3</v>
      </c>
      <c r="K58" s="21">
        <f t="shared" si="24"/>
        <v>-2.7551020408163294E-2</v>
      </c>
      <c r="L58" s="22">
        <f>IF(ISNUMBER(J58), $B64 * K58, "")</f>
        <v>-2755.1020408163295</v>
      </c>
      <c r="M58" s="30">
        <v>95.8</v>
      </c>
      <c r="N58" s="21">
        <f t="shared" si="25"/>
        <v>-2.2448979591836764E-2</v>
      </c>
      <c r="O58" s="22">
        <f>IF(ISNUMBER(M58), $B64 * N58, "")</f>
        <v>-2244.8979591836764</v>
      </c>
      <c r="Q58" s="248"/>
      <c r="R58" s="248"/>
      <c r="S58" s="248"/>
    </row>
    <row r="59" spans="1:19" ht="17.25" customHeight="1" thickBot="1">
      <c r="A59" s="125" t="s">
        <v>208</v>
      </c>
      <c r="B59" s="129">
        <v>14.5</v>
      </c>
      <c r="C59" s="80">
        <v>-2.02702703E-2</v>
      </c>
      <c r="D59" s="106">
        <v>14.3</v>
      </c>
      <c r="E59" s="107">
        <f>IF(ISNUMBER(D59), (D59 - $B59) / $B59, "")</f>
        <v>-1.3793103448275813E-2</v>
      </c>
      <c r="F59" s="108">
        <f>IF(ISNUMBER(D59), $B64 * E59, "")</f>
        <v>-1379.3103448275813</v>
      </c>
      <c r="G59" s="109">
        <v>14.2</v>
      </c>
      <c r="H59" s="107">
        <f>IF(ISNUMBER(G59), (G59 - $B59) / $B59, "")</f>
        <v>-2.0689655172413841E-2</v>
      </c>
      <c r="I59" s="110">
        <f>IF(ISNUMBER(G59), $B64 * H59, "")</f>
        <v>-2068.9655172413841</v>
      </c>
      <c r="J59" s="106">
        <v>14.1</v>
      </c>
      <c r="K59" s="107">
        <f>IF(ISNUMBER(J59), (J59 - $B59) / $B59, "")</f>
        <v>-2.7586206896551748E-2</v>
      </c>
      <c r="L59" s="108">
        <f>IF(ISNUMBER(J59), $B64 * K59, "")</f>
        <v>-2758.6206896551748</v>
      </c>
      <c r="M59" s="109">
        <v>14.1</v>
      </c>
      <c r="N59" s="107">
        <f>IF(ISNUMBER(M59), (M59 - $B59) / $B59, "")</f>
        <v>-2.7586206896551748E-2</v>
      </c>
      <c r="O59" s="108">
        <f>IF(ISNUMBER(M59), $B64 * N59, "")</f>
        <v>-2758.6206896551748</v>
      </c>
      <c r="Q59" s="238"/>
      <c r="R59" s="238"/>
      <c r="S59" s="238"/>
    </row>
    <row r="60" spans="1:19" ht="17.25" customHeight="1" thickBot="1">
      <c r="A60" s="125" t="s">
        <v>240</v>
      </c>
      <c r="B60" s="126">
        <v>79</v>
      </c>
      <c r="C60" s="77">
        <v>-3.1862745099999999E-2</v>
      </c>
      <c r="D60" s="15">
        <v>77.900000000000006</v>
      </c>
      <c r="E60" s="32">
        <f t="shared" ref="E60:E63" si="26">IF(ISNUMBER(D60), (D60 - $B60) / $B60, "")</f>
        <v>-1.3924050632911321E-2</v>
      </c>
      <c r="F60" s="18">
        <f>IF(ISNUMBER(D60), $B64 * E60, "")</f>
        <v>-1392.4050632911321</v>
      </c>
      <c r="G60" s="31">
        <v>77.3</v>
      </c>
      <c r="H60" s="32">
        <f t="shared" ref="H60:H63" si="27">IF(ISNUMBER(G60), (G60 - $B60) / $B60, "")</f>
        <v>-2.1518987341772187E-2</v>
      </c>
      <c r="I60" s="101">
        <f>IF(ISNUMBER(G60), $B64 * H60, "")</f>
        <v>-2151.8987341772186</v>
      </c>
      <c r="J60" s="15">
        <v>77.3</v>
      </c>
      <c r="K60" s="32">
        <f t="shared" ref="K60:K63" si="28">IF(ISNUMBER(J60), (J60 - $B60) / $B60, "")</f>
        <v>-2.1518987341772187E-2</v>
      </c>
      <c r="L60" s="18">
        <f>IF(ISNUMBER(J60), $B64 * K60, "")</f>
        <v>-2151.8987341772186</v>
      </c>
      <c r="M60" s="31">
        <v>76.8</v>
      </c>
      <c r="N60" s="32">
        <f t="shared" ref="N60:N63" si="29">IF(ISNUMBER(M60), (M60 - $B60) / $B60, "")</f>
        <v>-2.7848101265822822E-2</v>
      </c>
      <c r="O60" s="18">
        <f>IF(ISNUMBER(M60), $B64 * N60, "")</f>
        <v>-2784.810126582282</v>
      </c>
      <c r="Q60" s="238"/>
      <c r="R60" s="238"/>
      <c r="S60" s="238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8"/>
      <c r="R61" s="238"/>
      <c r="S61" s="238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7"/>
      <c r="R62" s="228"/>
      <c r="S62" s="22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30"/>
      <c r="R63" s="231"/>
      <c r="S63" s="232"/>
    </row>
    <row r="64" spans="1:19" ht="17.25" customHeight="1" thickBot="1">
      <c r="A64" s="132" t="s">
        <v>270</v>
      </c>
      <c r="B64" s="291">
        <f>$B$37</f>
        <v>100000</v>
      </c>
      <c r="C64" s="292"/>
      <c r="D64" s="26" t="s">
        <v>271</v>
      </c>
      <c r="E64" s="27">
        <f>IF(COUNT(E44:E63), SUM(E44:E63) / COUNT(E44:E63), 0)</f>
        <v>7.4875863669541555E-3</v>
      </c>
      <c r="F64" s="28">
        <f>SUM(F44:F63)</f>
        <v>12728.896823822062</v>
      </c>
      <c r="G64" s="26" t="s">
        <v>271</v>
      </c>
      <c r="H64" s="27">
        <f>IF(COUNT(H44:H63), SUM(H44:H63) / COUNT(H44:H63), 0)</f>
        <v>-2.7240884502722297E-4</v>
      </c>
      <c r="I64" s="28">
        <f>SUM(I44:I63)</f>
        <v>-463.09503654627815</v>
      </c>
      <c r="J64" s="26" t="s">
        <v>271</v>
      </c>
      <c r="K64" s="27">
        <f>IF(COUNT(K44:K63), SUM(K44:K63) / COUNT(K44:K63), 0)</f>
        <v>-4.4910370118811721E-3</v>
      </c>
      <c r="L64" s="28">
        <f>SUM(L44:L63)</f>
        <v>-7634.7629201979926</v>
      </c>
      <c r="M64" s="26" t="s">
        <v>271</v>
      </c>
      <c r="N64" s="27">
        <f>IF(COUNT(N44:N63), SUM(N44:N63) / COUNT(N44:N63), 0)</f>
        <v>-4.4740657141106232E-3</v>
      </c>
      <c r="O64" s="28">
        <f>SUM(O44:O63)</f>
        <v>-7605.91171398806</v>
      </c>
      <c r="Q64" s="233"/>
      <c r="R64" s="234"/>
      <c r="S64" s="23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48"/>
      <c r="R67" s="248"/>
      <c r="S67" s="248"/>
    </row>
    <row r="68" spans="1:19" ht="17.25" thickBot="1">
      <c r="A68" s="215" t="s">
        <v>267</v>
      </c>
      <c r="B68" s="249" t="s">
        <v>49</v>
      </c>
      <c r="C68" s="251"/>
      <c r="D68" s="249" t="s">
        <v>58</v>
      </c>
      <c r="E68" s="250"/>
      <c r="F68" s="251"/>
      <c r="G68" s="252">
        <f>_xlfn.IFNA(VLOOKUP(B68, 현재가테이블!$B$2:$D$200, 2, FALSE), "-")</f>
        <v>54440000</v>
      </c>
      <c r="H68" s="253"/>
      <c r="I68" s="254"/>
      <c r="J68" s="249" t="s">
        <v>59</v>
      </c>
      <c r="K68" s="250"/>
      <c r="L68" s="251"/>
      <c r="M68" s="255">
        <f>_xlfn.IFNA(VLOOKUP(B68, 현재가테이블!$B$2:$D$200, 3, FALSE), "-")</f>
        <v>1.07123628E-2</v>
      </c>
      <c r="N68" s="256"/>
      <c r="O68" s="257"/>
      <c r="Q68" s="248"/>
      <c r="R68" s="248"/>
      <c r="S68" s="248"/>
    </row>
    <row r="69" spans="1:19" ht="17.25" thickBot="1">
      <c r="A69" s="293" t="s">
        <v>55</v>
      </c>
      <c r="B69" s="289" t="str">
        <f>TEXT($G$1, "[$-ko-KR]yyyy-mm-dd(ddd) ") &amp; "오전 00:00"</f>
        <v>2021-08-15(일) 오전 00:00</v>
      </c>
      <c r="C69" s="290"/>
      <c r="D69" s="262" t="str">
        <f>TEXT($G$1, "[$-ko-KR]yyyy-mm-dd(ddd) ") &amp; "오후 14:00"</f>
        <v>2021-08-15(일) 오후 14:00</v>
      </c>
      <c r="E69" s="263"/>
      <c r="F69" s="264"/>
      <c r="G69" s="262" t="str">
        <f>TEXT($G$1, "[$-ko-KR]yyyy-mm-dd(ddd) ") &amp; "오후 19:00"</f>
        <v>2021-08-15(일) 오후 19:00</v>
      </c>
      <c r="H69" s="263"/>
      <c r="I69" s="264"/>
      <c r="J69" s="262" t="str">
        <f>TEXT($G$1, "[$-ko-KR]yyyy-mm-dd(ddd) ") &amp; "오후 21:00"</f>
        <v>2021-08-15(일) 오후 21:00</v>
      </c>
      <c r="K69" s="263"/>
      <c r="L69" s="264"/>
      <c r="M69" s="262" t="str">
        <f>TEXT($G$1+1, "[$-ko-KR]yyyy-mm-dd(ddd) ") &amp; "오전 00:00"</f>
        <v>2021-08-16(월) 오전 00:00</v>
      </c>
      <c r="N69" s="263"/>
      <c r="O69" s="264"/>
      <c r="Q69" s="248"/>
      <c r="R69" s="248"/>
      <c r="S69" s="248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6" t="s">
        <v>58</v>
      </c>
      <c r="H70" s="217" t="s">
        <v>268</v>
      </c>
      <c r="I70" s="21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8"/>
      <c r="R70" s="238"/>
      <c r="S70" s="238"/>
    </row>
    <row r="71" spans="1:19" ht="17.25" thickBot="1">
      <c r="A71" s="123" t="s">
        <v>128</v>
      </c>
      <c r="B71" s="124">
        <v>153</v>
      </c>
      <c r="C71" s="76">
        <v>0.1007194245</v>
      </c>
      <c r="D71" s="13">
        <v>156</v>
      </c>
      <c r="E71" s="14">
        <f>IF(ISNUMBER(D71), (D71 - $B71) / $B71, "")</f>
        <v>1.9607843137254902E-2</v>
      </c>
      <c r="F71" s="16">
        <f>IF(ISNUMBER(D71), $B91 * E71, "")</f>
        <v>1960.7843137254902</v>
      </c>
      <c r="G71" s="29">
        <v>152</v>
      </c>
      <c r="H71" s="14">
        <f>IF(ISNUMBER(G71), (G71 - $B71) / $B71, "")</f>
        <v>-6.5359477124183009E-3</v>
      </c>
      <c r="I71" s="100">
        <f>IF(ISNUMBER(G71), $B91 * H71, "")</f>
        <v>-653.59477124183013</v>
      </c>
      <c r="J71" s="13">
        <v>149</v>
      </c>
      <c r="K71" s="14">
        <f>IF(ISNUMBER(J71), (J71 - $B71) / $B71, "")</f>
        <v>-2.6143790849673203E-2</v>
      </c>
      <c r="L71" s="16">
        <f>IF(ISNUMBER(J71), $B91 * K71, "")</f>
        <v>-2614.3790849673205</v>
      </c>
      <c r="M71" s="29">
        <v>150</v>
      </c>
      <c r="N71" s="14">
        <f>IF(ISNUMBER(M71), (M71 - $B71) / $B71, "")</f>
        <v>-1.9607843137254902E-2</v>
      </c>
      <c r="O71" s="16">
        <f>IF(ISNUMBER(M71), $B91 * N71, "")</f>
        <v>-1960.7843137254902</v>
      </c>
      <c r="Q71" s="248"/>
      <c r="R71" s="248"/>
      <c r="S71" s="248"/>
    </row>
    <row r="72" spans="1:19" ht="17.25" thickBot="1">
      <c r="A72" s="125" t="s">
        <v>132</v>
      </c>
      <c r="B72" s="126">
        <v>131</v>
      </c>
      <c r="C72" s="77">
        <v>8.2644628100000006E-2</v>
      </c>
      <c r="D72" s="15">
        <v>128</v>
      </c>
      <c r="E72" s="32">
        <f t="shared" ref="E72:E75" si="30">IF(ISNUMBER(D72), (D72 - $B72) / $B72, "")</f>
        <v>-2.2900763358778626E-2</v>
      </c>
      <c r="F72" s="18">
        <f>IF(ISNUMBER(D72), $B91 * E72, "")</f>
        <v>-2290.0763358778627</v>
      </c>
      <c r="G72" s="31">
        <v>127</v>
      </c>
      <c r="H72" s="32">
        <f t="shared" ref="H72:H75" si="31">IF(ISNUMBER(G72), (G72 - $B72) / $B72, "")</f>
        <v>-3.0534351145038167E-2</v>
      </c>
      <c r="I72" s="101">
        <f>IF(ISNUMBER(G72), $B91 * H72, "")</f>
        <v>-3053.4351145038167</v>
      </c>
      <c r="J72" s="15">
        <v>127</v>
      </c>
      <c r="K72" s="32">
        <f t="shared" ref="K72:K75" si="32">IF(ISNUMBER(J72), (J72 - $B72) / $B72, "")</f>
        <v>-3.0534351145038167E-2</v>
      </c>
      <c r="L72" s="18">
        <f>IF(ISNUMBER(J72), $B91 * K72, "")</f>
        <v>-3053.4351145038167</v>
      </c>
      <c r="M72" s="31">
        <v>125</v>
      </c>
      <c r="N72" s="32">
        <f t="shared" ref="N72:N75" si="33">IF(ISNUMBER(M72), (M72 - $B72) / $B72, "")</f>
        <v>-4.5801526717557252E-2</v>
      </c>
      <c r="O72" s="18">
        <f>IF(ISNUMBER(M72), $B91 * N72, "")</f>
        <v>-4580.1526717557254</v>
      </c>
      <c r="Q72" s="248"/>
      <c r="R72" s="248"/>
      <c r="S72" s="248"/>
    </row>
    <row r="73" spans="1:19" ht="17.25" thickBot="1">
      <c r="A73" s="125" t="s">
        <v>54</v>
      </c>
      <c r="B73" s="126">
        <v>285</v>
      </c>
      <c r="C73" s="77">
        <v>6.3432835800000004E-2</v>
      </c>
      <c r="D73" s="15">
        <v>301</v>
      </c>
      <c r="E73" s="32">
        <f t="shared" si="30"/>
        <v>5.6140350877192984E-2</v>
      </c>
      <c r="F73" s="18">
        <f>IF(ISNUMBER(D73), $B91 * E73, "")</f>
        <v>5614.0350877192986</v>
      </c>
      <c r="G73" s="31">
        <v>295</v>
      </c>
      <c r="H73" s="32">
        <f t="shared" si="31"/>
        <v>3.5087719298245612E-2</v>
      </c>
      <c r="I73" s="101">
        <f>IF(ISNUMBER(G73), $B91 * H73, "")</f>
        <v>3508.7719298245611</v>
      </c>
      <c r="J73" s="15">
        <v>292</v>
      </c>
      <c r="K73" s="32">
        <f t="shared" si="32"/>
        <v>2.456140350877193E-2</v>
      </c>
      <c r="L73" s="18">
        <f>IF(ISNUMBER(J73), $B91 * K73, "")</f>
        <v>2456.1403508771928</v>
      </c>
      <c r="M73" s="31">
        <v>285</v>
      </c>
      <c r="N73" s="32">
        <f t="shared" si="33"/>
        <v>0</v>
      </c>
      <c r="O73" s="18">
        <f>IF(ISNUMBER(M73), $B91 * N73, "")</f>
        <v>0</v>
      </c>
      <c r="Q73" s="238"/>
      <c r="R73" s="238"/>
      <c r="S73" s="238"/>
    </row>
    <row r="74" spans="1:19" ht="17.25" thickBot="1">
      <c r="A74" s="125" t="s">
        <v>194</v>
      </c>
      <c r="B74" s="126">
        <v>154</v>
      </c>
      <c r="C74" s="77">
        <v>4.7619047599999999E-2</v>
      </c>
      <c r="D74" s="15">
        <v>152</v>
      </c>
      <c r="E74" s="32">
        <f t="shared" si="30"/>
        <v>-1.2987012987012988E-2</v>
      </c>
      <c r="F74" s="18">
        <f>IF(ISNUMBER(D74), $B91 * E74, "")</f>
        <v>-1298.7012987012988</v>
      </c>
      <c r="G74" s="31">
        <v>153</v>
      </c>
      <c r="H74" s="32">
        <f t="shared" si="31"/>
        <v>-6.4935064935064939E-3</v>
      </c>
      <c r="I74" s="101">
        <f>IF(ISNUMBER(G74), $B91 * H74, "")</f>
        <v>-649.35064935064941</v>
      </c>
      <c r="J74" s="15">
        <v>152</v>
      </c>
      <c r="K74" s="32">
        <f t="shared" si="32"/>
        <v>-1.2987012987012988E-2</v>
      </c>
      <c r="L74" s="18">
        <f>IF(ISNUMBER(J74), $B91 * K74, "")</f>
        <v>-1298.7012987012988</v>
      </c>
      <c r="M74" s="31">
        <v>152</v>
      </c>
      <c r="N74" s="32">
        <f t="shared" si="33"/>
        <v>-1.2987012987012988E-2</v>
      </c>
      <c r="O74" s="18">
        <f>IF(ISNUMBER(M74), $B91 * N74, "")</f>
        <v>-1298.7012987012988</v>
      </c>
      <c r="Q74" s="238"/>
      <c r="R74" s="238"/>
      <c r="S74" s="238"/>
    </row>
    <row r="75" spans="1:19" ht="17.25" thickBot="1">
      <c r="A75" s="127" t="s">
        <v>236</v>
      </c>
      <c r="B75" s="128">
        <v>684</v>
      </c>
      <c r="C75" s="78">
        <v>4.26829268E-2</v>
      </c>
      <c r="D75" s="20">
        <v>690</v>
      </c>
      <c r="E75" s="21">
        <f t="shared" si="30"/>
        <v>8.771929824561403E-3</v>
      </c>
      <c r="F75" s="22">
        <f>IF(ISNUMBER(D75), $B91 * E75, "")</f>
        <v>877.19298245614027</v>
      </c>
      <c r="G75" s="30">
        <v>680</v>
      </c>
      <c r="H75" s="21">
        <f t="shared" si="31"/>
        <v>-5.8479532163742687E-3</v>
      </c>
      <c r="I75" s="105">
        <f>IF(ISNUMBER(G75), $B91 * H75, "")</f>
        <v>-584.79532163742692</v>
      </c>
      <c r="J75" s="20">
        <v>680</v>
      </c>
      <c r="K75" s="21">
        <f t="shared" si="32"/>
        <v>-5.8479532163742687E-3</v>
      </c>
      <c r="L75" s="22">
        <f>IF(ISNUMBER(J75), $B91 * K75, "")</f>
        <v>-584.79532163742692</v>
      </c>
      <c r="M75" s="30">
        <v>679</v>
      </c>
      <c r="N75" s="21">
        <f t="shared" si="33"/>
        <v>-7.3099415204678359E-3</v>
      </c>
      <c r="O75" s="22">
        <f>IF(ISNUMBER(M75), $B91 * N75, "")</f>
        <v>-730.9941520467836</v>
      </c>
      <c r="Q75" s="238"/>
      <c r="R75" s="238"/>
      <c r="S75" s="238"/>
    </row>
    <row r="76" spans="1:19" ht="17.25" thickBot="1">
      <c r="A76" s="125" t="s">
        <v>51</v>
      </c>
      <c r="B76" s="129">
        <v>433</v>
      </c>
      <c r="C76" s="80">
        <v>4.0865384599999999E-2</v>
      </c>
      <c r="D76" s="106">
        <v>456</v>
      </c>
      <c r="E76" s="107">
        <f>IF(ISNUMBER(D76), (D76 - $B76) / $B76, "")</f>
        <v>5.3117782909930716E-2</v>
      </c>
      <c r="F76" s="108">
        <f>IF(ISNUMBER(D76), $B91 * E76, "")</f>
        <v>5311.778290993072</v>
      </c>
      <c r="G76" s="109">
        <v>450</v>
      </c>
      <c r="H76" s="107">
        <f>IF(ISNUMBER(G76), (G76 - $B76) / $B76, "")</f>
        <v>3.9260969976905313E-2</v>
      </c>
      <c r="I76" s="110">
        <f>IF(ISNUMBER(G76), $B91 * H76, "")</f>
        <v>3926.0969976905312</v>
      </c>
      <c r="J76" s="106">
        <v>443</v>
      </c>
      <c r="K76" s="107">
        <f>IF(ISNUMBER(J76), (J76 - $B76) / $B76, "")</f>
        <v>2.3094688221709007E-2</v>
      </c>
      <c r="L76" s="108">
        <f>IF(ISNUMBER(J76), $B91 * K76, "")</f>
        <v>2309.4688221709007</v>
      </c>
      <c r="M76" s="109">
        <v>446</v>
      </c>
      <c r="N76" s="107">
        <f>IF(ISNUMBER(M76), (M76 - $B76) / $B76, "")</f>
        <v>3.0023094688221709E-2</v>
      </c>
      <c r="O76" s="108">
        <f>IF(ISNUMBER(M76), $B91 * N76, "")</f>
        <v>3002.3094688221709</v>
      </c>
      <c r="Q76" s="238"/>
      <c r="R76" s="238"/>
      <c r="S76" s="238"/>
    </row>
    <row r="77" spans="1:19" ht="17.25" thickBot="1">
      <c r="A77" s="125" t="s">
        <v>57</v>
      </c>
      <c r="B77" s="126">
        <v>241</v>
      </c>
      <c r="C77" s="77">
        <v>3.4334763900000002E-2</v>
      </c>
      <c r="D77" s="15">
        <v>249</v>
      </c>
      <c r="E77" s="32">
        <f t="shared" ref="E77:E80" si="34">IF(ISNUMBER(D77), (D77 - $B77) / $B77, "")</f>
        <v>3.3195020746887967E-2</v>
      </c>
      <c r="F77" s="18">
        <f>IF(ISNUMBER(D77), $B91 * E77, "")</f>
        <v>3319.5020746887967</v>
      </c>
      <c r="G77" s="31">
        <v>245</v>
      </c>
      <c r="H77" s="32">
        <f t="shared" ref="H77:H80" si="35">IF(ISNUMBER(G77), (G77 - $B77) / $B77, "")</f>
        <v>1.6597510373443983E-2</v>
      </c>
      <c r="I77" s="101">
        <f>IF(ISNUMBER(G77), $B91 * H77, "")</f>
        <v>1659.7510373443984</v>
      </c>
      <c r="J77" s="15">
        <v>244</v>
      </c>
      <c r="K77" s="32">
        <f t="shared" ref="K77:K80" si="36">IF(ISNUMBER(J77), (J77 - $B77) / $B77, "")</f>
        <v>1.2448132780082987E-2</v>
      </c>
      <c r="L77" s="18">
        <f>IF(ISNUMBER(J77), $B91 * K77, "")</f>
        <v>1244.8132780082988</v>
      </c>
      <c r="M77" s="31">
        <v>241</v>
      </c>
      <c r="N77" s="32">
        <f t="shared" ref="N77:N80" si="37">IF(ISNUMBER(M77), (M77 - $B77) / $B77, "")</f>
        <v>0</v>
      </c>
      <c r="O77" s="18">
        <f>IF(ISNUMBER(M77), $B91 * N77, "")</f>
        <v>0</v>
      </c>
      <c r="Q77" s="238"/>
      <c r="R77" s="238"/>
      <c r="S77" s="238"/>
    </row>
    <row r="78" spans="1:19" ht="17.25" thickBot="1">
      <c r="A78" s="125" t="s">
        <v>110</v>
      </c>
      <c r="B78" s="126">
        <v>197</v>
      </c>
      <c r="C78" s="77">
        <v>2.60416667E-2</v>
      </c>
      <c r="D78" s="15">
        <v>194</v>
      </c>
      <c r="E78" s="32">
        <f t="shared" si="34"/>
        <v>-1.5228426395939087E-2</v>
      </c>
      <c r="F78" s="18">
        <f>IF(ISNUMBER(D78), $B91 * E78, "")</f>
        <v>-1522.8426395939086</v>
      </c>
      <c r="G78" s="31">
        <v>196</v>
      </c>
      <c r="H78" s="32">
        <f t="shared" si="35"/>
        <v>-5.076142131979695E-3</v>
      </c>
      <c r="I78" s="101">
        <f>IF(ISNUMBER(G78), $B91 * H78, "")</f>
        <v>-507.61421319796949</v>
      </c>
      <c r="J78" s="15">
        <v>198</v>
      </c>
      <c r="K78" s="32">
        <f t="shared" si="36"/>
        <v>5.076142131979695E-3</v>
      </c>
      <c r="L78" s="18">
        <f>IF(ISNUMBER(J78), $B91 * K78, "")</f>
        <v>507.61421319796949</v>
      </c>
      <c r="M78" s="31">
        <v>198</v>
      </c>
      <c r="N78" s="32">
        <f t="shared" si="37"/>
        <v>5.076142131979695E-3</v>
      </c>
      <c r="O78" s="18">
        <f>IF(ISNUMBER(M78), $B91 * N78, "")</f>
        <v>507.61421319796949</v>
      </c>
      <c r="Q78" s="238"/>
      <c r="R78" s="238"/>
      <c r="S78" s="238"/>
    </row>
    <row r="79" spans="1:19" ht="17.25" thickBot="1">
      <c r="A79" s="125" t="s">
        <v>228</v>
      </c>
      <c r="B79" s="126">
        <v>420</v>
      </c>
      <c r="C79" s="77">
        <v>2.4390243900000001E-2</v>
      </c>
      <c r="D79" s="15">
        <v>427</v>
      </c>
      <c r="E79" s="32">
        <f t="shared" si="34"/>
        <v>1.6666666666666666E-2</v>
      </c>
      <c r="F79" s="18">
        <f>IF(ISNUMBER(D79), $B91 * E79, "")</f>
        <v>1666.6666666666667</v>
      </c>
      <c r="G79" s="31">
        <v>419</v>
      </c>
      <c r="H79" s="32">
        <f t="shared" si="35"/>
        <v>-2.3809523809523812E-3</v>
      </c>
      <c r="I79" s="101">
        <f>IF(ISNUMBER(G79), $B91 * H79, "")</f>
        <v>-238.09523809523813</v>
      </c>
      <c r="J79" s="15">
        <v>417</v>
      </c>
      <c r="K79" s="32">
        <f t="shared" si="36"/>
        <v>-7.1428571428571426E-3</v>
      </c>
      <c r="L79" s="18">
        <f>IF(ISNUMBER(J79), $B91 * K79, "")</f>
        <v>-714.28571428571422</v>
      </c>
      <c r="M79" s="31">
        <v>417</v>
      </c>
      <c r="N79" s="32">
        <f t="shared" si="37"/>
        <v>-7.1428571428571426E-3</v>
      </c>
      <c r="O79" s="18">
        <f>IF(ISNUMBER(M79), $B91 * N79, "")</f>
        <v>-714.28571428571422</v>
      </c>
      <c r="Q79" s="33"/>
      <c r="R79" s="33"/>
    </row>
    <row r="80" spans="1:19" ht="17.25" thickBot="1">
      <c r="A80" s="130" t="s">
        <v>266</v>
      </c>
      <c r="B80" s="131">
        <v>339</v>
      </c>
      <c r="C80" s="79">
        <v>2.41691843E-2</v>
      </c>
      <c r="D80" s="24">
        <v>355</v>
      </c>
      <c r="E80" s="25">
        <f t="shared" si="34"/>
        <v>4.71976401179941E-2</v>
      </c>
      <c r="F80" s="104">
        <f>IF(ISNUMBER(D80), $B91 * E80, "")</f>
        <v>4719.7640117994097</v>
      </c>
      <c r="G80" s="102">
        <v>352</v>
      </c>
      <c r="H80" s="25">
        <f t="shared" si="35"/>
        <v>3.8348082595870206E-2</v>
      </c>
      <c r="I80" s="103">
        <f>IF(ISNUMBER(G80), $B91 * H80, "")</f>
        <v>3834.8082595870205</v>
      </c>
      <c r="J80" s="24">
        <v>350</v>
      </c>
      <c r="K80" s="25">
        <f t="shared" si="36"/>
        <v>3.2448377581120944E-2</v>
      </c>
      <c r="L80" s="104">
        <f>IF(ISNUMBER(J80), $B91 * K80, "")</f>
        <v>3244.8377581120944</v>
      </c>
      <c r="M80" s="102">
        <v>350</v>
      </c>
      <c r="N80" s="25">
        <f t="shared" si="37"/>
        <v>3.2448377581120944E-2</v>
      </c>
      <c r="O80" s="104">
        <f>IF(ISNUMBER(M80), $B91 * N80, "")</f>
        <v>3244.8377581120944</v>
      </c>
      <c r="Q80" s="239"/>
      <c r="R80" s="240"/>
      <c r="S80" s="241"/>
    </row>
    <row r="81" spans="1:19">
      <c r="A81" s="123" t="s">
        <v>218</v>
      </c>
      <c r="B81" s="124">
        <v>139</v>
      </c>
      <c r="C81" s="76">
        <v>2.2058823500000001E-2</v>
      </c>
      <c r="D81" s="13">
        <v>138</v>
      </c>
      <c r="E81" s="14">
        <f>IF(ISNUMBER(D81), (D81 - $B81) / $B81, "")</f>
        <v>-7.1942446043165471E-3</v>
      </c>
      <c r="F81" s="16">
        <f>IF(ISNUMBER(D81), $B91 * E81, "")</f>
        <v>-719.42446043165467</v>
      </c>
      <c r="G81" s="29">
        <v>138</v>
      </c>
      <c r="H81" s="14">
        <f>IF(ISNUMBER(G81), (G81 - $B81) / $B81, "")</f>
        <v>-7.1942446043165471E-3</v>
      </c>
      <c r="I81" s="100">
        <f>IF(ISNUMBER(G81), $B91 * H81, "")</f>
        <v>-719.42446043165467</v>
      </c>
      <c r="J81" s="13">
        <v>139</v>
      </c>
      <c r="K81" s="14">
        <f>IF(ISNUMBER(J81), (J81 - $B81) / $B81, "")</f>
        <v>0</v>
      </c>
      <c r="L81" s="16">
        <f>IF(ISNUMBER(J81), $B91 * K81, "")</f>
        <v>0</v>
      </c>
      <c r="M81" s="29">
        <v>137</v>
      </c>
      <c r="N81" s="14">
        <f>IF(ISNUMBER(M81), (M81 - $B81) / $B81, "")</f>
        <v>-1.4388489208633094E-2</v>
      </c>
      <c r="O81" s="16">
        <f>IF(ISNUMBER(M81), $B91 * N81, "")</f>
        <v>-1438.8489208633093</v>
      </c>
      <c r="Q81" s="242"/>
      <c r="R81" s="243"/>
      <c r="S81" s="244"/>
    </row>
    <row r="82" spans="1:19" ht="17.25" thickBot="1">
      <c r="A82" s="125" t="s">
        <v>152</v>
      </c>
      <c r="B82" s="126">
        <v>105</v>
      </c>
      <c r="C82" s="77">
        <v>1.9417475699999999E-2</v>
      </c>
      <c r="D82" s="15">
        <v>109</v>
      </c>
      <c r="E82" s="32">
        <f t="shared" ref="E82:E85" si="38">IF(ISNUMBER(D82), (D82 - $B82) / $B82, "")</f>
        <v>3.8095238095238099E-2</v>
      </c>
      <c r="F82" s="18">
        <f>IF(ISNUMBER(D82), $B91 * E82, "")</f>
        <v>3809.5238095238101</v>
      </c>
      <c r="G82" s="31">
        <v>108</v>
      </c>
      <c r="H82" s="32">
        <f t="shared" ref="H82:H85" si="39">IF(ISNUMBER(G82), (G82 - $B82) / $B82, "")</f>
        <v>2.8571428571428571E-2</v>
      </c>
      <c r="I82" s="101">
        <f>IF(ISNUMBER(G82), $B91 * H82, "")</f>
        <v>2857.1428571428569</v>
      </c>
      <c r="J82" s="15">
        <v>107</v>
      </c>
      <c r="K82" s="32">
        <f t="shared" ref="K82:K85" si="40">IF(ISNUMBER(J82), (J82 - $B82) / $B82, "")</f>
        <v>1.9047619047619049E-2</v>
      </c>
      <c r="L82" s="18">
        <f>IF(ISNUMBER(J82), $B91 * K82, "")</f>
        <v>1904.761904761905</v>
      </c>
      <c r="M82" s="31">
        <v>106</v>
      </c>
      <c r="N82" s="32">
        <f t="shared" ref="N82:N85" si="41">IF(ISNUMBER(M82), (M82 - $B82) / $B82, "")</f>
        <v>9.5238095238095247E-3</v>
      </c>
      <c r="O82" s="18">
        <f>IF(ISNUMBER(M82), $B91 * N82, "")</f>
        <v>952.38095238095252</v>
      </c>
      <c r="Q82" s="245"/>
      <c r="R82" s="246"/>
      <c r="S82" s="247"/>
    </row>
    <row r="83" spans="1:19" ht="17.25" thickBot="1">
      <c r="A83" s="125" t="s">
        <v>238</v>
      </c>
      <c r="B83" s="126">
        <v>111</v>
      </c>
      <c r="C83" s="77">
        <v>1.83486239E-2</v>
      </c>
      <c r="D83" s="15">
        <v>117</v>
      </c>
      <c r="E83" s="32">
        <f t="shared" si="38"/>
        <v>5.4054054054054057E-2</v>
      </c>
      <c r="F83" s="18">
        <f>IF(ISNUMBER(D83), $B91 * E83, "")</f>
        <v>5405.4054054054059</v>
      </c>
      <c r="G83" s="31">
        <v>122</v>
      </c>
      <c r="H83" s="32">
        <f t="shared" si="39"/>
        <v>9.90990990990991E-2</v>
      </c>
      <c r="I83" s="101">
        <f>IF(ISNUMBER(G83), $B91 * H83, "")</f>
        <v>9909.9099099099094</v>
      </c>
      <c r="J83" s="15">
        <v>120</v>
      </c>
      <c r="K83" s="32">
        <f t="shared" si="40"/>
        <v>8.1081081081081086E-2</v>
      </c>
      <c r="L83" s="18">
        <f>IF(ISNUMBER(J83), $B91 * K83, "")</f>
        <v>8108.1081081081084</v>
      </c>
      <c r="M83" s="31">
        <v>116</v>
      </c>
      <c r="N83" s="32">
        <f t="shared" si="41"/>
        <v>4.5045045045045043E-2</v>
      </c>
      <c r="O83" s="18">
        <f>IF(ISNUMBER(M83), $B91 * N83, "")</f>
        <v>4504.5045045045044</v>
      </c>
      <c r="Q83" s="238"/>
      <c r="R83" s="238"/>
      <c r="S83" s="238"/>
    </row>
    <row r="84" spans="1:19" ht="17.25" thickBot="1">
      <c r="A84" s="125" t="s">
        <v>162</v>
      </c>
      <c r="B84" s="126">
        <v>116</v>
      </c>
      <c r="C84" s="77">
        <v>1.75438596E-2</v>
      </c>
      <c r="D84" s="15">
        <v>120</v>
      </c>
      <c r="E84" s="32">
        <f t="shared" si="38"/>
        <v>3.4482758620689655E-2</v>
      </c>
      <c r="F84" s="18">
        <f>IF(ISNUMBER(D84), $B91 * E84, "")</f>
        <v>3448.2758620689656</v>
      </c>
      <c r="G84" s="31">
        <v>118</v>
      </c>
      <c r="H84" s="32">
        <f t="shared" si="39"/>
        <v>1.7241379310344827E-2</v>
      </c>
      <c r="I84" s="101">
        <f>IF(ISNUMBER(G84), $B91 * H84, "")</f>
        <v>1724.1379310344828</v>
      </c>
      <c r="J84" s="15">
        <v>117</v>
      </c>
      <c r="K84" s="32">
        <f t="shared" si="40"/>
        <v>8.6206896551724137E-3</v>
      </c>
      <c r="L84" s="18">
        <f>IF(ISNUMBER(J84), $B91 * K84, "")</f>
        <v>862.06896551724139</v>
      </c>
      <c r="M84" s="31">
        <v>117</v>
      </c>
      <c r="N84" s="32">
        <f t="shared" si="41"/>
        <v>8.6206896551724137E-3</v>
      </c>
      <c r="O84" s="18">
        <f>IF(ISNUMBER(M84), $B91 * N84, "")</f>
        <v>862.06896551724139</v>
      </c>
      <c r="Q84" s="248"/>
      <c r="R84" s="248"/>
      <c r="S84" s="248"/>
    </row>
    <row r="85" spans="1:19" ht="17.25" thickBot="1">
      <c r="A85" s="127" t="s">
        <v>144</v>
      </c>
      <c r="B85" s="128">
        <v>120</v>
      </c>
      <c r="C85" s="78">
        <v>1.6949152499999998E-2</v>
      </c>
      <c r="D85" s="20">
        <v>119</v>
      </c>
      <c r="E85" s="21">
        <f t="shared" si="38"/>
        <v>-8.3333333333333332E-3</v>
      </c>
      <c r="F85" s="22">
        <f>IF(ISNUMBER(D85), $B91 * E85, "")</f>
        <v>-833.33333333333337</v>
      </c>
      <c r="G85" s="30">
        <v>128</v>
      </c>
      <c r="H85" s="21">
        <f t="shared" si="39"/>
        <v>6.6666666666666666E-2</v>
      </c>
      <c r="I85" s="105">
        <f>IF(ISNUMBER(G85), $B91 * H85, "")</f>
        <v>6666.666666666667</v>
      </c>
      <c r="J85" s="20">
        <v>123</v>
      </c>
      <c r="K85" s="21">
        <f t="shared" si="40"/>
        <v>2.5000000000000001E-2</v>
      </c>
      <c r="L85" s="22">
        <f>IF(ISNUMBER(J85), $B91 * K85, "")</f>
        <v>2500</v>
      </c>
      <c r="M85" s="30">
        <v>122</v>
      </c>
      <c r="N85" s="21">
        <f t="shared" si="41"/>
        <v>1.6666666666666666E-2</v>
      </c>
      <c r="O85" s="22">
        <f>IF(ISNUMBER(M85), $B91 * N85, "")</f>
        <v>1666.6666666666667</v>
      </c>
      <c r="Q85" s="248"/>
      <c r="R85" s="248"/>
      <c r="S85" s="248"/>
    </row>
    <row r="86" spans="1:19" ht="17.25" thickBot="1">
      <c r="A86" s="125" t="s">
        <v>254</v>
      </c>
      <c r="B86" s="129">
        <v>320</v>
      </c>
      <c r="C86" s="80">
        <v>6.2893081999999996E-3</v>
      </c>
      <c r="D86" s="106">
        <v>320</v>
      </c>
      <c r="E86" s="107">
        <f>IF(ISNUMBER(D86), (D86 - $B86) / $B86, "")</f>
        <v>0</v>
      </c>
      <c r="F86" s="108">
        <f>IF(ISNUMBER(D86), $B91 * E86, "")</f>
        <v>0</v>
      </c>
      <c r="G86" s="109">
        <v>329</v>
      </c>
      <c r="H86" s="107">
        <f>IF(ISNUMBER(G86), (G86 - $B86) / $B86, "")</f>
        <v>2.8125000000000001E-2</v>
      </c>
      <c r="I86" s="110">
        <f>IF(ISNUMBER(G86), $B91 * H86, "")</f>
        <v>2812.5</v>
      </c>
      <c r="J86" s="106">
        <v>323</v>
      </c>
      <c r="K86" s="107">
        <f>IF(ISNUMBER(J86), (J86 - $B86) / $B86, "")</f>
        <v>9.3749999999999997E-3</v>
      </c>
      <c r="L86" s="108">
        <f>IF(ISNUMBER(J86), $B91 * K86, "")</f>
        <v>937.5</v>
      </c>
      <c r="M86" s="109">
        <v>322</v>
      </c>
      <c r="N86" s="107">
        <f>IF(ISNUMBER(M86), (M86 - $B86) / $B86, "")</f>
        <v>6.2500000000000003E-3</v>
      </c>
      <c r="O86" s="108">
        <f>IF(ISNUMBER(M86), $B91 * N86, "")</f>
        <v>625</v>
      </c>
      <c r="Q86" s="238"/>
      <c r="R86" s="238"/>
      <c r="S86" s="238"/>
    </row>
    <row r="87" spans="1:19" ht="17.25" thickBot="1">
      <c r="A87" s="125" t="s">
        <v>230</v>
      </c>
      <c r="B87" s="126">
        <v>216</v>
      </c>
      <c r="C87" s="77">
        <v>4.6511627999999998E-3</v>
      </c>
      <c r="D87" s="15">
        <v>216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216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216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218</v>
      </c>
      <c r="N87" s="32">
        <f t="shared" ref="N87:N90" si="45">IF(ISNUMBER(M87), (M87 - $B87) / $B87, "")</f>
        <v>9.2592592592592587E-3</v>
      </c>
      <c r="O87" s="18">
        <f>IF(ISNUMBER(M87), $B91 * N87, "")</f>
        <v>925.92592592592587</v>
      </c>
      <c r="Q87" s="238"/>
      <c r="R87" s="238"/>
      <c r="S87" s="238"/>
    </row>
    <row r="88" spans="1:19" ht="17.25" thickBot="1">
      <c r="A88" s="125" t="s">
        <v>242</v>
      </c>
      <c r="B88" s="126">
        <v>501</v>
      </c>
      <c r="C88" s="77">
        <v>4.0080159999999997E-3</v>
      </c>
      <c r="D88" s="15">
        <v>496</v>
      </c>
      <c r="E88" s="32">
        <f t="shared" si="42"/>
        <v>-9.9800399201596807E-3</v>
      </c>
      <c r="F88" s="18">
        <f>IF(ISNUMBER(D88), $B91 * E88, "")</f>
        <v>-998.00399201596804</v>
      </c>
      <c r="G88" s="31">
        <v>494</v>
      </c>
      <c r="H88" s="32">
        <f t="shared" si="43"/>
        <v>-1.3972055888223553E-2</v>
      </c>
      <c r="I88" s="101">
        <f>IF(ISNUMBER(G88), $B91 * H88, "")</f>
        <v>-1397.2055888223554</v>
      </c>
      <c r="J88" s="15">
        <v>495</v>
      </c>
      <c r="K88" s="32">
        <f t="shared" si="44"/>
        <v>-1.1976047904191617E-2</v>
      </c>
      <c r="L88" s="18">
        <f>IF(ISNUMBER(J88), $B91 * K88, "")</f>
        <v>-1197.6047904191616</v>
      </c>
      <c r="M88" s="31">
        <v>497</v>
      </c>
      <c r="N88" s="32">
        <f t="shared" si="45"/>
        <v>-7.9840319361277438E-3</v>
      </c>
      <c r="O88" s="18">
        <f>IF(ISNUMBER(M88), $B91 * N88, "")</f>
        <v>-798.40319361277443</v>
      </c>
      <c r="Q88" s="238"/>
      <c r="R88" s="238"/>
      <c r="S88" s="238"/>
    </row>
    <row r="89" spans="1:19">
      <c r="A89" s="125" t="s">
        <v>61</v>
      </c>
      <c r="B89" s="126">
        <v>968</v>
      </c>
      <c r="C89" s="77">
        <v>-3.0895984E-3</v>
      </c>
      <c r="D89" s="15">
        <v>966</v>
      </c>
      <c r="E89" s="32">
        <f t="shared" si="42"/>
        <v>-2.0661157024793389E-3</v>
      </c>
      <c r="F89" s="18">
        <f>IF(ISNUMBER(D89), $B91 * E89, "")</f>
        <v>-206.61157024793388</v>
      </c>
      <c r="G89" s="31">
        <v>962</v>
      </c>
      <c r="H89" s="32">
        <f t="shared" si="43"/>
        <v>-6.1983471074380167E-3</v>
      </c>
      <c r="I89" s="101">
        <f>IF(ISNUMBER(G89), $B91 * H89, "")</f>
        <v>-619.83471074380168</v>
      </c>
      <c r="J89" s="15">
        <v>958</v>
      </c>
      <c r="K89" s="32">
        <f t="shared" si="44"/>
        <v>-1.0330578512396695E-2</v>
      </c>
      <c r="L89" s="18">
        <f>IF(ISNUMBER(J89), $B91 * K89, "")</f>
        <v>-1033.0578512396694</v>
      </c>
      <c r="M89" s="31">
        <v>949</v>
      </c>
      <c r="N89" s="32">
        <f t="shared" si="45"/>
        <v>-1.962809917355372E-2</v>
      </c>
      <c r="O89" s="18">
        <f>IF(ISNUMBER(M89), $B91 * N89, "")</f>
        <v>-1962.8099173553719</v>
      </c>
      <c r="Q89" s="227"/>
      <c r="R89" s="228"/>
      <c r="S89" s="229"/>
    </row>
    <row r="90" spans="1:19" ht="17.25" thickBot="1">
      <c r="A90" s="130" t="s">
        <v>130</v>
      </c>
      <c r="B90" s="131">
        <v>115</v>
      </c>
      <c r="C90" s="79">
        <v>-8.6206896999999998E-3</v>
      </c>
      <c r="D90" s="24">
        <v>114</v>
      </c>
      <c r="E90" s="25">
        <f t="shared" si="42"/>
        <v>-8.6956521739130436E-3</v>
      </c>
      <c r="F90" s="104">
        <f>IF(ISNUMBER(D90), $B91 * E90, "")</f>
        <v>-869.56521739130437</v>
      </c>
      <c r="G90" s="102">
        <v>114</v>
      </c>
      <c r="H90" s="25">
        <f t="shared" si="43"/>
        <v>-8.6956521739130436E-3</v>
      </c>
      <c r="I90" s="103">
        <f>IF(ISNUMBER(G90), $B91 * H90, "")</f>
        <v>-869.56521739130437</v>
      </c>
      <c r="J90" s="24">
        <v>114</v>
      </c>
      <c r="K90" s="25">
        <f t="shared" si="44"/>
        <v>-8.6956521739130436E-3</v>
      </c>
      <c r="L90" s="104">
        <f>IF(ISNUMBER(J90), $B91 * K90, "")</f>
        <v>-869.56521739130437</v>
      </c>
      <c r="M90" s="102">
        <v>113</v>
      </c>
      <c r="N90" s="25">
        <f t="shared" si="45"/>
        <v>-1.7391304347826087E-2</v>
      </c>
      <c r="O90" s="104">
        <f>IF(ISNUMBER(M90), $B91 * N90, "")</f>
        <v>-1739.1304347826087</v>
      </c>
      <c r="Q90" s="230"/>
      <c r="R90" s="231"/>
      <c r="S90" s="232"/>
    </row>
    <row r="91" spans="1:19" ht="17.25" thickBot="1">
      <c r="A91" s="132" t="s">
        <v>270</v>
      </c>
      <c r="B91" s="291">
        <f>$B$37</f>
        <v>100000</v>
      </c>
      <c r="C91" s="292"/>
      <c r="D91" s="26" t="s">
        <v>271</v>
      </c>
      <c r="E91" s="27">
        <f>IF(COUNT(E71:E90), SUM(E71:E90) / COUNT(E71:E90), 0)</f>
        <v>1.3697184828726897E-2</v>
      </c>
      <c r="F91" s="28">
        <f>SUM(F71:F90)</f>
        <v>27394.36965745379</v>
      </c>
      <c r="G91" s="26" t="s">
        <v>271</v>
      </c>
      <c r="H91" s="27">
        <f>IF(COUNT(H71:H90), SUM(H71:H90) / COUNT(H71:H90), 0)</f>
        <v>1.3803435151892193E-2</v>
      </c>
      <c r="I91" s="28">
        <f>SUM(I71:I90)</f>
        <v>27606.870303784381</v>
      </c>
      <c r="J91" s="26" t="s">
        <v>271</v>
      </c>
      <c r="K91" s="27">
        <f>IF(COUNT(K71:K90), SUM(K71:K90) / COUNT(K71:K90), 0)</f>
        <v>6.3547445038039992E-3</v>
      </c>
      <c r="L91" s="28">
        <f>SUM(L71:L90)</f>
        <v>12709.489007607997</v>
      </c>
      <c r="M91" s="26" t="s">
        <v>271</v>
      </c>
      <c r="N91" s="27">
        <f>IF(COUNT(N71:N90), SUM(N71:N90) / COUNT(N71:N90), 0)</f>
        <v>5.3359891899922365E-4</v>
      </c>
      <c r="O91" s="28">
        <f>SUM(O71:O90)</f>
        <v>1067.1978379984487</v>
      </c>
      <c r="Q91" s="233"/>
      <c r="R91" s="234"/>
      <c r="S91" s="23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48"/>
      <c r="R94" s="248"/>
      <c r="S94" s="248"/>
    </row>
    <row r="95" spans="1:19" ht="17.25" thickBot="1">
      <c r="A95" s="215" t="s">
        <v>267</v>
      </c>
      <c r="B95" s="249" t="s">
        <v>49</v>
      </c>
      <c r="C95" s="251"/>
      <c r="D95" s="249" t="s">
        <v>58</v>
      </c>
      <c r="E95" s="250"/>
      <c r="F95" s="251"/>
      <c r="G95" s="252">
        <f>_xlfn.IFNA(VLOOKUP(B95, 현재가테이블!$B$2:$D$200, 2, FALSE), "-")</f>
        <v>54440000</v>
      </c>
      <c r="H95" s="253"/>
      <c r="I95" s="254"/>
      <c r="J95" s="249" t="s">
        <v>59</v>
      </c>
      <c r="K95" s="250"/>
      <c r="L95" s="251"/>
      <c r="M95" s="255">
        <f>_xlfn.IFNA(VLOOKUP(B95, 현재가테이블!$B$2:$D$200, 3, FALSE), "-")</f>
        <v>1.07123628E-2</v>
      </c>
      <c r="N95" s="256"/>
      <c r="O95" s="257"/>
      <c r="Q95" s="248"/>
      <c r="R95" s="248"/>
      <c r="S95" s="248"/>
    </row>
    <row r="96" spans="1:19" ht="17.25" thickBot="1">
      <c r="A96" s="293" t="s">
        <v>55</v>
      </c>
      <c r="B96" s="289" t="str">
        <f>TEXT($G$1, "[$-ko-KR]yyyy-mm-dd(ddd) ") &amp; "오전 00:00"</f>
        <v>2021-08-15(일) 오전 00:00</v>
      </c>
      <c r="C96" s="290"/>
      <c r="D96" s="262" t="str">
        <f>TEXT($G$1, "[$-ko-KR]yyyy-mm-dd(ddd) ") &amp; "오후 14:00"</f>
        <v>2021-08-15(일) 오후 14:00</v>
      </c>
      <c r="E96" s="263"/>
      <c r="F96" s="264"/>
      <c r="G96" s="262" t="str">
        <f>TEXT($G$1, "[$-ko-KR]yyyy-mm-dd(ddd) ") &amp; "오후 19:00"</f>
        <v>2021-08-15(일) 오후 19:00</v>
      </c>
      <c r="H96" s="263"/>
      <c r="I96" s="264"/>
      <c r="J96" s="262" t="str">
        <f>TEXT($G$1, "[$-ko-KR]yyyy-mm-dd(ddd) ") &amp; "오후 21:00"</f>
        <v>2021-08-15(일) 오후 21:00</v>
      </c>
      <c r="K96" s="263"/>
      <c r="L96" s="264"/>
      <c r="M96" s="262" t="str">
        <f>TEXT($G$1+1, "[$-ko-KR]yyyy-mm-dd(ddd) ") &amp; "오전 00:00"</f>
        <v>2021-08-16(월) 오전 00:00</v>
      </c>
      <c r="N96" s="263"/>
      <c r="O96" s="264"/>
      <c r="Q96" s="248"/>
      <c r="R96" s="248"/>
      <c r="S96" s="248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6" t="s">
        <v>58</v>
      </c>
      <c r="H97" s="217" t="s">
        <v>268</v>
      </c>
      <c r="I97" s="21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8"/>
      <c r="R97" s="238"/>
      <c r="S97" s="238"/>
    </row>
    <row r="98" spans="1:19" ht="17.25" thickBot="1">
      <c r="A98" s="123" t="s">
        <v>158</v>
      </c>
      <c r="B98" s="124">
        <v>30150</v>
      </c>
      <c r="C98" s="76">
        <v>0.2615062762</v>
      </c>
      <c r="D98" s="13">
        <v>29120</v>
      </c>
      <c r="E98" s="14">
        <f>IF(ISNUMBER(D98), (D98 - $B98) / $B98, "")</f>
        <v>-3.4162520729684911E-2</v>
      </c>
      <c r="F98" s="16">
        <f>IF(ISNUMBER(D98), $B118 * E98, "")</f>
        <v>-3416.2520729684911</v>
      </c>
      <c r="G98" s="29">
        <v>28840</v>
      </c>
      <c r="H98" s="14">
        <f>IF(ISNUMBER(G98), (G98 - $B98) / $B98, "")</f>
        <v>-4.3449419568822555E-2</v>
      </c>
      <c r="I98" s="100">
        <f>IF(ISNUMBER(G98), $B118 * H98, "")</f>
        <v>-4344.9419568822559</v>
      </c>
      <c r="J98" s="13">
        <v>28540</v>
      </c>
      <c r="K98" s="14">
        <f>IF(ISNUMBER(J98), (J98 - $B98) / $B98, "")</f>
        <v>-5.3399668325041456E-2</v>
      </c>
      <c r="L98" s="16">
        <f>IF(ISNUMBER(J98), $B118 * K98, "")</f>
        <v>-5339.9668325041457</v>
      </c>
      <c r="M98" s="29">
        <v>28480</v>
      </c>
      <c r="N98" s="14">
        <f>IF(ISNUMBER(M98), (M98 - $B98) / $B98, "")</f>
        <v>-5.538971807628524E-2</v>
      </c>
      <c r="O98" s="16">
        <f>IF(ISNUMBER(M98), $B118 * N98, "")</f>
        <v>-5538.9718076285244</v>
      </c>
      <c r="Q98" s="248"/>
      <c r="R98" s="248"/>
      <c r="S98" s="248"/>
    </row>
    <row r="99" spans="1:19" ht="17.25" thickBot="1">
      <c r="A99" s="125" t="s">
        <v>90</v>
      </c>
      <c r="B99" s="126">
        <v>1400</v>
      </c>
      <c r="C99" s="77">
        <v>0.11553784860000001</v>
      </c>
      <c r="D99" s="15">
        <v>1540</v>
      </c>
      <c r="E99" s="32">
        <f t="shared" ref="E99:E102" si="46">IF(ISNUMBER(D99), (D99 - $B99) / $B99, "")</f>
        <v>0.1</v>
      </c>
      <c r="F99" s="18">
        <f>IF(ISNUMBER(D99), $B118 * E99, "")</f>
        <v>10000</v>
      </c>
      <c r="G99" s="31">
        <v>1520</v>
      </c>
      <c r="H99" s="32">
        <f t="shared" ref="H99:H102" si="47">IF(ISNUMBER(G99), (G99 - $B99) / $B99, "")</f>
        <v>8.5714285714285715E-2</v>
      </c>
      <c r="I99" s="101">
        <f>IF(ISNUMBER(G99), $B118 * H99, "")</f>
        <v>8571.4285714285706</v>
      </c>
      <c r="J99" s="15">
        <v>1495</v>
      </c>
      <c r="K99" s="32">
        <f t="shared" ref="K99:K102" si="48">IF(ISNUMBER(J99), (J99 - $B99) / $B99, "")</f>
        <v>6.7857142857142852E-2</v>
      </c>
      <c r="L99" s="18">
        <f>IF(ISNUMBER(J99), $B118 * K99, "")</f>
        <v>6785.7142857142853</v>
      </c>
      <c r="M99" s="31">
        <v>1475</v>
      </c>
      <c r="N99" s="32">
        <f t="shared" ref="N99:N102" si="49">IF(ISNUMBER(M99), (M99 - $B99) / $B99, "")</f>
        <v>5.3571428571428568E-2</v>
      </c>
      <c r="O99" s="18">
        <f>IF(ISNUMBER(M99), $B118 * N99, "")</f>
        <v>5357.1428571428569</v>
      </c>
      <c r="Q99" s="248"/>
      <c r="R99" s="248"/>
      <c r="S99" s="248"/>
    </row>
    <row r="100" spans="1:19" ht="17.25" thickBot="1">
      <c r="A100" s="125" t="s">
        <v>128</v>
      </c>
      <c r="B100" s="126">
        <v>153</v>
      </c>
      <c r="C100" s="77">
        <v>0.1007194245</v>
      </c>
      <c r="D100" s="15">
        <v>156</v>
      </c>
      <c r="E100" s="32">
        <f t="shared" si="46"/>
        <v>1.9607843137254902E-2</v>
      </c>
      <c r="F100" s="18">
        <f>IF(ISNUMBER(D100), $B118 * E100, "")</f>
        <v>1960.7843137254902</v>
      </c>
      <c r="G100" s="31">
        <v>152</v>
      </c>
      <c r="H100" s="32">
        <f t="shared" si="47"/>
        <v>-6.5359477124183009E-3</v>
      </c>
      <c r="I100" s="101">
        <f>IF(ISNUMBER(G100), $B118 * H100, "")</f>
        <v>-653.59477124183013</v>
      </c>
      <c r="J100" s="15">
        <v>149</v>
      </c>
      <c r="K100" s="32">
        <f t="shared" si="48"/>
        <v>-2.6143790849673203E-2</v>
      </c>
      <c r="L100" s="18">
        <f>IF(ISNUMBER(J100), $B118 * K100, "")</f>
        <v>-2614.3790849673205</v>
      </c>
      <c r="M100" s="31">
        <v>150</v>
      </c>
      <c r="N100" s="32">
        <f t="shared" si="49"/>
        <v>-1.9607843137254902E-2</v>
      </c>
      <c r="O100" s="18">
        <f>IF(ISNUMBER(M100), $B118 * N100, "")</f>
        <v>-1960.7843137254902</v>
      </c>
      <c r="Q100" s="238"/>
      <c r="R100" s="238"/>
      <c r="S100" s="238"/>
    </row>
    <row r="101" spans="1:19" ht="17.25" thickBot="1">
      <c r="A101" s="125" t="s">
        <v>132</v>
      </c>
      <c r="B101" s="126">
        <v>131</v>
      </c>
      <c r="C101" s="77">
        <v>8.2644628100000006E-2</v>
      </c>
      <c r="D101" s="15">
        <v>128</v>
      </c>
      <c r="E101" s="32">
        <f t="shared" si="46"/>
        <v>-2.2900763358778626E-2</v>
      </c>
      <c r="F101" s="18">
        <f>IF(ISNUMBER(D101), $B118 * E101, "")</f>
        <v>-2290.0763358778627</v>
      </c>
      <c r="G101" s="31">
        <v>127</v>
      </c>
      <c r="H101" s="32">
        <f t="shared" si="47"/>
        <v>-3.0534351145038167E-2</v>
      </c>
      <c r="I101" s="101">
        <f>IF(ISNUMBER(G101), $B118 * H101, "")</f>
        <v>-3053.4351145038167</v>
      </c>
      <c r="J101" s="15">
        <v>127</v>
      </c>
      <c r="K101" s="32">
        <f t="shared" si="48"/>
        <v>-3.0534351145038167E-2</v>
      </c>
      <c r="L101" s="18">
        <f>IF(ISNUMBER(J101), $B118 * K101, "")</f>
        <v>-3053.4351145038167</v>
      </c>
      <c r="M101" s="31">
        <v>125</v>
      </c>
      <c r="N101" s="32">
        <f t="shared" si="49"/>
        <v>-4.5801526717557252E-2</v>
      </c>
      <c r="O101" s="18">
        <f>IF(ISNUMBER(M101), $B118 * N101, "")</f>
        <v>-4580.1526717557254</v>
      </c>
      <c r="Q101" s="238"/>
      <c r="R101" s="238"/>
      <c r="S101" s="238"/>
    </row>
    <row r="102" spans="1:19" ht="17.25" thickBot="1">
      <c r="A102" s="127" t="s">
        <v>172</v>
      </c>
      <c r="B102" s="128">
        <v>3605</v>
      </c>
      <c r="C102" s="78">
        <v>6.6568047300000002E-2</v>
      </c>
      <c r="D102" s="20">
        <v>3700</v>
      </c>
      <c r="E102" s="21">
        <f t="shared" si="46"/>
        <v>2.6352288488210817E-2</v>
      </c>
      <c r="F102" s="22">
        <f>IF(ISNUMBER(D102), $B118 * E102, "")</f>
        <v>2635.2288488210816</v>
      </c>
      <c r="G102" s="30">
        <v>3650</v>
      </c>
      <c r="H102" s="21">
        <f t="shared" si="47"/>
        <v>1.2482662968099861E-2</v>
      </c>
      <c r="I102" s="105">
        <f>IF(ISNUMBER(G102), $B118 * H102, "")</f>
        <v>1248.266296809986</v>
      </c>
      <c r="J102" s="20">
        <v>3595</v>
      </c>
      <c r="K102" s="21">
        <f t="shared" si="48"/>
        <v>-2.7739251040221915E-3</v>
      </c>
      <c r="L102" s="22">
        <f>IF(ISNUMBER(J102), $B118 * K102, "")</f>
        <v>-277.39251040221916</v>
      </c>
      <c r="M102" s="30">
        <v>3595</v>
      </c>
      <c r="N102" s="21">
        <f t="shared" si="49"/>
        <v>-2.7739251040221915E-3</v>
      </c>
      <c r="O102" s="22">
        <f>IF(ISNUMBER(M102), $B118 * N102, "")</f>
        <v>-277.39251040221916</v>
      </c>
      <c r="Q102" s="238"/>
      <c r="R102" s="238"/>
      <c r="S102" s="238"/>
    </row>
    <row r="103" spans="1:19" ht="17.25" thickBot="1">
      <c r="A103" s="125" t="s">
        <v>54</v>
      </c>
      <c r="B103" s="129">
        <v>285</v>
      </c>
      <c r="C103" s="80">
        <v>6.3432835800000004E-2</v>
      </c>
      <c r="D103" s="106">
        <v>301</v>
      </c>
      <c r="E103" s="107">
        <f>IF(ISNUMBER(D103), (D103 - $B103) / $B103, "")</f>
        <v>5.6140350877192984E-2</v>
      </c>
      <c r="F103" s="108">
        <f>IF(ISNUMBER(D103), $B118 * E103, "")</f>
        <v>5614.0350877192986</v>
      </c>
      <c r="G103" s="109">
        <v>295</v>
      </c>
      <c r="H103" s="107">
        <f>IF(ISNUMBER(G103), (G103 - $B103) / $B103, "")</f>
        <v>3.5087719298245612E-2</v>
      </c>
      <c r="I103" s="110">
        <f>IF(ISNUMBER(G103), $B118 * H103, "")</f>
        <v>3508.7719298245611</v>
      </c>
      <c r="J103" s="106">
        <v>292</v>
      </c>
      <c r="K103" s="107">
        <f>IF(ISNUMBER(J103), (J103 - $B103) / $B103, "")</f>
        <v>2.456140350877193E-2</v>
      </c>
      <c r="L103" s="108">
        <f>IF(ISNUMBER(J103), $B118 * K103, "")</f>
        <v>2456.1403508771928</v>
      </c>
      <c r="M103" s="109">
        <v>285</v>
      </c>
      <c r="N103" s="107">
        <f>IF(ISNUMBER(M103), (M103 - $B103) / $B103, "")</f>
        <v>0</v>
      </c>
      <c r="O103" s="108">
        <f>IF(ISNUMBER(M103), $B118 * N103, "")</f>
        <v>0</v>
      </c>
      <c r="Q103" s="238"/>
      <c r="R103" s="238"/>
      <c r="S103" s="238"/>
    </row>
    <row r="104" spans="1:19" ht="17.25" thickBot="1">
      <c r="A104" s="125" t="s">
        <v>120</v>
      </c>
      <c r="B104" s="126">
        <v>5270</v>
      </c>
      <c r="C104" s="77">
        <v>5.9296482400000003E-2</v>
      </c>
      <c r="D104" s="15">
        <v>5750</v>
      </c>
      <c r="E104" s="32">
        <f t="shared" ref="E104:E107" si="50">IF(ISNUMBER(D104), (D104 - $B104) / $B104, "")</f>
        <v>9.1081593927893736E-2</v>
      </c>
      <c r="F104" s="18">
        <f>IF(ISNUMBER(D104), $B118 * E104, "")</f>
        <v>9108.1593927893737</v>
      </c>
      <c r="G104" s="31">
        <v>5660</v>
      </c>
      <c r="H104" s="32">
        <f t="shared" ref="H104:H107" si="51">IF(ISNUMBER(G104), (G104 - $B104) / $B104, "")</f>
        <v>7.4003795066413663E-2</v>
      </c>
      <c r="I104" s="101">
        <f>IF(ISNUMBER(G104), $B118 * H104, "")</f>
        <v>7400.3795066413668</v>
      </c>
      <c r="J104" s="15">
        <v>5650</v>
      </c>
      <c r="K104" s="32">
        <f t="shared" ref="K104:K107" si="52">IF(ISNUMBER(J104), (J104 - $B104) / $B104, "")</f>
        <v>7.2106261859582549E-2</v>
      </c>
      <c r="L104" s="18">
        <f>IF(ISNUMBER(J104), $B118 * K104, "")</f>
        <v>7210.6261859582546</v>
      </c>
      <c r="M104" s="31">
        <v>5485</v>
      </c>
      <c r="N104" s="32">
        <f t="shared" ref="N104:N107" si="53">IF(ISNUMBER(M104), (M104 - $B104) / $B104, "")</f>
        <v>4.0796963946869068E-2</v>
      </c>
      <c r="O104" s="18">
        <f>IF(ISNUMBER(M104), $B118 * N104, "")</f>
        <v>4079.6963946869068</v>
      </c>
      <c r="Q104" s="238"/>
      <c r="R104" s="238"/>
      <c r="S104" s="238"/>
    </row>
    <row r="105" spans="1:19" ht="17.25" thickBot="1">
      <c r="A105" s="125" t="s">
        <v>142</v>
      </c>
      <c r="B105" s="126">
        <v>12050</v>
      </c>
      <c r="C105" s="77">
        <v>4.7826087000000003E-2</v>
      </c>
      <c r="D105" s="15">
        <v>11830</v>
      </c>
      <c r="E105" s="32">
        <f t="shared" si="50"/>
        <v>-1.8257261410788383E-2</v>
      </c>
      <c r="F105" s="18">
        <f>IF(ISNUMBER(D105), $B118 * E105, "")</f>
        <v>-1825.7261410788383</v>
      </c>
      <c r="G105" s="31">
        <v>11600</v>
      </c>
      <c r="H105" s="32">
        <f t="shared" si="51"/>
        <v>-3.7344398340248962E-2</v>
      </c>
      <c r="I105" s="101">
        <f>IF(ISNUMBER(G105), $B118 * H105, "")</f>
        <v>-3734.4398340248963</v>
      </c>
      <c r="J105" s="15">
        <v>11560</v>
      </c>
      <c r="K105" s="32">
        <f t="shared" si="52"/>
        <v>-4.0663900414937761E-2</v>
      </c>
      <c r="L105" s="18">
        <f>IF(ISNUMBER(J105), $B118 * K105, "")</f>
        <v>-4066.3900414937762</v>
      </c>
      <c r="M105" s="31">
        <v>11530</v>
      </c>
      <c r="N105" s="32">
        <f t="shared" si="53"/>
        <v>-4.3153526970954356E-2</v>
      </c>
      <c r="O105" s="18">
        <f>IF(ISNUMBER(M105), $B118 * N105, "")</f>
        <v>-4315.3526970954354</v>
      </c>
      <c r="Q105" s="238"/>
      <c r="R105" s="238"/>
      <c r="S105" s="238"/>
    </row>
    <row r="106" spans="1:19" ht="17.25" thickBot="1">
      <c r="A106" s="125" t="s">
        <v>194</v>
      </c>
      <c r="B106" s="126">
        <v>154</v>
      </c>
      <c r="C106" s="77">
        <v>4.7619047599999999E-2</v>
      </c>
      <c r="D106" s="15">
        <v>152</v>
      </c>
      <c r="E106" s="32">
        <f t="shared" si="50"/>
        <v>-1.2987012987012988E-2</v>
      </c>
      <c r="F106" s="18">
        <f>IF(ISNUMBER(D106), $B118 * E106, "")</f>
        <v>-1298.7012987012988</v>
      </c>
      <c r="G106" s="31">
        <v>153</v>
      </c>
      <c r="H106" s="32">
        <f t="shared" si="51"/>
        <v>-6.4935064935064939E-3</v>
      </c>
      <c r="I106" s="101">
        <f>IF(ISNUMBER(G106), $B118 * H106, "")</f>
        <v>-649.35064935064941</v>
      </c>
      <c r="J106" s="15">
        <v>152</v>
      </c>
      <c r="K106" s="32">
        <f t="shared" si="52"/>
        <v>-1.2987012987012988E-2</v>
      </c>
      <c r="L106" s="18">
        <f>IF(ISNUMBER(J106), $B118 * K106, "")</f>
        <v>-1298.7012987012988</v>
      </c>
      <c r="M106" s="31">
        <v>152</v>
      </c>
      <c r="N106" s="32">
        <f t="shared" si="53"/>
        <v>-1.2987012987012988E-2</v>
      </c>
      <c r="O106" s="18">
        <f>IF(ISNUMBER(M106), $B118 * N106, "")</f>
        <v>-1298.7012987012988</v>
      </c>
      <c r="Q106" s="33"/>
      <c r="R106" s="33"/>
    </row>
    <row r="107" spans="1:19" ht="17.25" thickBot="1">
      <c r="A107" s="130" t="s">
        <v>246</v>
      </c>
      <c r="B107" s="131">
        <v>9530</v>
      </c>
      <c r="C107" s="79">
        <v>4.7252747300000002E-2</v>
      </c>
      <c r="D107" s="24">
        <v>9700</v>
      </c>
      <c r="E107" s="25">
        <f t="shared" si="50"/>
        <v>1.7838405036726127E-2</v>
      </c>
      <c r="F107" s="104">
        <f>IF(ISNUMBER(D107), $B118 * E107, "")</f>
        <v>1783.8405036726126</v>
      </c>
      <c r="G107" s="102">
        <v>9385</v>
      </c>
      <c r="H107" s="25">
        <f t="shared" si="51"/>
        <v>-1.5215110178384051E-2</v>
      </c>
      <c r="I107" s="103">
        <f>IF(ISNUMBER(G107), $B118 * H107, "")</f>
        <v>-1521.511017838405</v>
      </c>
      <c r="J107" s="24">
        <v>9330</v>
      </c>
      <c r="K107" s="25">
        <f t="shared" si="52"/>
        <v>-2.098635886673662E-2</v>
      </c>
      <c r="L107" s="104">
        <f>IF(ISNUMBER(J107), $B118 * K107, "")</f>
        <v>-2098.6358866736618</v>
      </c>
      <c r="M107" s="102">
        <v>9320</v>
      </c>
      <c r="N107" s="25">
        <f t="shared" si="53"/>
        <v>-2.2035676810073453E-2</v>
      </c>
      <c r="O107" s="104">
        <f>IF(ISNUMBER(M107), $B118 * N107, "")</f>
        <v>-2203.5676810073455</v>
      </c>
      <c r="Q107" s="239"/>
      <c r="R107" s="240"/>
      <c r="S107" s="241"/>
    </row>
    <row r="108" spans="1:19">
      <c r="A108" s="123" t="s">
        <v>100</v>
      </c>
      <c r="B108" s="124">
        <v>77550</v>
      </c>
      <c r="C108" s="76">
        <v>4.6276308699999998E-2</v>
      </c>
      <c r="D108" s="13">
        <v>84040</v>
      </c>
      <c r="E108" s="14">
        <f>IF(ISNUMBER(D108), (D108 - $B108) / $B108, "")</f>
        <v>8.3687943262411343E-2</v>
      </c>
      <c r="F108" s="16">
        <f>IF(ISNUMBER(D108), $B118 * E108, "")</f>
        <v>8368.7943262411336</v>
      </c>
      <c r="G108" s="29">
        <v>83860</v>
      </c>
      <c r="H108" s="14">
        <f>IF(ISNUMBER(G108), (G108 - $B108) / $B108, "")</f>
        <v>8.1366860090264351E-2</v>
      </c>
      <c r="I108" s="100">
        <f>IF(ISNUMBER(G108), $B118 * H108, "")</f>
        <v>8136.6860090264354</v>
      </c>
      <c r="J108" s="13">
        <v>82470</v>
      </c>
      <c r="K108" s="14">
        <f>IF(ISNUMBER(J108), (J108 - $B108) / $B108, "")</f>
        <v>6.3442940038684725E-2</v>
      </c>
      <c r="L108" s="16">
        <f>IF(ISNUMBER(J108), $B118 * K108, "")</f>
        <v>6344.2940038684728</v>
      </c>
      <c r="M108" s="29">
        <v>87000</v>
      </c>
      <c r="N108" s="14">
        <f>IF(ISNUMBER(M108), (M108 - $B108) / $B108, "")</f>
        <v>0.1218568665377176</v>
      </c>
      <c r="O108" s="16">
        <f>IF(ISNUMBER(M108), $B118 * N108, "")</f>
        <v>12185.68665377176</v>
      </c>
      <c r="Q108" s="242"/>
      <c r="R108" s="243"/>
      <c r="S108" s="244"/>
    </row>
    <row r="109" spans="1:19" ht="17.25" thickBot="1">
      <c r="A109" s="125" t="s">
        <v>224</v>
      </c>
      <c r="B109" s="126">
        <v>5070</v>
      </c>
      <c r="C109" s="77">
        <v>4.5360824700000003E-2</v>
      </c>
      <c r="D109" s="15">
        <v>5000</v>
      </c>
      <c r="E109" s="32">
        <f t="shared" ref="E109:E112" si="54">IF(ISNUMBER(D109), (D109 - $B109) / $B109, "")</f>
        <v>-1.3806706114398421E-2</v>
      </c>
      <c r="F109" s="18">
        <f>IF(ISNUMBER(D109), $B118 * E109, "")</f>
        <v>-1380.6706114398421</v>
      </c>
      <c r="G109" s="31">
        <v>4950</v>
      </c>
      <c r="H109" s="32">
        <f t="shared" ref="H109:H112" si="55">IF(ISNUMBER(G109), (G109 - $B109) / $B109, "")</f>
        <v>-2.3668639053254437E-2</v>
      </c>
      <c r="I109" s="101">
        <f>IF(ISNUMBER(G109), $B118 * H109, "")</f>
        <v>-2366.8639053254437</v>
      </c>
      <c r="J109" s="15">
        <v>4960</v>
      </c>
      <c r="K109" s="32">
        <f t="shared" ref="K109:K112" si="56">IF(ISNUMBER(J109), (J109 - $B109) / $B109, "")</f>
        <v>-2.1696252465483234E-2</v>
      </c>
      <c r="L109" s="18">
        <f>IF(ISNUMBER(J109), $B118 * K109, "")</f>
        <v>-2169.6252465483235</v>
      </c>
      <c r="M109" s="31">
        <v>4950</v>
      </c>
      <c r="N109" s="32">
        <f t="shared" ref="N109:N112" si="57">IF(ISNUMBER(M109), (M109 - $B109) / $B109, "")</f>
        <v>-2.3668639053254437E-2</v>
      </c>
      <c r="O109" s="18">
        <f>IF(ISNUMBER(M109), $B118 * N109, "")</f>
        <v>-2366.8639053254437</v>
      </c>
      <c r="Q109" s="245"/>
      <c r="R109" s="246"/>
      <c r="S109" s="247"/>
    </row>
    <row r="110" spans="1:19" ht="17.25" thickBot="1">
      <c r="A110" s="125" t="s">
        <v>236</v>
      </c>
      <c r="B110" s="126">
        <v>684</v>
      </c>
      <c r="C110" s="77">
        <v>4.26829268E-2</v>
      </c>
      <c r="D110" s="15">
        <v>690</v>
      </c>
      <c r="E110" s="32">
        <f t="shared" si="54"/>
        <v>8.771929824561403E-3</v>
      </c>
      <c r="F110" s="18">
        <f>IF(ISNUMBER(D110), $B118 * E110, "")</f>
        <v>877.19298245614027</v>
      </c>
      <c r="G110" s="31">
        <v>680</v>
      </c>
      <c r="H110" s="32">
        <f t="shared" si="55"/>
        <v>-5.8479532163742687E-3</v>
      </c>
      <c r="I110" s="101">
        <f>IF(ISNUMBER(G110), $B118 * H110, "")</f>
        <v>-584.79532163742692</v>
      </c>
      <c r="J110" s="15">
        <v>680</v>
      </c>
      <c r="K110" s="32">
        <f t="shared" si="56"/>
        <v>-5.8479532163742687E-3</v>
      </c>
      <c r="L110" s="18">
        <f>IF(ISNUMBER(J110), $B118 * K110, "")</f>
        <v>-584.79532163742692</v>
      </c>
      <c r="M110" s="31">
        <v>679</v>
      </c>
      <c r="N110" s="32">
        <f t="shared" si="57"/>
        <v>-7.3099415204678359E-3</v>
      </c>
      <c r="O110" s="18">
        <f>IF(ISNUMBER(M110), $B118 * N110, "")</f>
        <v>-730.9941520467836</v>
      </c>
      <c r="Q110" s="238"/>
      <c r="R110" s="238"/>
      <c r="S110" s="238"/>
    </row>
    <row r="111" spans="1:19" ht="17.25" thickBot="1">
      <c r="A111" s="125" t="s">
        <v>51</v>
      </c>
      <c r="B111" s="126">
        <v>433</v>
      </c>
      <c r="C111" s="77">
        <v>4.0865384599999999E-2</v>
      </c>
      <c r="D111" s="15">
        <v>456</v>
      </c>
      <c r="E111" s="32">
        <f t="shared" si="54"/>
        <v>5.3117782909930716E-2</v>
      </c>
      <c r="F111" s="18">
        <f>IF(ISNUMBER(D111), $B118 * E111, "")</f>
        <v>5311.778290993072</v>
      </c>
      <c r="G111" s="31">
        <v>450</v>
      </c>
      <c r="H111" s="32">
        <f t="shared" si="55"/>
        <v>3.9260969976905313E-2</v>
      </c>
      <c r="I111" s="101">
        <f>IF(ISNUMBER(G111), $B118 * H111, "")</f>
        <v>3926.0969976905312</v>
      </c>
      <c r="J111" s="15">
        <v>443</v>
      </c>
      <c r="K111" s="32">
        <f t="shared" si="56"/>
        <v>2.3094688221709007E-2</v>
      </c>
      <c r="L111" s="18">
        <f>IF(ISNUMBER(J111), $B118 * K111, "")</f>
        <v>2309.4688221709007</v>
      </c>
      <c r="M111" s="31">
        <v>446</v>
      </c>
      <c r="N111" s="32">
        <f t="shared" si="57"/>
        <v>3.0023094688221709E-2</v>
      </c>
      <c r="O111" s="18">
        <f>IF(ISNUMBER(M111), $B118 * N111, "")</f>
        <v>3002.3094688221709</v>
      </c>
      <c r="Q111" s="248"/>
      <c r="R111" s="248"/>
      <c r="S111" s="248"/>
    </row>
    <row r="112" spans="1:19" ht="17.25" thickBot="1">
      <c r="A112" s="127" t="s">
        <v>82</v>
      </c>
      <c r="B112" s="128">
        <v>2570</v>
      </c>
      <c r="C112" s="78">
        <v>3.6290322600000001E-2</v>
      </c>
      <c r="D112" s="20">
        <v>2530</v>
      </c>
      <c r="E112" s="21">
        <f t="shared" si="54"/>
        <v>-1.556420233463035E-2</v>
      </c>
      <c r="F112" s="22">
        <f>IF(ISNUMBER(D112), $B118 * E112, "")</f>
        <v>-1556.4202334630349</v>
      </c>
      <c r="G112" s="30">
        <v>2500</v>
      </c>
      <c r="H112" s="21">
        <f t="shared" si="55"/>
        <v>-2.7237354085603113E-2</v>
      </c>
      <c r="I112" s="105">
        <f>IF(ISNUMBER(G112), $B118 * H112, "")</f>
        <v>-2723.7354085603115</v>
      </c>
      <c r="J112" s="20">
        <v>2470</v>
      </c>
      <c r="K112" s="21">
        <f t="shared" si="56"/>
        <v>-3.8910505836575876E-2</v>
      </c>
      <c r="L112" s="22">
        <f>IF(ISNUMBER(J112), $B118 * K112, "")</f>
        <v>-3891.0505836575876</v>
      </c>
      <c r="M112" s="30">
        <v>2460</v>
      </c>
      <c r="N112" s="21">
        <f t="shared" si="57"/>
        <v>-4.2801556420233464E-2</v>
      </c>
      <c r="O112" s="22">
        <f>IF(ISNUMBER(M112), $B118 * N112, "")</f>
        <v>-4280.1556420233464</v>
      </c>
      <c r="Q112" s="248"/>
      <c r="R112" s="248"/>
      <c r="S112" s="248"/>
    </row>
    <row r="113" spans="1:19" ht="17.25" thickBot="1">
      <c r="A113" s="125" t="s">
        <v>57</v>
      </c>
      <c r="B113" s="129">
        <v>241</v>
      </c>
      <c r="C113" s="80">
        <v>3.4334763900000002E-2</v>
      </c>
      <c r="D113" s="106">
        <v>249</v>
      </c>
      <c r="E113" s="107">
        <f>IF(ISNUMBER(D113), (D113 - $B113) / $B113, "")</f>
        <v>3.3195020746887967E-2</v>
      </c>
      <c r="F113" s="108">
        <f>IF(ISNUMBER(D113), $B118 * E113, "")</f>
        <v>3319.5020746887967</v>
      </c>
      <c r="G113" s="109">
        <v>245</v>
      </c>
      <c r="H113" s="107">
        <f>IF(ISNUMBER(G113), (G113 - $B113) / $B113, "")</f>
        <v>1.6597510373443983E-2</v>
      </c>
      <c r="I113" s="110">
        <f>IF(ISNUMBER(G113), $B118 * H113, "")</f>
        <v>1659.7510373443984</v>
      </c>
      <c r="J113" s="106">
        <v>244</v>
      </c>
      <c r="K113" s="107">
        <f>IF(ISNUMBER(J113), (J113 - $B113) / $B113, "")</f>
        <v>1.2448132780082987E-2</v>
      </c>
      <c r="L113" s="108">
        <f>IF(ISNUMBER(J113), $B118 * K113, "")</f>
        <v>1244.8132780082988</v>
      </c>
      <c r="M113" s="109">
        <v>241</v>
      </c>
      <c r="N113" s="107">
        <f>IF(ISNUMBER(M113), (M113 - $B113) / $B113, "")</f>
        <v>0</v>
      </c>
      <c r="O113" s="108">
        <f>IF(ISNUMBER(M113), $B118 * N113, "")</f>
        <v>0</v>
      </c>
      <c r="Q113" s="238"/>
      <c r="R113" s="238"/>
      <c r="S113" s="238"/>
    </row>
    <row r="114" spans="1:19" ht="17.25" thickBot="1">
      <c r="A114" s="125" t="s">
        <v>84</v>
      </c>
      <c r="B114" s="126">
        <v>6175</v>
      </c>
      <c r="C114" s="77">
        <v>3.3472803299999999E-2</v>
      </c>
      <c r="D114" s="15">
        <v>6320</v>
      </c>
      <c r="E114" s="32">
        <f t="shared" ref="E114:E117" si="58">IF(ISNUMBER(D114), (D114 - $B114) / $B114, "")</f>
        <v>2.348178137651822E-2</v>
      </c>
      <c r="F114" s="18">
        <f>IF(ISNUMBER(D114), $B118 * E114, "")</f>
        <v>2348.178137651822</v>
      </c>
      <c r="G114" s="31">
        <v>6185</v>
      </c>
      <c r="H114" s="32">
        <f t="shared" ref="H114:H117" si="59">IF(ISNUMBER(G114), (G114 - $B114) / $B114, "")</f>
        <v>1.6194331983805667E-3</v>
      </c>
      <c r="I114" s="101">
        <f>IF(ISNUMBER(G114), $B118 * H114, "")</f>
        <v>161.94331983805668</v>
      </c>
      <c r="J114" s="15">
        <v>6145</v>
      </c>
      <c r="K114" s="32">
        <f t="shared" ref="K114:K117" si="60">IF(ISNUMBER(J114), (J114 - $B114) / $B114, "")</f>
        <v>-4.8582995951417006E-3</v>
      </c>
      <c r="L114" s="18">
        <f>IF(ISNUMBER(J114), $B118 * K114, "")</f>
        <v>-485.82995951417007</v>
      </c>
      <c r="M114" s="31">
        <v>6165</v>
      </c>
      <c r="N114" s="32">
        <f t="shared" ref="N114:N117" si="61">IF(ISNUMBER(M114), (M114 - $B114) / $B114, "")</f>
        <v>-1.6194331983805667E-3</v>
      </c>
      <c r="O114" s="18">
        <f>IF(ISNUMBER(M114), $B118 * N114, "")</f>
        <v>-161.94331983805668</v>
      </c>
      <c r="Q114" s="238"/>
      <c r="R114" s="238"/>
      <c r="S114" s="238"/>
    </row>
    <row r="115" spans="1:19" ht="17.25" thickBot="1">
      <c r="A115" s="125" t="s">
        <v>248</v>
      </c>
      <c r="B115" s="126">
        <v>2620</v>
      </c>
      <c r="C115" s="77">
        <v>3.1496062999999998E-2</v>
      </c>
      <c r="D115" s="15">
        <v>2620</v>
      </c>
      <c r="E115" s="32">
        <f t="shared" si="58"/>
        <v>0</v>
      </c>
      <c r="F115" s="18">
        <f>IF(ISNUMBER(D115), $B118 * E115, "")</f>
        <v>0</v>
      </c>
      <c r="G115" s="31">
        <v>2595</v>
      </c>
      <c r="H115" s="32">
        <f t="shared" si="59"/>
        <v>-9.5419847328244278E-3</v>
      </c>
      <c r="I115" s="101">
        <f>IF(ISNUMBER(G115), $B118 * H115, "")</f>
        <v>-954.19847328244282</v>
      </c>
      <c r="J115" s="15">
        <v>2595</v>
      </c>
      <c r="K115" s="32">
        <f t="shared" si="60"/>
        <v>-9.5419847328244278E-3</v>
      </c>
      <c r="L115" s="18">
        <f>IF(ISNUMBER(J115), $B118 * K115, "")</f>
        <v>-954.19847328244282</v>
      </c>
      <c r="M115" s="31">
        <v>2610</v>
      </c>
      <c r="N115" s="32">
        <f t="shared" si="61"/>
        <v>-3.8167938931297708E-3</v>
      </c>
      <c r="O115" s="18">
        <f>IF(ISNUMBER(M115), $B118 * N115, "")</f>
        <v>-381.67938931297709</v>
      </c>
      <c r="Q115" s="238"/>
      <c r="R115" s="238"/>
      <c r="S115" s="238"/>
    </row>
    <row r="116" spans="1:19">
      <c r="A116" s="125" t="s">
        <v>112</v>
      </c>
      <c r="B116" s="126">
        <v>8505</v>
      </c>
      <c r="C116" s="77">
        <v>2.96610169E-2</v>
      </c>
      <c r="D116" s="15">
        <v>8430</v>
      </c>
      <c r="E116" s="32">
        <f t="shared" si="58"/>
        <v>-8.8183421516754845E-3</v>
      </c>
      <c r="F116" s="18">
        <f>IF(ISNUMBER(D116), $B118 * E116, "")</f>
        <v>-881.83421516754845</v>
      </c>
      <c r="G116" s="31">
        <v>8330</v>
      </c>
      <c r="H116" s="32">
        <f t="shared" si="59"/>
        <v>-2.0576131687242798E-2</v>
      </c>
      <c r="I116" s="101">
        <f>IF(ISNUMBER(G116), $B118 * H116, "")</f>
        <v>-2057.6131687242801</v>
      </c>
      <c r="J116" s="15">
        <v>8315</v>
      </c>
      <c r="K116" s="32">
        <f t="shared" si="60"/>
        <v>-2.2339800117577895E-2</v>
      </c>
      <c r="L116" s="18">
        <f>IF(ISNUMBER(J116), $B118 * K116, "")</f>
        <v>-2233.9800117577897</v>
      </c>
      <c r="M116" s="31">
        <v>8230</v>
      </c>
      <c r="N116" s="32">
        <f t="shared" si="61"/>
        <v>-3.2333921222810112E-2</v>
      </c>
      <c r="O116" s="18">
        <f>IF(ISNUMBER(M116), $B118 * N116, "")</f>
        <v>-3233.3921222810113</v>
      </c>
      <c r="Q116" s="227"/>
      <c r="R116" s="228"/>
      <c r="S116" s="229"/>
    </row>
    <row r="117" spans="1:19" ht="17.25" thickBot="1">
      <c r="A117" s="130" t="s">
        <v>67</v>
      </c>
      <c r="B117" s="131">
        <v>5040</v>
      </c>
      <c r="C117" s="79">
        <v>2.85714286E-2</v>
      </c>
      <c r="D117" s="24">
        <v>5125</v>
      </c>
      <c r="E117" s="25">
        <f t="shared" si="58"/>
        <v>1.6865079365079364E-2</v>
      </c>
      <c r="F117" s="104">
        <f>IF(ISNUMBER(D117), $B118 * E117, "")</f>
        <v>1686.5079365079364</v>
      </c>
      <c r="G117" s="102">
        <v>5025</v>
      </c>
      <c r="H117" s="25">
        <f t="shared" si="59"/>
        <v>-2.976190476190476E-3</v>
      </c>
      <c r="I117" s="103">
        <f>IF(ISNUMBER(G117), $B118 * H117, "")</f>
        <v>-297.61904761904759</v>
      </c>
      <c r="J117" s="24">
        <v>4990</v>
      </c>
      <c r="K117" s="25">
        <f t="shared" si="60"/>
        <v>-9.9206349206349201E-3</v>
      </c>
      <c r="L117" s="104">
        <f>IF(ISNUMBER(J117), $B118 * K117, "")</f>
        <v>-992.06349206349205</v>
      </c>
      <c r="M117" s="102">
        <v>4965</v>
      </c>
      <c r="N117" s="25">
        <f t="shared" si="61"/>
        <v>-1.488095238095238E-2</v>
      </c>
      <c r="O117" s="104">
        <f>IF(ISNUMBER(M117), $B118 * N117, "")</f>
        <v>-1488.0952380952381</v>
      </c>
      <c r="Q117" s="230"/>
      <c r="R117" s="231"/>
      <c r="S117" s="232"/>
    </row>
    <row r="118" spans="1:19" ht="17.25" thickBot="1">
      <c r="A118" s="132" t="s">
        <v>270</v>
      </c>
      <c r="B118" s="291">
        <f>$B$37</f>
        <v>100000</v>
      </c>
      <c r="C118" s="292"/>
      <c r="D118" s="26" t="s">
        <v>271</v>
      </c>
      <c r="E118" s="27">
        <f>IF(COUNT(E98:E117), SUM(E98:E117) / COUNT(E98:E117), 0)</f>
        <v>2.0182160493284924E-2</v>
      </c>
      <c r="F118" s="28">
        <f>SUM(F98:F117)</f>
        <v>40364.320986569845</v>
      </c>
      <c r="G118" s="26" t="s">
        <v>271</v>
      </c>
      <c r="H118" s="27">
        <f>IF(COUNT(H98:H117), SUM(H98:H117) / COUNT(H98:H117), 0)</f>
        <v>5.835612499806549E-3</v>
      </c>
      <c r="I118" s="28">
        <f>SUM(I98:I117)</f>
        <v>11671.224999613105</v>
      </c>
      <c r="J118" s="26" t="s">
        <v>271</v>
      </c>
      <c r="K118" s="27">
        <f>IF(COUNT(K98:K117), SUM(K98:K117) / COUNT(K98:K117), 0)</f>
        <v>-1.854693465555033E-3</v>
      </c>
      <c r="L118" s="28">
        <f>SUM(L98:L117)</f>
        <v>-3709.3869311100671</v>
      </c>
      <c r="M118" s="26" t="s">
        <v>271</v>
      </c>
      <c r="N118" s="27">
        <f>IF(COUNT(N98:N117), SUM(N98:N117) / COUNT(N98:N117), 0)</f>
        <v>-4.096605687407601E-3</v>
      </c>
      <c r="O118" s="28">
        <f>SUM(O98:O117)</f>
        <v>-8193.2113748152024</v>
      </c>
      <c r="Q118" s="233"/>
      <c r="R118" s="234"/>
      <c r="S118" s="23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48"/>
      <c r="R121" s="248"/>
      <c r="S121" s="248"/>
    </row>
    <row r="122" spans="1:19" ht="17.25" thickBot="1">
      <c r="A122" s="215" t="s">
        <v>267</v>
      </c>
      <c r="B122" s="249" t="s">
        <v>49</v>
      </c>
      <c r="C122" s="251"/>
      <c r="D122" s="249" t="s">
        <v>58</v>
      </c>
      <c r="E122" s="250"/>
      <c r="F122" s="251"/>
      <c r="G122" s="252">
        <f>_xlfn.IFNA(VLOOKUP(B122, 현재가테이블!$B$2:$D$200, 2, FALSE), "-")</f>
        <v>54440000</v>
      </c>
      <c r="H122" s="253"/>
      <c r="I122" s="254"/>
      <c r="J122" s="249" t="s">
        <v>59</v>
      </c>
      <c r="K122" s="250"/>
      <c r="L122" s="251"/>
      <c r="M122" s="255">
        <f>_xlfn.IFNA(VLOOKUP(B122, 현재가테이블!$B$2:$D$200, 3, FALSE), "-")</f>
        <v>1.07123628E-2</v>
      </c>
      <c r="N122" s="256"/>
      <c r="O122" s="257"/>
      <c r="Q122" s="248"/>
      <c r="R122" s="248"/>
      <c r="S122" s="248"/>
    </row>
    <row r="123" spans="1:19" ht="17.25" thickBot="1">
      <c r="A123" s="293" t="s">
        <v>55</v>
      </c>
      <c r="B123" s="289" t="str">
        <f>TEXT($G$1, "[$-ko-KR]yyyy-mm-dd(ddd) ") &amp; "오전 00:00"</f>
        <v>2021-08-15(일) 오전 00:00</v>
      </c>
      <c r="C123" s="290"/>
      <c r="D123" s="262" t="str">
        <f>TEXT($G$1, "[$-ko-KR]yyyy-mm-dd(ddd) ") &amp; "오후 14:00"</f>
        <v>2021-08-15(일) 오후 14:00</v>
      </c>
      <c r="E123" s="263"/>
      <c r="F123" s="264"/>
      <c r="G123" s="262" t="str">
        <f>TEXT($G$1, "[$-ko-KR]yyyy-mm-dd(ddd) ") &amp; "오후 19:00"</f>
        <v>2021-08-15(일) 오후 19:00</v>
      </c>
      <c r="H123" s="263"/>
      <c r="I123" s="264"/>
      <c r="J123" s="262" t="str">
        <f>TEXT($G$1, "[$-ko-KR]yyyy-mm-dd(ddd) ") &amp; "오후 21:00"</f>
        <v>2021-08-15(일) 오후 21:00</v>
      </c>
      <c r="K123" s="263"/>
      <c r="L123" s="264"/>
      <c r="M123" s="262" t="str">
        <f>TEXT($G$1+1, "[$-ko-KR]yyyy-mm-dd(ddd) ") &amp; "오전 00:00"</f>
        <v>2021-08-16(월) 오전 00:00</v>
      </c>
      <c r="N123" s="263"/>
      <c r="O123" s="264"/>
      <c r="Q123" s="248"/>
      <c r="R123" s="248"/>
      <c r="S123" s="248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6" t="s">
        <v>58</v>
      </c>
      <c r="H124" s="217" t="s">
        <v>268</v>
      </c>
      <c r="I124" s="21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8"/>
      <c r="R124" s="238"/>
      <c r="S124" s="238"/>
    </row>
    <row r="125" spans="1:19" ht="17.25" thickBot="1">
      <c r="A125" s="123" t="s">
        <v>234</v>
      </c>
      <c r="B125" s="124">
        <v>78.900000000000006</v>
      </c>
      <c r="C125" s="76">
        <v>1.54440154E-2</v>
      </c>
      <c r="D125" s="13">
        <v>77.099999999999994</v>
      </c>
      <c r="E125" s="14">
        <f>IF(ISNUMBER(D125), (D125 - $B125) / $B125, "")</f>
        <v>-2.28136882129279E-2</v>
      </c>
      <c r="F125" s="16">
        <f>IF(ISNUMBER(D125), $B145 * E125, "")</f>
        <v>-2281.36882129279</v>
      </c>
      <c r="G125" s="29">
        <v>76.5</v>
      </c>
      <c r="H125" s="14">
        <f>IF(ISNUMBER(G125), (G125 - $B125) / $B125, "")</f>
        <v>-3.0418250950570411E-2</v>
      </c>
      <c r="I125" s="100">
        <f>IF(ISNUMBER(G125), $B145 * H125, "")</f>
        <v>-3041.8250950570409</v>
      </c>
      <c r="J125" s="13">
        <v>76.2</v>
      </c>
      <c r="K125" s="14">
        <f>IF(ISNUMBER(J125), (J125 - $B125) / $B125, "")</f>
        <v>-3.4220532319391671E-2</v>
      </c>
      <c r="L125" s="16">
        <f>IF(ISNUMBER(J125), $B145 * K125, "")</f>
        <v>-3422.0532319391673</v>
      </c>
      <c r="M125" s="29">
        <v>76.7</v>
      </c>
      <c r="N125" s="14">
        <f>IF(ISNUMBER(M125), (M125 - $B125) / $B125, "")</f>
        <v>-2.7883396704689513E-2</v>
      </c>
      <c r="O125" s="16">
        <f>IF(ISNUMBER(M125), $B145 * N125, "")</f>
        <v>-2788.3396704689512</v>
      </c>
      <c r="Q125" s="248"/>
      <c r="R125" s="248"/>
      <c r="S125" s="248"/>
    </row>
    <row r="126" spans="1:19" ht="17.25" thickBot="1">
      <c r="A126" s="125" t="s">
        <v>148</v>
      </c>
      <c r="B126" s="126">
        <v>22.1</v>
      </c>
      <c r="C126" s="77">
        <v>0</v>
      </c>
      <c r="D126" s="15">
        <v>22.2</v>
      </c>
      <c r="E126" s="32">
        <f t="shared" ref="E126:E129" si="62">IF(ISNUMBER(D126), (D126 - $B126) / $B126, "")</f>
        <v>4.5248868778279576E-3</v>
      </c>
      <c r="F126" s="18">
        <f>IF(ISNUMBER(D126), $B145 * E126, "")</f>
        <v>452.48868778279575</v>
      </c>
      <c r="G126" s="31">
        <v>22</v>
      </c>
      <c r="H126" s="32">
        <f t="shared" ref="H126:H129" si="63">IF(ISNUMBER(G126), (G126 - $B126) / $B126, "")</f>
        <v>-4.524886877828118E-3</v>
      </c>
      <c r="I126" s="101">
        <f>IF(ISNUMBER(G126), $B145 * H126, "")</f>
        <v>-452.48868778281178</v>
      </c>
      <c r="J126" s="15">
        <v>21.9</v>
      </c>
      <c r="K126" s="32">
        <f t="shared" ref="K126:K129" si="64">IF(ISNUMBER(J126), (J126 - $B126) / $B126, "")</f>
        <v>-9.049773755656236E-3</v>
      </c>
      <c r="L126" s="18">
        <f>IF(ISNUMBER(J126), $B145 * K126, "")</f>
        <v>-904.97737556562356</v>
      </c>
      <c r="M126" s="31">
        <v>21.9</v>
      </c>
      <c r="N126" s="32">
        <f t="shared" ref="N126:N129" si="65">IF(ISNUMBER(M126), (M126 - $B126) / $B126, "")</f>
        <v>-9.049773755656236E-3</v>
      </c>
      <c r="O126" s="18">
        <f>IF(ISNUMBER(M126), $B145 * N126, "")</f>
        <v>-904.97737556562356</v>
      </c>
      <c r="Q126" s="248"/>
      <c r="R126" s="248"/>
      <c r="S126" s="248"/>
    </row>
    <row r="127" spans="1:19" ht="17.25" thickBot="1">
      <c r="A127" s="125" t="s">
        <v>98</v>
      </c>
      <c r="B127" s="126">
        <v>5.6</v>
      </c>
      <c r="C127" s="77">
        <v>-3.5587189000000001E-3</v>
      </c>
      <c r="D127" s="15">
        <v>5.6</v>
      </c>
      <c r="E127" s="32">
        <f t="shared" si="62"/>
        <v>0</v>
      </c>
      <c r="F127" s="18">
        <f>IF(ISNUMBER(D127), $B145 * E127, "")</f>
        <v>0</v>
      </c>
      <c r="G127" s="31">
        <v>5.49</v>
      </c>
      <c r="H127" s="32">
        <f t="shared" si="63"/>
        <v>-1.9642857142857042E-2</v>
      </c>
      <c r="I127" s="101">
        <f>IF(ISNUMBER(G127), $B145 * H127, "")</f>
        <v>-1964.2857142857042</v>
      </c>
      <c r="J127" s="15">
        <v>5.45</v>
      </c>
      <c r="K127" s="32">
        <f t="shared" si="64"/>
        <v>-2.6785714285714191E-2</v>
      </c>
      <c r="L127" s="18">
        <f>IF(ISNUMBER(J127), $B145 * K127, "")</f>
        <v>-2678.5714285714189</v>
      </c>
      <c r="M127" s="31">
        <v>5.45</v>
      </c>
      <c r="N127" s="32">
        <f t="shared" si="65"/>
        <v>-2.6785714285714191E-2</v>
      </c>
      <c r="O127" s="18">
        <f>IF(ISNUMBER(M127), $B145 * N127, "")</f>
        <v>-2678.5714285714189</v>
      </c>
      <c r="Q127" s="238"/>
      <c r="R127" s="238"/>
      <c r="S127" s="238"/>
    </row>
    <row r="128" spans="1:19" ht="17.25" thickBot="1">
      <c r="A128" s="125" t="s">
        <v>150</v>
      </c>
      <c r="B128" s="126">
        <v>13.4</v>
      </c>
      <c r="C128" s="77">
        <v>-7.4074073999999997E-3</v>
      </c>
      <c r="D128" s="15">
        <v>13.9</v>
      </c>
      <c r="E128" s="32">
        <f t="shared" si="62"/>
        <v>3.7313432835820892E-2</v>
      </c>
      <c r="F128" s="18">
        <f>IF(ISNUMBER(D128), $B145 * E128, "")</f>
        <v>3731.343283582089</v>
      </c>
      <c r="G128" s="31">
        <v>13.9</v>
      </c>
      <c r="H128" s="32">
        <f t="shared" si="63"/>
        <v>3.7313432835820892E-2</v>
      </c>
      <c r="I128" s="101">
        <f>IF(ISNUMBER(G128), $B145 * H128, "")</f>
        <v>3731.343283582089</v>
      </c>
      <c r="J128" s="15">
        <v>14.1</v>
      </c>
      <c r="K128" s="32">
        <f t="shared" si="64"/>
        <v>5.2238805970149196E-2</v>
      </c>
      <c r="L128" s="18">
        <f>IF(ISNUMBER(J128), $B145 * K128, "")</f>
        <v>5223.8805970149197</v>
      </c>
      <c r="M128" s="31">
        <v>14</v>
      </c>
      <c r="N128" s="32">
        <f t="shared" si="65"/>
        <v>4.4776119402985044E-2</v>
      </c>
      <c r="O128" s="18">
        <f>IF(ISNUMBER(M128), $B145 * N128, "")</f>
        <v>4477.6119402985041</v>
      </c>
      <c r="Q128" s="238"/>
      <c r="R128" s="238"/>
      <c r="S128" s="238"/>
    </row>
    <row r="129" spans="1:19" ht="17.25" thickBot="1">
      <c r="A129" s="127" t="s">
        <v>72</v>
      </c>
      <c r="B129" s="128">
        <v>24.7</v>
      </c>
      <c r="C129" s="78">
        <v>-8.0321284999999992E-3</v>
      </c>
      <c r="D129" s="20">
        <v>25</v>
      </c>
      <c r="E129" s="21">
        <f t="shared" si="62"/>
        <v>1.2145748987854281E-2</v>
      </c>
      <c r="F129" s="22">
        <f>IF(ISNUMBER(D129), $B145 * E129, "")</f>
        <v>1214.5748987854281</v>
      </c>
      <c r="G129" s="30">
        <v>24.7</v>
      </c>
      <c r="H129" s="21">
        <f t="shared" si="63"/>
        <v>0</v>
      </c>
      <c r="I129" s="105">
        <f>IF(ISNUMBER(G129), $B145 * H129, "")</f>
        <v>0</v>
      </c>
      <c r="J129" s="20">
        <v>24.7</v>
      </c>
      <c r="K129" s="21">
        <f t="shared" si="64"/>
        <v>0</v>
      </c>
      <c r="L129" s="22">
        <f>IF(ISNUMBER(J129), $B145 * K129, "")</f>
        <v>0</v>
      </c>
      <c r="M129" s="30">
        <v>24.8</v>
      </c>
      <c r="N129" s="21">
        <f t="shared" si="65"/>
        <v>4.0485829959514743E-3</v>
      </c>
      <c r="O129" s="22">
        <f>IF(ISNUMBER(M129), $B145 * N129, "")</f>
        <v>404.85829959514746</v>
      </c>
      <c r="Q129" s="238"/>
      <c r="R129" s="238"/>
      <c r="S129" s="238"/>
    </row>
    <row r="130" spans="1:19" ht="17.25" thickBot="1">
      <c r="A130" s="125" t="s">
        <v>216</v>
      </c>
      <c r="B130" s="129">
        <v>11.5</v>
      </c>
      <c r="C130" s="80">
        <v>-8.6206896999999998E-3</v>
      </c>
      <c r="D130" s="106">
        <v>11.8</v>
      </c>
      <c r="E130" s="107">
        <f>IF(ISNUMBER(D130), (D130 - $B130) / $B130, "")</f>
        <v>2.6086956521739191E-2</v>
      </c>
      <c r="F130" s="108">
        <f>IF(ISNUMBER(D130), $B145 * E130, "")</f>
        <v>2608.6956521739194</v>
      </c>
      <c r="G130" s="109">
        <v>11.9</v>
      </c>
      <c r="H130" s="107">
        <f>IF(ISNUMBER(G130), (G130 - $B130) / $B130, "")</f>
        <v>3.4782608695652202E-2</v>
      </c>
      <c r="I130" s="110">
        <f>IF(ISNUMBER(G130), $B145 * H130, "")</f>
        <v>3478.2608695652202</v>
      </c>
      <c r="J130" s="106">
        <v>11.8</v>
      </c>
      <c r="K130" s="107">
        <f>IF(ISNUMBER(J130), (J130 - $B130) / $B130, "")</f>
        <v>2.6086956521739191E-2</v>
      </c>
      <c r="L130" s="108">
        <f>IF(ISNUMBER(J130), $B145 * K130, "")</f>
        <v>2608.6956521739194</v>
      </c>
      <c r="M130" s="109">
        <v>11.8</v>
      </c>
      <c r="N130" s="107">
        <f>IF(ISNUMBER(M130), (M130 - $B130) / $B130, "")</f>
        <v>2.6086956521739191E-2</v>
      </c>
      <c r="O130" s="108">
        <f>IF(ISNUMBER(M130), $B145 * N130, "")</f>
        <v>2608.6956521739194</v>
      </c>
      <c r="Q130" s="238"/>
      <c r="R130" s="238"/>
      <c r="S130" s="238"/>
    </row>
    <row r="131" spans="1:19" ht="17.25" thickBot="1">
      <c r="A131" s="125" t="s">
        <v>250</v>
      </c>
      <c r="B131" s="126">
        <v>81</v>
      </c>
      <c r="C131" s="77">
        <v>-9.7799510999999999E-3</v>
      </c>
      <c r="D131" s="15">
        <v>83.4</v>
      </c>
      <c r="E131" s="32">
        <f t="shared" ref="E131:E134" si="66">IF(ISNUMBER(D131), (D131 - $B131) / $B131, "")</f>
        <v>2.96296296296297E-2</v>
      </c>
      <c r="F131" s="18">
        <f>IF(ISNUMBER(D131), $B145 * E131, "")</f>
        <v>2962.9629629629699</v>
      </c>
      <c r="G131" s="31">
        <v>83.7</v>
      </c>
      <c r="H131" s="32">
        <f t="shared" ref="H131:H134" si="67">IF(ISNUMBER(G131), (G131 - $B131) / $B131, "")</f>
        <v>3.3333333333333368E-2</v>
      </c>
      <c r="I131" s="101">
        <f>IF(ISNUMBER(G131), $B145 * H131, "")</f>
        <v>3333.3333333333367</v>
      </c>
      <c r="J131" s="15">
        <v>82.2</v>
      </c>
      <c r="K131" s="32">
        <f t="shared" ref="K131:K134" si="68">IF(ISNUMBER(J131), (J131 - $B131) / $B131, "")</f>
        <v>1.481481481481485E-2</v>
      </c>
      <c r="L131" s="18">
        <f>IF(ISNUMBER(J131), $B145 * K131, "")</f>
        <v>1481.4814814814849</v>
      </c>
      <c r="M131" s="31">
        <v>82.3</v>
      </c>
      <c r="N131" s="32">
        <f t="shared" ref="N131:N134" si="69">IF(ISNUMBER(M131), (M131 - $B131) / $B131, "")</f>
        <v>1.6049382716049349E-2</v>
      </c>
      <c r="O131" s="18">
        <f>IF(ISNUMBER(M131), $B145 * N131, "")</f>
        <v>1604.9382716049349</v>
      </c>
      <c r="Q131" s="238"/>
      <c r="R131" s="238"/>
      <c r="S131" s="238"/>
    </row>
    <row r="132" spans="1:19" ht="17.25" thickBot="1">
      <c r="A132" s="125" t="s">
        <v>122</v>
      </c>
      <c r="B132" s="126">
        <v>34.9</v>
      </c>
      <c r="C132" s="77">
        <v>-1.13314448E-2</v>
      </c>
      <c r="D132" s="15">
        <v>34.4</v>
      </c>
      <c r="E132" s="32">
        <f t="shared" si="66"/>
        <v>-1.4326647564469915E-2</v>
      </c>
      <c r="F132" s="18">
        <f>IF(ISNUMBER(D132), $B145 * E132, "")</f>
        <v>-1432.6647564469915</v>
      </c>
      <c r="G132" s="31">
        <v>34.1</v>
      </c>
      <c r="H132" s="32">
        <f t="shared" si="67"/>
        <v>-2.2922636103151782E-2</v>
      </c>
      <c r="I132" s="101">
        <f>IF(ISNUMBER(G132), $B145 * H132, "")</f>
        <v>-2292.2636103151781</v>
      </c>
      <c r="J132" s="15">
        <v>33.9</v>
      </c>
      <c r="K132" s="32">
        <f t="shared" si="68"/>
        <v>-2.865329512893983E-2</v>
      </c>
      <c r="L132" s="18">
        <f>IF(ISNUMBER(J132), $B145 * K132, "")</f>
        <v>-2865.3295128939831</v>
      </c>
      <c r="M132" s="31">
        <v>33.700000000000003</v>
      </c>
      <c r="N132" s="32">
        <f t="shared" si="69"/>
        <v>-3.4383954154727669E-2</v>
      </c>
      <c r="O132" s="18">
        <f>IF(ISNUMBER(M132), $B145 * N132, "")</f>
        <v>-3438.3954154727671</v>
      </c>
      <c r="Q132" s="238"/>
      <c r="R132" s="238"/>
      <c r="S132" s="238"/>
    </row>
    <row r="133" spans="1:19" ht="17.25" thickBot="1">
      <c r="A133" s="125" t="s">
        <v>204</v>
      </c>
      <c r="B133" s="126">
        <v>15.5</v>
      </c>
      <c r="C133" s="77">
        <v>-1.2738853499999999E-2</v>
      </c>
      <c r="D133" s="15">
        <v>15.9</v>
      </c>
      <c r="E133" s="32">
        <f t="shared" si="66"/>
        <v>2.580645161290325E-2</v>
      </c>
      <c r="F133" s="18">
        <f>IF(ISNUMBER(D133), $B145 * E133, "")</f>
        <v>2580.6451612903252</v>
      </c>
      <c r="G133" s="31">
        <v>15.9</v>
      </c>
      <c r="H133" s="32">
        <f t="shared" si="67"/>
        <v>2.580645161290325E-2</v>
      </c>
      <c r="I133" s="101">
        <f>IF(ISNUMBER(G133), $B145 * H133, "")</f>
        <v>2580.6451612903252</v>
      </c>
      <c r="J133" s="15">
        <v>15.7</v>
      </c>
      <c r="K133" s="32">
        <f t="shared" si="68"/>
        <v>1.2903225806451568E-2</v>
      </c>
      <c r="L133" s="18">
        <f>IF(ISNUMBER(J133), $B145 * K133, "")</f>
        <v>1290.3225806451567</v>
      </c>
      <c r="M133" s="31">
        <v>15.7</v>
      </c>
      <c r="N133" s="32">
        <f t="shared" si="69"/>
        <v>1.2903225806451568E-2</v>
      </c>
      <c r="O133" s="18">
        <f>IF(ISNUMBER(M133), $B145 * N133, "")</f>
        <v>1290.3225806451567</v>
      </c>
      <c r="Q133" s="33"/>
      <c r="R133" s="33"/>
    </row>
    <row r="134" spans="1:19" ht="17.25" thickBot="1">
      <c r="A134" s="130" t="s">
        <v>188</v>
      </c>
      <c r="B134" s="131">
        <v>13.5</v>
      </c>
      <c r="C134" s="79">
        <v>-1.45985401E-2</v>
      </c>
      <c r="D134" s="24">
        <v>13.4</v>
      </c>
      <c r="E134" s="25">
        <f t="shared" si="66"/>
        <v>-7.4074074074073808E-3</v>
      </c>
      <c r="F134" s="104">
        <f>IF(ISNUMBER(D134), $B145 * E134, "")</f>
        <v>-740.74074074073803</v>
      </c>
      <c r="G134" s="102">
        <v>13.2</v>
      </c>
      <c r="H134" s="25">
        <f t="shared" si="67"/>
        <v>-2.2222222222222275E-2</v>
      </c>
      <c r="I134" s="103">
        <f>IF(ISNUMBER(G134), $B145 * H134, "")</f>
        <v>-2222.2222222222276</v>
      </c>
      <c r="J134" s="24">
        <v>13.2</v>
      </c>
      <c r="K134" s="25">
        <f t="shared" si="68"/>
        <v>-2.2222222222222275E-2</v>
      </c>
      <c r="L134" s="104">
        <f>IF(ISNUMBER(J134), $B145 * K134, "")</f>
        <v>-2222.2222222222276</v>
      </c>
      <c r="M134" s="102">
        <v>13.3</v>
      </c>
      <c r="N134" s="25">
        <f t="shared" si="69"/>
        <v>-1.4814814814814762E-2</v>
      </c>
      <c r="O134" s="104">
        <f>IF(ISNUMBER(M134), $B145 * N134, "")</f>
        <v>-1481.4814814814761</v>
      </c>
      <c r="Q134" s="239"/>
      <c r="R134" s="240"/>
      <c r="S134" s="241"/>
    </row>
    <row r="135" spans="1:19">
      <c r="A135" s="123" t="s">
        <v>190</v>
      </c>
      <c r="B135" s="124">
        <v>20.2</v>
      </c>
      <c r="C135" s="76">
        <v>-1.4634146299999999E-2</v>
      </c>
      <c r="D135" s="13">
        <v>20.100000000000001</v>
      </c>
      <c r="E135" s="14">
        <f>IF(ISNUMBER(D135), (D135 - $B135) / $B135, "")</f>
        <v>-4.9504950495048447E-3</v>
      </c>
      <c r="F135" s="16">
        <f>IF(ISNUMBER(D135), $B145 * E135, "")</f>
        <v>-495.04950495048445</v>
      </c>
      <c r="G135" s="29">
        <v>19.899999999999999</v>
      </c>
      <c r="H135" s="14">
        <f>IF(ISNUMBER(G135), (G135 - $B135) / $B135, "")</f>
        <v>-1.4851485148514887E-2</v>
      </c>
      <c r="I135" s="100">
        <f>IF(ISNUMBER(G135), $B145 * H135, "")</f>
        <v>-1485.1485148514887</v>
      </c>
      <c r="J135" s="13">
        <v>19.899999999999999</v>
      </c>
      <c r="K135" s="14">
        <f>IF(ISNUMBER(J135), (J135 - $B135) / $B135, "")</f>
        <v>-1.4851485148514887E-2</v>
      </c>
      <c r="L135" s="16">
        <f>IF(ISNUMBER(J135), $B145 * K135, "")</f>
        <v>-1485.1485148514887</v>
      </c>
      <c r="M135" s="29">
        <v>19.8</v>
      </c>
      <c r="N135" s="14">
        <f>IF(ISNUMBER(M135), (M135 - $B135) / $B135, "")</f>
        <v>-1.9801980198019733E-2</v>
      </c>
      <c r="O135" s="16">
        <f>IF(ISNUMBER(M135), $B145 * N135, "")</f>
        <v>-1980.1980198019733</v>
      </c>
      <c r="Q135" s="242"/>
      <c r="R135" s="243"/>
      <c r="S135" s="244"/>
    </row>
    <row r="136" spans="1:19" ht="17.25" thickBot="1">
      <c r="A136" s="125" t="s">
        <v>210</v>
      </c>
      <c r="B136" s="126">
        <v>12.7</v>
      </c>
      <c r="C136" s="77">
        <v>-1.5503876E-2</v>
      </c>
      <c r="D136" s="15">
        <v>13</v>
      </c>
      <c r="E136" s="32">
        <f t="shared" ref="E136:E139" si="70">IF(ISNUMBER(D136), (D136 - $B136) / $B136, "")</f>
        <v>2.3622047244094547E-2</v>
      </c>
      <c r="F136" s="18">
        <f>IF(ISNUMBER(D136), $B145 * E136, "")</f>
        <v>2362.2047244094547</v>
      </c>
      <c r="G136" s="31">
        <v>12.9</v>
      </c>
      <c r="H136" s="32">
        <f t="shared" ref="H136:H139" si="71">IF(ISNUMBER(G136), (G136 - $B136) / $B136, "")</f>
        <v>1.5748031496063079E-2</v>
      </c>
      <c r="I136" s="101">
        <f>IF(ISNUMBER(G136), $B145 * H136, "")</f>
        <v>1574.8031496063079</v>
      </c>
      <c r="J136" s="15">
        <v>12.8</v>
      </c>
      <c r="K136" s="32">
        <f t="shared" ref="K136:K139" si="72">IF(ISNUMBER(J136), (J136 - $B136) / $B136, "")</f>
        <v>7.8740157480316087E-3</v>
      </c>
      <c r="L136" s="18">
        <f>IF(ISNUMBER(J136), $B145 * K136, "")</f>
        <v>787.40157480316088</v>
      </c>
      <c r="M136" s="31">
        <v>12.8</v>
      </c>
      <c r="N136" s="32">
        <f t="shared" ref="N136:N139" si="73">IF(ISNUMBER(M136), (M136 - $B136) / $B136, "")</f>
        <v>7.8740157480316087E-3</v>
      </c>
      <c r="O136" s="18">
        <f>IF(ISNUMBER(M136), $B145 * N136, "")</f>
        <v>787.40157480316088</v>
      </c>
      <c r="Q136" s="245"/>
      <c r="R136" s="246"/>
      <c r="S136" s="247"/>
    </row>
    <row r="137" spans="1:19" ht="17.25" thickBot="1">
      <c r="A137" s="125" t="s">
        <v>65</v>
      </c>
      <c r="B137" s="126">
        <v>36.6</v>
      </c>
      <c r="C137" s="77">
        <v>-1.6129032299999999E-2</v>
      </c>
      <c r="D137" s="15">
        <v>37.9</v>
      </c>
      <c r="E137" s="32">
        <f t="shared" si="70"/>
        <v>3.5519125683060031E-2</v>
      </c>
      <c r="F137" s="18">
        <f>IF(ISNUMBER(D137), $B145 * E137, "")</f>
        <v>3551.9125683060029</v>
      </c>
      <c r="G137" s="31">
        <v>37.299999999999997</v>
      </c>
      <c r="H137" s="32">
        <f t="shared" si="71"/>
        <v>1.9125683060109172E-2</v>
      </c>
      <c r="I137" s="101">
        <f>IF(ISNUMBER(G137), $B145 * H137, "")</f>
        <v>1912.5683060109172</v>
      </c>
      <c r="J137" s="15">
        <v>37.200000000000003</v>
      </c>
      <c r="K137" s="32">
        <f t="shared" si="72"/>
        <v>1.6393442622950859E-2</v>
      </c>
      <c r="L137" s="18">
        <f>IF(ISNUMBER(J137), $B145 * K137, "")</f>
        <v>1639.3442622950859</v>
      </c>
      <c r="M137" s="31">
        <v>36.799999999999997</v>
      </c>
      <c r="N137" s="32">
        <f t="shared" si="73"/>
        <v>5.4644808743168228E-3</v>
      </c>
      <c r="O137" s="18">
        <f>IF(ISNUMBER(M137), $B145 * N137, "")</f>
        <v>546.44808743168232</v>
      </c>
      <c r="Q137" s="238"/>
      <c r="R137" s="238"/>
      <c r="S137" s="238"/>
    </row>
    <row r="138" spans="1:19" ht="17.25" thickBot="1">
      <c r="A138" s="125" t="s">
        <v>178</v>
      </c>
      <c r="B138" s="126">
        <v>17.3</v>
      </c>
      <c r="C138" s="77">
        <v>-1.7045454500000001E-2</v>
      </c>
      <c r="D138" s="15">
        <v>17.7</v>
      </c>
      <c r="E138" s="32">
        <f t="shared" si="70"/>
        <v>2.312138728323691E-2</v>
      </c>
      <c r="F138" s="18">
        <f>IF(ISNUMBER(D138), $B145 * E138, "")</f>
        <v>2312.1387283236909</v>
      </c>
      <c r="G138" s="31">
        <v>17.5</v>
      </c>
      <c r="H138" s="32">
        <f t="shared" si="71"/>
        <v>1.1560693641618455E-2</v>
      </c>
      <c r="I138" s="101">
        <f>IF(ISNUMBER(G138), $B145 * H138, "")</f>
        <v>1156.0693641618454</v>
      </c>
      <c r="J138" s="15">
        <v>17.399999999999999</v>
      </c>
      <c r="K138" s="32">
        <f t="shared" si="72"/>
        <v>5.7803468208091251E-3</v>
      </c>
      <c r="L138" s="18">
        <f>IF(ISNUMBER(J138), $B145 * K138, "")</f>
        <v>578.03468208091249</v>
      </c>
      <c r="M138" s="31">
        <v>17.600000000000001</v>
      </c>
      <c r="N138" s="32">
        <f t="shared" si="73"/>
        <v>1.7341040462427786E-2</v>
      </c>
      <c r="O138" s="18">
        <f>IF(ISNUMBER(M138), $B145 * N138, "")</f>
        <v>1734.1040462427786</v>
      </c>
      <c r="Q138" s="248"/>
      <c r="R138" s="248"/>
      <c r="S138" s="248"/>
    </row>
    <row r="139" spans="1:19" ht="17.25" thickBot="1">
      <c r="A139" s="127" t="s">
        <v>202</v>
      </c>
      <c r="B139" s="128">
        <v>98</v>
      </c>
      <c r="C139" s="78">
        <v>-1.9019019000000002E-2</v>
      </c>
      <c r="D139" s="20">
        <v>96.7</v>
      </c>
      <c r="E139" s="21">
        <f t="shared" si="70"/>
        <v>-1.3265306122448951E-2</v>
      </c>
      <c r="F139" s="22">
        <f>IF(ISNUMBER(D139), $B145 * E139, "")</f>
        <v>-1326.5306122448951</v>
      </c>
      <c r="G139" s="30">
        <v>95.5</v>
      </c>
      <c r="H139" s="21">
        <f t="shared" si="71"/>
        <v>-2.5510204081632654E-2</v>
      </c>
      <c r="I139" s="105">
        <f>IF(ISNUMBER(G139), $B145 * H139, "")</f>
        <v>-2551.0204081632655</v>
      </c>
      <c r="J139" s="20">
        <v>95.3</v>
      </c>
      <c r="K139" s="21">
        <f t="shared" si="72"/>
        <v>-2.7551020408163294E-2</v>
      </c>
      <c r="L139" s="22">
        <f>IF(ISNUMBER(J139), $B145 * K139, "")</f>
        <v>-2755.1020408163295</v>
      </c>
      <c r="M139" s="30">
        <v>95.8</v>
      </c>
      <c r="N139" s="21">
        <f t="shared" si="73"/>
        <v>-2.2448979591836764E-2</v>
      </c>
      <c r="O139" s="22">
        <f>IF(ISNUMBER(M139), $B145 * N139, "")</f>
        <v>-2244.8979591836764</v>
      </c>
      <c r="Q139" s="248"/>
      <c r="R139" s="248"/>
      <c r="S139" s="248"/>
    </row>
    <row r="140" spans="1:19" ht="17.25" thickBot="1">
      <c r="A140" s="125" t="s">
        <v>208</v>
      </c>
      <c r="B140" s="129">
        <v>14.5</v>
      </c>
      <c r="C140" s="80">
        <v>-2.02702703E-2</v>
      </c>
      <c r="D140" s="106">
        <v>14.3</v>
      </c>
      <c r="E140" s="107">
        <f>IF(ISNUMBER(D140), (D140 - $B140) / $B140, "")</f>
        <v>-1.3793103448275813E-2</v>
      </c>
      <c r="F140" s="108">
        <f>IF(ISNUMBER(D140), $B145 * E140, "")</f>
        <v>-1379.3103448275813</v>
      </c>
      <c r="G140" s="109">
        <v>14.2</v>
      </c>
      <c r="H140" s="107">
        <f>IF(ISNUMBER(G140), (G140 - $B140) / $B140, "")</f>
        <v>-2.0689655172413841E-2</v>
      </c>
      <c r="I140" s="110">
        <f>IF(ISNUMBER(G140), $B145 * H140, "")</f>
        <v>-2068.9655172413841</v>
      </c>
      <c r="J140" s="106">
        <v>14.1</v>
      </c>
      <c r="K140" s="107">
        <f>IF(ISNUMBER(J140), (J140 - $B140) / $B140, "")</f>
        <v>-2.7586206896551748E-2</v>
      </c>
      <c r="L140" s="108">
        <f>IF(ISNUMBER(J140), $B145 * K140, "")</f>
        <v>-2758.6206896551748</v>
      </c>
      <c r="M140" s="109">
        <v>14.1</v>
      </c>
      <c r="N140" s="107">
        <f>IF(ISNUMBER(M140), (M140 - $B140) / $B140, "")</f>
        <v>-2.7586206896551748E-2</v>
      </c>
      <c r="O140" s="108">
        <f>IF(ISNUMBER(M140), $B145 * N140, "")</f>
        <v>-2758.6206896551748</v>
      </c>
      <c r="Q140" s="238"/>
      <c r="R140" s="238"/>
      <c r="S140" s="238"/>
    </row>
    <row r="141" spans="1:19" ht="17.25" thickBot="1">
      <c r="A141" s="125" t="s">
        <v>240</v>
      </c>
      <c r="B141" s="126">
        <v>79</v>
      </c>
      <c r="C141" s="77">
        <v>-3.1862745099999999E-2</v>
      </c>
      <c r="D141" s="15">
        <v>77.900000000000006</v>
      </c>
      <c r="E141" s="32">
        <f t="shared" ref="E141:E144" si="74">IF(ISNUMBER(D141), (D141 - $B141) / $B141, "")</f>
        <v>-1.3924050632911321E-2</v>
      </c>
      <c r="F141" s="18">
        <f>IF(ISNUMBER(D141), $B145 * E141, "")</f>
        <v>-1392.4050632911321</v>
      </c>
      <c r="G141" s="31">
        <v>77.3</v>
      </c>
      <c r="H141" s="32">
        <f t="shared" ref="H141:H144" si="75">IF(ISNUMBER(G141), (G141 - $B141) / $B141, "")</f>
        <v>-2.1518987341772187E-2</v>
      </c>
      <c r="I141" s="101">
        <f>IF(ISNUMBER(G141), $B145 * H141, "")</f>
        <v>-2151.8987341772186</v>
      </c>
      <c r="J141" s="15">
        <v>77.3</v>
      </c>
      <c r="K141" s="32">
        <f t="shared" ref="K141:K144" si="76">IF(ISNUMBER(J141), (J141 - $B141) / $B141, "")</f>
        <v>-2.1518987341772187E-2</v>
      </c>
      <c r="L141" s="18">
        <f>IF(ISNUMBER(J141), $B145 * K141, "")</f>
        <v>-2151.8987341772186</v>
      </c>
      <c r="M141" s="31">
        <v>76.8</v>
      </c>
      <c r="N141" s="32">
        <f t="shared" ref="N141:N144" si="77">IF(ISNUMBER(M141), (M141 - $B141) / $B141, "")</f>
        <v>-2.7848101265822822E-2</v>
      </c>
      <c r="O141" s="18">
        <f>IF(ISNUMBER(M141), $B145 * N141, "")</f>
        <v>-2784.810126582282</v>
      </c>
      <c r="Q141" s="238"/>
      <c r="R141" s="238"/>
      <c r="S141" s="238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8"/>
      <c r="R142" s="238"/>
      <c r="S142" s="238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7"/>
      <c r="R143" s="228"/>
      <c r="S143" s="22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30"/>
      <c r="R144" s="231"/>
      <c r="S144" s="232"/>
    </row>
    <row r="145" spans="1:19" ht="17.25" thickBot="1">
      <c r="A145" s="132" t="s">
        <v>270</v>
      </c>
      <c r="B145" s="291">
        <f>$B$37</f>
        <v>100000</v>
      </c>
      <c r="C145" s="292"/>
      <c r="D145" s="26" t="s">
        <v>271</v>
      </c>
      <c r="E145" s="27">
        <f>IF(COUNT(E125:E144), SUM(E125:E144) / COUNT(E125:E144), 0)</f>
        <v>7.4875863669541555E-3</v>
      </c>
      <c r="F145" s="28">
        <f>SUM(F125:F144)</f>
        <v>12728.896823822062</v>
      </c>
      <c r="G145" s="26" t="s">
        <v>271</v>
      </c>
      <c r="H145" s="27">
        <f>IF(COUNT(H125:H144), SUM(H125:H144) / COUNT(H125:H144), 0)</f>
        <v>-2.7240884502722297E-4</v>
      </c>
      <c r="I145" s="28">
        <f>SUM(I125:I144)</f>
        <v>-463.09503654627815</v>
      </c>
      <c r="J145" s="26" t="s">
        <v>271</v>
      </c>
      <c r="K145" s="27">
        <f>IF(COUNT(K125:K144), SUM(K125:K144) / COUNT(K125:K144), 0)</f>
        <v>-4.4910370118811721E-3</v>
      </c>
      <c r="L145" s="28">
        <f>SUM(L125:L144)</f>
        <v>-7634.7629201979926</v>
      </c>
      <c r="M145" s="26" t="s">
        <v>271</v>
      </c>
      <c r="N145" s="27">
        <f>IF(COUNT(N125:N144), SUM(N125:N144) / COUNT(N125:N144), 0)</f>
        <v>-4.4740657141106232E-3</v>
      </c>
      <c r="O145" s="28">
        <f>SUM(O125:O144)</f>
        <v>-7605.91171398806</v>
      </c>
      <c r="Q145" s="233"/>
      <c r="R145" s="234"/>
      <c r="S145" s="23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48"/>
      <c r="R148" s="248"/>
      <c r="S148" s="248"/>
    </row>
    <row r="149" spans="1:19" ht="17.25" thickBot="1">
      <c r="A149" s="215" t="s">
        <v>267</v>
      </c>
      <c r="B149" s="249" t="s">
        <v>49</v>
      </c>
      <c r="C149" s="251"/>
      <c r="D149" s="249" t="s">
        <v>58</v>
      </c>
      <c r="E149" s="250"/>
      <c r="F149" s="251"/>
      <c r="G149" s="252">
        <f>_xlfn.IFNA(VLOOKUP(B149, 현재가테이블!$B$2:$D$200, 2, FALSE), "-")</f>
        <v>54440000</v>
      </c>
      <c r="H149" s="253"/>
      <c r="I149" s="254"/>
      <c r="J149" s="249" t="s">
        <v>59</v>
      </c>
      <c r="K149" s="250"/>
      <c r="L149" s="251"/>
      <c r="M149" s="255">
        <f>_xlfn.IFNA(VLOOKUP(B149, 현재가테이블!$B$2:$D$200, 3, FALSE), "-")</f>
        <v>1.07123628E-2</v>
      </c>
      <c r="N149" s="256"/>
      <c r="O149" s="257"/>
      <c r="Q149" s="248"/>
      <c r="R149" s="248"/>
      <c r="S149" s="248"/>
    </row>
    <row r="150" spans="1:19" ht="17.25" thickBot="1">
      <c r="A150" s="293" t="s">
        <v>55</v>
      </c>
      <c r="B150" s="289" t="str">
        <f>TEXT($G$1, "[$-ko-KR]yyyy-mm-dd(ddd) ") &amp; "오전 00:00"</f>
        <v>2021-08-15(일) 오전 00:00</v>
      </c>
      <c r="C150" s="290"/>
      <c r="D150" s="262" t="str">
        <f>TEXT($G$1, "[$-ko-KR]yyyy-mm-dd(ddd) ") &amp; "오후 14:00"</f>
        <v>2021-08-15(일) 오후 14:00</v>
      </c>
      <c r="E150" s="263"/>
      <c r="F150" s="264"/>
      <c r="G150" s="262" t="str">
        <f>TEXT($G$1, "[$-ko-KR]yyyy-mm-dd(ddd) ") &amp; "오후 19:00"</f>
        <v>2021-08-15(일) 오후 19:00</v>
      </c>
      <c r="H150" s="263"/>
      <c r="I150" s="264"/>
      <c r="J150" s="262" t="str">
        <f>TEXT($G$1, "[$-ko-KR]yyyy-mm-dd(ddd) ") &amp; "오후 21:00"</f>
        <v>2021-08-15(일) 오후 21:00</v>
      </c>
      <c r="K150" s="263"/>
      <c r="L150" s="264"/>
      <c r="M150" s="262" t="str">
        <f>TEXT($G$1+1, "[$-ko-KR]yyyy-mm-dd(ddd) ") &amp; "오전 00:00"</f>
        <v>2021-08-16(월) 오전 00:00</v>
      </c>
      <c r="N150" s="263"/>
      <c r="O150" s="264"/>
      <c r="Q150" s="248"/>
      <c r="R150" s="248"/>
      <c r="S150" s="248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6" t="s">
        <v>58</v>
      </c>
      <c r="H151" s="217" t="s">
        <v>268</v>
      </c>
      <c r="I151" s="21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8"/>
      <c r="R151" s="238"/>
      <c r="S151" s="238"/>
    </row>
    <row r="152" spans="1:19" ht="17.25" thickBot="1">
      <c r="A152" s="123" t="s">
        <v>254</v>
      </c>
      <c r="B152" s="124">
        <v>320</v>
      </c>
      <c r="C152" s="76">
        <v>6.2893081999999996E-3</v>
      </c>
      <c r="D152" s="13">
        <v>320</v>
      </c>
      <c r="E152" s="14">
        <f>IF(ISNUMBER(D152), (D152 - $B152) / $B152, "")</f>
        <v>0</v>
      </c>
      <c r="F152" s="16">
        <f>IF(ISNUMBER(D152), $B172 * E152, "")</f>
        <v>0</v>
      </c>
      <c r="G152" s="29">
        <v>329</v>
      </c>
      <c r="H152" s="14">
        <f>IF(ISNUMBER(G152), (G152 - $B152) / $B152, "")</f>
        <v>2.8125000000000001E-2</v>
      </c>
      <c r="I152" s="100">
        <f>IF(ISNUMBER(G152), $B172 * H152, "")</f>
        <v>2812.5</v>
      </c>
      <c r="J152" s="13">
        <v>323</v>
      </c>
      <c r="K152" s="14">
        <f>IF(ISNUMBER(J152), (J152 - $B152) / $B152, "")</f>
        <v>9.3749999999999997E-3</v>
      </c>
      <c r="L152" s="16">
        <f>IF(ISNUMBER(J152), $B172 * K152, "")</f>
        <v>937.5</v>
      </c>
      <c r="M152" s="29">
        <v>322</v>
      </c>
      <c r="N152" s="14">
        <f>IF(ISNUMBER(M152), (M152 - $B152) / $B152, "")</f>
        <v>6.2500000000000003E-3</v>
      </c>
      <c r="O152" s="16">
        <f>IF(ISNUMBER(M152), $B172 * N152, "")</f>
        <v>625</v>
      </c>
      <c r="Q152" s="248"/>
      <c r="R152" s="248"/>
      <c r="S152" s="248"/>
    </row>
    <row r="153" spans="1:19" ht="17.25" thickBot="1">
      <c r="A153" s="125" t="s">
        <v>230</v>
      </c>
      <c r="B153" s="126">
        <v>216</v>
      </c>
      <c r="C153" s="77">
        <v>4.6511627999999998E-3</v>
      </c>
      <c r="D153" s="15">
        <v>216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216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216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218</v>
      </c>
      <c r="N153" s="32">
        <f t="shared" ref="N153:N156" si="81">IF(ISNUMBER(M153), (M153 - $B153) / $B153, "")</f>
        <v>9.2592592592592587E-3</v>
      </c>
      <c r="O153" s="18">
        <f>IF(ISNUMBER(M153), $B172 * N153, "")</f>
        <v>925.92592592592587</v>
      </c>
      <c r="Q153" s="248"/>
      <c r="R153" s="248"/>
      <c r="S153" s="248"/>
    </row>
    <row r="154" spans="1:19" ht="17.25" thickBot="1">
      <c r="A154" s="125" t="s">
        <v>242</v>
      </c>
      <c r="B154" s="126">
        <v>501</v>
      </c>
      <c r="C154" s="77">
        <v>4.0080159999999997E-3</v>
      </c>
      <c r="D154" s="15">
        <v>496</v>
      </c>
      <c r="E154" s="32">
        <f t="shared" si="78"/>
        <v>-9.9800399201596807E-3</v>
      </c>
      <c r="F154" s="18">
        <f>IF(ISNUMBER(D154), $B172 * E154, "")</f>
        <v>-998.00399201596804</v>
      </c>
      <c r="G154" s="31">
        <v>494</v>
      </c>
      <c r="H154" s="32">
        <f t="shared" si="79"/>
        <v>-1.3972055888223553E-2</v>
      </c>
      <c r="I154" s="101">
        <f>IF(ISNUMBER(G154), $B172 * H154, "")</f>
        <v>-1397.2055888223554</v>
      </c>
      <c r="J154" s="15">
        <v>495</v>
      </c>
      <c r="K154" s="32">
        <f t="shared" si="80"/>
        <v>-1.1976047904191617E-2</v>
      </c>
      <c r="L154" s="18">
        <f>IF(ISNUMBER(J154), $B172 * K154, "")</f>
        <v>-1197.6047904191616</v>
      </c>
      <c r="M154" s="31">
        <v>497</v>
      </c>
      <c r="N154" s="32">
        <f t="shared" si="81"/>
        <v>-7.9840319361277438E-3</v>
      </c>
      <c r="O154" s="18">
        <f>IF(ISNUMBER(M154), $B172 * N154, "")</f>
        <v>-798.40319361277443</v>
      </c>
      <c r="Q154" s="238"/>
      <c r="R154" s="238"/>
      <c r="S154" s="238"/>
    </row>
    <row r="155" spans="1:19" ht="17.25" thickBot="1">
      <c r="A155" s="125" t="s">
        <v>61</v>
      </c>
      <c r="B155" s="126">
        <v>968</v>
      </c>
      <c r="C155" s="77">
        <v>-3.0895984E-3</v>
      </c>
      <c r="D155" s="15">
        <v>966</v>
      </c>
      <c r="E155" s="32">
        <f t="shared" si="78"/>
        <v>-2.0661157024793389E-3</v>
      </c>
      <c r="F155" s="18">
        <f>IF(ISNUMBER(D155), $B172 * E155, "")</f>
        <v>-206.61157024793388</v>
      </c>
      <c r="G155" s="31">
        <v>962</v>
      </c>
      <c r="H155" s="32">
        <f t="shared" si="79"/>
        <v>-6.1983471074380167E-3</v>
      </c>
      <c r="I155" s="101">
        <f>IF(ISNUMBER(G155), $B172 * H155, "")</f>
        <v>-619.83471074380168</v>
      </c>
      <c r="J155" s="15">
        <v>958</v>
      </c>
      <c r="K155" s="32">
        <f t="shared" si="80"/>
        <v>-1.0330578512396695E-2</v>
      </c>
      <c r="L155" s="18">
        <f>IF(ISNUMBER(J155), $B172 * K155, "")</f>
        <v>-1033.0578512396694</v>
      </c>
      <c r="M155" s="31">
        <v>949</v>
      </c>
      <c r="N155" s="32">
        <f t="shared" si="81"/>
        <v>-1.962809917355372E-2</v>
      </c>
      <c r="O155" s="18">
        <f>IF(ISNUMBER(M155), $B172 * N155, "")</f>
        <v>-1962.8099173553719</v>
      </c>
      <c r="Q155" s="238"/>
      <c r="R155" s="238"/>
      <c r="S155" s="238"/>
    </row>
    <row r="156" spans="1:19" ht="17.25" thickBot="1">
      <c r="A156" s="127" t="s">
        <v>130</v>
      </c>
      <c r="B156" s="128">
        <v>115</v>
      </c>
      <c r="C156" s="78">
        <v>-8.6206896999999998E-3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114</v>
      </c>
      <c r="H156" s="21">
        <f t="shared" si="79"/>
        <v>-8.6956521739130436E-3</v>
      </c>
      <c r="I156" s="105">
        <f>IF(ISNUMBER(G156), $B172 * H156, "")</f>
        <v>-869.56521739130437</v>
      </c>
      <c r="J156" s="20">
        <v>114</v>
      </c>
      <c r="K156" s="21">
        <f t="shared" si="80"/>
        <v>-8.6956521739130436E-3</v>
      </c>
      <c r="L156" s="22">
        <f>IF(ISNUMBER(J156), $B172 * K156, "")</f>
        <v>-869.56521739130437</v>
      </c>
      <c r="M156" s="30">
        <v>113</v>
      </c>
      <c r="N156" s="21">
        <f t="shared" si="81"/>
        <v>-1.7391304347826087E-2</v>
      </c>
      <c r="O156" s="22">
        <f>IF(ISNUMBER(M156), $B172 * N156, "")</f>
        <v>-1739.1304347826087</v>
      </c>
      <c r="Q156" s="238"/>
      <c r="R156" s="238"/>
      <c r="S156" s="238"/>
    </row>
    <row r="157" spans="1:19" ht="17.25" thickBot="1">
      <c r="A157" s="125" t="s">
        <v>220</v>
      </c>
      <c r="B157" s="129">
        <v>218</v>
      </c>
      <c r="C157" s="80">
        <v>-9.0909091000000008E-3</v>
      </c>
      <c r="D157" s="106">
        <v>216</v>
      </c>
      <c r="E157" s="107">
        <f>IF(ISNUMBER(D157), (D157 - $B157) / $B157, "")</f>
        <v>-9.1743119266055051E-3</v>
      </c>
      <c r="F157" s="108">
        <f>IF(ISNUMBER(D157), $B172 * E157, "")</f>
        <v>-917.43119266055055</v>
      </c>
      <c r="G157" s="109">
        <v>216</v>
      </c>
      <c r="H157" s="107">
        <f>IF(ISNUMBER(G157), (G157 - $B157) / $B157, "")</f>
        <v>-9.1743119266055051E-3</v>
      </c>
      <c r="I157" s="110">
        <f>IF(ISNUMBER(G157), $B172 * H157, "")</f>
        <v>-917.43119266055055</v>
      </c>
      <c r="J157" s="106">
        <v>215</v>
      </c>
      <c r="K157" s="107">
        <f>IF(ISNUMBER(J157), (J157 - $B157) / $B157, "")</f>
        <v>-1.3761467889908258E-2</v>
      </c>
      <c r="L157" s="108">
        <f>IF(ISNUMBER(J157), $B172 * K157, "")</f>
        <v>-1376.1467889908258</v>
      </c>
      <c r="M157" s="109">
        <v>215</v>
      </c>
      <c r="N157" s="107">
        <f>IF(ISNUMBER(M157), (M157 - $B157) / $B157, "")</f>
        <v>-1.3761467889908258E-2</v>
      </c>
      <c r="O157" s="108">
        <f>IF(ISNUMBER(M157), $B172 * N157, "")</f>
        <v>-1376.1467889908258</v>
      </c>
      <c r="Q157" s="238"/>
      <c r="R157" s="238"/>
      <c r="S157" s="238"/>
    </row>
    <row r="158" spans="1:19" ht="17.25" thickBot="1">
      <c r="A158" s="125" t="s">
        <v>138</v>
      </c>
      <c r="B158" s="126">
        <v>401</v>
      </c>
      <c r="C158" s="77">
        <v>-9.8765432000000007E-3</v>
      </c>
      <c r="D158" s="15">
        <v>398</v>
      </c>
      <c r="E158" s="32">
        <f t="shared" ref="E158:E161" si="82">IF(ISNUMBER(D158), (D158 - $B158) / $B158, "")</f>
        <v>-7.481296758104738E-3</v>
      </c>
      <c r="F158" s="18">
        <f>IF(ISNUMBER(D158), $B172 * E158, "")</f>
        <v>-748.12967581047383</v>
      </c>
      <c r="G158" s="31">
        <v>394</v>
      </c>
      <c r="H158" s="32">
        <f t="shared" ref="H158:H161" si="83">IF(ISNUMBER(G158), (G158 - $B158) / $B158, "")</f>
        <v>-1.7456359102244388E-2</v>
      </c>
      <c r="I158" s="101">
        <f>IF(ISNUMBER(G158), $B172 * H158, "")</f>
        <v>-1745.6359102244387</v>
      </c>
      <c r="J158" s="15">
        <v>393</v>
      </c>
      <c r="K158" s="32">
        <f t="shared" ref="K158:K161" si="84">IF(ISNUMBER(J158), (J158 - $B158) / $B158, "")</f>
        <v>-1.9950124688279301E-2</v>
      </c>
      <c r="L158" s="18">
        <f>IF(ISNUMBER(J158), $B172 * K158, "")</f>
        <v>-1995.0124688279302</v>
      </c>
      <c r="M158" s="31">
        <v>392</v>
      </c>
      <c r="N158" s="32">
        <f t="shared" ref="N158:N161" si="85">IF(ISNUMBER(M158), (M158 - $B158) / $B158, "")</f>
        <v>-2.2443890274314215E-2</v>
      </c>
      <c r="O158" s="18">
        <f>IF(ISNUMBER(M158), $B172 * N158, "")</f>
        <v>-2244.3890274314213</v>
      </c>
      <c r="Q158" s="238"/>
      <c r="R158" s="238"/>
      <c r="S158" s="238"/>
    </row>
    <row r="159" spans="1:19" ht="17.25" thickBot="1">
      <c r="A159" s="125" t="s">
        <v>124</v>
      </c>
      <c r="B159" s="126">
        <v>389</v>
      </c>
      <c r="C159" s="77">
        <v>-1.0178117E-2</v>
      </c>
      <c r="D159" s="15">
        <v>389</v>
      </c>
      <c r="E159" s="32">
        <f t="shared" si="82"/>
        <v>0</v>
      </c>
      <c r="F159" s="18">
        <f>IF(ISNUMBER(D159), $B172 * E159, "")</f>
        <v>0</v>
      </c>
      <c r="G159" s="31">
        <v>388</v>
      </c>
      <c r="H159" s="32">
        <f t="shared" si="83"/>
        <v>-2.5706940874035988E-3</v>
      </c>
      <c r="I159" s="101">
        <f>IF(ISNUMBER(G159), $B172 * H159, "")</f>
        <v>-257.0694087403599</v>
      </c>
      <c r="J159" s="15">
        <v>387</v>
      </c>
      <c r="K159" s="32">
        <f t="shared" si="84"/>
        <v>-5.1413881748071976E-3</v>
      </c>
      <c r="L159" s="18">
        <f>IF(ISNUMBER(J159), $B172 * K159, "")</f>
        <v>-514.13881748071981</v>
      </c>
      <c r="M159" s="31">
        <v>386</v>
      </c>
      <c r="N159" s="32">
        <f t="shared" si="85"/>
        <v>-7.7120822622107968E-3</v>
      </c>
      <c r="O159" s="18">
        <f>IF(ISNUMBER(M159), $B172 * N159, "")</f>
        <v>-771.20822622107971</v>
      </c>
      <c r="Q159" s="238"/>
      <c r="R159" s="238"/>
      <c r="S159" s="238"/>
    </row>
    <row r="160" spans="1:19" ht="17.25" thickBot="1">
      <c r="A160" s="125" t="s">
        <v>222</v>
      </c>
      <c r="B160" s="126">
        <v>150</v>
      </c>
      <c r="C160" s="77">
        <v>-1.3157894700000001E-2</v>
      </c>
      <c r="D160" s="15">
        <v>149</v>
      </c>
      <c r="E160" s="32">
        <f t="shared" si="82"/>
        <v>-6.6666666666666671E-3</v>
      </c>
      <c r="F160" s="18">
        <f>IF(ISNUMBER(D160), $B172 * E160, "")</f>
        <v>-666.66666666666674</v>
      </c>
      <c r="G160" s="31">
        <v>148</v>
      </c>
      <c r="H160" s="32">
        <f t="shared" si="83"/>
        <v>-1.3333333333333334E-2</v>
      </c>
      <c r="I160" s="101">
        <f>IF(ISNUMBER(G160), $B172 * H160, "")</f>
        <v>-1333.3333333333335</v>
      </c>
      <c r="J160" s="15">
        <v>149</v>
      </c>
      <c r="K160" s="32">
        <f t="shared" si="84"/>
        <v>-6.6666666666666671E-3</v>
      </c>
      <c r="L160" s="18">
        <f>IF(ISNUMBER(J160), $B172 * K160, "")</f>
        <v>-666.66666666666674</v>
      </c>
      <c r="M160" s="31">
        <v>149</v>
      </c>
      <c r="N160" s="32">
        <f t="shared" si="85"/>
        <v>-6.6666666666666671E-3</v>
      </c>
      <c r="O160" s="18">
        <f>IF(ISNUMBER(M160), $B172 * N160, "")</f>
        <v>-666.66666666666674</v>
      </c>
      <c r="Q160" s="33"/>
      <c r="R160" s="33"/>
    </row>
    <row r="161" spans="1:19" ht="17.25" thickBot="1">
      <c r="A161" s="130" t="s">
        <v>200</v>
      </c>
      <c r="B161" s="131">
        <v>144</v>
      </c>
      <c r="C161" s="79">
        <v>-1.3698630099999999E-2</v>
      </c>
      <c r="D161" s="24">
        <v>144</v>
      </c>
      <c r="E161" s="25">
        <f t="shared" si="82"/>
        <v>0</v>
      </c>
      <c r="F161" s="104">
        <f>IF(ISNUMBER(D161), $B172 * E161, "")</f>
        <v>0</v>
      </c>
      <c r="G161" s="102">
        <v>144</v>
      </c>
      <c r="H161" s="25">
        <f t="shared" si="83"/>
        <v>0</v>
      </c>
      <c r="I161" s="103">
        <f>IF(ISNUMBER(G161), $B172 * H161, "")</f>
        <v>0</v>
      </c>
      <c r="J161" s="24">
        <v>145</v>
      </c>
      <c r="K161" s="25">
        <f t="shared" si="84"/>
        <v>6.9444444444444441E-3</v>
      </c>
      <c r="L161" s="104">
        <f>IF(ISNUMBER(J161), $B172 * K161, "")</f>
        <v>694.44444444444446</v>
      </c>
      <c r="M161" s="102">
        <v>144</v>
      </c>
      <c r="N161" s="25">
        <f t="shared" si="85"/>
        <v>0</v>
      </c>
      <c r="O161" s="104">
        <f>IF(ISNUMBER(M161), $B172 * N161, "")</f>
        <v>0</v>
      </c>
      <c r="Q161" s="239"/>
      <c r="R161" s="240"/>
      <c r="S161" s="241"/>
    </row>
    <row r="162" spans="1:19">
      <c r="A162" s="123" t="s">
        <v>206</v>
      </c>
      <c r="B162" s="124">
        <v>350</v>
      </c>
      <c r="C162" s="76">
        <v>-1.4084507E-2</v>
      </c>
      <c r="D162" s="13">
        <v>362</v>
      </c>
      <c r="E162" s="14">
        <f>IF(ISNUMBER(D162), (D162 - $B162) / $B162, "")</f>
        <v>3.4285714285714287E-2</v>
      </c>
      <c r="F162" s="16">
        <f>IF(ISNUMBER(D162), $B172 * E162, "")</f>
        <v>3428.5714285714289</v>
      </c>
      <c r="G162" s="29">
        <v>359</v>
      </c>
      <c r="H162" s="14">
        <f>IF(ISNUMBER(G162), (G162 - $B162) / $B162, "")</f>
        <v>2.5714285714285714E-2</v>
      </c>
      <c r="I162" s="100">
        <f>IF(ISNUMBER(G162), $B172 * H162, "")</f>
        <v>2571.4285714285716</v>
      </c>
      <c r="J162" s="13">
        <v>363</v>
      </c>
      <c r="K162" s="14">
        <f>IF(ISNUMBER(J162), (J162 - $B162) / $B162, "")</f>
        <v>3.7142857142857144E-2</v>
      </c>
      <c r="L162" s="16">
        <f>IF(ISNUMBER(J162), $B172 * K162, "")</f>
        <v>3714.2857142857142</v>
      </c>
      <c r="M162" s="29">
        <v>361</v>
      </c>
      <c r="N162" s="14">
        <f>IF(ISNUMBER(M162), (M162 - $B162) / $B162, "")</f>
        <v>3.1428571428571431E-2</v>
      </c>
      <c r="O162" s="16">
        <f>IF(ISNUMBER(M162), $B172 * N162, "")</f>
        <v>3142.8571428571431</v>
      </c>
      <c r="Q162" s="242"/>
      <c r="R162" s="243"/>
      <c r="S162" s="244"/>
    </row>
    <row r="163" spans="1:19" ht="17.25" thickBot="1">
      <c r="A163" s="125" t="s">
        <v>164</v>
      </c>
      <c r="B163" s="126">
        <v>327</v>
      </c>
      <c r="C163" s="77">
        <v>-1.5060241E-2</v>
      </c>
      <c r="D163" s="15">
        <v>328</v>
      </c>
      <c r="E163" s="32">
        <f t="shared" ref="E163:E166" si="86">IF(ISNUMBER(D163), (D163 - $B163) / $B163, "")</f>
        <v>3.0581039755351682E-3</v>
      </c>
      <c r="F163" s="18">
        <f>IF(ISNUMBER(D163), $B172 * E163, "")</f>
        <v>305.81039755351685</v>
      </c>
      <c r="G163" s="31">
        <v>325</v>
      </c>
      <c r="H163" s="32">
        <f t="shared" ref="H163:H166" si="87">IF(ISNUMBER(G163), (G163 - $B163) / $B163, "")</f>
        <v>-6.1162079510703364E-3</v>
      </c>
      <c r="I163" s="101">
        <f>IF(ISNUMBER(G163), $B172 * H163, "")</f>
        <v>-611.6207951070337</v>
      </c>
      <c r="J163" s="15">
        <v>328</v>
      </c>
      <c r="K163" s="32">
        <f t="shared" ref="K163:K166" si="88">IF(ISNUMBER(J163), (J163 - $B163) / $B163, "")</f>
        <v>3.0581039755351682E-3</v>
      </c>
      <c r="L163" s="18">
        <f>IF(ISNUMBER(J163), $B172 * K163, "")</f>
        <v>305.81039755351685</v>
      </c>
      <c r="M163" s="31">
        <v>327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45"/>
      <c r="R163" s="246"/>
      <c r="S163" s="247"/>
    </row>
    <row r="164" spans="1:19" ht="17.25" thickBot="1">
      <c r="A164" s="125" t="s">
        <v>232</v>
      </c>
      <c r="B164" s="126">
        <v>558</v>
      </c>
      <c r="C164" s="77">
        <v>-1.5873015899999999E-2</v>
      </c>
      <c r="D164" s="15">
        <v>554</v>
      </c>
      <c r="E164" s="32">
        <f t="shared" si="86"/>
        <v>-7.1684587813620072E-3</v>
      </c>
      <c r="F164" s="18">
        <f>IF(ISNUMBER(D164), $B172 * E164, "")</f>
        <v>-716.84587813620067</v>
      </c>
      <c r="G164" s="31">
        <v>547</v>
      </c>
      <c r="H164" s="32">
        <f t="shared" si="87"/>
        <v>-1.9713261648745518E-2</v>
      </c>
      <c r="I164" s="101">
        <f>IF(ISNUMBER(G164), $B172 * H164, "")</f>
        <v>-1971.3261648745518</v>
      </c>
      <c r="J164" s="15">
        <v>549</v>
      </c>
      <c r="K164" s="32">
        <f t="shared" si="88"/>
        <v>-1.6129032258064516E-2</v>
      </c>
      <c r="L164" s="18">
        <f>IF(ISNUMBER(J164), $B172 * K164, "")</f>
        <v>-1612.9032258064515</v>
      </c>
      <c r="M164" s="31">
        <v>549</v>
      </c>
      <c r="N164" s="32">
        <f t="shared" si="89"/>
        <v>-1.6129032258064516E-2</v>
      </c>
      <c r="O164" s="18">
        <f>IF(ISNUMBER(M164), $B172 * N164, "")</f>
        <v>-1612.9032258064515</v>
      </c>
      <c r="Q164" s="238"/>
      <c r="R164" s="238"/>
      <c r="S164" s="238"/>
    </row>
    <row r="165" spans="1:19" ht="17.25" thickBot="1">
      <c r="A165" s="125" t="s">
        <v>192</v>
      </c>
      <c r="B165" s="126">
        <v>239</v>
      </c>
      <c r="C165" s="77">
        <v>-1.6460905299999998E-2</v>
      </c>
      <c r="D165" s="15">
        <v>243</v>
      </c>
      <c r="E165" s="32">
        <f t="shared" si="86"/>
        <v>1.6736401673640166E-2</v>
      </c>
      <c r="F165" s="18">
        <f>IF(ISNUMBER(D165), $B172 * E165, "")</f>
        <v>1673.6401673640166</v>
      </c>
      <c r="G165" s="31">
        <v>241</v>
      </c>
      <c r="H165" s="32">
        <f t="shared" si="87"/>
        <v>8.368200836820083E-3</v>
      </c>
      <c r="I165" s="101">
        <f>IF(ISNUMBER(G165), $B172 * H165, "")</f>
        <v>836.82008368200832</v>
      </c>
      <c r="J165" s="15">
        <v>240</v>
      </c>
      <c r="K165" s="32">
        <f t="shared" si="88"/>
        <v>4.1841004184100415E-3</v>
      </c>
      <c r="L165" s="18">
        <f>IF(ISNUMBER(J165), $B172 * K165, "")</f>
        <v>418.41004184100416</v>
      </c>
      <c r="M165" s="31">
        <v>241</v>
      </c>
      <c r="N165" s="32">
        <f t="shared" si="89"/>
        <v>8.368200836820083E-3</v>
      </c>
      <c r="O165" s="18">
        <f>IF(ISNUMBER(M165), $B172 * N165, "")</f>
        <v>836.82008368200832</v>
      </c>
      <c r="Q165" s="248"/>
      <c r="R165" s="248"/>
      <c r="S165" s="248"/>
    </row>
    <row r="166" spans="1:19" ht="17.25" thickBot="1">
      <c r="A166" s="127" t="s">
        <v>80</v>
      </c>
      <c r="B166" s="128">
        <v>895</v>
      </c>
      <c r="C166" s="78">
        <v>-1.64835165E-2</v>
      </c>
      <c r="D166" s="20">
        <v>905</v>
      </c>
      <c r="E166" s="21">
        <f t="shared" si="86"/>
        <v>1.11731843575419E-2</v>
      </c>
      <c r="F166" s="22">
        <f>IF(ISNUMBER(D166), $B172 * E166, "")</f>
        <v>1117.31843575419</v>
      </c>
      <c r="G166" s="30">
        <v>896</v>
      </c>
      <c r="H166" s="21">
        <f t="shared" si="87"/>
        <v>1.1173184357541898E-3</v>
      </c>
      <c r="I166" s="105">
        <f>IF(ISNUMBER(G166), $B172 * H166, "")</f>
        <v>111.73184357541899</v>
      </c>
      <c r="J166" s="20">
        <v>894</v>
      </c>
      <c r="K166" s="21">
        <f t="shared" si="88"/>
        <v>-1.1173184357541898E-3</v>
      </c>
      <c r="L166" s="22">
        <f>IF(ISNUMBER(J166), $B172 * K166, "")</f>
        <v>-111.73184357541899</v>
      </c>
      <c r="M166" s="30">
        <v>908</v>
      </c>
      <c r="N166" s="21">
        <f t="shared" si="89"/>
        <v>1.452513966480447E-2</v>
      </c>
      <c r="O166" s="22">
        <f>IF(ISNUMBER(M166), $B172 * N166, "")</f>
        <v>1452.5139664804469</v>
      </c>
      <c r="Q166" s="248"/>
      <c r="R166" s="248"/>
      <c r="S166" s="248"/>
    </row>
    <row r="167" spans="1:19" ht="17.25" thickBot="1">
      <c r="A167" s="125" t="s">
        <v>174</v>
      </c>
      <c r="B167" s="129">
        <v>356</v>
      </c>
      <c r="C167" s="80">
        <v>-1.65745856E-2</v>
      </c>
      <c r="D167" s="106">
        <v>375</v>
      </c>
      <c r="E167" s="107">
        <f>IF(ISNUMBER(D167), (D167 - $B167) / $B167, "")</f>
        <v>5.3370786516853931E-2</v>
      </c>
      <c r="F167" s="108">
        <f>IF(ISNUMBER(D167), $B172 * E167, "")</f>
        <v>5337.0786516853932</v>
      </c>
      <c r="G167" s="109">
        <v>379</v>
      </c>
      <c r="H167" s="107">
        <f>IF(ISNUMBER(G167), (G167 - $B167) / $B167, "")</f>
        <v>6.4606741573033713E-2</v>
      </c>
      <c r="I167" s="110">
        <f>IF(ISNUMBER(G167), $B172 * H167, "")</f>
        <v>6460.6741573033714</v>
      </c>
      <c r="J167" s="106">
        <v>378</v>
      </c>
      <c r="K167" s="107">
        <f>IF(ISNUMBER(J167), (J167 - $B167) / $B167, "")</f>
        <v>6.1797752808988762E-2</v>
      </c>
      <c r="L167" s="108">
        <f>IF(ISNUMBER(J167), $B172 * K167, "")</f>
        <v>6179.7752808988762</v>
      </c>
      <c r="M167" s="109">
        <v>378</v>
      </c>
      <c r="N167" s="107">
        <f>IF(ISNUMBER(M167), (M167 - $B167) / $B167, "")</f>
        <v>6.1797752808988762E-2</v>
      </c>
      <c r="O167" s="108">
        <f>IF(ISNUMBER(M167), $B172 * N167, "")</f>
        <v>6179.7752808988762</v>
      </c>
      <c r="Q167" s="238"/>
      <c r="R167" s="238"/>
      <c r="S167" s="238"/>
    </row>
    <row r="168" spans="1:19" ht="17.25" thickBot="1">
      <c r="A168" s="125" t="s">
        <v>118</v>
      </c>
      <c r="B168" s="126">
        <v>174</v>
      </c>
      <c r="C168" s="77">
        <v>-1.6949152499999998E-2</v>
      </c>
      <c r="D168" s="15">
        <v>173</v>
      </c>
      <c r="E168" s="32">
        <f t="shared" ref="E168:E171" si="90">IF(ISNUMBER(D168), (D168 - $B168) / $B168, "")</f>
        <v>-5.7471264367816091E-3</v>
      </c>
      <c r="F168" s="18">
        <f>IF(ISNUMBER(D168), $B172 * E168, "")</f>
        <v>-574.71264367816093</v>
      </c>
      <c r="G168" s="31">
        <v>171</v>
      </c>
      <c r="H168" s="32">
        <f t="shared" ref="H168:H171" si="91">IF(ISNUMBER(G168), (G168 - $B168) / $B168, "")</f>
        <v>-1.7241379310344827E-2</v>
      </c>
      <c r="I168" s="101">
        <f>IF(ISNUMBER(G168), $B172 * H168, "")</f>
        <v>-1724.1379310344828</v>
      </c>
      <c r="J168" s="15">
        <v>172</v>
      </c>
      <c r="K168" s="32">
        <f t="shared" ref="K168:K171" si="92">IF(ISNUMBER(J168), (J168 - $B168) / $B168, "")</f>
        <v>-1.1494252873563218E-2</v>
      </c>
      <c r="L168" s="18">
        <f>IF(ISNUMBER(J168), $B172 * K168, "")</f>
        <v>-1149.4252873563219</v>
      </c>
      <c r="M168" s="31">
        <v>173</v>
      </c>
      <c r="N168" s="32">
        <f t="shared" ref="N168:N171" si="93">IF(ISNUMBER(M168), (M168 - $B168) / $B168, "")</f>
        <v>-5.7471264367816091E-3</v>
      </c>
      <c r="O168" s="18">
        <f>IF(ISNUMBER(M168), $B172 * N168, "")</f>
        <v>-574.71264367816093</v>
      </c>
      <c r="Q168" s="238"/>
      <c r="R168" s="238"/>
      <c r="S168" s="238"/>
    </row>
    <row r="169" spans="1:19" ht="17.25" thickBot="1">
      <c r="A169" s="125" t="s">
        <v>86</v>
      </c>
      <c r="B169" s="126">
        <v>432</v>
      </c>
      <c r="C169" s="77">
        <v>-2.0408163300000001E-2</v>
      </c>
      <c r="D169" s="15">
        <v>427</v>
      </c>
      <c r="E169" s="32">
        <f t="shared" si="90"/>
        <v>-1.1574074074074073E-2</v>
      </c>
      <c r="F169" s="18">
        <f>IF(ISNUMBER(D169), $B172 * E169, "")</f>
        <v>-1157.4074074074074</v>
      </c>
      <c r="G169" s="31">
        <v>422</v>
      </c>
      <c r="H169" s="32">
        <f t="shared" si="91"/>
        <v>-2.3148148148148147E-2</v>
      </c>
      <c r="I169" s="101">
        <f>IF(ISNUMBER(G169), $B172 * H169, "")</f>
        <v>-2314.8148148148148</v>
      </c>
      <c r="J169" s="15">
        <v>425</v>
      </c>
      <c r="K169" s="32">
        <f t="shared" si="92"/>
        <v>-1.6203703703703703E-2</v>
      </c>
      <c r="L169" s="18">
        <f>IF(ISNUMBER(J169), $B172 * K169, "")</f>
        <v>-1620.3703703703702</v>
      </c>
      <c r="M169" s="31">
        <v>422</v>
      </c>
      <c r="N169" s="32">
        <f t="shared" si="93"/>
        <v>-2.3148148148148147E-2</v>
      </c>
      <c r="O169" s="18">
        <f>IF(ISNUMBER(M169), $B172 * N169, "")</f>
        <v>-2314.8148148148148</v>
      </c>
      <c r="Q169" s="238"/>
      <c r="R169" s="238"/>
      <c r="S169" s="238"/>
    </row>
    <row r="170" spans="1:19">
      <c r="A170" s="125" t="s">
        <v>166</v>
      </c>
      <c r="B170" s="126">
        <v>261</v>
      </c>
      <c r="C170" s="77">
        <v>-2.2471910099999999E-2</v>
      </c>
      <c r="D170" s="15">
        <v>255</v>
      </c>
      <c r="E170" s="32">
        <f t="shared" si="90"/>
        <v>-2.2988505747126436E-2</v>
      </c>
      <c r="F170" s="18">
        <f>IF(ISNUMBER(D170), $B172 * E170, "")</f>
        <v>-2298.8505747126437</v>
      </c>
      <c r="G170" s="31">
        <v>252</v>
      </c>
      <c r="H170" s="32">
        <f t="shared" si="91"/>
        <v>-3.4482758620689655E-2</v>
      </c>
      <c r="I170" s="101">
        <f>IF(ISNUMBER(G170), $B172 * H170, "")</f>
        <v>-3448.2758620689656</v>
      </c>
      <c r="J170" s="15">
        <v>251</v>
      </c>
      <c r="K170" s="32">
        <f t="shared" si="92"/>
        <v>-3.8314176245210725E-2</v>
      </c>
      <c r="L170" s="18">
        <f>IF(ISNUMBER(J170), $B172 * K170, "")</f>
        <v>-3831.4176245210724</v>
      </c>
      <c r="M170" s="31">
        <v>251</v>
      </c>
      <c r="N170" s="32">
        <f t="shared" si="93"/>
        <v>-3.8314176245210725E-2</v>
      </c>
      <c r="O170" s="18">
        <f>IF(ISNUMBER(M170), $B172 * N170, "")</f>
        <v>-3831.4176245210724</v>
      </c>
      <c r="Q170" s="227"/>
      <c r="R170" s="228"/>
      <c r="S170" s="229"/>
    </row>
    <row r="171" spans="1:19" ht="17.25" thickBot="1">
      <c r="A171" s="130" t="s">
        <v>114</v>
      </c>
      <c r="B171" s="131">
        <v>742</v>
      </c>
      <c r="C171" s="79">
        <v>-2.8795811500000001E-2</v>
      </c>
      <c r="D171" s="24">
        <v>733</v>
      </c>
      <c r="E171" s="25">
        <f t="shared" si="90"/>
        <v>-1.2129380053908356E-2</v>
      </c>
      <c r="F171" s="104">
        <f>IF(ISNUMBER(D171), $B172 * E171, "")</f>
        <v>-1212.9380053908355</v>
      </c>
      <c r="G171" s="102">
        <v>729</v>
      </c>
      <c r="H171" s="25">
        <f t="shared" si="91"/>
        <v>-1.7520215633423181E-2</v>
      </c>
      <c r="I171" s="103">
        <f>IF(ISNUMBER(G171), $B172 * H171, "")</f>
        <v>-1752.0215633423181</v>
      </c>
      <c r="J171" s="24">
        <v>759</v>
      </c>
      <c r="K171" s="25">
        <f t="shared" si="92"/>
        <v>2.2911051212938006E-2</v>
      </c>
      <c r="L171" s="104">
        <f>IF(ISNUMBER(J171), $B172 * K171, "")</f>
        <v>2291.1051212938005</v>
      </c>
      <c r="M171" s="102">
        <v>749</v>
      </c>
      <c r="N171" s="25">
        <f t="shared" si="93"/>
        <v>9.433962264150943E-3</v>
      </c>
      <c r="O171" s="104">
        <f>IF(ISNUMBER(M171), $B172 * N171, "")</f>
        <v>943.39622641509425</v>
      </c>
      <c r="Q171" s="230"/>
      <c r="R171" s="231"/>
      <c r="S171" s="232"/>
    </row>
    <row r="172" spans="1:19" ht="17.25" thickBot="1">
      <c r="A172" s="132" t="s">
        <v>270</v>
      </c>
      <c r="B172" s="291">
        <f>$B$37</f>
        <v>100000</v>
      </c>
      <c r="C172" s="292"/>
      <c r="D172" s="26" t="s">
        <v>271</v>
      </c>
      <c r="E172" s="27">
        <f>IF(COUNT(E152:E171), SUM(E152:E171) / COUNT(E152:E171), 0)</f>
        <v>7.4762812840520007E-4</v>
      </c>
      <c r="F172" s="28">
        <f>SUM(F152:F171)</f>
        <v>1495.2562568104001</v>
      </c>
      <c r="G172" s="26" t="s">
        <v>271</v>
      </c>
      <c r="H172" s="27">
        <f>IF(COUNT(H152:H171), SUM(H152:H171) / COUNT(H152:H171), 0)</f>
        <v>-3.08455891858447E-3</v>
      </c>
      <c r="I172" s="28">
        <f>SUM(I152:I171)</f>
        <v>-6169.1178371689402</v>
      </c>
      <c r="J172" s="26" t="s">
        <v>271</v>
      </c>
      <c r="K172" s="27">
        <f>IF(COUNT(K152:K171), SUM(K152:K171) / COUNT(K152:K171), 0)</f>
        <v>-7.1835497616427792E-4</v>
      </c>
      <c r="L172" s="28">
        <f>SUM(L152:L171)</f>
        <v>-1436.7099523285565</v>
      </c>
      <c r="M172" s="26" t="s">
        <v>271</v>
      </c>
      <c r="N172" s="27">
        <f>IF(COUNT(N152:N171), SUM(N152:N171) / COUNT(N152:N171), 0)</f>
        <v>-1.8931569688108774E-3</v>
      </c>
      <c r="O172" s="28">
        <f>SUM(O152:O171)</f>
        <v>-3786.313937621755</v>
      </c>
      <c r="Q172" s="233"/>
      <c r="R172" s="234"/>
      <c r="S172" s="23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48"/>
      <c r="R175" s="248"/>
      <c r="S175" s="248"/>
    </row>
    <row r="176" spans="1:19" ht="17.25" thickBot="1">
      <c r="A176" s="215" t="s">
        <v>267</v>
      </c>
      <c r="B176" s="249" t="s">
        <v>49</v>
      </c>
      <c r="C176" s="251"/>
      <c r="D176" s="249" t="s">
        <v>58</v>
      </c>
      <c r="E176" s="250"/>
      <c r="F176" s="251"/>
      <c r="G176" s="252">
        <f>_xlfn.IFNA(VLOOKUP(B176, 현재가테이블!$B$2:$D$200, 2, FALSE), "-")</f>
        <v>54440000</v>
      </c>
      <c r="H176" s="253"/>
      <c r="I176" s="254"/>
      <c r="J176" s="249" t="s">
        <v>59</v>
      </c>
      <c r="K176" s="250"/>
      <c r="L176" s="251"/>
      <c r="M176" s="255">
        <f>_xlfn.IFNA(VLOOKUP(B176, 현재가테이블!$B$2:$D$200, 3, FALSE), "-")</f>
        <v>1.07123628E-2</v>
      </c>
      <c r="N176" s="256"/>
      <c r="O176" s="257"/>
      <c r="Q176" s="248"/>
      <c r="R176" s="248"/>
      <c r="S176" s="248"/>
    </row>
    <row r="177" spans="1:19" ht="17.25" thickBot="1">
      <c r="A177" s="293" t="s">
        <v>55</v>
      </c>
      <c r="B177" s="289" t="str">
        <f>TEXT($G$1, "[$-ko-KR]yyyy-mm-dd(ddd) ") &amp; "오전 00:00"</f>
        <v>2021-08-15(일) 오전 00:00</v>
      </c>
      <c r="C177" s="290"/>
      <c r="D177" s="262" t="str">
        <f>TEXT($G$1, "[$-ko-KR]yyyy-mm-dd(ddd) ") &amp; "오후 14:00"</f>
        <v>2021-08-15(일) 오후 14:00</v>
      </c>
      <c r="E177" s="263"/>
      <c r="F177" s="264"/>
      <c r="G177" s="262" t="str">
        <f>TEXT($G$1, "[$-ko-KR]yyyy-mm-dd(ddd) ") &amp; "오후 19:00"</f>
        <v>2021-08-15(일) 오후 19:00</v>
      </c>
      <c r="H177" s="263"/>
      <c r="I177" s="264"/>
      <c r="J177" s="262" t="str">
        <f>TEXT($G$1, "[$-ko-KR]yyyy-mm-dd(ddd) ") &amp; "오후 21:00"</f>
        <v>2021-08-15(일) 오후 21:00</v>
      </c>
      <c r="K177" s="263"/>
      <c r="L177" s="264"/>
      <c r="M177" s="262" t="str">
        <f>TEXT($G$1+1, "[$-ko-KR]yyyy-mm-dd(ddd) ") &amp; "오전 00:00"</f>
        <v>2021-08-16(월) 오전 00:00</v>
      </c>
      <c r="N177" s="263"/>
      <c r="O177" s="264"/>
      <c r="Q177" s="248"/>
      <c r="R177" s="248"/>
      <c r="S177" s="248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6" t="s">
        <v>58</v>
      </c>
      <c r="H178" s="217" t="s">
        <v>268</v>
      </c>
      <c r="I178" s="21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8"/>
      <c r="R178" s="238"/>
      <c r="S178" s="238"/>
    </row>
    <row r="179" spans="1:19" ht="17.25" thickBot="1">
      <c r="A179" s="123" t="s">
        <v>190</v>
      </c>
      <c r="B179" s="124">
        <v>20.2</v>
      </c>
      <c r="C179" s="76">
        <v>-1.4634146299999999E-2</v>
      </c>
      <c r="D179" s="13">
        <v>20.100000000000001</v>
      </c>
      <c r="E179" s="14">
        <f>IF(ISNUMBER(D179), (D179 - $B179) / $B179, "")</f>
        <v>-4.9504950495048447E-3</v>
      </c>
      <c r="F179" s="16">
        <f>IF(ISNUMBER(D179), $B199 * E179, "")</f>
        <v>-495.04950495048445</v>
      </c>
      <c r="G179" s="29">
        <v>19.899999999999999</v>
      </c>
      <c r="H179" s="14">
        <f>IF(ISNUMBER(G179), (G179 - $B179) / $B179, "")</f>
        <v>-1.4851485148514887E-2</v>
      </c>
      <c r="I179" s="100">
        <f>IF(ISNUMBER(G179), $B199 * H179, "")</f>
        <v>-1485.1485148514887</v>
      </c>
      <c r="J179" s="13">
        <v>19.899999999999999</v>
      </c>
      <c r="K179" s="14">
        <f>IF(ISNUMBER(J179), (J179 - $B179) / $B179, "")</f>
        <v>-1.4851485148514887E-2</v>
      </c>
      <c r="L179" s="16">
        <f>IF(ISNUMBER(J179), $B199 * K179, "")</f>
        <v>-1485.1485148514887</v>
      </c>
      <c r="M179" s="29">
        <v>19.8</v>
      </c>
      <c r="N179" s="14">
        <f>IF(ISNUMBER(M179), (M179 - $B179) / $B179, "")</f>
        <v>-1.9801980198019733E-2</v>
      </c>
      <c r="O179" s="16">
        <f>IF(ISNUMBER(M179), $B199 * N179, "")</f>
        <v>-1980.1980198019733</v>
      </c>
      <c r="Q179" s="248"/>
      <c r="R179" s="248"/>
      <c r="S179" s="248"/>
    </row>
    <row r="180" spans="1:19" ht="17.25" thickBot="1">
      <c r="A180" s="125" t="s">
        <v>164</v>
      </c>
      <c r="B180" s="126">
        <v>327</v>
      </c>
      <c r="C180" s="77">
        <v>-1.5060241E-2</v>
      </c>
      <c r="D180" s="15">
        <v>328</v>
      </c>
      <c r="E180" s="32">
        <f t="shared" ref="E180:E183" si="94">IF(ISNUMBER(D180), (D180 - $B180) / $B180, "")</f>
        <v>3.0581039755351682E-3</v>
      </c>
      <c r="F180" s="18">
        <f>IF(ISNUMBER(D180), $B199 * E180, "")</f>
        <v>305.81039755351685</v>
      </c>
      <c r="G180" s="31">
        <v>325</v>
      </c>
      <c r="H180" s="32">
        <f t="shared" ref="H180:H183" si="95">IF(ISNUMBER(G180), (G180 - $B180) / $B180, "")</f>
        <v>-6.1162079510703364E-3</v>
      </c>
      <c r="I180" s="101">
        <f>IF(ISNUMBER(G180), $B199 * H180, "")</f>
        <v>-611.6207951070337</v>
      </c>
      <c r="J180" s="15">
        <v>328</v>
      </c>
      <c r="K180" s="32">
        <f t="shared" ref="K180:K183" si="96">IF(ISNUMBER(J180), (J180 - $B180) / $B180, "")</f>
        <v>3.0581039755351682E-3</v>
      </c>
      <c r="L180" s="18">
        <f>IF(ISNUMBER(J180), $B199 * K180, "")</f>
        <v>305.81039755351685</v>
      </c>
      <c r="M180" s="31">
        <v>327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48"/>
      <c r="R180" s="248"/>
      <c r="S180" s="248"/>
    </row>
    <row r="181" spans="1:19" ht="17.25" thickBot="1">
      <c r="A181" s="125" t="s">
        <v>210</v>
      </c>
      <c r="B181" s="126">
        <v>12.7</v>
      </c>
      <c r="C181" s="77">
        <v>-1.5503876E-2</v>
      </c>
      <c r="D181" s="15">
        <v>13</v>
      </c>
      <c r="E181" s="32">
        <f t="shared" si="94"/>
        <v>2.3622047244094547E-2</v>
      </c>
      <c r="F181" s="18">
        <f>IF(ISNUMBER(D181), $B199 * E181, "")</f>
        <v>2362.2047244094547</v>
      </c>
      <c r="G181" s="31">
        <v>12.9</v>
      </c>
      <c r="H181" s="32">
        <f t="shared" si="95"/>
        <v>1.5748031496063079E-2</v>
      </c>
      <c r="I181" s="101">
        <f>IF(ISNUMBER(G181), $B199 * H181, "")</f>
        <v>1574.8031496063079</v>
      </c>
      <c r="J181" s="15">
        <v>12.8</v>
      </c>
      <c r="K181" s="32">
        <f t="shared" si="96"/>
        <v>7.8740157480316087E-3</v>
      </c>
      <c r="L181" s="18">
        <f>IF(ISNUMBER(J181), $B199 * K181, "")</f>
        <v>787.40157480316088</v>
      </c>
      <c r="M181" s="31">
        <v>12.8</v>
      </c>
      <c r="N181" s="32">
        <f t="shared" si="97"/>
        <v>7.8740157480316087E-3</v>
      </c>
      <c r="O181" s="18">
        <f>IF(ISNUMBER(M181), $B199 * N181, "")</f>
        <v>787.40157480316088</v>
      </c>
      <c r="Q181" s="238"/>
      <c r="R181" s="238"/>
      <c r="S181" s="238"/>
    </row>
    <row r="182" spans="1:19" ht="17.25" thickBot="1">
      <c r="A182" s="125" t="s">
        <v>69</v>
      </c>
      <c r="B182" s="126">
        <v>5930</v>
      </c>
      <c r="C182" s="77">
        <v>-1.5767634900000001E-2</v>
      </c>
      <c r="D182" s="15">
        <v>5990</v>
      </c>
      <c r="E182" s="32">
        <f t="shared" si="94"/>
        <v>1.0118043844856661E-2</v>
      </c>
      <c r="F182" s="18">
        <f>IF(ISNUMBER(D182), $B199 * E182, "")</f>
        <v>1011.8043844856661</v>
      </c>
      <c r="G182" s="31">
        <v>6215</v>
      </c>
      <c r="H182" s="32">
        <f t="shared" si="95"/>
        <v>4.8060708263069137E-2</v>
      </c>
      <c r="I182" s="101">
        <f>IF(ISNUMBER(G182), $B199 * H182, "")</f>
        <v>4806.0708263069137</v>
      </c>
      <c r="J182" s="15">
        <v>6275</v>
      </c>
      <c r="K182" s="32">
        <f t="shared" si="96"/>
        <v>5.81787521079258E-2</v>
      </c>
      <c r="L182" s="18">
        <f>IF(ISNUMBER(J182), $B199 * K182, "")</f>
        <v>5817.8752107925802</v>
      </c>
      <c r="M182" s="31">
        <v>6495</v>
      </c>
      <c r="N182" s="32">
        <f t="shared" si="97"/>
        <v>9.5278246205733552E-2</v>
      </c>
      <c r="O182" s="18">
        <f>IF(ISNUMBER(M182), $B199 * N182, "")</f>
        <v>9527.8246205733558</v>
      </c>
      <c r="Q182" s="238"/>
      <c r="R182" s="238"/>
      <c r="S182" s="238"/>
    </row>
    <row r="183" spans="1:19" ht="17.25" thickBot="1">
      <c r="A183" s="127" t="s">
        <v>232</v>
      </c>
      <c r="B183" s="128">
        <v>558</v>
      </c>
      <c r="C183" s="78">
        <v>-1.5873015899999999E-2</v>
      </c>
      <c r="D183" s="20">
        <v>554</v>
      </c>
      <c r="E183" s="21">
        <f t="shared" si="94"/>
        <v>-7.1684587813620072E-3</v>
      </c>
      <c r="F183" s="22">
        <f>IF(ISNUMBER(D183), $B199 * E183, "")</f>
        <v>-716.84587813620067</v>
      </c>
      <c r="G183" s="30">
        <v>547</v>
      </c>
      <c r="H183" s="21">
        <f t="shared" si="95"/>
        <v>-1.9713261648745518E-2</v>
      </c>
      <c r="I183" s="105">
        <f>IF(ISNUMBER(G183), $B199 * H183, "")</f>
        <v>-1971.3261648745518</v>
      </c>
      <c r="J183" s="20">
        <v>549</v>
      </c>
      <c r="K183" s="21">
        <f t="shared" si="96"/>
        <v>-1.6129032258064516E-2</v>
      </c>
      <c r="L183" s="22">
        <f>IF(ISNUMBER(J183), $B199 * K183, "")</f>
        <v>-1612.9032258064515</v>
      </c>
      <c r="M183" s="30">
        <v>549</v>
      </c>
      <c r="N183" s="21">
        <f t="shared" si="97"/>
        <v>-1.6129032258064516E-2</v>
      </c>
      <c r="O183" s="22">
        <f>IF(ISNUMBER(M183), $B199 * N183, "")</f>
        <v>-1612.9032258064515</v>
      </c>
      <c r="Q183" s="238"/>
      <c r="R183" s="238"/>
      <c r="S183" s="238"/>
    </row>
    <row r="184" spans="1:19" ht="17.25" thickBot="1">
      <c r="A184" s="125" t="s">
        <v>65</v>
      </c>
      <c r="B184" s="129">
        <v>36.6</v>
      </c>
      <c r="C184" s="80">
        <v>-1.6129032299999999E-2</v>
      </c>
      <c r="D184" s="106">
        <v>37.9</v>
      </c>
      <c r="E184" s="107">
        <f>IF(ISNUMBER(D184), (D184 - $B184) / $B184, "")</f>
        <v>3.5519125683060031E-2</v>
      </c>
      <c r="F184" s="108">
        <f>IF(ISNUMBER(D184), $B199 * E184, "")</f>
        <v>3551.9125683060029</v>
      </c>
      <c r="G184" s="109">
        <v>37.299999999999997</v>
      </c>
      <c r="H184" s="107">
        <f>IF(ISNUMBER(G184), (G184 - $B184) / $B184, "")</f>
        <v>1.9125683060109172E-2</v>
      </c>
      <c r="I184" s="110">
        <f>IF(ISNUMBER(G184), $B199 * H184, "")</f>
        <v>1912.5683060109172</v>
      </c>
      <c r="J184" s="106">
        <v>37.200000000000003</v>
      </c>
      <c r="K184" s="107">
        <f>IF(ISNUMBER(J184), (J184 - $B184) / $B184, "")</f>
        <v>1.6393442622950859E-2</v>
      </c>
      <c r="L184" s="108">
        <f>IF(ISNUMBER(J184), $B199 * K184, "")</f>
        <v>1639.3442622950859</v>
      </c>
      <c r="M184" s="109">
        <v>36.799999999999997</v>
      </c>
      <c r="N184" s="107">
        <f>IF(ISNUMBER(M184), (M184 - $B184) / $B184, "")</f>
        <v>5.4644808743168228E-3</v>
      </c>
      <c r="O184" s="108">
        <f>IF(ISNUMBER(M184), $B199 * N184, "")</f>
        <v>546.44808743168232</v>
      </c>
      <c r="Q184" s="238"/>
      <c r="R184" s="238"/>
      <c r="S184" s="238"/>
    </row>
    <row r="185" spans="1:19" ht="17.25" thickBot="1">
      <c r="A185" s="125" t="s">
        <v>192</v>
      </c>
      <c r="B185" s="126">
        <v>239</v>
      </c>
      <c r="C185" s="77">
        <v>-1.6460905299999998E-2</v>
      </c>
      <c r="D185" s="15">
        <v>243</v>
      </c>
      <c r="E185" s="32">
        <f t="shared" ref="E185:E188" si="98">IF(ISNUMBER(D185), (D185 - $B185) / $B185, "")</f>
        <v>1.6736401673640166E-2</v>
      </c>
      <c r="F185" s="18">
        <f>IF(ISNUMBER(D185), $B199 * E185, "")</f>
        <v>1673.6401673640166</v>
      </c>
      <c r="G185" s="31">
        <v>241</v>
      </c>
      <c r="H185" s="32">
        <f t="shared" ref="H185:H188" si="99">IF(ISNUMBER(G185), (G185 - $B185) / $B185, "")</f>
        <v>8.368200836820083E-3</v>
      </c>
      <c r="I185" s="101">
        <f>IF(ISNUMBER(G185), $B199 * H185, "")</f>
        <v>836.82008368200832</v>
      </c>
      <c r="J185" s="15">
        <v>240</v>
      </c>
      <c r="K185" s="32">
        <f t="shared" ref="K185:K188" si="100">IF(ISNUMBER(J185), (J185 - $B185) / $B185, "")</f>
        <v>4.1841004184100415E-3</v>
      </c>
      <c r="L185" s="18">
        <f>IF(ISNUMBER(J185), $B199 * K185, "")</f>
        <v>418.41004184100416</v>
      </c>
      <c r="M185" s="31">
        <v>241</v>
      </c>
      <c r="N185" s="32">
        <f t="shared" ref="N185:N188" si="101">IF(ISNUMBER(M185), (M185 - $B185) / $B185, "")</f>
        <v>8.368200836820083E-3</v>
      </c>
      <c r="O185" s="18">
        <f>IF(ISNUMBER(M185), $B199 * N185, "")</f>
        <v>836.82008368200832</v>
      </c>
      <c r="Q185" s="238"/>
      <c r="R185" s="238"/>
      <c r="S185" s="238"/>
    </row>
    <row r="186" spans="1:19" ht="17.25" thickBot="1">
      <c r="A186" s="125" t="s">
        <v>80</v>
      </c>
      <c r="B186" s="126">
        <v>895</v>
      </c>
      <c r="C186" s="77">
        <v>-1.64835165E-2</v>
      </c>
      <c r="D186" s="15">
        <v>905</v>
      </c>
      <c r="E186" s="32">
        <f t="shared" si="98"/>
        <v>1.11731843575419E-2</v>
      </c>
      <c r="F186" s="18">
        <f>IF(ISNUMBER(D186), $B199 * E186, "")</f>
        <v>1117.31843575419</v>
      </c>
      <c r="G186" s="31">
        <v>896</v>
      </c>
      <c r="H186" s="32">
        <f t="shared" si="99"/>
        <v>1.1173184357541898E-3</v>
      </c>
      <c r="I186" s="101">
        <f>IF(ISNUMBER(G186), $B199 * H186, "")</f>
        <v>111.73184357541899</v>
      </c>
      <c r="J186" s="15">
        <v>894</v>
      </c>
      <c r="K186" s="32">
        <f t="shared" si="100"/>
        <v>-1.1173184357541898E-3</v>
      </c>
      <c r="L186" s="18">
        <f>IF(ISNUMBER(J186), $B199 * K186, "")</f>
        <v>-111.73184357541899</v>
      </c>
      <c r="M186" s="31">
        <v>908</v>
      </c>
      <c r="N186" s="32">
        <f t="shared" si="101"/>
        <v>1.452513966480447E-2</v>
      </c>
      <c r="O186" s="18">
        <f>IF(ISNUMBER(M186), $B199 * N186, "")</f>
        <v>1452.5139664804469</v>
      </c>
      <c r="Q186" s="238"/>
      <c r="R186" s="238"/>
      <c r="S186" s="238"/>
    </row>
    <row r="187" spans="1:19" ht="17.25" thickBot="1">
      <c r="A187" s="125" t="s">
        <v>174</v>
      </c>
      <c r="B187" s="126">
        <v>356</v>
      </c>
      <c r="C187" s="77">
        <v>-1.65745856E-2</v>
      </c>
      <c r="D187" s="15">
        <v>375</v>
      </c>
      <c r="E187" s="32">
        <f t="shared" si="98"/>
        <v>5.3370786516853931E-2</v>
      </c>
      <c r="F187" s="18">
        <f>IF(ISNUMBER(D187), $B199 * E187, "")</f>
        <v>5337.0786516853932</v>
      </c>
      <c r="G187" s="31">
        <v>379</v>
      </c>
      <c r="H187" s="32">
        <f t="shared" si="99"/>
        <v>6.4606741573033713E-2</v>
      </c>
      <c r="I187" s="101">
        <f>IF(ISNUMBER(G187), $B199 * H187, "")</f>
        <v>6460.6741573033714</v>
      </c>
      <c r="J187" s="15">
        <v>378</v>
      </c>
      <c r="K187" s="32">
        <f t="shared" si="100"/>
        <v>6.1797752808988762E-2</v>
      </c>
      <c r="L187" s="18">
        <f>IF(ISNUMBER(J187), $B199 * K187, "")</f>
        <v>6179.7752808988762</v>
      </c>
      <c r="M187" s="31">
        <v>378</v>
      </c>
      <c r="N187" s="32">
        <f t="shared" si="101"/>
        <v>6.1797752808988762E-2</v>
      </c>
      <c r="O187" s="18">
        <f>IF(ISNUMBER(M187), $B199 * N187, "")</f>
        <v>6179.7752808988762</v>
      </c>
      <c r="Q187" s="33"/>
      <c r="R187" s="33"/>
    </row>
    <row r="188" spans="1:19" ht="17.25" thickBot="1">
      <c r="A188" s="130" t="s">
        <v>118</v>
      </c>
      <c r="B188" s="131">
        <v>174</v>
      </c>
      <c r="C188" s="79">
        <v>-1.6949152499999998E-2</v>
      </c>
      <c r="D188" s="24">
        <v>173</v>
      </c>
      <c r="E188" s="25">
        <f t="shared" si="98"/>
        <v>-5.7471264367816091E-3</v>
      </c>
      <c r="F188" s="104">
        <f>IF(ISNUMBER(D188), $B199 * E188, "")</f>
        <v>-574.71264367816093</v>
      </c>
      <c r="G188" s="102">
        <v>171</v>
      </c>
      <c r="H188" s="25">
        <f t="shared" si="99"/>
        <v>-1.7241379310344827E-2</v>
      </c>
      <c r="I188" s="103">
        <f>IF(ISNUMBER(G188), $B199 * H188, "")</f>
        <v>-1724.1379310344828</v>
      </c>
      <c r="J188" s="24">
        <v>172</v>
      </c>
      <c r="K188" s="25">
        <f t="shared" si="100"/>
        <v>-1.1494252873563218E-2</v>
      </c>
      <c r="L188" s="104">
        <f>IF(ISNUMBER(J188), $B199 * K188, "")</f>
        <v>-1149.4252873563219</v>
      </c>
      <c r="M188" s="102">
        <v>173</v>
      </c>
      <c r="N188" s="25">
        <f t="shared" si="101"/>
        <v>-5.7471264367816091E-3</v>
      </c>
      <c r="O188" s="104">
        <f>IF(ISNUMBER(M188), $B199 * N188, "")</f>
        <v>-574.71264367816093</v>
      </c>
      <c r="Q188" s="239"/>
      <c r="R188" s="240"/>
      <c r="S188" s="241"/>
    </row>
    <row r="189" spans="1:19">
      <c r="A189" s="123" t="s">
        <v>178</v>
      </c>
      <c r="B189" s="124">
        <v>17.3</v>
      </c>
      <c r="C189" s="76">
        <v>-1.7045454500000001E-2</v>
      </c>
      <c r="D189" s="13">
        <v>17.7</v>
      </c>
      <c r="E189" s="14">
        <f>IF(ISNUMBER(D189), (D189 - $B189) / $B189, "")</f>
        <v>2.312138728323691E-2</v>
      </c>
      <c r="F189" s="16">
        <f>IF(ISNUMBER(D189), $B199 * E189, "")</f>
        <v>2312.1387283236909</v>
      </c>
      <c r="G189" s="29">
        <v>17.5</v>
      </c>
      <c r="H189" s="14">
        <f>IF(ISNUMBER(G189), (G189 - $B189) / $B189, "")</f>
        <v>1.1560693641618455E-2</v>
      </c>
      <c r="I189" s="100">
        <f>IF(ISNUMBER(G189), $B199 * H189, "")</f>
        <v>1156.0693641618454</v>
      </c>
      <c r="J189" s="13">
        <v>17.399999999999999</v>
      </c>
      <c r="K189" s="14">
        <f>IF(ISNUMBER(J189), (J189 - $B189) / $B189, "")</f>
        <v>5.7803468208091251E-3</v>
      </c>
      <c r="L189" s="16">
        <f>IF(ISNUMBER(J189), $B199 * K189, "")</f>
        <v>578.03468208091249</v>
      </c>
      <c r="M189" s="29">
        <v>17.600000000000001</v>
      </c>
      <c r="N189" s="14">
        <f>IF(ISNUMBER(M189), (M189 - $B189) / $B189, "")</f>
        <v>1.7341040462427786E-2</v>
      </c>
      <c r="O189" s="16">
        <f>IF(ISNUMBER(M189), $B199 * N189, "")</f>
        <v>1734.1040462427786</v>
      </c>
      <c r="Q189" s="242"/>
      <c r="R189" s="243"/>
      <c r="S189" s="244"/>
    </row>
    <row r="190" spans="1:19" ht="17.25" thickBot="1">
      <c r="A190" s="125" t="s">
        <v>202</v>
      </c>
      <c r="B190" s="126">
        <v>98</v>
      </c>
      <c r="C190" s="77">
        <v>-1.9019019000000002E-2</v>
      </c>
      <c r="D190" s="15">
        <v>96.7</v>
      </c>
      <c r="E190" s="32">
        <f t="shared" ref="E190:E193" si="102">IF(ISNUMBER(D190), (D190 - $B190) / $B190, "")</f>
        <v>-1.3265306122448951E-2</v>
      </c>
      <c r="F190" s="18">
        <f>IF(ISNUMBER(D190), $B199 * E190, "")</f>
        <v>-1326.5306122448951</v>
      </c>
      <c r="G190" s="31">
        <v>95.5</v>
      </c>
      <c r="H190" s="32">
        <f t="shared" ref="H190:H193" si="103">IF(ISNUMBER(G190), (G190 - $B190) / $B190, "")</f>
        <v>-2.5510204081632654E-2</v>
      </c>
      <c r="I190" s="101">
        <f>IF(ISNUMBER(G190), $B199 * H190, "")</f>
        <v>-2551.0204081632655</v>
      </c>
      <c r="J190" s="15">
        <v>95.3</v>
      </c>
      <c r="K190" s="32">
        <f t="shared" ref="K190:K193" si="104">IF(ISNUMBER(J190), (J190 - $B190) / $B190, "")</f>
        <v>-2.7551020408163294E-2</v>
      </c>
      <c r="L190" s="18">
        <f>IF(ISNUMBER(J190), $B199 * K190, "")</f>
        <v>-2755.1020408163295</v>
      </c>
      <c r="M190" s="31">
        <v>95.8</v>
      </c>
      <c r="N190" s="32">
        <f t="shared" ref="N190:N193" si="105">IF(ISNUMBER(M190), (M190 - $B190) / $B190, "")</f>
        <v>-2.2448979591836764E-2</v>
      </c>
      <c r="O190" s="18">
        <f>IF(ISNUMBER(M190), $B199 * N190, "")</f>
        <v>-2244.8979591836764</v>
      </c>
      <c r="Q190" s="245"/>
      <c r="R190" s="246"/>
      <c r="S190" s="247"/>
    </row>
    <row r="191" spans="1:19" ht="17.25" thickBot="1">
      <c r="A191" s="125" t="s">
        <v>208</v>
      </c>
      <c r="B191" s="126">
        <v>14.5</v>
      </c>
      <c r="C191" s="77">
        <v>-2.02702703E-2</v>
      </c>
      <c r="D191" s="15">
        <v>14.3</v>
      </c>
      <c r="E191" s="32">
        <f t="shared" si="102"/>
        <v>-1.3793103448275813E-2</v>
      </c>
      <c r="F191" s="18">
        <f>IF(ISNUMBER(D191), $B199 * E191, "")</f>
        <v>-1379.3103448275813</v>
      </c>
      <c r="G191" s="31">
        <v>14.2</v>
      </c>
      <c r="H191" s="32">
        <f t="shared" si="103"/>
        <v>-2.0689655172413841E-2</v>
      </c>
      <c r="I191" s="101">
        <f>IF(ISNUMBER(G191), $B199 * H191, "")</f>
        <v>-2068.9655172413841</v>
      </c>
      <c r="J191" s="15">
        <v>14.1</v>
      </c>
      <c r="K191" s="32">
        <f t="shared" si="104"/>
        <v>-2.7586206896551748E-2</v>
      </c>
      <c r="L191" s="18">
        <f>IF(ISNUMBER(J191), $B199 * K191, "")</f>
        <v>-2758.6206896551748</v>
      </c>
      <c r="M191" s="31">
        <v>14.1</v>
      </c>
      <c r="N191" s="32">
        <f t="shared" si="105"/>
        <v>-2.7586206896551748E-2</v>
      </c>
      <c r="O191" s="18">
        <f>IF(ISNUMBER(M191), $B199 * N191, "")</f>
        <v>-2758.6206896551748</v>
      </c>
      <c r="Q191" s="238"/>
      <c r="R191" s="238"/>
      <c r="S191" s="238"/>
    </row>
    <row r="192" spans="1:19" ht="17.25" thickBot="1">
      <c r="A192" s="125" t="s">
        <v>86</v>
      </c>
      <c r="B192" s="126">
        <v>432</v>
      </c>
      <c r="C192" s="77">
        <v>-2.0408163300000001E-2</v>
      </c>
      <c r="D192" s="15">
        <v>427</v>
      </c>
      <c r="E192" s="32">
        <f t="shared" si="102"/>
        <v>-1.1574074074074073E-2</v>
      </c>
      <c r="F192" s="18">
        <f>IF(ISNUMBER(D192), $B199 * E192, "")</f>
        <v>-1157.4074074074074</v>
      </c>
      <c r="G192" s="31">
        <v>422</v>
      </c>
      <c r="H192" s="32">
        <f t="shared" si="103"/>
        <v>-2.3148148148148147E-2</v>
      </c>
      <c r="I192" s="101">
        <f>IF(ISNUMBER(G192), $B199 * H192, "")</f>
        <v>-2314.8148148148148</v>
      </c>
      <c r="J192" s="15">
        <v>425</v>
      </c>
      <c r="K192" s="32">
        <f t="shared" si="104"/>
        <v>-1.6203703703703703E-2</v>
      </c>
      <c r="L192" s="18">
        <f>IF(ISNUMBER(J192), $B199 * K192, "")</f>
        <v>-1620.3703703703702</v>
      </c>
      <c r="M192" s="31">
        <v>422</v>
      </c>
      <c r="N192" s="32">
        <f t="shared" si="105"/>
        <v>-2.3148148148148147E-2</v>
      </c>
      <c r="O192" s="18">
        <f>IF(ISNUMBER(M192), $B199 * N192, "")</f>
        <v>-2314.8148148148148</v>
      </c>
      <c r="Q192" s="248"/>
      <c r="R192" s="248"/>
      <c r="S192" s="248"/>
    </row>
    <row r="193" spans="1:19" ht="17.25" thickBot="1">
      <c r="A193" s="127" t="s">
        <v>166</v>
      </c>
      <c r="B193" s="128">
        <v>261</v>
      </c>
      <c r="C193" s="78">
        <v>-2.2471910099999999E-2</v>
      </c>
      <c r="D193" s="20">
        <v>255</v>
      </c>
      <c r="E193" s="21">
        <f t="shared" si="102"/>
        <v>-2.2988505747126436E-2</v>
      </c>
      <c r="F193" s="22">
        <f>IF(ISNUMBER(D193), $B199 * E193, "")</f>
        <v>-2298.8505747126437</v>
      </c>
      <c r="G193" s="30">
        <v>252</v>
      </c>
      <c r="H193" s="21">
        <f t="shared" si="103"/>
        <v>-3.4482758620689655E-2</v>
      </c>
      <c r="I193" s="105">
        <f>IF(ISNUMBER(G193), $B199 * H193, "")</f>
        <v>-3448.2758620689656</v>
      </c>
      <c r="J193" s="20">
        <v>251</v>
      </c>
      <c r="K193" s="21">
        <f t="shared" si="104"/>
        <v>-3.8314176245210725E-2</v>
      </c>
      <c r="L193" s="22">
        <f>IF(ISNUMBER(J193), $B199 * K193, "")</f>
        <v>-3831.4176245210724</v>
      </c>
      <c r="M193" s="30">
        <v>251</v>
      </c>
      <c r="N193" s="21">
        <f t="shared" si="105"/>
        <v>-3.8314176245210725E-2</v>
      </c>
      <c r="O193" s="22">
        <f>IF(ISNUMBER(M193), $B199 * N193, "")</f>
        <v>-3831.4176245210724</v>
      </c>
      <c r="Q193" s="248"/>
      <c r="R193" s="248"/>
      <c r="S193" s="248"/>
    </row>
    <row r="194" spans="1:19" ht="17.25" thickBot="1">
      <c r="A194" s="125" t="s">
        <v>154</v>
      </c>
      <c r="B194" s="129">
        <v>79050</v>
      </c>
      <c r="C194" s="80">
        <v>-2.6357925899999999E-2</v>
      </c>
      <c r="D194" s="106">
        <v>77640</v>
      </c>
      <c r="E194" s="107">
        <f>IF(ISNUMBER(D194), (D194 - $B194) / $B194, "")</f>
        <v>-1.7836812144212524E-2</v>
      </c>
      <c r="F194" s="108">
        <f>IF(ISNUMBER(D194), $B199 * E194, "")</f>
        <v>-1783.6812144212524</v>
      </c>
      <c r="G194" s="109">
        <v>76440</v>
      </c>
      <c r="H194" s="107">
        <f>IF(ISNUMBER(G194), (G194 - $B194) / $B194, "")</f>
        <v>-3.3017077798861483E-2</v>
      </c>
      <c r="I194" s="110">
        <f>IF(ISNUMBER(G194), $B199 * H194, "")</f>
        <v>-3301.7077798861483</v>
      </c>
      <c r="J194" s="106">
        <v>77500</v>
      </c>
      <c r="K194" s="107">
        <f>IF(ISNUMBER(J194), (J194 - $B194) / $B194, "")</f>
        <v>-1.9607843137254902E-2</v>
      </c>
      <c r="L194" s="108">
        <f>IF(ISNUMBER(J194), $B199 * K194, "")</f>
        <v>-1960.7843137254902</v>
      </c>
      <c r="M194" s="109">
        <v>76410</v>
      </c>
      <c r="N194" s="107">
        <f>IF(ISNUMBER(M194), (M194 - $B194) / $B194, "")</f>
        <v>-3.3396584440227702E-2</v>
      </c>
      <c r="O194" s="108">
        <f>IF(ISNUMBER(M194), $B199 * N194, "")</f>
        <v>-3339.6584440227703</v>
      </c>
      <c r="Q194" s="238"/>
      <c r="R194" s="238"/>
      <c r="S194" s="238"/>
    </row>
    <row r="195" spans="1:19" ht="17.25" thickBot="1">
      <c r="A195" s="125" t="s">
        <v>114</v>
      </c>
      <c r="B195" s="126">
        <v>742</v>
      </c>
      <c r="C195" s="77">
        <v>-2.8795811500000001E-2</v>
      </c>
      <c r="D195" s="15">
        <v>733</v>
      </c>
      <c r="E195" s="32">
        <f t="shared" ref="E195:E198" si="106">IF(ISNUMBER(D195), (D195 - $B195) / $B195, "")</f>
        <v>-1.2129380053908356E-2</v>
      </c>
      <c r="F195" s="18">
        <f>IF(ISNUMBER(D195), $B199 * E195, "")</f>
        <v>-1212.9380053908355</v>
      </c>
      <c r="G195" s="31">
        <v>729</v>
      </c>
      <c r="H195" s="32">
        <f t="shared" ref="H195:H198" si="107">IF(ISNUMBER(G195), (G195 - $B195) / $B195, "")</f>
        <v>-1.7520215633423181E-2</v>
      </c>
      <c r="I195" s="101">
        <f>IF(ISNUMBER(G195), $B199 * H195, "")</f>
        <v>-1752.0215633423181</v>
      </c>
      <c r="J195" s="15">
        <v>759</v>
      </c>
      <c r="K195" s="32">
        <f t="shared" ref="K195:K198" si="108">IF(ISNUMBER(J195), (J195 - $B195) / $B195, "")</f>
        <v>2.2911051212938006E-2</v>
      </c>
      <c r="L195" s="18">
        <f>IF(ISNUMBER(J195), $B199 * K195, "")</f>
        <v>2291.1051212938005</v>
      </c>
      <c r="M195" s="31">
        <v>749</v>
      </c>
      <c r="N195" s="32">
        <f t="shared" ref="N195:N198" si="109">IF(ISNUMBER(M195), (M195 - $B195) / $B195, "")</f>
        <v>9.433962264150943E-3</v>
      </c>
      <c r="O195" s="18">
        <f>IF(ISNUMBER(M195), $B199 * N195, "")</f>
        <v>943.39622641509425</v>
      </c>
      <c r="Q195" s="238"/>
      <c r="R195" s="238"/>
      <c r="S195" s="238"/>
    </row>
    <row r="196" spans="1:19" ht="17.25" thickBot="1">
      <c r="A196" s="125" t="s">
        <v>106</v>
      </c>
      <c r="B196" s="126">
        <v>63980</v>
      </c>
      <c r="C196" s="77">
        <v>-3.0165226600000001E-2</v>
      </c>
      <c r="D196" s="15">
        <v>65350</v>
      </c>
      <c r="E196" s="32">
        <f t="shared" si="106"/>
        <v>2.1412941544232574E-2</v>
      </c>
      <c r="F196" s="18">
        <f>IF(ISNUMBER(D196), $B199 * E196, "")</f>
        <v>2141.2941544232572</v>
      </c>
      <c r="G196" s="31">
        <v>63870</v>
      </c>
      <c r="H196" s="32">
        <f t="shared" si="107"/>
        <v>-1.7192872772741482E-3</v>
      </c>
      <c r="I196" s="101">
        <f>IF(ISNUMBER(G196), $B199 * H196, "")</f>
        <v>-171.92872772741481</v>
      </c>
      <c r="J196" s="15">
        <v>65280</v>
      </c>
      <c r="K196" s="32">
        <f t="shared" si="108"/>
        <v>2.031884964051266E-2</v>
      </c>
      <c r="L196" s="18">
        <f>IF(ISNUMBER(J196), $B199 * K196, "")</f>
        <v>2031.884964051266</v>
      </c>
      <c r="M196" s="31">
        <v>65370</v>
      </c>
      <c r="N196" s="32">
        <f t="shared" si="109"/>
        <v>2.1725539231009689E-2</v>
      </c>
      <c r="O196" s="18">
        <f>IF(ISNUMBER(M196), $B199 * N196, "")</f>
        <v>2172.5539231009689</v>
      </c>
      <c r="Q196" s="238"/>
      <c r="R196" s="238"/>
      <c r="S196" s="238"/>
    </row>
    <row r="197" spans="1:19">
      <c r="A197" s="125" t="s">
        <v>240</v>
      </c>
      <c r="B197" s="126">
        <v>79</v>
      </c>
      <c r="C197" s="77">
        <v>-3.1862745099999999E-2</v>
      </c>
      <c r="D197" s="15">
        <v>77.900000000000006</v>
      </c>
      <c r="E197" s="32">
        <f t="shared" si="106"/>
        <v>-1.3924050632911321E-2</v>
      </c>
      <c r="F197" s="18">
        <f>IF(ISNUMBER(D197), $B199 * E197, "")</f>
        <v>-1392.4050632911321</v>
      </c>
      <c r="G197" s="31">
        <v>77.3</v>
      </c>
      <c r="H197" s="32">
        <f t="shared" si="107"/>
        <v>-2.1518987341772187E-2</v>
      </c>
      <c r="I197" s="101">
        <f>IF(ISNUMBER(G197), $B199 * H197, "")</f>
        <v>-2151.8987341772186</v>
      </c>
      <c r="J197" s="15">
        <v>77.3</v>
      </c>
      <c r="K197" s="32">
        <f t="shared" si="108"/>
        <v>-2.1518987341772187E-2</v>
      </c>
      <c r="L197" s="18">
        <f>IF(ISNUMBER(J197), $B199 * K197, "")</f>
        <v>-2151.8987341772186</v>
      </c>
      <c r="M197" s="31">
        <v>76.8</v>
      </c>
      <c r="N197" s="32">
        <f t="shared" si="109"/>
        <v>-2.7848101265822822E-2</v>
      </c>
      <c r="O197" s="18">
        <f>IF(ISNUMBER(M197), $B199 * N197, "")</f>
        <v>-2784.810126582282</v>
      </c>
      <c r="Q197" s="227"/>
      <c r="R197" s="228"/>
      <c r="S197" s="229"/>
    </row>
    <row r="198" spans="1:19" ht="17.25" thickBot="1">
      <c r="A198" s="130" t="s">
        <v>214</v>
      </c>
      <c r="B198" s="131">
        <v>1120</v>
      </c>
      <c r="C198" s="79">
        <v>-5.8823529399999998E-2</v>
      </c>
      <c r="D198" s="24">
        <v>1095</v>
      </c>
      <c r="E198" s="25">
        <f t="shared" si="106"/>
        <v>-2.2321428571428572E-2</v>
      </c>
      <c r="F198" s="104">
        <f>IF(ISNUMBER(D198), $B199 * E198, "")</f>
        <v>-2232.1428571428573</v>
      </c>
      <c r="G198" s="102">
        <v>1085</v>
      </c>
      <c r="H198" s="25">
        <f t="shared" si="107"/>
        <v>-3.125E-2</v>
      </c>
      <c r="I198" s="103">
        <f>IF(ISNUMBER(G198), $B199 * H198, "")</f>
        <v>-3125</v>
      </c>
      <c r="J198" s="24">
        <v>1090</v>
      </c>
      <c r="K198" s="25">
        <f t="shared" si="108"/>
        <v>-2.6785714285714284E-2</v>
      </c>
      <c r="L198" s="104">
        <f>IF(ISNUMBER(J198), $B199 * K198, "")</f>
        <v>-2678.5714285714284</v>
      </c>
      <c r="M198" s="102">
        <v>1080</v>
      </c>
      <c r="N198" s="25">
        <f t="shared" si="109"/>
        <v>-3.5714285714285712E-2</v>
      </c>
      <c r="O198" s="104">
        <f>IF(ISNUMBER(M198), $B199 * N198, "")</f>
        <v>-3571.4285714285711</v>
      </c>
      <c r="Q198" s="230"/>
      <c r="R198" s="231"/>
      <c r="S198" s="232"/>
    </row>
    <row r="199" spans="1:19" ht="17.25" thickBot="1">
      <c r="A199" s="132" t="s">
        <v>270</v>
      </c>
      <c r="B199" s="291">
        <f>$B$37</f>
        <v>100000</v>
      </c>
      <c r="C199" s="292"/>
      <c r="D199" s="26" t="s">
        <v>271</v>
      </c>
      <c r="E199" s="27">
        <f>IF(COUNT(E179:E198), SUM(E179:E198) / COUNT(E179:E198), 0)</f>
        <v>2.6216640530508694E-3</v>
      </c>
      <c r="F199" s="28">
        <f>SUM(F179:F198)</f>
        <v>5243.3281061017369</v>
      </c>
      <c r="G199" s="26" t="s">
        <v>271</v>
      </c>
      <c r="H199" s="27">
        <f>IF(COUNT(H179:H198), SUM(H179:H198) / COUNT(H179:H198), 0)</f>
        <v>-4.9095645413211519E-3</v>
      </c>
      <c r="I199" s="28">
        <f>SUM(I179:I198)</f>
        <v>-9819.1290826423028</v>
      </c>
      <c r="J199" s="26" t="s">
        <v>271</v>
      </c>
      <c r="K199" s="27">
        <f>IF(COUNT(K179:K198), SUM(K179:K198) / COUNT(K179:K198), 0)</f>
        <v>-1.0331662689082818E-3</v>
      </c>
      <c r="L199" s="28">
        <f>SUM(L179:L198)</f>
        <v>-2066.3325378165632</v>
      </c>
      <c r="M199" s="26" t="s">
        <v>271</v>
      </c>
      <c r="N199" s="27">
        <f>IF(COUNT(N179:N198), SUM(N179:N198) / COUNT(N179:N198), 0)</f>
        <v>-4.1631215493328837E-4</v>
      </c>
      <c r="O199" s="28">
        <f>SUM(O179:O198)</f>
        <v>-832.62430986657455</v>
      </c>
      <c r="Q199" s="233"/>
      <c r="R199" s="234"/>
      <c r="S199" s="23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6FF10-4B98-44CB-BD2D-74E45AA6E8AD}">
  <sheetPr codeName="Sheet22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80">
        <v>44424</v>
      </c>
      <c r="H1" s="281"/>
      <c r="I1" s="282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83" t="s">
        <v>8</v>
      </c>
      <c r="C2" s="284"/>
      <c r="D2" s="284"/>
      <c r="E2" s="284"/>
      <c r="F2" s="285"/>
      <c r="G2" s="277" t="s">
        <v>46</v>
      </c>
      <c r="H2" s="278"/>
      <c r="I2" s="279"/>
      <c r="J2" s="1" t="s">
        <v>3</v>
      </c>
      <c r="K2" s="283" t="s">
        <v>320</v>
      </c>
      <c r="L2" s="284"/>
      <c r="M2" s="284"/>
      <c r="N2" s="284"/>
      <c r="O2" s="285"/>
      <c r="Q2" s="2" t="s">
        <v>6</v>
      </c>
      <c r="R2" s="3">
        <v>0.375</v>
      </c>
    </row>
    <row r="3" spans="1:19" ht="17.25" customHeight="1" thickBot="1">
      <c r="A3" s="118" t="s">
        <v>7</v>
      </c>
      <c r="B3" s="274" t="s">
        <v>328</v>
      </c>
      <c r="C3" s="275"/>
      <c r="D3" s="275"/>
      <c r="E3" s="275"/>
      <c r="F3" s="276"/>
      <c r="G3" s="27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22,221 KRW (1.11%)</v>
      </c>
      <c r="H3" s="271"/>
      <c r="I3" s="272"/>
      <c r="J3" s="4" t="s">
        <v>7</v>
      </c>
      <c r="K3" s="274" t="s">
        <v>321</v>
      </c>
      <c r="L3" s="275"/>
      <c r="M3" s="275"/>
      <c r="N3" s="275"/>
      <c r="O3" s="27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4" t="s">
        <v>16</v>
      </c>
      <c r="C4" s="275"/>
      <c r="D4" s="275"/>
      <c r="E4" s="275"/>
      <c r="F4" s="276"/>
      <c r="G4" s="277" t="s">
        <v>44</v>
      </c>
      <c r="H4" s="278"/>
      <c r="I4" s="279"/>
      <c r="J4" s="4" t="s">
        <v>11</v>
      </c>
      <c r="K4" s="274" t="s">
        <v>322</v>
      </c>
      <c r="L4" s="275"/>
      <c r="M4" s="275"/>
      <c r="N4" s="275"/>
      <c r="O4" s="27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4" t="s">
        <v>319</v>
      </c>
      <c r="C5" s="275"/>
      <c r="D5" s="275"/>
      <c r="E5" s="275"/>
      <c r="F5" s="276"/>
      <c r="G5" s="27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18,379 KRW (1.08%)</v>
      </c>
      <c r="H5" s="271"/>
      <c r="I5" s="272"/>
      <c r="J5" s="4" t="s">
        <v>15</v>
      </c>
      <c r="K5" s="274" t="s">
        <v>323</v>
      </c>
      <c r="L5" s="275"/>
      <c r="M5" s="275"/>
      <c r="N5" s="275"/>
      <c r="O5" s="276"/>
    </row>
    <row r="6" spans="1:19">
      <c r="A6" s="118" t="s">
        <v>18</v>
      </c>
      <c r="B6" s="274"/>
      <c r="C6" s="275"/>
      <c r="D6" s="275"/>
      <c r="E6" s="275"/>
      <c r="F6" s="276"/>
      <c r="G6" s="277" t="s">
        <v>45</v>
      </c>
      <c r="H6" s="278"/>
      <c r="I6" s="279"/>
      <c r="J6" s="4" t="s">
        <v>18</v>
      </c>
      <c r="K6" s="274" t="s">
        <v>324</v>
      </c>
      <c r="L6" s="275"/>
      <c r="M6" s="275"/>
      <c r="N6" s="275"/>
      <c r="O6" s="276"/>
    </row>
    <row r="7" spans="1:19" ht="17.25" thickBot="1">
      <c r="A7" s="118" t="s">
        <v>21</v>
      </c>
      <c r="B7" s="274"/>
      <c r="C7" s="275"/>
      <c r="D7" s="275"/>
      <c r="E7" s="275"/>
      <c r="F7" s="276"/>
      <c r="G7" s="27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18,196 KRW (0.91%)</v>
      </c>
      <c r="H7" s="271"/>
      <c r="I7" s="272"/>
      <c r="J7" s="4" t="s">
        <v>21</v>
      </c>
      <c r="K7" s="274" t="s">
        <v>325</v>
      </c>
      <c r="L7" s="275"/>
      <c r="M7" s="275"/>
      <c r="N7" s="275"/>
      <c r="O7" s="276"/>
    </row>
    <row r="8" spans="1:19" ht="17.25" thickBot="1">
      <c r="A8" s="118" t="s">
        <v>24</v>
      </c>
      <c r="B8" s="274"/>
      <c r="C8" s="275"/>
      <c r="D8" s="275"/>
      <c r="E8" s="275"/>
      <c r="F8" s="276"/>
      <c r="G8" s="277" t="s">
        <v>255</v>
      </c>
      <c r="H8" s="278"/>
      <c r="I8" s="279"/>
      <c r="J8" s="4" t="s">
        <v>24</v>
      </c>
      <c r="K8" s="274"/>
      <c r="L8" s="275"/>
      <c r="M8" s="275"/>
      <c r="N8" s="275"/>
      <c r="O8" s="276"/>
      <c r="Q8" s="249" t="s">
        <v>27</v>
      </c>
      <c r="R8" s="251"/>
    </row>
    <row r="9" spans="1:19" ht="17.25" thickBot="1">
      <c r="A9" s="118" t="s">
        <v>28</v>
      </c>
      <c r="B9" s="274"/>
      <c r="C9" s="275"/>
      <c r="D9" s="275"/>
      <c r="E9" s="275"/>
      <c r="F9" s="276"/>
      <c r="G9" s="27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48,840 KRW (2.44%)</v>
      </c>
      <c r="H9" s="271"/>
      <c r="I9" s="272"/>
      <c r="J9" s="4" t="s">
        <v>28</v>
      </c>
      <c r="K9" s="274"/>
      <c r="L9" s="275"/>
      <c r="M9" s="275"/>
      <c r="N9" s="275"/>
      <c r="O9" s="276"/>
      <c r="Q9" s="2" t="s">
        <v>29</v>
      </c>
      <c r="R9" s="6">
        <v>10</v>
      </c>
    </row>
    <row r="10" spans="1:19">
      <c r="A10" s="118" t="s">
        <v>30</v>
      </c>
      <c r="B10" s="274"/>
      <c r="C10" s="275"/>
      <c r="D10" s="275"/>
      <c r="E10" s="275"/>
      <c r="F10" s="276"/>
      <c r="G10" s="277" t="s">
        <v>47</v>
      </c>
      <c r="H10" s="278"/>
      <c r="I10" s="279"/>
      <c r="J10" s="4" t="s">
        <v>30</v>
      </c>
      <c r="K10" s="274" t="s">
        <v>326</v>
      </c>
      <c r="L10" s="275"/>
      <c r="M10" s="275"/>
      <c r="N10" s="275"/>
      <c r="O10" s="276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7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1"/>
      <c r="I11" s="272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48"/>
      <c r="R13" s="248"/>
      <c r="S13" s="248"/>
    </row>
    <row r="14" spans="1:19" ht="17.25" customHeight="1" thickBot="1">
      <c r="A14" s="219" t="s">
        <v>35</v>
      </c>
      <c r="B14" s="249" t="s">
        <v>36</v>
      </c>
      <c r="C14" s="251"/>
      <c r="D14" s="249" t="s">
        <v>37</v>
      </c>
      <c r="E14" s="250"/>
      <c r="F14" s="251"/>
      <c r="G14" s="252">
        <f>_xlfn.IFNA(VLOOKUP(B14, 현재가테이블!$B$2:$D$200, 2, FALSE), "-")</f>
        <v>54440000</v>
      </c>
      <c r="H14" s="253"/>
      <c r="I14" s="254"/>
      <c r="J14" s="249" t="s">
        <v>38</v>
      </c>
      <c r="K14" s="250"/>
      <c r="L14" s="251"/>
      <c r="M14" s="255">
        <f>_xlfn.IFNA(VLOOKUP(B14, 현재가테이블!$B$2:$D$200, 3, FALSE), "-")</f>
        <v>1.07123628E-2</v>
      </c>
      <c r="N14" s="256"/>
      <c r="O14" s="257"/>
      <c r="Q14" s="248"/>
      <c r="R14" s="248"/>
      <c r="S14" s="248"/>
    </row>
    <row r="15" spans="1:19" ht="17.25" customHeight="1" thickBot="1">
      <c r="A15" s="286" t="s">
        <v>39</v>
      </c>
      <c r="B15" s="287" t="str">
        <f>TEXT($G$1, "[$-ko-KR]yyyy-mm-dd(ddd) ") &amp; "오전 00:00"</f>
        <v>2021-08-16(월) 오전 00:00</v>
      </c>
      <c r="C15" s="288"/>
      <c r="D15" s="262" t="str">
        <f>TEXT($G$1, "[$-ko-KR]yyyy-mm-dd(ddd) ") &amp; "오후 14:00"</f>
        <v>2021-08-16(월) 오후 14:00</v>
      </c>
      <c r="E15" s="263"/>
      <c r="F15" s="264"/>
      <c r="G15" s="262" t="str">
        <f>TEXT($G$1, "[$-ko-KR]yyyy-mm-dd(ddd) ") &amp; "오후 19:00"</f>
        <v>2021-08-16(월) 오후 19:00</v>
      </c>
      <c r="H15" s="263"/>
      <c r="I15" s="264"/>
      <c r="J15" s="262" t="str">
        <f>TEXT($G$1, "[$-ko-KR]yyyy-mm-dd(ddd) ") &amp; "오후 21:00"</f>
        <v>2021-08-16(월) 오후 21:00</v>
      </c>
      <c r="K15" s="263"/>
      <c r="L15" s="264"/>
      <c r="M15" s="262" t="str">
        <f>TEXT($G$1+1, "[$-ko-KR]yyyy-mm-dd(ddd) ") &amp; "오전 00:00"</f>
        <v>2021-08-17(화) 오전 00:00</v>
      </c>
      <c r="N15" s="263"/>
      <c r="O15" s="264"/>
      <c r="Q15" s="248"/>
      <c r="R15" s="248"/>
      <c r="S15" s="248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0" t="s">
        <v>37</v>
      </c>
      <c r="H16" s="221" t="s">
        <v>40</v>
      </c>
      <c r="I16" s="22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8"/>
      <c r="R17" s="248"/>
      <c r="S17" s="24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8"/>
      <c r="R18" s="248"/>
      <c r="S18" s="24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8"/>
      <c r="R19" s="238"/>
      <c r="S19" s="23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8"/>
      <c r="R20" s="238"/>
      <c r="S20" s="23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8"/>
      <c r="R21" s="238"/>
      <c r="S21" s="23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8"/>
      <c r="R22" s="238"/>
      <c r="S22" s="23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8"/>
      <c r="R23" s="238"/>
      <c r="S23" s="23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8"/>
      <c r="R24" s="238"/>
      <c r="S24" s="23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9"/>
      <c r="R26" s="240"/>
      <c r="S26" s="24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2"/>
      <c r="R27" s="243"/>
      <c r="S27" s="24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5"/>
      <c r="R28" s="246"/>
      <c r="S28" s="24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8"/>
      <c r="R29" s="238"/>
      <c r="S29" s="23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8"/>
      <c r="R30" s="248"/>
      <c r="S30" s="24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8"/>
      <c r="R31" s="248"/>
      <c r="S31" s="24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8"/>
      <c r="R32" s="238"/>
      <c r="S32" s="23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7"/>
      <c r="R35" s="228"/>
      <c r="S35" s="22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0"/>
      <c r="R36" s="231"/>
      <c r="S36" s="232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3"/>
      <c r="R37" s="234"/>
      <c r="S37" s="23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48"/>
      <c r="R40" s="248"/>
      <c r="S40" s="248"/>
    </row>
    <row r="41" spans="1:19" ht="17.25" customHeight="1" thickBot="1">
      <c r="A41" s="219" t="s">
        <v>267</v>
      </c>
      <c r="B41" s="249" t="s">
        <v>49</v>
      </c>
      <c r="C41" s="251"/>
      <c r="D41" s="249" t="s">
        <v>58</v>
      </c>
      <c r="E41" s="250"/>
      <c r="F41" s="251"/>
      <c r="G41" s="252">
        <f>_xlfn.IFNA(VLOOKUP(B41, 현재가테이블!$B$2:$D$200, 2, FALSE), "-")</f>
        <v>54440000</v>
      </c>
      <c r="H41" s="253"/>
      <c r="I41" s="254"/>
      <c r="J41" s="249" t="s">
        <v>59</v>
      </c>
      <c r="K41" s="250"/>
      <c r="L41" s="251"/>
      <c r="M41" s="255">
        <f>_xlfn.IFNA(VLOOKUP(B41, 현재가테이블!$B$2:$D$200, 3, FALSE), "-")</f>
        <v>1.07123628E-2</v>
      </c>
      <c r="N41" s="256"/>
      <c r="O41" s="257"/>
      <c r="Q41" s="248"/>
      <c r="R41" s="248"/>
      <c r="S41" s="248"/>
    </row>
    <row r="42" spans="1:19" ht="17.25" customHeight="1" thickBot="1">
      <c r="A42" s="293" t="s">
        <v>55</v>
      </c>
      <c r="B42" s="289" t="str">
        <f>TEXT($G$1, "[$-ko-KR]yyyy-mm-dd(ddd) ") &amp; "오전 00:00"</f>
        <v>2021-08-16(월) 오전 00:00</v>
      </c>
      <c r="C42" s="290"/>
      <c r="D42" s="262" t="str">
        <f>TEXT($G$1, "[$-ko-KR]yyyy-mm-dd(ddd) ") &amp; "오후 14:00"</f>
        <v>2021-08-16(월) 오후 14:00</v>
      </c>
      <c r="E42" s="263"/>
      <c r="F42" s="264"/>
      <c r="G42" s="262" t="str">
        <f>TEXT($G$1, "[$-ko-KR]yyyy-mm-dd(ddd) ") &amp; "오후 19:00"</f>
        <v>2021-08-16(월) 오후 19:00</v>
      </c>
      <c r="H42" s="263"/>
      <c r="I42" s="264"/>
      <c r="J42" s="262" t="str">
        <f>TEXT($G$1, "[$-ko-KR]yyyy-mm-dd(ddd) ") &amp; "오후 21:00"</f>
        <v>2021-08-16(월) 오후 21:00</v>
      </c>
      <c r="K42" s="263"/>
      <c r="L42" s="264"/>
      <c r="M42" s="262" t="str">
        <f>TEXT($G$1+1, "[$-ko-KR]yyyy-mm-dd(ddd) ") &amp; "오전 00:00"</f>
        <v>2021-08-17(화) 오전 00:00</v>
      </c>
      <c r="N42" s="263"/>
      <c r="O42" s="264"/>
      <c r="Q42" s="248"/>
      <c r="R42" s="248"/>
      <c r="S42" s="248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0" t="s">
        <v>58</v>
      </c>
      <c r="H43" s="221" t="s">
        <v>268</v>
      </c>
      <c r="I43" s="22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8"/>
      <c r="R43" s="238"/>
      <c r="S43" s="238"/>
    </row>
    <row r="44" spans="1:19" ht="17.25" customHeight="1" thickBot="1">
      <c r="A44" s="123" t="s">
        <v>150</v>
      </c>
      <c r="B44" s="124">
        <v>14</v>
      </c>
      <c r="C44" s="76">
        <v>2.9411764699999999E-2</v>
      </c>
      <c r="D44" s="13">
        <v>14.1</v>
      </c>
      <c r="E44" s="14">
        <f>IF(ISNUMBER(D44), (D44 - $B44) / $B44, "")</f>
        <v>7.1428571428571175E-3</v>
      </c>
      <c r="F44" s="16">
        <f>IF(ISNUMBER(D44), $B64 * E44, "")</f>
        <v>714.28571428571172</v>
      </c>
      <c r="G44" s="29">
        <v>14</v>
      </c>
      <c r="H44" s="14">
        <f>IF(ISNUMBER(G44), (G44 - $B44) / $B44, "")</f>
        <v>0</v>
      </c>
      <c r="I44" s="100">
        <f>IF(ISNUMBER(G44), $B64 * H44, "")</f>
        <v>0</v>
      </c>
      <c r="J44" s="13">
        <v>14.1</v>
      </c>
      <c r="K44" s="14">
        <f>IF(ISNUMBER(J44), (J44 - $B44) / $B44, "")</f>
        <v>7.1428571428571175E-3</v>
      </c>
      <c r="L44" s="16">
        <f>IF(ISNUMBER(J44), $B64 * K44, "")</f>
        <v>714.28571428571172</v>
      </c>
      <c r="M44" s="29">
        <v>13.8</v>
      </c>
      <c r="N44" s="14">
        <f>IF(ISNUMBER(M44), (M44 - $B44) / $B44, "")</f>
        <v>-1.4285714285714235E-2</v>
      </c>
      <c r="O44" s="16">
        <f>IF(ISNUMBER(M44), $B64 * N44, "")</f>
        <v>-1428.5714285714234</v>
      </c>
      <c r="Q44" s="248"/>
      <c r="R44" s="248"/>
      <c r="S44" s="248"/>
    </row>
    <row r="45" spans="1:19" ht="17.25" customHeight="1" thickBot="1">
      <c r="A45" s="125" t="s">
        <v>216</v>
      </c>
      <c r="B45" s="126">
        <v>11.8</v>
      </c>
      <c r="C45" s="77">
        <v>1.7241379300000002E-2</v>
      </c>
      <c r="D45" s="15">
        <v>12.1</v>
      </c>
      <c r="E45" s="32">
        <f t="shared" ref="E45:E48" si="14">IF(ISNUMBER(D45), (D45 - $B45) / $B45, "")</f>
        <v>2.542372881355923E-2</v>
      </c>
      <c r="F45" s="18">
        <f>IF(ISNUMBER(D45), $B64 * E45, "")</f>
        <v>2542.3728813559228</v>
      </c>
      <c r="G45" s="31">
        <v>12.1</v>
      </c>
      <c r="H45" s="32">
        <f t="shared" ref="H45:H48" si="15">IF(ISNUMBER(G45), (G45 - $B45) / $B45, "")</f>
        <v>2.542372881355923E-2</v>
      </c>
      <c r="I45" s="101">
        <f>IF(ISNUMBER(G45), $B64 * H45, "")</f>
        <v>2542.3728813559228</v>
      </c>
      <c r="J45" s="15">
        <v>12.1</v>
      </c>
      <c r="K45" s="32">
        <f t="shared" ref="K45:K48" si="16">IF(ISNUMBER(J45), (J45 - $B45) / $B45, "")</f>
        <v>2.542372881355923E-2</v>
      </c>
      <c r="L45" s="18">
        <f>IF(ISNUMBER(J45), $B64 * K45, "")</f>
        <v>2542.3728813559228</v>
      </c>
      <c r="M45" s="31">
        <v>11.9</v>
      </c>
      <c r="N45" s="32">
        <f t="shared" ref="N45:N48" si="17">IF(ISNUMBER(M45), (M45 - $B45) / $B45, "")</f>
        <v>8.4745762711864094E-3</v>
      </c>
      <c r="O45" s="18">
        <f>IF(ISNUMBER(M45), $B64 * N45, "")</f>
        <v>847.45762711864097</v>
      </c>
      <c r="Q45" s="248"/>
      <c r="R45" s="248"/>
      <c r="S45" s="248"/>
    </row>
    <row r="46" spans="1:19" ht="17.25" customHeight="1" thickBot="1">
      <c r="A46" s="125" t="s">
        <v>204</v>
      </c>
      <c r="B46" s="126">
        <v>15.7</v>
      </c>
      <c r="C46" s="77">
        <v>6.4102563999999997E-3</v>
      </c>
      <c r="D46" s="15">
        <v>17</v>
      </c>
      <c r="E46" s="32">
        <f t="shared" si="14"/>
        <v>8.2802547770700688E-2</v>
      </c>
      <c r="F46" s="18">
        <f>IF(ISNUMBER(D46), $B64 * E46, "")</f>
        <v>8280.2547770700694</v>
      </c>
      <c r="G46" s="31">
        <v>16.8</v>
      </c>
      <c r="H46" s="32">
        <f t="shared" si="15"/>
        <v>7.0063694267516019E-2</v>
      </c>
      <c r="I46" s="101">
        <f>IF(ISNUMBER(G46), $B64 * H46, "")</f>
        <v>7006.3694267516021</v>
      </c>
      <c r="J46" s="15">
        <v>16.8</v>
      </c>
      <c r="K46" s="32">
        <f t="shared" si="16"/>
        <v>7.0063694267516019E-2</v>
      </c>
      <c r="L46" s="18">
        <f>IF(ISNUMBER(J46), $B64 * K46, "")</f>
        <v>7006.3694267516021</v>
      </c>
      <c r="M46" s="31">
        <v>16.2</v>
      </c>
      <c r="N46" s="32">
        <f t="shared" si="17"/>
        <v>3.1847133757961783E-2</v>
      </c>
      <c r="O46" s="18">
        <f>IF(ISNUMBER(M46), $B64 * N46, "")</f>
        <v>3184.7133757961783</v>
      </c>
      <c r="Q46" s="238"/>
      <c r="R46" s="238"/>
      <c r="S46" s="238"/>
    </row>
    <row r="47" spans="1:19" ht="17.25" customHeight="1" thickBot="1">
      <c r="A47" s="125" t="s">
        <v>178</v>
      </c>
      <c r="B47" s="126">
        <v>17.600000000000001</v>
      </c>
      <c r="C47" s="77">
        <v>0</v>
      </c>
      <c r="D47" s="15">
        <v>18.2</v>
      </c>
      <c r="E47" s="32">
        <f t="shared" si="14"/>
        <v>3.409090909090897E-2</v>
      </c>
      <c r="F47" s="18">
        <f>IF(ISNUMBER(D47), $B64 * E47, "")</f>
        <v>3409.0909090908972</v>
      </c>
      <c r="G47" s="31">
        <v>18.2</v>
      </c>
      <c r="H47" s="32">
        <f t="shared" si="15"/>
        <v>3.409090909090897E-2</v>
      </c>
      <c r="I47" s="101">
        <f>IF(ISNUMBER(G47), $B64 * H47, "")</f>
        <v>3409.0909090908972</v>
      </c>
      <c r="J47" s="15">
        <v>18.3</v>
      </c>
      <c r="K47" s="32">
        <f t="shared" si="16"/>
        <v>3.977272727272723E-2</v>
      </c>
      <c r="L47" s="18">
        <f>IF(ISNUMBER(J47), $B64 * K47, "")</f>
        <v>3977.2727272727229</v>
      </c>
      <c r="M47" s="31">
        <v>17.7</v>
      </c>
      <c r="N47" s="32">
        <f t="shared" si="17"/>
        <v>5.6818181818180605E-3</v>
      </c>
      <c r="O47" s="18">
        <f>IF(ISNUMBER(M47), $B64 * N47, "")</f>
        <v>568.18181818180608</v>
      </c>
      <c r="Q47" s="238"/>
      <c r="R47" s="238"/>
      <c r="S47" s="238"/>
    </row>
    <row r="48" spans="1:19" ht="17.25" customHeight="1" thickBot="1">
      <c r="A48" s="127" t="s">
        <v>250</v>
      </c>
      <c r="B48" s="128">
        <v>82.3</v>
      </c>
      <c r="C48" s="78">
        <v>-2.02380952E-2</v>
      </c>
      <c r="D48" s="20">
        <v>87.2</v>
      </c>
      <c r="E48" s="21">
        <f t="shared" si="14"/>
        <v>5.9538274605103352E-2</v>
      </c>
      <c r="F48" s="22">
        <f>IF(ISNUMBER(D48), $B64 * E48, "")</f>
        <v>5953.8274605103352</v>
      </c>
      <c r="G48" s="30">
        <v>87.2</v>
      </c>
      <c r="H48" s="21">
        <f t="shared" si="15"/>
        <v>5.9538274605103352E-2</v>
      </c>
      <c r="I48" s="105">
        <f>IF(ISNUMBER(G48), $B64 * H48, "")</f>
        <v>5953.8274605103352</v>
      </c>
      <c r="J48" s="20">
        <v>88.9</v>
      </c>
      <c r="K48" s="21">
        <f t="shared" si="16"/>
        <v>8.0194410692588203E-2</v>
      </c>
      <c r="L48" s="22">
        <f>IF(ISNUMBER(J48), $B64 * K48, "")</f>
        <v>8019.4410692588199</v>
      </c>
      <c r="M48" s="30">
        <v>84.7</v>
      </c>
      <c r="N48" s="21">
        <f t="shared" si="17"/>
        <v>2.916160388821392E-2</v>
      </c>
      <c r="O48" s="22">
        <f>IF(ISNUMBER(M48), $B64 * N48, "")</f>
        <v>2916.1603888213922</v>
      </c>
      <c r="Q48" s="238"/>
      <c r="R48" s="238"/>
      <c r="S48" s="238"/>
    </row>
    <row r="49" spans="1:19" ht="17.25" customHeight="1" thickBot="1">
      <c r="A49" s="125" t="s">
        <v>188</v>
      </c>
      <c r="B49" s="129">
        <v>13.3</v>
      </c>
      <c r="C49" s="80">
        <v>-2.2058823500000001E-2</v>
      </c>
      <c r="D49" s="106">
        <v>13.4</v>
      </c>
      <c r="E49" s="107">
        <f>IF(ISNUMBER(D49), (D49 - $B49) / $B49, "")</f>
        <v>7.5187969924811757E-3</v>
      </c>
      <c r="F49" s="108">
        <f>IF(ISNUMBER(D49), $B64 * E49, "")</f>
        <v>751.87969924811762</v>
      </c>
      <c r="G49" s="109">
        <v>13.5</v>
      </c>
      <c r="H49" s="107">
        <f>IF(ISNUMBER(G49), (G49 - $B49) / $B49, "")</f>
        <v>1.5037593984962351E-2</v>
      </c>
      <c r="I49" s="110">
        <f>IF(ISNUMBER(G49), $B64 * H49, "")</f>
        <v>1503.7593984962352</v>
      </c>
      <c r="J49" s="106">
        <v>13.7</v>
      </c>
      <c r="K49" s="107">
        <f>IF(ISNUMBER(J49), (J49 - $B49) / $B49, "")</f>
        <v>3.0075187969924703E-2</v>
      </c>
      <c r="L49" s="108">
        <f>IF(ISNUMBER(J49), $B64 * K49, "")</f>
        <v>3007.5187969924705</v>
      </c>
      <c r="M49" s="109">
        <v>13.3</v>
      </c>
      <c r="N49" s="107">
        <f>IF(ISNUMBER(M49), (M49 - $B49) / $B49, "")</f>
        <v>0</v>
      </c>
      <c r="O49" s="108">
        <f>IF(ISNUMBER(M49), $B64 * N49, "")</f>
        <v>0</v>
      </c>
      <c r="Q49" s="238"/>
      <c r="R49" s="238"/>
      <c r="S49" s="238"/>
    </row>
    <row r="50" spans="1:19" ht="17.25" customHeight="1" thickBot="1">
      <c r="A50" s="125" t="s">
        <v>210</v>
      </c>
      <c r="B50" s="126">
        <v>12.8</v>
      </c>
      <c r="C50" s="77">
        <v>-2.2900763399999999E-2</v>
      </c>
      <c r="D50" s="15">
        <v>13.2</v>
      </c>
      <c r="E50" s="32">
        <f t="shared" ref="E50:E53" si="18">IF(ISNUMBER(D50), (D50 - $B50) / $B50, "")</f>
        <v>3.1249999999999889E-2</v>
      </c>
      <c r="F50" s="18">
        <f>IF(ISNUMBER(D50), $B64 * E50, "")</f>
        <v>3124.9999999999891</v>
      </c>
      <c r="G50" s="31">
        <v>13.1</v>
      </c>
      <c r="H50" s="32">
        <f t="shared" ref="H50:H53" si="19">IF(ISNUMBER(G50), (G50 - $B50) / $B50, "")</f>
        <v>2.3437499999999917E-2</v>
      </c>
      <c r="I50" s="101">
        <f>IF(ISNUMBER(G50), $B64 * H50, "")</f>
        <v>2343.7499999999918</v>
      </c>
      <c r="J50" s="15">
        <v>13.1</v>
      </c>
      <c r="K50" s="32">
        <f t="shared" ref="K50:K53" si="20">IF(ISNUMBER(J50), (J50 - $B50) / $B50, "")</f>
        <v>2.3437499999999917E-2</v>
      </c>
      <c r="L50" s="18">
        <f>IF(ISNUMBER(J50), $B64 * K50, "")</f>
        <v>2343.7499999999918</v>
      </c>
      <c r="M50" s="31">
        <v>12.8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38"/>
      <c r="R50" s="238"/>
      <c r="S50" s="238"/>
    </row>
    <row r="51" spans="1:19" ht="17.25" customHeight="1" thickBot="1">
      <c r="A51" s="125" t="s">
        <v>234</v>
      </c>
      <c r="B51" s="126">
        <v>76.7</v>
      </c>
      <c r="C51" s="77">
        <v>-2.4173027999999999E-2</v>
      </c>
      <c r="D51" s="15">
        <v>77.900000000000006</v>
      </c>
      <c r="E51" s="32">
        <f t="shared" si="18"/>
        <v>1.5645371577575003E-2</v>
      </c>
      <c r="F51" s="18">
        <f>IF(ISNUMBER(D51), $B64 * E51, "")</f>
        <v>1564.5371577575004</v>
      </c>
      <c r="G51" s="31">
        <v>77.400000000000006</v>
      </c>
      <c r="H51" s="32">
        <f t="shared" si="19"/>
        <v>9.1264667535854351E-3</v>
      </c>
      <c r="I51" s="101">
        <f>IF(ISNUMBER(G51), $B64 * H51, "")</f>
        <v>912.64667535854346</v>
      </c>
      <c r="J51" s="15">
        <v>78.2</v>
      </c>
      <c r="K51" s="32">
        <f t="shared" si="20"/>
        <v>1.955671447196871E-2</v>
      </c>
      <c r="L51" s="18">
        <f>IF(ISNUMBER(J51), $B64 * K51, "")</f>
        <v>1955.671447196871</v>
      </c>
      <c r="M51" s="31">
        <v>76.599999999999994</v>
      </c>
      <c r="N51" s="32">
        <f t="shared" si="21"/>
        <v>-1.3037809647980252E-3</v>
      </c>
      <c r="O51" s="18">
        <f>IF(ISNUMBER(M51), $B64 * N51, "")</f>
        <v>-130.37809647980251</v>
      </c>
      <c r="Q51" s="238"/>
      <c r="R51" s="238"/>
      <c r="S51" s="238"/>
    </row>
    <row r="52" spans="1:19" ht="17.25" customHeight="1" thickBot="1">
      <c r="A52" s="125" t="s">
        <v>72</v>
      </c>
      <c r="B52" s="126">
        <v>24.8</v>
      </c>
      <c r="C52" s="77">
        <v>-3.125E-2</v>
      </c>
      <c r="D52" s="15">
        <v>25.4</v>
      </c>
      <c r="E52" s="32">
        <f t="shared" si="18"/>
        <v>2.4193548387096687E-2</v>
      </c>
      <c r="F52" s="18">
        <f>IF(ISNUMBER(D52), $B64 * E52, "")</f>
        <v>2419.3548387096685</v>
      </c>
      <c r="G52" s="31">
        <v>25.1</v>
      </c>
      <c r="H52" s="32">
        <f t="shared" si="19"/>
        <v>1.2096774193548416E-2</v>
      </c>
      <c r="I52" s="101">
        <f>IF(ISNUMBER(G52), $B64 * H52, "")</f>
        <v>1209.6774193548417</v>
      </c>
      <c r="J52" s="15">
        <v>25.3</v>
      </c>
      <c r="K52" s="32">
        <f t="shared" si="20"/>
        <v>2.0161290322580645E-2</v>
      </c>
      <c r="L52" s="18">
        <f>IF(ISNUMBER(J52), $B64 * K52, "")</f>
        <v>2016.1290322580644</v>
      </c>
      <c r="M52" s="31">
        <v>24.6</v>
      </c>
      <c r="N52" s="32">
        <f t="shared" si="21"/>
        <v>-8.0645161290322284E-3</v>
      </c>
      <c r="O52" s="18">
        <f>IF(ISNUMBER(M52), $B64 * N52, "")</f>
        <v>-806.45161290322278</v>
      </c>
      <c r="Q52" s="33"/>
      <c r="R52" s="33"/>
    </row>
    <row r="53" spans="1:19" ht="17.25" customHeight="1" thickBot="1">
      <c r="A53" s="130" t="s">
        <v>98</v>
      </c>
      <c r="B53" s="131">
        <v>5.45</v>
      </c>
      <c r="C53" s="79">
        <v>-3.1971580800000003E-2</v>
      </c>
      <c r="D53" s="24">
        <v>5.56</v>
      </c>
      <c r="E53" s="25">
        <f t="shared" si="18"/>
        <v>2.0183486238532004E-2</v>
      </c>
      <c r="F53" s="104">
        <f>IF(ISNUMBER(D53), $B64 * E53, "")</f>
        <v>2018.3486238532005</v>
      </c>
      <c r="G53" s="102">
        <v>5.55</v>
      </c>
      <c r="H53" s="25">
        <f t="shared" si="19"/>
        <v>1.8348623853210944E-2</v>
      </c>
      <c r="I53" s="103">
        <f>IF(ISNUMBER(G53), $B64 * H53, "")</f>
        <v>1834.8623853210945</v>
      </c>
      <c r="J53" s="24">
        <v>5.64</v>
      </c>
      <c r="K53" s="25">
        <f t="shared" si="20"/>
        <v>3.4862385321100822E-2</v>
      </c>
      <c r="L53" s="104">
        <f>IF(ISNUMBER(J53), $B64 * K53, "")</f>
        <v>3486.2385321100824</v>
      </c>
      <c r="M53" s="102">
        <v>5.5</v>
      </c>
      <c r="N53" s="25">
        <f t="shared" si="21"/>
        <v>9.1743119266054721E-3</v>
      </c>
      <c r="O53" s="104">
        <f>IF(ISNUMBER(M53), $B64 * N53, "")</f>
        <v>917.43119266054725</v>
      </c>
      <c r="Q53" s="239"/>
      <c r="R53" s="240"/>
      <c r="S53" s="241"/>
    </row>
    <row r="54" spans="1:19" ht="17.25" customHeight="1">
      <c r="A54" s="123" t="s">
        <v>202</v>
      </c>
      <c r="B54" s="124">
        <v>95.8</v>
      </c>
      <c r="C54" s="76">
        <v>-3.2323232299999997E-2</v>
      </c>
      <c r="D54" s="13">
        <v>96.9</v>
      </c>
      <c r="E54" s="14">
        <f>IF(ISNUMBER(D54), (D54 - $B54) / $B54, "")</f>
        <v>1.1482254697286101E-2</v>
      </c>
      <c r="F54" s="16">
        <f>IF(ISNUMBER(D54), $B64 * E54, "")</f>
        <v>1148.2254697286101</v>
      </c>
      <c r="G54" s="29">
        <v>96.3</v>
      </c>
      <c r="H54" s="14">
        <f>IF(ISNUMBER(G54), (G54 - $B54) / $B54, "")</f>
        <v>5.2192066805845511E-3</v>
      </c>
      <c r="I54" s="100">
        <f>IF(ISNUMBER(G54), $B64 * H54, "")</f>
        <v>521.92066805845513</v>
      </c>
      <c r="J54" s="13">
        <v>96.8</v>
      </c>
      <c r="K54" s="14">
        <f>IF(ISNUMBER(J54), (J54 - $B54) / $B54, "")</f>
        <v>1.0438413361169102E-2</v>
      </c>
      <c r="L54" s="16">
        <f>IF(ISNUMBER(J54), $B64 * K54, "")</f>
        <v>1043.8413361169103</v>
      </c>
      <c r="M54" s="29">
        <v>94.9</v>
      </c>
      <c r="N54" s="14">
        <f>IF(ISNUMBER(M54), (M54 - $B54) / $B54, "")</f>
        <v>-9.3945720250521031E-3</v>
      </c>
      <c r="O54" s="16">
        <f>IF(ISNUMBER(M54), $B64 * N54, "")</f>
        <v>-939.45720250521026</v>
      </c>
      <c r="Q54" s="242"/>
      <c r="R54" s="243"/>
      <c r="S54" s="244"/>
    </row>
    <row r="55" spans="1:19" ht="17.25" customHeight="1" thickBot="1">
      <c r="A55" s="125" t="s">
        <v>65</v>
      </c>
      <c r="B55" s="126">
        <v>36.799999999999997</v>
      </c>
      <c r="C55" s="77">
        <v>-3.4120734899999998E-2</v>
      </c>
      <c r="D55" s="15">
        <v>37.9</v>
      </c>
      <c r="E55" s="32">
        <f t="shared" ref="E55:E58" si="22">IF(ISNUMBER(D55), (D55 - $B55) / $B55, "")</f>
        <v>2.9891304347826129E-2</v>
      </c>
      <c r="F55" s="18">
        <f>IF(ISNUMBER(D55), $B64 * E55, "")</f>
        <v>2989.1304347826131</v>
      </c>
      <c r="G55" s="31">
        <v>39.200000000000003</v>
      </c>
      <c r="H55" s="32">
        <f t="shared" ref="H55:H58" si="23">IF(ISNUMBER(G55), (G55 - $B55) / $B55, "")</f>
        <v>6.5217391304347991E-2</v>
      </c>
      <c r="I55" s="101">
        <f>IF(ISNUMBER(G55), $B64 * H55, "")</f>
        <v>6521.7391304347993</v>
      </c>
      <c r="J55" s="15">
        <v>39.1</v>
      </c>
      <c r="K55" s="32">
        <f t="shared" ref="K55:K58" si="24">IF(ISNUMBER(J55), (J55 - $B55) / $B55, "")</f>
        <v>6.2500000000000125E-2</v>
      </c>
      <c r="L55" s="18">
        <f>IF(ISNUMBER(J55), $B64 * K55, "")</f>
        <v>6250.0000000000127</v>
      </c>
      <c r="M55" s="31">
        <v>38</v>
      </c>
      <c r="N55" s="32">
        <f t="shared" ref="N55:N58" si="25">IF(ISNUMBER(M55), (M55 - $B55) / $B55, "")</f>
        <v>3.2608695652173995E-2</v>
      </c>
      <c r="O55" s="18">
        <f>IF(ISNUMBER(M55), $B64 * N55, "")</f>
        <v>3260.8695652173997</v>
      </c>
      <c r="Q55" s="245"/>
      <c r="R55" s="246"/>
      <c r="S55" s="247"/>
    </row>
    <row r="56" spans="1:19" ht="17.25" customHeight="1" thickBot="1">
      <c r="A56" s="125" t="s">
        <v>190</v>
      </c>
      <c r="B56" s="126">
        <v>19.8</v>
      </c>
      <c r="C56" s="77">
        <v>-3.4146341500000003E-2</v>
      </c>
      <c r="D56" s="15">
        <v>20.100000000000001</v>
      </c>
      <c r="E56" s="32">
        <f t="shared" si="22"/>
        <v>1.5151515151515187E-2</v>
      </c>
      <c r="F56" s="18">
        <f>IF(ISNUMBER(D56), $B64 * E56, "")</f>
        <v>1515.1515151515187</v>
      </c>
      <c r="G56" s="31">
        <v>20.100000000000001</v>
      </c>
      <c r="H56" s="32">
        <f t="shared" si="23"/>
        <v>1.5151515151515187E-2</v>
      </c>
      <c r="I56" s="101">
        <f>IF(ISNUMBER(G56), $B64 * H56, "")</f>
        <v>1515.1515151515187</v>
      </c>
      <c r="J56" s="15">
        <v>20.100000000000001</v>
      </c>
      <c r="K56" s="32">
        <f t="shared" si="24"/>
        <v>1.5151515151515187E-2</v>
      </c>
      <c r="L56" s="18">
        <f>IF(ISNUMBER(J56), $B64 * K56, "")</f>
        <v>1515.1515151515187</v>
      </c>
      <c r="M56" s="31">
        <v>19.600000000000001</v>
      </c>
      <c r="N56" s="32">
        <f t="shared" si="25"/>
        <v>-1.0101010101010065E-2</v>
      </c>
      <c r="O56" s="18">
        <f>IF(ISNUMBER(M56), $B64 * N56, "")</f>
        <v>-1010.1010101010065</v>
      </c>
      <c r="Q56" s="238"/>
      <c r="R56" s="238"/>
      <c r="S56" s="238"/>
    </row>
    <row r="57" spans="1:19" ht="17.25" customHeight="1" thickBot="1">
      <c r="A57" s="125" t="s">
        <v>208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14.4</v>
      </c>
      <c r="H57" s="32">
        <f t="shared" si="23"/>
        <v>2.1276595744680903E-2</v>
      </c>
      <c r="I57" s="101">
        <f>IF(ISNUMBER(G57), $B64 * H57, "")</f>
        <v>2127.6595744680903</v>
      </c>
      <c r="J57" s="15">
        <v>14.8</v>
      </c>
      <c r="K57" s="32">
        <f t="shared" si="24"/>
        <v>4.9645390070922064E-2</v>
      </c>
      <c r="L57" s="18">
        <f>IF(ISNUMBER(J57), $B64 * K57, "")</f>
        <v>4964.5390070922067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48"/>
      <c r="R57" s="248"/>
      <c r="S57" s="248"/>
    </row>
    <row r="58" spans="1:19" ht="17.25" customHeight="1" thickBot="1">
      <c r="A58" s="127" t="s">
        <v>148</v>
      </c>
      <c r="B58" s="128">
        <v>21.9</v>
      </c>
      <c r="C58" s="78">
        <v>-3.5242290699999998E-2</v>
      </c>
      <c r="D58" s="20">
        <v>23</v>
      </c>
      <c r="E58" s="21">
        <f t="shared" si="22"/>
        <v>5.0228310502283172E-2</v>
      </c>
      <c r="F58" s="22">
        <f>IF(ISNUMBER(D58), $B64 * E58, "")</f>
        <v>5022.8310502283175</v>
      </c>
      <c r="G58" s="30">
        <v>23.1</v>
      </c>
      <c r="H58" s="21">
        <f t="shared" si="23"/>
        <v>5.4794520547945341E-2</v>
      </c>
      <c r="I58" s="105">
        <f>IF(ISNUMBER(G58), $B64 * H58, "")</f>
        <v>5479.452054794534</v>
      </c>
      <c r="J58" s="20">
        <v>23.4</v>
      </c>
      <c r="K58" s="21">
        <f t="shared" si="24"/>
        <v>6.8493150684931517E-2</v>
      </c>
      <c r="L58" s="22">
        <f>IF(ISNUMBER(J58), $B64 * K58, "")</f>
        <v>6849.3150684931516</v>
      </c>
      <c r="M58" s="30">
        <v>22.7</v>
      </c>
      <c r="N58" s="21">
        <f t="shared" si="25"/>
        <v>3.6529680365296836E-2</v>
      </c>
      <c r="O58" s="22">
        <f>IF(ISNUMBER(M58), $B64 * N58, "")</f>
        <v>3652.9680365296836</v>
      </c>
      <c r="Q58" s="248"/>
      <c r="R58" s="248"/>
      <c r="S58" s="248"/>
    </row>
    <row r="59" spans="1:19" ht="17.25" customHeight="1" thickBot="1">
      <c r="A59" s="125" t="s">
        <v>122</v>
      </c>
      <c r="B59" s="129">
        <v>33.700000000000003</v>
      </c>
      <c r="C59" s="80">
        <v>-4.2613636400000002E-2</v>
      </c>
      <c r="D59" s="106">
        <v>35.4</v>
      </c>
      <c r="E59" s="107">
        <f>IF(ISNUMBER(D59), (D59 - $B59) / $B59, "")</f>
        <v>5.0445103857566634E-2</v>
      </c>
      <c r="F59" s="108">
        <f>IF(ISNUMBER(D59), $B64 * E59, "")</f>
        <v>5044.5103857566637</v>
      </c>
      <c r="G59" s="109">
        <v>35.200000000000003</v>
      </c>
      <c r="H59" s="107">
        <f>IF(ISNUMBER(G59), (G59 - $B59) / $B59, "")</f>
        <v>4.4510385756676554E-2</v>
      </c>
      <c r="I59" s="110">
        <f>IF(ISNUMBER(G59), $B64 * H59, "")</f>
        <v>4451.0385756676551</v>
      </c>
      <c r="J59" s="106">
        <v>36</v>
      </c>
      <c r="K59" s="107">
        <f>IF(ISNUMBER(J59), (J59 - $B59) / $B59, "")</f>
        <v>6.8249258160237303E-2</v>
      </c>
      <c r="L59" s="108">
        <f>IF(ISNUMBER(J59), $B64 * K59, "")</f>
        <v>6824.9258160237305</v>
      </c>
      <c r="M59" s="109">
        <v>36.200000000000003</v>
      </c>
      <c r="N59" s="107">
        <f>IF(ISNUMBER(M59), (M59 - $B59) / $B59, "")</f>
        <v>7.418397626112759E-2</v>
      </c>
      <c r="O59" s="108">
        <f>IF(ISNUMBER(M59), $B64 * N59, "")</f>
        <v>7418.3976261127591</v>
      </c>
      <c r="Q59" s="238"/>
      <c r="R59" s="238"/>
      <c r="S59" s="238"/>
    </row>
    <row r="60" spans="1:19" ht="17.25" customHeight="1" thickBot="1">
      <c r="A60" s="125" t="s">
        <v>240</v>
      </c>
      <c r="B60" s="126">
        <v>76.8</v>
      </c>
      <c r="C60" s="77">
        <v>-4.4776119400000002E-2</v>
      </c>
      <c r="D60" s="15">
        <v>77.2</v>
      </c>
      <c r="E60" s="32">
        <f t="shared" ref="E60:E63" si="26">IF(ISNUMBER(D60), (D60 - $B60) / $B60, "")</f>
        <v>5.2083333333334076E-3</v>
      </c>
      <c r="F60" s="18">
        <f>IF(ISNUMBER(D60), $B64 * E60, "")</f>
        <v>520.83333333334076</v>
      </c>
      <c r="G60" s="31">
        <v>77.2</v>
      </c>
      <c r="H60" s="32">
        <f t="shared" ref="H60:H63" si="27">IF(ISNUMBER(G60), (G60 - $B60) / $B60, "")</f>
        <v>5.2083333333334076E-3</v>
      </c>
      <c r="I60" s="101">
        <f>IF(ISNUMBER(G60), $B64 * H60, "")</f>
        <v>520.83333333334076</v>
      </c>
      <c r="J60" s="15">
        <v>77.400000000000006</v>
      </c>
      <c r="K60" s="32">
        <f t="shared" ref="K60:K63" si="28">IF(ISNUMBER(J60), (J60 - $B60) / $B60, "")</f>
        <v>7.812500000000111E-3</v>
      </c>
      <c r="L60" s="18">
        <f>IF(ISNUMBER(J60), $B64 * K60, "")</f>
        <v>781.25000000001114</v>
      </c>
      <c r="M60" s="31">
        <v>76.2</v>
      </c>
      <c r="N60" s="32">
        <f t="shared" ref="N60:N63" si="29">IF(ISNUMBER(M60), (M60 - $B60) / $B60, "")</f>
        <v>-7.8124999999999263E-3</v>
      </c>
      <c r="O60" s="18">
        <f>IF(ISNUMBER(M60), $B64 * N60, "")</f>
        <v>-781.24999999999261</v>
      </c>
      <c r="Q60" s="238"/>
      <c r="R60" s="238"/>
      <c r="S60" s="238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8"/>
      <c r="R61" s="238"/>
      <c r="S61" s="238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7"/>
      <c r="R62" s="228"/>
      <c r="S62" s="22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30"/>
      <c r="R63" s="231"/>
      <c r="S63" s="232"/>
    </row>
    <row r="64" spans="1:19" ht="17.25" customHeight="1" thickBot="1">
      <c r="A64" s="132" t="s">
        <v>270</v>
      </c>
      <c r="B64" s="291">
        <f>$B$37</f>
        <v>100000</v>
      </c>
      <c r="C64" s="292"/>
      <c r="D64" s="26" t="s">
        <v>271</v>
      </c>
      <c r="E64" s="27">
        <f>IF(COUNT(E44:E63), SUM(E44:E63) / COUNT(E44:E63), 0)</f>
        <v>2.891017283842974E-2</v>
      </c>
      <c r="F64" s="28">
        <f>SUM(F44:F63)</f>
        <v>49147.293825330577</v>
      </c>
      <c r="G64" s="26" t="s">
        <v>271</v>
      </c>
      <c r="H64" s="27">
        <f>IF(COUNT(H44:H63), SUM(H44:H63) / COUNT(H44:H63), 0)</f>
        <v>2.8149500828322266E-2</v>
      </c>
      <c r="I64" s="28">
        <f>SUM(I44:I63)</f>
        <v>47854.151408147867</v>
      </c>
      <c r="J64" s="26" t="s">
        <v>271</v>
      </c>
      <c r="K64" s="27">
        <f>IF(COUNT(K44:K63), SUM(K44:K63) / COUNT(K44:K63), 0)</f>
        <v>3.7234160217858699E-2</v>
      </c>
      <c r="L64" s="28">
        <f>SUM(L44:L63)</f>
        <v>63298.072370359805</v>
      </c>
      <c r="M64" s="26" t="s">
        <v>271</v>
      </c>
      <c r="N64" s="27">
        <f>IF(COUNT(N44:N63), SUM(N44:N63) / COUNT(N44:N63), 0)</f>
        <v>1.0811288316490454E-2</v>
      </c>
      <c r="O64" s="28">
        <f>SUM(O44:O63)</f>
        <v>18379.190138033773</v>
      </c>
      <c r="Q64" s="233"/>
      <c r="R64" s="234"/>
      <c r="S64" s="23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48"/>
      <c r="R67" s="248"/>
      <c r="S67" s="248"/>
    </row>
    <row r="68" spans="1:19" ht="17.25" thickBot="1">
      <c r="A68" s="219" t="s">
        <v>267</v>
      </c>
      <c r="B68" s="249" t="s">
        <v>49</v>
      </c>
      <c r="C68" s="251"/>
      <c r="D68" s="249" t="s">
        <v>58</v>
      </c>
      <c r="E68" s="250"/>
      <c r="F68" s="251"/>
      <c r="G68" s="252">
        <f>_xlfn.IFNA(VLOOKUP(B68, 현재가테이블!$B$2:$D$200, 2, FALSE), "-")</f>
        <v>54440000</v>
      </c>
      <c r="H68" s="253"/>
      <c r="I68" s="254"/>
      <c r="J68" s="249" t="s">
        <v>59</v>
      </c>
      <c r="K68" s="250"/>
      <c r="L68" s="251"/>
      <c r="M68" s="255">
        <f>_xlfn.IFNA(VLOOKUP(B68, 현재가테이블!$B$2:$D$200, 3, FALSE), "-")</f>
        <v>1.07123628E-2</v>
      </c>
      <c r="N68" s="256"/>
      <c r="O68" s="257"/>
      <c r="Q68" s="248"/>
      <c r="R68" s="248"/>
      <c r="S68" s="248"/>
    </row>
    <row r="69" spans="1:19" ht="17.25" thickBot="1">
      <c r="A69" s="293" t="s">
        <v>55</v>
      </c>
      <c r="B69" s="289" t="str">
        <f>TEXT($G$1, "[$-ko-KR]yyyy-mm-dd(ddd) ") &amp; "오전 00:00"</f>
        <v>2021-08-16(월) 오전 00:00</v>
      </c>
      <c r="C69" s="290"/>
      <c r="D69" s="262" t="str">
        <f>TEXT($G$1, "[$-ko-KR]yyyy-mm-dd(ddd) ") &amp; "오후 14:00"</f>
        <v>2021-08-16(월) 오후 14:00</v>
      </c>
      <c r="E69" s="263"/>
      <c r="F69" s="264"/>
      <c r="G69" s="262" t="str">
        <f>TEXT($G$1, "[$-ko-KR]yyyy-mm-dd(ddd) ") &amp; "오후 19:00"</f>
        <v>2021-08-16(월) 오후 19:00</v>
      </c>
      <c r="H69" s="263"/>
      <c r="I69" s="264"/>
      <c r="J69" s="262" t="str">
        <f>TEXT($G$1, "[$-ko-KR]yyyy-mm-dd(ddd) ") &amp; "오후 21:00"</f>
        <v>2021-08-16(월) 오후 21:00</v>
      </c>
      <c r="K69" s="263"/>
      <c r="L69" s="264"/>
      <c r="M69" s="262" t="str">
        <f>TEXT($G$1+1, "[$-ko-KR]yyyy-mm-dd(ddd) ") &amp; "오전 00:00"</f>
        <v>2021-08-17(화) 오전 00:00</v>
      </c>
      <c r="N69" s="263"/>
      <c r="O69" s="264"/>
      <c r="Q69" s="248"/>
      <c r="R69" s="248"/>
      <c r="S69" s="248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0" t="s">
        <v>58</v>
      </c>
      <c r="H70" s="221" t="s">
        <v>268</v>
      </c>
      <c r="I70" s="22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8"/>
      <c r="R70" s="238"/>
      <c r="S70" s="238"/>
    </row>
    <row r="71" spans="1:19" ht="17.25" thickBot="1">
      <c r="A71" s="123" t="s">
        <v>238</v>
      </c>
      <c r="B71" s="124">
        <v>116</v>
      </c>
      <c r="C71" s="76">
        <v>4.5045044999999999E-2</v>
      </c>
      <c r="D71" s="13">
        <v>124</v>
      </c>
      <c r="E71" s="14">
        <f>IF(ISNUMBER(D71), (D71 - $B71) / $B71, "")</f>
        <v>6.8965517241379309E-2</v>
      </c>
      <c r="F71" s="16">
        <f>IF(ISNUMBER(D71), $B91 * E71, "")</f>
        <v>6896.5517241379312</v>
      </c>
      <c r="G71" s="29">
        <v>124</v>
      </c>
      <c r="H71" s="14">
        <f>IF(ISNUMBER(G71), (G71 - $B71) / $B71, "")</f>
        <v>6.8965517241379309E-2</v>
      </c>
      <c r="I71" s="100">
        <f>IF(ISNUMBER(G71), $B91 * H71, "")</f>
        <v>6896.5517241379312</v>
      </c>
      <c r="J71" s="13">
        <v>124</v>
      </c>
      <c r="K71" s="14">
        <f>IF(ISNUMBER(J71), (J71 - $B71) / $B71, "")</f>
        <v>6.8965517241379309E-2</v>
      </c>
      <c r="L71" s="16">
        <f>IF(ISNUMBER(J71), $B91 * K71, "")</f>
        <v>6896.5517241379312</v>
      </c>
      <c r="M71" s="29">
        <v>118</v>
      </c>
      <c r="N71" s="14">
        <f>IF(ISNUMBER(M71), (M71 - $B71) / $B71, "")</f>
        <v>1.7241379310344827E-2</v>
      </c>
      <c r="O71" s="16">
        <f>IF(ISNUMBER(M71), $B91 * N71, "")</f>
        <v>1724.1379310344828</v>
      </c>
      <c r="Q71" s="248"/>
      <c r="R71" s="248"/>
      <c r="S71" s="248"/>
    </row>
    <row r="72" spans="1:19" ht="17.25" thickBot="1">
      <c r="A72" s="125" t="s">
        <v>174</v>
      </c>
      <c r="B72" s="126">
        <v>378</v>
      </c>
      <c r="C72" s="77">
        <v>4.4198895000000002E-2</v>
      </c>
      <c r="D72" s="15">
        <v>375</v>
      </c>
      <c r="E72" s="32">
        <f t="shared" ref="E72:E75" si="30">IF(ISNUMBER(D72), (D72 - $B72) / $B72, "")</f>
        <v>-7.9365079365079361E-3</v>
      </c>
      <c r="F72" s="18">
        <f>IF(ISNUMBER(D72), $B91 * E72, "")</f>
        <v>-793.65079365079362</v>
      </c>
      <c r="G72" s="31">
        <v>377</v>
      </c>
      <c r="H72" s="32">
        <f t="shared" ref="H72:H75" si="31">IF(ISNUMBER(G72), (G72 - $B72) / $B72, "")</f>
        <v>-2.6455026455026454E-3</v>
      </c>
      <c r="I72" s="101">
        <f>IF(ISNUMBER(G72), $B91 * H72, "")</f>
        <v>-264.55026455026456</v>
      </c>
      <c r="J72" s="15">
        <v>380</v>
      </c>
      <c r="K72" s="32">
        <f t="shared" ref="K72:K75" si="32">IF(ISNUMBER(J72), (J72 - $B72) / $B72, "")</f>
        <v>5.2910052910052907E-3</v>
      </c>
      <c r="L72" s="18">
        <f>IF(ISNUMBER(J72), $B91 * K72, "")</f>
        <v>529.10052910052912</v>
      </c>
      <c r="M72" s="31">
        <v>371</v>
      </c>
      <c r="N72" s="32">
        <f t="shared" ref="N72:N75" si="33">IF(ISNUMBER(M72), (M72 - $B72) / $B72, "")</f>
        <v>-1.8518518518518517E-2</v>
      </c>
      <c r="O72" s="18">
        <f>IF(ISNUMBER(M72), $B91 * N72, "")</f>
        <v>-1851.8518518518517</v>
      </c>
      <c r="Q72" s="248"/>
      <c r="R72" s="248"/>
      <c r="S72" s="248"/>
    </row>
    <row r="73" spans="1:19" ht="17.25" thickBot="1">
      <c r="A73" s="125" t="s">
        <v>266</v>
      </c>
      <c r="B73" s="126">
        <v>350</v>
      </c>
      <c r="C73" s="77">
        <v>2.0408163300000001E-2</v>
      </c>
      <c r="D73" s="15">
        <v>390</v>
      </c>
      <c r="E73" s="32">
        <f t="shared" si="30"/>
        <v>0.11428571428571428</v>
      </c>
      <c r="F73" s="18">
        <f>IF(ISNUMBER(D73), $B91 * E73, "")</f>
        <v>11428.571428571428</v>
      </c>
      <c r="G73" s="31">
        <v>393</v>
      </c>
      <c r="H73" s="32">
        <f t="shared" si="31"/>
        <v>0.12285714285714286</v>
      </c>
      <c r="I73" s="101">
        <f>IF(ISNUMBER(G73), $B91 * H73, "")</f>
        <v>12285.714285714286</v>
      </c>
      <c r="J73" s="15">
        <v>406</v>
      </c>
      <c r="K73" s="32">
        <f t="shared" si="32"/>
        <v>0.16</v>
      </c>
      <c r="L73" s="18">
        <f>IF(ISNUMBER(J73), $B91 * K73, "")</f>
        <v>16000</v>
      </c>
      <c r="M73" s="31">
        <v>381</v>
      </c>
      <c r="N73" s="32">
        <f t="shared" si="33"/>
        <v>8.8571428571428565E-2</v>
      </c>
      <c r="O73" s="18">
        <f>IF(ISNUMBER(M73), $B91 * N73, "")</f>
        <v>8857.1428571428569</v>
      </c>
      <c r="Q73" s="238"/>
      <c r="R73" s="238"/>
      <c r="S73" s="238"/>
    </row>
    <row r="74" spans="1:19" ht="17.25" thickBot="1">
      <c r="A74" s="125" t="s">
        <v>144</v>
      </c>
      <c r="B74" s="126">
        <v>122</v>
      </c>
      <c r="C74" s="77">
        <v>8.2644628000000005E-3</v>
      </c>
      <c r="D74" s="15">
        <v>124</v>
      </c>
      <c r="E74" s="32">
        <f t="shared" si="30"/>
        <v>1.6393442622950821E-2</v>
      </c>
      <c r="F74" s="18">
        <f>IF(ISNUMBER(D74), $B91 * E74, "")</f>
        <v>1639.344262295082</v>
      </c>
      <c r="G74" s="31">
        <v>125</v>
      </c>
      <c r="H74" s="32">
        <f t="shared" si="31"/>
        <v>2.4590163934426229E-2</v>
      </c>
      <c r="I74" s="101">
        <f>IF(ISNUMBER(G74), $B91 * H74, "")</f>
        <v>2459.0163934426228</v>
      </c>
      <c r="J74" s="15">
        <v>127</v>
      </c>
      <c r="K74" s="32">
        <f t="shared" si="32"/>
        <v>4.0983606557377046E-2</v>
      </c>
      <c r="L74" s="18">
        <f>IF(ISNUMBER(J74), $B91 * K74, "")</f>
        <v>4098.3606557377043</v>
      </c>
      <c r="M74" s="31">
        <v>122</v>
      </c>
      <c r="N74" s="32">
        <f t="shared" si="33"/>
        <v>0</v>
      </c>
      <c r="O74" s="18">
        <f>IF(ISNUMBER(M74), $B91 * N74, "")</f>
        <v>0</v>
      </c>
      <c r="Q74" s="238"/>
      <c r="R74" s="238"/>
      <c r="S74" s="238"/>
    </row>
    <row r="75" spans="1:19" ht="17.25" thickBot="1">
      <c r="A75" s="127" t="s">
        <v>114</v>
      </c>
      <c r="B75" s="128">
        <v>749</v>
      </c>
      <c r="C75" s="78">
        <v>8.0753700999999997E-3</v>
      </c>
      <c r="D75" s="20">
        <v>764</v>
      </c>
      <c r="E75" s="21">
        <f t="shared" si="30"/>
        <v>2.0026702269692925E-2</v>
      </c>
      <c r="F75" s="22">
        <f>IF(ISNUMBER(D75), $B91 * E75, "")</f>
        <v>2002.6702269692926</v>
      </c>
      <c r="G75" s="30">
        <v>795</v>
      </c>
      <c r="H75" s="21">
        <f t="shared" si="31"/>
        <v>6.1415220293724967E-2</v>
      </c>
      <c r="I75" s="105">
        <f>IF(ISNUMBER(G75), $B91 * H75, "")</f>
        <v>6141.5220293724969</v>
      </c>
      <c r="J75" s="20">
        <v>782</v>
      </c>
      <c r="K75" s="21">
        <f t="shared" si="32"/>
        <v>4.4058744993324434E-2</v>
      </c>
      <c r="L75" s="22">
        <f>IF(ISNUMBER(J75), $B91 * K75, "")</f>
        <v>4405.8744993324435</v>
      </c>
      <c r="M75" s="30">
        <v>752</v>
      </c>
      <c r="N75" s="21">
        <f t="shared" si="33"/>
        <v>4.0053404539385851E-3</v>
      </c>
      <c r="O75" s="22">
        <f>IF(ISNUMBER(M75), $B91 * N75, "")</f>
        <v>400.53404539385849</v>
      </c>
      <c r="Q75" s="238"/>
      <c r="R75" s="238"/>
      <c r="S75" s="238"/>
    </row>
    <row r="76" spans="1:19" ht="17.25" thickBot="1">
      <c r="A76" s="125" t="s">
        <v>206</v>
      </c>
      <c r="B76" s="129">
        <v>361</v>
      </c>
      <c r="C76" s="80">
        <v>2.7777778000000002E-3</v>
      </c>
      <c r="D76" s="106">
        <v>372</v>
      </c>
      <c r="E76" s="107">
        <f>IF(ISNUMBER(D76), (D76 - $B76) / $B76, "")</f>
        <v>3.0470914127423823E-2</v>
      </c>
      <c r="F76" s="108">
        <f>IF(ISNUMBER(D76), $B91 * E76, "")</f>
        <v>3047.0914127423825</v>
      </c>
      <c r="G76" s="109">
        <v>367</v>
      </c>
      <c r="H76" s="107">
        <f>IF(ISNUMBER(G76), (G76 - $B76) / $B76, "")</f>
        <v>1.662049861495845E-2</v>
      </c>
      <c r="I76" s="110">
        <f>IF(ISNUMBER(G76), $B91 * H76, "")</f>
        <v>1662.0498614958449</v>
      </c>
      <c r="J76" s="106">
        <v>369</v>
      </c>
      <c r="K76" s="107">
        <f>IF(ISNUMBER(J76), (J76 - $B76) / $B76, "")</f>
        <v>2.2160664819944598E-2</v>
      </c>
      <c r="L76" s="108">
        <f>IF(ISNUMBER(J76), $B91 * K76, "")</f>
        <v>2216.06648199446</v>
      </c>
      <c r="M76" s="109">
        <v>358</v>
      </c>
      <c r="N76" s="107">
        <f>IF(ISNUMBER(M76), (M76 - $B76) / $B76, "")</f>
        <v>-8.3102493074792248E-3</v>
      </c>
      <c r="O76" s="108">
        <f>IF(ISNUMBER(M76), $B91 * N76, "")</f>
        <v>-831.02493074792244</v>
      </c>
      <c r="Q76" s="238"/>
      <c r="R76" s="238"/>
      <c r="S76" s="238"/>
    </row>
    <row r="77" spans="1:19" ht="17.25" thickBot="1">
      <c r="A77" s="125" t="s">
        <v>110</v>
      </c>
      <c r="B77" s="126">
        <v>198</v>
      </c>
      <c r="C77" s="77">
        <v>0</v>
      </c>
      <c r="D77" s="15">
        <v>199</v>
      </c>
      <c r="E77" s="32">
        <f t="shared" ref="E77:E80" si="34">IF(ISNUMBER(D77), (D77 - $B77) / $B77, "")</f>
        <v>5.0505050505050509E-3</v>
      </c>
      <c r="F77" s="18">
        <f>IF(ISNUMBER(D77), $B91 * E77, "")</f>
        <v>505.05050505050508</v>
      </c>
      <c r="G77" s="31">
        <v>199</v>
      </c>
      <c r="H77" s="32">
        <f t="shared" ref="H77:H80" si="35">IF(ISNUMBER(G77), (G77 - $B77) / $B77, "")</f>
        <v>5.0505050505050509E-3</v>
      </c>
      <c r="I77" s="101">
        <f>IF(ISNUMBER(G77), $B91 * H77, "")</f>
        <v>505.05050505050508</v>
      </c>
      <c r="J77" s="15">
        <v>202</v>
      </c>
      <c r="K77" s="32">
        <f t="shared" ref="K77:K80" si="36">IF(ISNUMBER(J77), (J77 - $B77) / $B77, "")</f>
        <v>2.0202020202020204E-2</v>
      </c>
      <c r="L77" s="18">
        <f>IF(ISNUMBER(J77), $B91 * K77, "")</f>
        <v>2020.2020202020203</v>
      </c>
      <c r="M77" s="31">
        <v>196</v>
      </c>
      <c r="N77" s="32">
        <f t="shared" ref="N77:N80" si="37">IF(ISNUMBER(M77), (M77 - $B77) / $B77, "")</f>
        <v>-1.0101010101010102E-2</v>
      </c>
      <c r="O77" s="18">
        <f>IF(ISNUMBER(M77), $B91 * N77, "")</f>
        <v>-1010.1010101010102</v>
      </c>
      <c r="Q77" s="238"/>
      <c r="R77" s="238"/>
      <c r="S77" s="238"/>
    </row>
    <row r="78" spans="1:19" ht="17.25" thickBot="1">
      <c r="A78" s="125" t="s">
        <v>80</v>
      </c>
      <c r="B78" s="126">
        <v>908</v>
      </c>
      <c r="C78" s="77">
        <v>-1.1001100000000001E-3</v>
      </c>
      <c r="D78" s="15">
        <v>937</v>
      </c>
      <c r="E78" s="32">
        <f t="shared" si="34"/>
        <v>3.1938325991189426E-2</v>
      </c>
      <c r="F78" s="18">
        <f>IF(ISNUMBER(D78), $B91 * E78, "")</f>
        <v>3193.8325991189427</v>
      </c>
      <c r="G78" s="31">
        <v>946</v>
      </c>
      <c r="H78" s="32">
        <f t="shared" si="35"/>
        <v>4.185022026431718E-2</v>
      </c>
      <c r="I78" s="101">
        <f>IF(ISNUMBER(G78), $B91 * H78, "")</f>
        <v>4185.0220264317177</v>
      </c>
      <c r="J78" s="15">
        <v>949</v>
      </c>
      <c r="K78" s="32">
        <f t="shared" si="36"/>
        <v>4.5154185022026429E-2</v>
      </c>
      <c r="L78" s="18">
        <f>IF(ISNUMBER(J78), $B91 * K78, "")</f>
        <v>4515.4185022026431</v>
      </c>
      <c r="M78" s="31">
        <v>919</v>
      </c>
      <c r="N78" s="32">
        <f t="shared" si="37"/>
        <v>1.2114537444933921E-2</v>
      </c>
      <c r="O78" s="18">
        <f>IF(ISNUMBER(M78), $B91 * N78, "")</f>
        <v>1211.4537444933922</v>
      </c>
      <c r="Q78" s="238"/>
      <c r="R78" s="238"/>
      <c r="S78" s="238"/>
    </row>
    <row r="79" spans="1:19" ht="17.25" thickBot="1">
      <c r="A79" s="125" t="s">
        <v>230</v>
      </c>
      <c r="B79" s="126">
        <v>218</v>
      </c>
      <c r="C79" s="77">
        <v>-4.5662100000000002E-3</v>
      </c>
      <c r="D79" s="15">
        <v>220</v>
      </c>
      <c r="E79" s="32">
        <f t="shared" si="34"/>
        <v>9.1743119266055051E-3</v>
      </c>
      <c r="F79" s="18">
        <f>IF(ISNUMBER(D79), $B91 * E79, "")</f>
        <v>917.43119266055055</v>
      </c>
      <c r="G79" s="31">
        <v>223</v>
      </c>
      <c r="H79" s="32">
        <f t="shared" si="35"/>
        <v>2.2935779816513763E-2</v>
      </c>
      <c r="I79" s="101">
        <f>IF(ISNUMBER(G79), $B91 * H79, "")</f>
        <v>2293.5779816513764</v>
      </c>
      <c r="J79" s="15">
        <v>224</v>
      </c>
      <c r="K79" s="32">
        <f t="shared" si="36"/>
        <v>2.7522935779816515E-2</v>
      </c>
      <c r="L79" s="18">
        <f>IF(ISNUMBER(J79), $B91 * K79, "")</f>
        <v>2752.2935779816517</v>
      </c>
      <c r="M79" s="31">
        <v>217</v>
      </c>
      <c r="N79" s="32">
        <f t="shared" si="37"/>
        <v>-4.5871559633027525E-3</v>
      </c>
      <c r="O79" s="18">
        <f>IF(ISNUMBER(M79), $B91 * N79, "")</f>
        <v>-458.71559633027528</v>
      </c>
      <c r="Q79" s="33"/>
      <c r="R79" s="33"/>
    </row>
    <row r="80" spans="1:19" ht="17.25" thickBot="1">
      <c r="A80" s="130" t="s">
        <v>118</v>
      </c>
      <c r="B80" s="131">
        <v>173</v>
      </c>
      <c r="C80" s="79">
        <v>-1.14285714E-2</v>
      </c>
      <c r="D80" s="24">
        <v>178</v>
      </c>
      <c r="E80" s="25">
        <f t="shared" si="34"/>
        <v>2.8901734104046242E-2</v>
      </c>
      <c r="F80" s="104">
        <f>IF(ISNUMBER(D80), $B91 * E80, "")</f>
        <v>2890.1734104046241</v>
      </c>
      <c r="G80" s="102">
        <v>178</v>
      </c>
      <c r="H80" s="25">
        <f t="shared" si="35"/>
        <v>2.8901734104046242E-2</v>
      </c>
      <c r="I80" s="103">
        <f>IF(ISNUMBER(G80), $B91 * H80, "")</f>
        <v>2890.1734104046241</v>
      </c>
      <c r="J80" s="24">
        <v>179</v>
      </c>
      <c r="K80" s="25">
        <f t="shared" si="36"/>
        <v>3.4682080924855488E-2</v>
      </c>
      <c r="L80" s="104">
        <f>IF(ISNUMBER(J80), $B91 * K80, "")</f>
        <v>3468.2080924855486</v>
      </c>
      <c r="M80" s="102">
        <v>173</v>
      </c>
      <c r="N80" s="25">
        <f t="shared" si="37"/>
        <v>0</v>
      </c>
      <c r="O80" s="104">
        <f>IF(ISNUMBER(M80), $B91 * N80, "")</f>
        <v>0</v>
      </c>
      <c r="Q80" s="239"/>
      <c r="R80" s="240"/>
      <c r="S80" s="241"/>
    </row>
    <row r="81" spans="1:19">
      <c r="A81" s="123" t="s">
        <v>128</v>
      </c>
      <c r="B81" s="124">
        <v>150</v>
      </c>
      <c r="C81" s="76">
        <v>-1.3157894700000001E-2</v>
      </c>
      <c r="D81" s="13">
        <v>162</v>
      </c>
      <c r="E81" s="14">
        <f>IF(ISNUMBER(D81), (D81 - $B81) / $B81, "")</f>
        <v>0.08</v>
      </c>
      <c r="F81" s="16">
        <f>IF(ISNUMBER(D81), $B91 * E81, "")</f>
        <v>8000</v>
      </c>
      <c r="G81" s="29">
        <v>161</v>
      </c>
      <c r="H81" s="14">
        <f>IF(ISNUMBER(G81), (G81 - $B81) / $B81, "")</f>
        <v>7.3333333333333334E-2</v>
      </c>
      <c r="I81" s="100">
        <f>IF(ISNUMBER(G81), $B91 * H81, "")</f>
        <v>7333.333333333333</v>
      </c>
      <c r="J81" s="13">
        <v>163</v>
      </c>
      <c r="K81" s="14">
        <f>IF(ISNUMBER(J81), (J81 - $B81) / $B81, "")</f>
        <v>8.666666666666667E-2</v>
      </c>
      <c r="L81" s="16">
        <f>IF(ISNUMBER(J81), $B91 * K81, "")</f>
        <v>8666.6666666666661</v>
      </c>
      <c r="M81" s="29">
        <v>156</v>
      </c>
      <c r="N81" s="14">
        <f>IF(ISNUMBER(M81), (M81 - $B81) / $B81, "")</f>
        <v>0.04</v>
      </c>
      <c r="O81" s="16">
        <f>IF(ISNUMBER(M81), $B91 * N81, "")</f>
        <v>4000</v>
      </c>
      <c r="Q81" s="242"/>
      <c r="R81" s="243"/>
      <c r="S81" s="244"/>
    </row>
    <row r="82" spans="1:19" ht="17.25" thickBot="1">
      <c r="A82" s="125" t="s">
        <v>164</v>
      </c>
      <c r="B82" s="126">
        <v>327</v>
      </c>
      <c r="C82" s="77">
        <v>-1.8018018E-2</v>
      </c>
      <c r="D82" s="15">
        <v>344</v>
      </c>
      <c r="E82" s="32">
        <f t="shared" ref="E82:E85" si="38">IF(ISNUMBER(D82), (D82 - $B82) / $B82, "")</f>
        <v>5.1987767584097858E-2</v>
      </c>
      <c r="F82" s="18">
        <f>IF(ISNUMBER(D82), $B91 * E82, "")</f>
        <v>5198.7767584097855</v>
      </c>
      <c r="G82" s="31">
        <v>347</v>
      </c>
      <c r="H82" s="32">
        <f t="shared" ref="H82:H85" si="39">IF(ISNUMBER(G82), (G82 - $B82) / $B82, "")</f>
        <v>6.1162079510703363E-2</v>
      </c>
      <c r="I82" s="101">
        <f>IF(ISNUMBER(G82), $B91 * H82, "")</f>
        <v>6116.2079510703361</v>
      </c>
      <c r="J82" s="15">
        <v>350</v>
      </c>
      <c r="K82" s="32">
        <f t="shared" ref="K82:K85" si="40">IF(ISNUMBER(J82), (J82 - $B82) / $B82, "")</f>
        <v>7.0336391437308868E-2</v>
      </c>
      <c r="L82" s="18">
        <f>IF(ISNUMBER(J82), $B91 * K82, "")</f>
        <v>7033.6391437308866</v>
      </c>
      <c r="M82" s="31">
        <v>343</v>
      </c>
      <c r="N82" s="32">
        <f t="shared" ref="N82:N85" si="41">IF(ISNUMBER(M82), (M82 - $B82) / $B82, "")</f>
        <v>4.8929663608562692E-2</v>
      </c>
      <c r="O82" s="18">
        <f>IF(ISNUMBER(M82), $B91 * N82, "")</f>
        <v>4892.9663608562696</v>
      </c>
      <c r="Q82" s="245"/>
      <c r="R82" s="246"/>
      <c r="S82" s="247"/>
    </row>
    <row r="83" spans="1:19" ht="17.25" thickBot="1">
      <c r="A83" s="125" t="s">
        <v>254</v>
      </c>
      <c r="B83" s="126">
        <v>322</v>
      </c>
      <c r="C83" s="77">
        <v>-1.8292682899999999E-2</v>
      </c>
      <c r="D83" s="15">
        <v>327</v>
      </c>
      <c r="E83" s="32">
        <f t="shared" si="38"/>
        <v>1.5527950310559006E-2</v>
      </c>
      <c r="F83" s="18">
        <f>IF(ISNUMBER(D83), $B91 * E83, "")</f>
        <v>1552.7950310559006</v>
      </c>
      <c r="G83" s="31">
        <v>328</v>
      </c>
      <c r="H83" s="32">
        <f t="shared" si="39"/>
        <v>1.8633540372670808E-2</v>
      </c>
      <c r="I83" s="101">
        <f>IF(ISNUMBER(G83), $B91 * H83, "")</f>
        <v>1863.3540372670807</v>
      </c>
      <c r="J83" s="15">
        <v>333</v>
      </c>
      <c r="K83" s="32">
        <f t="shared" si="40"/>
        <v>3.4161490683229816E-2</v>
      </c>
      <c r="L83" s="18">
        <f>IF(ISNUMBER(J83), $B91 * K83, "")</f>
        <v>3416.1490683229817</v>
      </c>
      <c r="M83" s="31">
        <v>326</v>
      </c>
      <c r="N83" s="32">
        <f t="shared" si="41"/>
        <v>1.2422360248447204E-2</v>
      </c>
      <c r="O83" s="18">
        <f>IF(ISNUMBER(M83), $B91 * N83, "")</f>
        <v>1242.2360248447203</v>
      </c>
      <c r="Q83" s="238"/>
      <c r="R83" s="238"/>
      <c r="S83" s="238"/>
    </row>
    <row r="84" spans="1:19" ht="17.25" thickBot="1">
      <c r="A84" s="125" t="s">
        <v>152</v>
      </c>
      <c r="B84" s="126">
        <v>106</v>
      </c>
      <c r="C84" s="77">
        <v>-1.8518518500000001E-2</v>
      </c>
      <c r="D84" s="15">
        <v>109</v>
      </c>
      <c r="E84" s="32">
        <f t="shared" si="38"/>
        <v>2.8301886792452831E-2</v>
      </c>
      <c r="F84" s="18">
        <f>IF(ISNUMBER(D84), $B91 * E84, "")</f>
        <v>2830.1886792452833</v>
      </c>
      <c r="G84" s="31">
        <v>110</v>
      </c>
      <c r="H84" s="32">
        <f t="shared" si="39"/>
        <v>3.7735849056603772E-2</v>
      </c>
      <c r="I84" s="101">
        <f>IF(ISNUMBER(G84), $B91 * H84, "")</f>
        <v>3773.584905660377</v>
      </c>
      <c r="J84" s="15">
        <v>112</v>
      </c>
      <c r="K84" s="32">
        <f t="shared" si="40"/>
        <v>5.6603773584905662E-2</v>
      </c>
      <c r="L84" s="18">
        <f>IF(ISNUMBER(J84), $B91 * K84, "")</f>
        <v>5660.3773584905666</v>
      </c>
      <c r="M84" s="31">
        <v>107</v>
      </c>
      <c r="N84" s="32">
        <f t="shared" si="41"/>
        <v>9.433962264150943E-3</v>
      </c>
      <c r="O84" s="18">
        <f>IF(ISNUMBER(M84), $B91 * N84, "")</f>
        <v>943.39622641509425</v>
      </c>
      <c r="Q84" s="248"/>
      <c r="R84" s="248"/>
      <c r="S84" s="248"/>
    </row>
    <row r="85" spans="1:19" ht="17.25" thickBot="1">
      <c r="A85" s="127" t="s">
        <v>236</v>
      </c>
      <c r="B85" s="128">
        <v>679</v>
      </c>
      <c r="C85" s="78">
        <v>-1.8786127199999999E-2</v>
      </c>
      <c r="D85" s="20">
        <v>694</v>
      </c>
      <c r="E85" s="21">
        <f t="shared" si="38"/>
        <v>2.2091310751104567E-2</v>
      </c>
      <c r="F85" s="22">
        <f>IF(ISNUMBER(D85), $B91 * E85, "")</f>
        <v>2209.1310751104565</v>
      </c>
      <c r="G85" s="30">
        <v>690</v>
      </c>
      <c r="H85" s="21">
        <f t="shared" si="39"/>
        <v>1.6200294550810016E-2</v>
      </c>
      <c r="I85" s="105">
        <f>IF(ISNUMBER(G85), $B91 * H85, "")</f>
        <v>1620.0294550810015</v>
      </c>
      <c r="J85" s="20">
        <v>694</v>
      </c>
      <c r="K85" s="21">
        <f t="shared" si="40"/>
        <v>2.2091310751104567E-2</v>
      </c>
      <c r="L85" s="22">
        <f>IF(ISNUMBER(J85), $B91 * K85, "")</f>
        <v>2209.1310751104565</v>
      </c>
      <c r="M85" s="30">
        <v>681</v>
      </c>
      <c r="N85" s="21">
        <f t="shared" si="41"/>
        <v>2.9455081001472753E-3</v>
      </c>
      <c r="O85" s="22">
        <f>IF(ISNUMBER(M85), $B91 * N85, "")</f>
        <v>294.55081001472752</v>
      </c>
      <c r="Q85" s="248"/>
      <c r="R85" s="248"/>
      <c r="S85" s="248"/>
    </row>
    <row r="86" spans="1:19" ht="17.25" thickBot="1">
      <c r="A86" s="125" t="s">
        <v>228</v>
      </c>
      <c r="B86" s="129">
        <v>417</v>
      </c>
      <c r="C86" s="80">
        <v>-1.88235294E-2</v>
      </c>
      <c r="D86" s="106">
        <v>418</v>
      </c>
      <c r="E86" s="107">
        <f>IF(ISNUMBER(D86), (D86 - $B86) / $B86, "")</f>
        <v>2.3980815347721821E-3</v>
      </c>
      <c r="F86" s="108">
        <f>IF(ISNUMBER(D86), $B91 * E86, "")</f>
        <v>239.80815347721821</v>
      </c>
      <c r="G86" s="109">
        <v>417</v>
      </c>
      <c r="H86" s="107">
        <f>IF(ISNUMBER(G86), (G86 - $B86) / $B86, "")</f>
        <v>0</v>
      </c>
      <c r="I86" s="110">
        <f>IF(ISNUMBER(G86), $B91 * H86, "")</f>
        <v>0</v>
      </c>
      <c r="J86" s="106">
        <v>420</v>
      </c>
      <c r="K86" s="107">
        <f>IF(ISNUMBER(J86), (J86 - $B86) / $B86, "")</f>
        <v>7.1942446043165471E-3</v>
      </c>
      <c r="L86" s="108">
        <f>IF(ISNUMBER(J86), $B91 * K86, "")</f>
        <v>719.42446043165467</v>
      </c>
      <c r="M86" s="109">
        <v>412</v>
      </c>
      <c r="N86" s="107">
        <f>IF(ISNUMBER(M86), (M86 - $B86) / $B86, "")</f>
        <v>-1.1990407673860911E-2</v>
      </c>
      <c r="O86" s="108">
        <f>IF(ISNUMBER(M86), $B91 * N86, "")</f>
        <v>-1199.0407673860911</v>
      </c>
      <c r="Q86" s="238"/>
      <c r="R86" s="238"/>
      <c r="S86" s="238"/>
    </row>
    <row r="87" spans="1:19" ht="17.25" thickBot="1">
      <c r="A87" s="125" t="s">
        <v>222</v>
      </c>
      <c r="B87" s="126">
        <v>149</v>
      </c>
      <c r="C87" s="77">
        <v>-1.9736842099999999E-2</v>
      </c>
      <c r="D87" s="15">
        <v>150</v>
      </c>
      <c r="E87" s="32">
        <f t="shared" ref="E87:E90" si="42">IF(ISNUMBER(D87), (D87 - $B87) / $B87, "")</f>
        <v>6.7114093959731542E-3</v>
      </c>
      <c r="F87" s="18">
        <f>IF(ISNUMBER(D87), $B91 * E87, "")</f>
        <v>671.14093959731542</v>
      </c>
      <c r="G87" s="31">
        <v>150</v>
      </c>
      <c r="H87" s="32">
        <f t="shared" ref="H87:H90" si="43">IF(ISNUMBER(G87), (G87 - $B87) / $B87, "")</f>
        <v>6.7114093959731542E-3</v>
      </c>
      <c r="I87" s="101">
        <f>IF(ISNUMBER(G87), $B91 * H87, "")</f>
        <v>671.14093959731542</v>
      </c>
      <c r="J87" s="15">
        <v>150</v>
      </c>
      <c r="K87" s="32">
        <f t="shared" ref="K87:K90" si="44">IF(ISNUMBER(J87), (J87 - $B87) / $B87, "")</f>
        <v>6.7114093959731542E-3</v>
      </c>
      <c r="L87" s="18">
        <f>IF(ISNUMBER(J87), $B91 * K87, "")</f>
        <v>671.14093959731542</v>
      </c>
      <c r="M87" s="31">
        <v>148</v>
      </c>
      <c r="N87" s="32">
        <f t="shared" ref="N87:N90" si="45">IF(ISNUMBER(M87), (M87 - $B87) / $B87, "")</f>
        <v>-6.7114093959731542E-3</v>
      </c>
      <c r="O87" s="18">
        <f>IF(ISNUMBER(M87), $B91 * N87, "")</f>
        <v>-671.14093959731542</v>
      </c>
      <c r="Q87" s="238"/>
      <c r="R87" s="238"/>
      <c r="S87" s="238"/>
    </row>
    <row r="88" spans="1:19" ht="17.25" thickBot="1">
      <c r="A88" s="125" t="s">
        <v>192</v>
      </c>
      <c r="B88" s="126">
        <v>241</v>
      </c>
      <c r="C88" s="77">
        <v>-2.0325203300000001E-2</v>
      </c>
      <c r="D88" s="15">
        <v>243</v>
      </c>
      <c r="E88" s="32">
        <f t="shared" si="42"/>
        <v>8.2987551867219917E-3</v>
      </c>
      <c r="F88" s="18">
        <f>IF(ISNUMBER(D88), $B91 * E88, "")</f>
        <v>829.87551867219918</v>
      </c>
      <c r="G88" s="31">
        <v>245</v>
      </c>
      <c r="H88" s="32">
        <f t="shared" si="43"/>
        <v>1.6597510373443983E-2</v>
      </c>
      <c r="I88" s="101">
        <f>IF(ISNUMBER(G88), $B91 * H88, "")</f>
        <v>1659.7510373443984</v>
      </c>
      <c r="J88" s="15">
        <v>245</v>
      </c>
      <c r="K88" s="32">
        <f t="shared" si="44"/>
        <v>1.6597510373443983E-2</v>
      </c>
      <c r="L88" s="18">
        <f>IF(ISNUMBER(J88), $B91 * K88, "")</f>
        <v>1659.7510373443984</v>
      </c>
      <c r="M88" s="31">
        <v>242</v>
      </c>
      <c r="N88" s="32">
        <f t="shared" si="45"/>
        <v>4.1493775933609959E-3</v>
      </c>
      <c r="O88" s="18">
        <f>IF(ISNUMBER(M88), $B91 * N88, "")</f>
        <v>414.93775933609959</v>
      </c>
      <c r="Q88" s="238"/>
      <c r="R88" s="238"/>
      <c r="S88" s="238"/>
    </row>
    <row r="89" spans="1:19">
      <c r="A89" s="125" t="s">
        <v>220</v>
      </c>
      <c r="B89" s="126">
        <v>215</v>
      </c>
      <c r="C89" s="77">
        <v>-2.2727272699999999E-2</v>
      </c>
      <c r="D89" s="15">
        <v>218</v>
      </c>
      <c r="E89" s="32">
        <f t="shared" si="42"/>
        <v>1.3953488372093023E-2</v>
      </c>
      <c r="F89" s="18">
        <f>IF(ISNUMBER(D89), $B91 * E89, "")</f>
        <v>1395.3488372093022</v>
      </c>
      <c r="G89" s="31">
        <v>218</v>
      </c>
      <c r="H89" s="32">
        <f t="shared" si="43"/>
        <v>1.3953488372093023E-2</v>
      </c>
      <c r="I89" s="101">
        <f>IF(ISNUMBER(G89), $B91 * H89, "")</f>
        <v>1395.3488372093022</v>
      </c>
      <c r="J89" s="15">
        <v>219</v>
      </c>
      <c r="K89" s="32">
        <f t="shared" si="44"/>
        <v>1.8604651162790697E-2</v>
      </c>
      <c r="L89" s="18">
        <f>IF(ISNUMBER(J89), $B91 * K89, "")</f>
        <v>1860.4651162790697</v>
      </c>
      <c r="M89" s="31">
        <v>215</v>
      </c>
      <c r="N89" s="32">
        <f t="shared" si="45"/>
        <v>0</v>
      </c>
      <c r="O89" s="18">
        <f>IF(ISNUMBER(M89), $B91 * N89, "")</f>
        <v>0</v>
      </c>
      <c r="Q89" s="227"/>
      <c r="R89" s="228"/>
      <c r="S89" s="229"/>
    </row>
    <row r="90" spans="1:19" ht="17.25" thickBot="1">
      <c r="A90" s="130" t="s">
        <v>86</v>
      </c>
      <c r="B90" s="131">
        <v>422</v>
      </c>
      <c r="C90" s="79">
        <v>-2.3148148100000002E-2</v>
      </c>
      <c r="D90" s="24">
        <v>441</v>
      </c>
      <c r="E90" s="25">
        <f t="shared" si="42"/>
        <v>4.5023696682464455E-2</v>
      </c>
      <c r="F90" s="104">
        <f>IF(ISNUMBER(D90), $B91 * E90, "")</f>
        <v>4502.3696682464451</v>
      </c>
      <c r="G90" s="102">
        <v>436</v>
      </c>
      <c r="H90" s="25">
        <f t="shared" si="43"/>
        <v>3.3175355450236969E-2</v>
      </c>
      <c r="I90" s="103">
        <f>IF(ISNUMBER(G90), $B91 * H90, "")</f>
        <v>3317.5355450236971</v>
      </c>
      <c r="J90" s="24">
        <v>438</v>
      </c>
      <c r="K90" s="25">
        <f t="shared" si="44"/>
        <v>3.7914691943127965E-2</v>
      </c>
      <c r="L90" s="104">
        <f>IF(ISNUMBER(J90), $B91 * K90, "")</f>
        <v>3791.4691943127964</v>
      </c>
      <c r="M90" s="102">
        <v>423</v>
      </c>
      <c r="N90" s="25">
        <f t="shared" si="45"/>
        <v>2.3696682464454978E-3</v>
      </c>
      <c r="O90" s="104">
        <f>IF(ISNUMBER(M90), $B91 * N90, "")</f>
        <v>236.96682464454977</v>
      </c>
      <c r="Q90" s="230"/>
      <c r="R90" s="231"/>
      <c r="S90" s="232"/>
    </row>
    <row r="91" spans="1:19" ht="17.25" thickBot="1">
      <c r="A91" s="132" t="s">
        <v>270</v>
      </c>
      <c r="B91" s="291">
        <f>$B$37</f>
        <v>100000</v>
      </c>
      <c r="C91" s="292"/>
      <c r="D91" s="26" t="s">
        <v>271</v>
      </c>
      <c r="E91" s="27">
        <f>IF(COUNT(E71:E90), SUM(E71:E90) / COUNT(E71:E90), 0)</f>
        <v>2.9578250314661915E-2</v>
      </c>
      <c r="F91" s="28">
        <f>SUM(F71:F90)</f>
        <v>59156.500629323855</v>
      </c>
      <c r="G91" s="26" t="s">
        <v>271</v>
      </c>
      <c r="H91" s="27">
        <f>IF(COUNT(H71:H90), SUM(H71:H90) / COUNT(H71:H90), 0)</f>
        <v>3.3402206997368997E-2</v>
      </c>
      <c r="I91" s="28">
        <f>SUM(I71:I90)</f>
        <v>66804.413994737988</v>
      </c>
      <c r="J91" s="26" t="s">
        <v>271</v>
      </c>
      <c r="K91" s="27">
        <f>IF(COUNT(K71:K90), SUM(K71:K90) / COUNT(K71:K90), 0)</f>
        <v>4.1295145071730863E-2</v>
      </c>
      <c r="L91" s="28">
        <f>SUM(L71:L90)</f>
        <v>82590.290143461723</v>
      </c>
      <c r="M91" s="26" t="s">
        <v>271</v>
      </c>
      <c r="N91" s="27">
        <f>IF(COUNT(N71:N90), SUM(N71:N90) / COUNT(N71:N90), 0)</f>
        <v>9.0982237440807908E-3</v>
      </c>
      <c r="O91" s="28">
        <f>SUM(O71:O90)</f>
        <v>18196.447488161586</v>
      </c>
      <c r="Q91" s="233"/>
      <c r="R91" s="234"/>
      <c r="S91" s="23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48"/>
      <c r="R94" s="248"/>
      <c r="S94" s="248"/>
    </row>
    <row r="95" spans="1:19" ht="17.25" thickBot="1">
      <c r="A95" s="219" t="s">
        <v>267</v>
      </c>
      <c r="B95" s="249" t="s">
        <v>49</v>
      </c>
      <c r="C95" s="251"/>
      <c r="D95" s="249" t="s">
        <v>58</v>
      </c>
      <c r="E95" s="250"/>
      <c r="F95" s="251"/>
      <c r="G95" s="252">
        <f>_xlfn.IFNA(VLOOKUP(B95, 현재가테이블!$B$2:$D$200, 2, FALSE), "-")</f>
        <v>54440000</v>
      </c>
      <c r="H95" s="253"/>
      <c r="I95" s="254"/>
      <c r="J95" s="249" t="s">
        <v>59</v>
      </c>
      <c r="K95" s="250"/>
      <c r="L95" s="251"/>
      <c r="M95" s="255">
        <f>_xlfn.IFNA(VLOOKUP(B95, 현재가테이블!$B$2:$D$200, 3, FALSE), "-")</f>
        <v>1.07123628E-2</v>
      </c>
      <c r="N95" s="256"/>
      <c r="O95" s="257"/>
      <c r="Q95" s="248"/>
      <c r="R95" s="248"/>
      <c r="S95" s="248"/>
    </row>
    <row r="96" spans="1:19" ht="17.25" thickBot="1">
      <c r="A96" s="293" t="s">
        <v>55</v>
      </c>
      <c r="B96" s="289" t="str">
        <f>TEXT($G$1, "[$-ko-KR]yyyy-mm-dd(ddd) ") &amp; "오전 00:00"</f>
        <v>2021-08-16(월) 오전 00:00</v>
      </c>
      <c r="C96" s="290"/>
      <c r="D96" s="262" t="str">
        <f>TEXT($G$1, "[$-ko-KR]yyyy-mm-dd(ddd) ") &amp; "오후 14:00"</f>
        <v>2021-08-16(월) 오후 14:00</v>
      </c>
      <c r="E96" s="263"/>
      <c r="F96" s="264"/>
      <c r="G96" s="262" t="str">
        <f>TEXT($G$1, "[$-ko-KR]yyyy-mm-dd(ddd) ") &amp; "오후 19:00"</f>
        <v>2021-08-16(월) 오후 19:00</v>
      </c>
      <c r="H96" s="263"/>
      <c r="I96" s="264"/>
      <c r="J96" s="262" t="str">
        <f>TEXT($G$1, "[$-ko-KR]yyyy-mm-dd(ddd) ") &amp; "오후 21:00"</f>
        <v>2021-08-16(월) 오후 21:00</v>
      </c>
      <c r="K96" s="263"/>
      <c r="L96" s="264"/>
      <c r="M96" s="262" t="str">
        <f>TEXT($G$1+1, "[$-ko-KR]yyyy-mm-dd(ddd) ") &amp; "오전 00:00"</f>
        <v>2021-08-17(화) 오전 00:00</v>
      </c>
      <c r="N96" s="263"/>
      <c r="O96" s="264"/>
      <c r="Q96" s="248"/>
      <c r="R96" s="248"/>
      <c r="S96" s="248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0" t="s">
        <v>58</v>
      </c>
      <c r="H97" s="221" t="s">
        <v>268</v>
      </c>
      <c r="I97" s="22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8"/>
      <c r="R97" s="238"/>
      <c r="S97" s="238"/>
    </row>
    <row r="98" spans="1:19" ht="17.25" thickBot="1">
      <c r="A98" s="123" t="s">
        <v>100</v>
      </c>
      <c r="B98" s="124">
        <v>87000</v>
      </c>
      <c r="C98" s="76">
        <v>0.11111111110000001</v>
      </c>
      <c r="D98" s="13">
        <v>84990</v>
      </c>
      <c r="E98" s="14">
        <f>IF(ISNUMBER(D98), (D98 - $B98) / $B98, "")</f>
        <v>-2.3103448275862068E-2</v>
      </c>
      <c r="F98" s="16">
        <f>IF(ISNUMBER(D98), $B118 * E98, "")</f>
        <v>-2310.344827586207</v>
      </c>
      <c r="G98" s="29">
        <v>85140</v>
      </c>
      <c r="H98" s="14">
        <f>IF(ISNUMBER(G98), (G98 - $B98) / $B98, "")</f>
        <v>-2.1379310344827585E-2</v>
      </c>
      <c r="I98" s="100">
        <f>IF(ISNUMBER(G98), $B118 * H98, "")</f>
        <v>-2137.9310344827586</v>
      </c>
      <c r="J98" s="13">
        <v>86360</v>
      </c>
      <c r="K98" s="14">
        <f>IF(ISNUMBER(J98), (J98 - $B98) / $B98, "")</f>
        <v>-7.3563218390804595E-3</v>
      </c>
      <c r="L98" s="16">
        <f>IF(ISNUMBER(J98), $B118 * K98, "")</f>
        <v>-735.63218390804593</v>
      </c>
      <c r="M98" s="29">
        <v>83010</v>
      </c>
      <c r="N98" s="14">
        <f>IF(ISNUMBER(M98), (M98 - $B98) / $B98, "")</f>
        <v>-4.5862068965517241E-2</v>
      </c>
      <c r="O98" s="16">
        <f>IF(ISNUMBER(M98), $B118 * N98, "")</f>
        <v>-4586.2068965517237</v>
      </c>
      <c r="Q98" s="248"/>
      <c r="R98" s="248"/>
      <c r="S98" s="248"/>
    </row>
    <row r="99" spans="1:19" ht="17.25" thickBot="1">
      <c r="A99" s="125" t="s">
        <v>92</v>
      </c>
      <c r="B99" s="126">
        <v>81850</v>
      </c>
      <c r="C99" s="77">
        <v>9.4543995699999994E-2</v>
      </c>
      <c r="D99" s="15">
        <v>80320</v>
      </c>
      <c r="E99" s="32">
        <f t="shared" ref="E99:E102" si="46">IF(ISNUMBER(D99), (D99 - $B99) / $B99, "")</f>
        <v>-1.8692730604764812E-2</v>
      </c>
      <c r="F99" s="18">
        <f>IF(ISNUMBER(D99), $B118 * E99, "")</f>
        <v>-1869.2730604764813</v>
      </c>
      <c r="G99" s="31">
        <v>80140</v>
      </c>
      <c r="H99" s="32">
        <f t="shared" ref="H99:H102" si="47">IF(ISNUMBER(G99), (G99 - $B99) / $B99, "")</f>
        <v>-2.0891875381795967E-2</v>
      </c>
      <c r="I99" s="101">
        <f>IF(ISNUMBER(G99), $B118 * H99, "")</f>
        <v>-2089.1875381795967</v>
      </c>
      <c r="J99" s="15">
        <v>80810</v>
      </c>
      <c r="K99" s="32">
        <f t="shared" ref="K99:K102" si="48">IF(ISNUMBER(J99), (J99 - $B99) / $B99, "")</f>
        <v>-1.2706169822846671E-2</v>
      </c>
      <c r="L99" s="18">
        <f>IF(ISNUMBER(J99), $B118 * K99, "")</f>
        <v>-1270.6169822846671</v>
      </c>
      <c r="M99" s="31">
        <v>78750</v>
      </c>
      <c r="N99" s="32">
        <f t="shared" ref="N99:N102" si="49">IF(ISNUMBER(M99), (M99 - $B99) / $B99, "")</f>
        <v>-3.7874160048869884E-2</v>
      </c>
      <c r="O99" s="18">
        <f>IF(ISNUMBER(M99), $B118 * N99, "")</f>
        <v>-3787.4160048869885</v>
      </c>
      <c r="Q99" s="248"/>
      <c r="R99" s="248"/>
      <c r="S99" s="248"/>
    </row>
    <row r="100" spans="1:19" ht="17.25" thickBot="1">
      <c r="A100" s="125" t="s">
        <v>116</v>
      </c>
      <c r="B100" s="126">
        <v>7660</v>
      </c>
      <c r="C100" s="77">
        <v>8.3451202299999999E-2</v>
      </c>
      <c r="D100" s="15">
        <v>7680</v>
      </c>
      <c r="E100" s="32">
        <f t="shared" si="46"/>
        <v>2.6109660574412533E-3</v>
      </c>
      <c r="F100" s="18">
        <f>IF(ISNUMBER(D100), $B118 * E100, "")</f>
        <v>261.09660574412533</v>
      </c>
      <c r="G100" s="31">
        <v>7655</v>
      </c>
      <c r="H100" s="32">
        <f t="shared" si="47"/>
        <v>-6.5274151436031332E-4</v>
      </c>
      <c r="I100" s="101">
        <f>IF(ISNUMBER(G100), $B118 * H100, "")</f>
        <v>-65.274151436031332</v>
      </c>
      <c r="J100" s="15">
        <v>7675</v>
      </c>
      <c r="K100" s="32">
        <f t="shared" si="48"/>
        <v>1.9582245430809398E-3</v>
      </c>
      <c r="L100" s="18">
        <f>IF(ISNUMBER(J100), $B118 * K100, "")</f>
        <v>195.82245430809397</v>
      </c>
      <c r="M100" s="31">
        <v>7480</v>
      </c>
      <c r="N100" s="32">
        <f t="shared" si="49"/>
        <v>-2.3498694516971279E-2</v>
      </c>
      <c r="O100" s="18">
        <f>IF(ISNUMBER(M100), $B118 * N100, "")</f>
        <v>-2349.8694516971277</v>
      </c>
      <c r="Q100" s="238"/>
      <c r="R100" s="238"/>
      <c r="S100" s="238"/>
    </row>
    <row r="101" spans="1:19" ht="17.25" thickBot="1">
      <c r="A101" s="125" t="s">
        <v>88</v>
      </c>
      <c r="B101" s="126">
        <v>215200</v>
      </c>
      <c r="C101" s="77">
        <v>7.7077077100000002E-2</v>
      </c>
      <c r="D101" s="15">
        <v>211150</v>
      </c>
      <c r="E101" s="32">
        <f t="shared" si="46"/>
        <v>-1.8819702602230485E-2</v>
      </c>
      <c r="F101" s="18">
        <f>IF(ISNUMBER(D101), $B118 * E101, "")</f>
        <v>-1881.9702602230484</v>
      </c>
      <c r="G101" s="31">
        <v>211700</v>
      </c>
      <c r="H101" s="32">
        <f t="shared" si="47"/>
        <v>-1.6263940520446097E-2</v>
      </c>
      <c r="I101" s="101">
        <f>IF(ISNUMBER(G101), $B118 * H101, "")</f>
        <v>-1626.3940520446097</v>
      </c>
      <c r="J101" s="15">
        <v>213800</v>
      </c>
      <c r="K101" s="32">
        <f t="shared" si="48"/>
        <v>-6.5055762081784388E-3</v>
      </c>
      <c r="L101" s="18">
        <f>IF(ISNUMBER(J101), $B118 * K101, "")</f>
        <v>-650.55762081784383</v>
      </c>
      <c r="M101" s="31">
        <v>207000</v>
      </c>
      <c r="N101" s="32">
        <f t="shared" si="49"/>
        <v>-3.8104089219330853E-2</v>
      </c>
      <c r="O101" s="18">
        <f>IF(ISNUMBER(M101), $B118 * N101, "")</f>
        <v>-3810.4089219330854</v>
      </c>
      <c r="Q101" s="238"/>
      <c r="R101" s="238"/>
      <c r="S101" s="238"/>
    </row>
    <row r="102" spans="1:19" ht="17.25" thickBot="1">
      <c r="A102" s="127" t="s">
        <v>69</v>
      </c>
      <c r="B102" s="128">
        <v>6495</v>
      </c>
      <c r="C102" s="78">
        <v>6.4754098400000001E-2</v>
      </c>
      <c r="D102" s="20">
        <v>8390</v>
      </c>
      <c r="E102" s="21">
        <f t="shared" si="46"/>
        <v>0.29176289453425713</v>
      </c>
      <c r="F102" s="22">
        <f>IF(ISNUMBER(D102), $B118 * E102, "")</f>
        <v>29176.289453425714</v>
      </c>
      <c r="G102" s="30">
        <v>8015</v>
      </c>
      <c r="H102" s="21">
        <f t="shared" si="47"/>
        <v>0.2340261739799846</v>
      </c>
      <c r="I102" s="105">
        <f>IF(ISNUMBER(G102), $B118 * H102, "")</f>
        <v>23402.61739799846</v>
      </c>
      <c r="J102" s="20">
        <v>7935</v>
      </c>
      <c r="K102" s="21">
        <f t="shared" si="48"/>
        <v>0.22170900692840648</v>
      </c>
      <c r="L102" s="22">
        <f>IF(ISNUMBER(J102), $B118 * K102, "")</f>
        <v>22170.900692840649</v>
      </c>
      <c r="M102" s="30">
        <v>8315</v>
      </c>
      <c r="N102" s="21">
        <f t="shared" si="49"/>
        <v>0.28021555042340263</v>
      </c>
      <c r="O102" s="22">
        <f>IF(ISNUMBER(M102), $B118 * N102, "")</f>
        <v>28021.555042340264</v>
      </c>
      <c r="Q102" s="238"/>
      <c r="R102" s="238"/>
      <c r="S102" s="238"/>
    </row>
    <row r="103" spans="1:19" ht="17.25" thickBot="1">
      <c r="A103" s="125" t="s">
        <v>238</v>
      </c>
      <c r="B103" s="129">
        <v>116</v>
      </c>
      <c r="C103" s="80">
        <v>4.5045044999999999E-2</v>
      </c>
      <c r="D103" s="106">
        <v>124</v>
      </c>
      <c r="E103" s="107">
        <f>IF(ISNUMBER(D103), (D103 - $B103) / $B103, "")</f>
        <v>6.8965517241379309E-2</v>
      </c>
      <c r="F103" s="108">
        <f>IF(ISNUMBER(D103), $B118 * E103, "")</f>
        <v>6896.5517241379312</v>
      </c>
      <c r="G103" s="109">
        <v>124</v>
      </c>
      <c r="H103" s="107">
        <f>IF(ISNUMBER(G103), (G103 - $B103) / $B103, "")</f>
        <v>6.8965517241379309E-2</v>
      </c>
      <c r="I103" s="110">
        <f>IF(ISNUMBER(G103), $B118 * H103, "")</f>
        <v>6896.5517241379312</v>
      </c>
      <c r="J103" s="106">
        <v>124</v>
      </c>
      <c r="K103" s="107">
        <f>IF(ISNUMBER(J103), (J103 - $B103) / $B103, "")</f>
        <v>6.8965517241379309E-2</v>
      </c>
      <c r="L103" s="108">
        <f>IF(ISNUMBER(J103), $B118 * K103, "")</f>
        <v>6896.5517241379312</v>
      </c>
      <c r="M103" s="109">
        <v>118</v>
      </c>
      <c r="N103" s="107">
        <f>IF(ISNUMBER(M103), (M103 - $B103) / $B103, "")</f>
        <v>1.7241379310344827E-2</v>
      </c>
      <c r="O103" s="108">
        <f>IF(ISNUMBER(M103), $B118 * N103, "")</f>
        <v>1724.1379310344828</v>
      </c>
      <c r="Q103" s="238"/>
      <c r="R103" s="238"/>
      <c r="S103" s="238"/>
    </row>
    <row r="104" spans="1:19" ht="17.25" thickBot="1">
      <c r="A104" s="125" t="s">
        <v>174</v>
      </c>
      <c r="B104" s="126">
        <v>378</v>
      </c>
      <c r="C104" s="77">
        <v>4.4198895000000002E-2</v>
      </c>
      <c r="D104" s="15">
        <v>375</v>
      </c>
      <c r="E104" s="32">
        <f t="shared" ref="E104:E107" si="50">IF(ISNUMBER(D104), (D104 - $B104) / $B104, "")</f>
        <v>-7.9365079365079361E-3</v>
      </c>
      <c r="F104" s="18">
        <f>IF(ISNUMBER(D104), $B118 * E104, "")</f>
        <v>-793.65079365079362</v>
      </c>
      <c r="G104" s="31">
        <v>377</v>
      </c>
      <c r="H104" s="32">
        <f t="shared" ref="H104:H107" si="51">IF(ISNUMBER(G104), (G104 - $B104) / $B104, "")</f>
        <v>-2.6455026455026454E-3</v>
      </c>
      <c r="I104" s="101">
        <f>IF(ISNUMBER(G104), $B118 * H104, "")</f>
        <v>-264.55026455026456</v>
      </c>
      <c r="J104" s="15">
        <v>380</v>
      </c>
      <c r="K104" s="32">
        <f t="shared" ref="K104:K107" si="52">IF(ISNUMBER(J104), (J104 - $B104) / $B104, "")</f>
        <v>5.2910052910052907E-3</v>
      </c>
      <c r="L104" s="18">
        <f>IF(ISNUMBER(J104), $B118 * K104, "")</f>
        <v>529.10052910052912</v>
      </c>
      <c r="M104" s="31">
        <v>371</v>
      </c>
      <c r="N104" s="32">
        <f t="shared" ref="N104:N107" si="53">IF(ISNUMBER(M104), (M104 - $B104) / $B104, "")</f>
        <v>-1.8518518518518517E-2</v>
      </c>
      <c r="O104" s="18">
        <f>IF(ISNUMBER(M104), $B118 * N104, "")</f>
        <v>-1851.8518518518517</v>
      </c>
      <c r="Q104" s="238"/>
      <c r="R104" s="238"/>
      <c r="S104" s="238"/>
    </row>
    <row r="105" spans="1:19" ht="17.25" thickBot="1">
      <c r="A105" s="125" t="s">
        <v>120</v>
      </c>
      <c r="B105" s="126">
        <v>5485</v>
      </c>
      <c r="C105" s="77">
        <v>4.1785375100000001E-2</v>
      </c>
      <c r="D105" s="15">
        <v>5445</v>
      </c>
      <c r="E105" s="32">
        <f t="shared" si="50"/>
        <v>-7.2926162260711028E-3</v>
      </c>
      <c r="F105" s="18">
        <f>IF(ISNUMBER(D105), $B118 * E105, "")</f>
        <v>-729.26162260711033</v>
      </c>
      <c r="G105" s="31">
        <v>5445</v>
      </c>
      <c r="H105" s="32">
        <f t="shared" si="51"/>
        <v>-7.2926162260711028E-3</v>
      </c>
      <c r="I105" s="101">
        <f>IF(ISNUMBER(G105), $B118 * H105, "")</f>
        <v>-729.26162260711033</v>
      </c>
      <c r="J105" s="15">
        <v>5485</v>
      </c>
      <c r="K105" s="32">
        <f t="shared" si="52"/>
        <v>0</v>
      </c>
      <c r="L105" s="18">
        <f>IF(ISNUMBER(J105), $B118 * K105, "")</f>
        <v>0</v>
      </c>
      <c r="M105" s="31">
        <v>5380</v>
      </c>
      <c r="N105" s="32">
        <f t="shared" si="53"/>
        <v>-1.9143117593436645E-2</v>
      </c>
      <c r="O105" s="18">
        <f>IF(ISNUMBER(M105), $B118 * N105, "")</f>
        <v>-1914.3117593436646</v>
      </c>
      <c r="Q105" s="238"/>
      <c r="R105" s="238"/>
      <c r="S105" s="238"/>
    </row>
    <row r="106" spans="1:19" ht="17.25" thickBot="1">
      <c r="A106" s="125" t="s">
        <v>212</v>
      </c>
      <c r="B106" s="126">
        <v>1430</v>
      </c>
      <c r="C106" s="77">
        <v>3.62318841E-2</v>
      </c>
      <c r="D106" s="15">
        <v>1465</v>
      </c>
      <c r="E106" s="32">
        <f t="shared" si="50"/>
        <v>2.4475524475524476E-2</v>
      </c>
      <c r="F106" s="18">
        <f>IF(ISNUMBER(D106), $B118 * E106, "")</f>
        <v>2447.5524475524476</v>
      </c>
      <c r="G106" s="31">
        <v>1455</v>
      </c>
      <c r="H106" s="32">
        <f t="shared" si="51"/>
        <v>1.7482517482517484E-2</v>
      </c>
      <c r="I106" s="101">
        <f>IF(ISNUMBER(G106), $B118 * H106, "")</f>
        <v>1748.2517482517483</v>
      </c>
      <c r="J106" s="15">
        <v>1465</v>
      </c>
      <c r="K106" s="32">
        <f t="shared" si="52"/>
        <v>2.4475524475524476E-2</v>
      </c>
      <c r="L106" s="18">
        <f>IF(ISNUMBER(J106), $B118 * K106, "")</f>
        <v>2447.5524475524476</v>
      </c>
      <c r="M106" s="31">
        <v>1415</v>
      </c>
      <c r="N106" s="32">
        <f t="shared" si="53"/>
        <v>-1.048951048951049E-2</v>
      </c>
      <c r="O106" s="18">
        <f>IF(ISNUMBER(M106), $B118 * N106, "")</f>
        <v>-1048.951048951049</v>
      </c>
      <c r="Q106" s="33"/>
      <c r="R106" s="33"/>
    </row>
    <row r="107" spans="1:19" ht="17.25" thickBot="1">
      <c r="A107" s="130" t="s">
        <v>150</v>
      </c>
      <c r="B107" s="131">
        <v>14</v>
      </c>
      <c r="C107" s="79">
        <v>2.9411764699999999E-2</v>
      </c>
      <c r="D107" s="24">
        <v>14.1</v>
      </c>
      <c r="E107" s="25">
        <f t="shared" si="50"/>
        <v>7.1428571428571175E-3</v>
      </c>
      <c r="F107" s="104">
        <f>IF(ISNUMBER(D107), $B118 * E107, "")</f>
        <v>714.28571428571172</v>
      </c>
      <c r="G107" s="102">
        <v>14</v>
      </c>
      <c r="H107" s="25">
        <f t="shared" si="51"/>
        <v>0</v>
      </c>
      <c r="I107" s="103">
        <f>IF(ISNUMBER(G107), $B118 * H107, "")</f>
        <v>0</v>
      </c>
      <c r="J107" s="24">
        <v>14.1</v>
      </c>
      <c r="K107" s="25">
        <f t="shared" si="52"/>
        <v>7.1428571428571175E-3</v>
      </c>
      <c r="L107" s="104">
        <f>IF(ISNUMBER(J107), $B118 * K107, "")</f>
        <v>714.28571428571172</v>
      </c>
      <c r="M107" s="102">
        <v>13.8</v>
      </c>
      <c r="N107" s="25">
        <f t="shared" si="53"/>
        <v>-1.4285714285714235E-2</v>
      </c>
      <c r="O107" s="104">
        <f>IF(ISNUMBER(M107), $B118 * N107, "")</f>
        <v>-1428.5714285714234</v>
      </c>
      <c r="Q107" s="239"/>
      <c r="R107" s="240"/>
      <c r="S107" s="241"/>
    </row>
    <row r="108" spans="1:19">
      <c r="A108" s="123" t="s">
        <v>266</v>
      </c>
      <c r="B108" s="124">
        <v>350</v>
      </c>
      <c r="C108" s="76">
        <v>2.0408163300000001E-2</v>
      </c>
      <c r="D108" s="13">
        <v>390</v>
      </c>
      <c r="E108" s="14">
        <f>IF(ISNUMBER(D108), (D108 - $B108) / $B108, "")</f>
        <v>0.11428571428571428</v>
      </c>
      <c r="F108" s="16">
        <f>IF(ISNUMBER(D108), $B118 * E108, "")</f>
        <v>11428.571428571428</v>
      </c>
      <c r="G108" s="29">
        <v>393</v>
      </c>
      <c r="H108" s="14">
        <f>IF(ISNUMBER(G108), (G108 - $B108) / $B108, "")</f>
        <v>0.12285714285714286</v>
      </c>
      <c r="I108" s="100">
        <f>IF(ISNUMBER(G108), $B118 * H108, "")</f>
        <v>12285.714285714286</v>
      </c>
      <c r="J108" s="13">
        <v>406</v>
      </c>
      <c r="K108" s="14">
        <f>IF(ISNUMBER(J108), (J108 - $B108) / $B108, "")</f>
        <v>0.16</v>
      </c>
      <c r="L108" s="16">
        <f>IF(ISNUMBER(J108), $B118 * K108, "")</f>
        <v>16000</v>
      </c>
      <c r="M108" s="29">
        <v>381</v>
      </c>
      <c r="N108" s="14">
        <f>IF(ISNUMBER(M108), (M108 - $B108) / $B108, "")</f>
        <v>8.8571428571428565E-2</v>
      </c>
      <c r="O108" s="16">
        <f>IF(ISNUMBER(M108), $B118 * N108, "")</f>
        <v>8857.1428571428569</v>
      </c>
      <c r="Q108" s="242"/>
      <c r="R108" s="243"/>
      <c r="S108" s="244"/>
    </row>
    <row r="109" spans="1:19" ht="17.25" thickBot="1">
      <c r="A109" s="125" t="s">
        <v>216</v>
      </c>
      <c r="B109" s="126">
        <v>11.8</v>
      </c>
      <c r="C109" s="77">
        <v>1.7241379300000002E-2</v>
      </c>
      <c r="D109" s="15">
        <v>12.1</v>
      </c>
      <c r="E109" s="32">
        <f t="shared" ref="E109:E112" si="54">IF(ISNUMBER(D109), (D109 - $B109) / $B109, "")</f>
        <v>2.542372881355923E-2</v>
      </c>
      <c r="F109" s="18">
        <f>IF(ISNUMBER(D109), $B118 * E109, "")</f>
        <v>2542.3728813559228</v>
      </c>
      <c r="G109" s="31">
        <v>12.1</v>
      </c>
      <c r="H109" s="32">
        <f t="shared" ref="H109:H112" si="55">IF(ISNUMBER(G109), (G109 - $B109) / $B109, "")</f>
        <v>2.542372881355923E-2</v>
      </c>
      <c r="I109" s="101">
        <f>IF(ISNUMBER(G109), $B118 * H109, "")</f>
        <v>2542.3728813559228</v>
      </c>
      <c r="J109" s="15">
        <v>12.1</v>
      </c>
      <c r="K109" s="32">
        <f t="shared" ref="K109:K112" si="56">IF(ISNUMBER(J109), (J109 - $B109) / $B109, "")</f>
        <v>2.542372881355923E-2</v>
      </c>
      <c r="L109" s="18">
        <f>IF(ISNUMBER(J109), $B118 * K109, "")</f>
        <v>2542.3728813559228</v>
      </c>
      <c r="M109" s="31">
        <v>11.9</v>
      </c>
      <c r="N109" s="32">
        <f t="shared" ref="N109:N112" si="57">IF(ISNUMBER(M109), (M109 - $B109) / $B109, "")</f>
        <v>8.4745762711864094E-3</v>
      </c>
      <c r="O109" s="18">
        <f>IF(ISNUMBER(M109), $B118 * N109, "")</f>
        <v>847.45762711864097</v>
      </c>
      <c r="Q109" s="245"/>
      <c r="R109" s="246"/>
      <c r="S109" s="247"/>
    </row>
    <row r="110" spans="1:19" ht="17.25" thickBot="1">
      <c r="A110" s="125" t="s">
        <v>106</v>
      </c>
      <c r="B110" s="126">
        <v>65370</v>
      </c>
      <c r="C110" s="77">
        <v>1.4117282E-2</v>
      </c>
      <c r="D110" s="15">
        <v>65070</v>
      </c>
      <c r="E110" s="32">
        <f t="shared" si="54"/>
        <v>-4.589261128958238E-3</v>
      </c>
      <c r="F110" s="18">
        <f>IF(ISNUMBER(D110), $B118 * E110, "")</f>
        <v>-458.92611289582379</v>
      </c>
      <c r="G110" s="31">
        <v>65050</v>
      </c>
      <c r="H110" s="32">
        <f t="shared" si="55"/>
        <v>-4.8952118708887873E-3</v>
      </c>
      <c r="I110" s="101">
        <f>IF(ISNUMBER(G110), $B118 * H110, "")</f>
        <v>-489.52118708887872</v>
      </c>
      <c r="J110" s="15">
        <v>65160</v>
      </c>
      <c r="K110" s="32">
        <f t="shared" si="56"/>
        <v>-3.2124827902707664E-3</v>
      </c>
      <c r="L110" s="18">
        <f>IF(ISNUMBER(J110), $B118 * K110, "")</f>
        <v>-321.24827902707665</v>
      </c>
      <c r="M110" s="31">
        <v>67450</v>
      </c>
      <c r="N110" s="32">
        <f t="shared" si="57"/>
        <v>3.1818877160777116E-2</v>
      </c>
      <c r="O110" s="18">
        <f>IF(ISNUMBER(M110), $B118 * N110, "")</f>
        <v>3181.8877160777115</v>
      </c>
      <c r="Q110" s="238"/>
      <c r="R110" s="238"/>
      <c r="S110" s="238"/>
    </row>
    <row r="111" spans="1:19" ht="17.25" thickBot="1">
      <c r="A111" s="125" t="s">
        <v>186</v>
      </c>
      <c r="B111" s="126">
        <v>10360</v>
      </c>
      <c r="C111" s="77">
        <v>1.27077224E-2</v>
      </c>
      <c r="D111" s="15">
        <v>10320</v>
      </c>
      <c r="E111" s="32">
        <f t="shared" si="54"/>
        <v>-3.8610038610038611E-3</v>
      </c>
      <c r="F111" s="18">
        <f>IF(ISNUMBER(D111), $B118 * E111, "")</f>
        <v>-386.10038610038612</v>
      </c>
      <c r="G111" s="31">
        <v>10300</v>
      </c>
      <c r="H111" s="32">
        <f t="shared" si="55"/>
        <v>-5.7915057915057912E-3</v>
      </c>
      <c r="I111" s="101">
        <f>IF(ISNUMBER(G111), $B118 * H111, "")</f>
        <v>-579.15057915057912</v>
      </c>
      <c r="J111" s="15">
        <v>10370</v>
      </c>
      <c r="K111" s="32">
        <f t="shared" si="56"/>
        <v>9.6525096525096527E-4</v>
      </c>
      <c r="L111" s="18">
        <f>IF(ISNUMBER(J111), $B118 * K111, "")</f>
        <v>96.525096525096529</v>
      </c>
      <c r="M111" s="31">
        <v>10100</v>
      </c>
      <c r="N111" s="32">
        <f t="shared" si="57"/>
        <v>-2.5096525096525095E-2</v>
      </c>
      <c r="O111" s="18">
        <f>IF(ISNUMBER(M111), $B118 * N111, "")</f>
        <v>-2509.6525096525097</v>
      </c>
      <c r="Q111" s="248"/>
      <c r="R111" s="248"/>
      <c r="S111" s="248"/>
    </row>
    <row r="112" spans="1:19" ht="17.25" thickBot="1">
      <c r="A112" s="127" t="s">
        <v>144</v>
      </c>
      <c r="B112" s="128">
        <v>122</v>
      </c>
      <c r="C112" s="78">
        <v>8.2644628000000005E-3</v>
      </c>
      <c r="D112" s="20">
        <v>124</v>
      </c>
      <c r="E112" s="21">
        <f t="shared" si="54"/>
        <v>1.6393442622950821E-2</v>
      </c>
      <c r="F112" s="22">
        <f>IF(ISNUMBER(D112), $B118 * E112, "")</f>
        <v>1639.344262295082</v>
      </c>
      <c r="G112" s="30">
        <v>125</v>
      </c>
      <c r="H112" s="21">
        <f t="shared" si="55"/>
        <v>2.4590163934426229E-2</v>
      </c>
      <c r="I112" s="105">
        <f>IF(ISNUMBER(G112), $B118 * H112, "")</f>
        <v>2459.0163934426228</v>
      </c>
      <c r="J112" s="20">
        <v>127</v>
      </c>
      <c r="K112" s="21">
        <f t="shared" si="56"/>
        <v>4.0983606557377046E-2</v>
      </c>
      <c r="L112" s="22">
        <f>IF(ISNUMBER(J112), $B118 * K112, "")</f>
        <v>4098.3606557377043</v>
      </c>
      <c r="M112" s="30">
        <v>122</v>
      </c>
      <c r="N112" s="21">
        <f t="shared" si="57"/>
        <v>0</v>
      </c>
      <c r="O112" s="22">
        <f>IF(ISNUMBER(M112), $B118 * N112, "")</f>
        <v>0</v>
      </c>
      <c r="Q112" s="248"/>
      <c r="R112" s="248"/>
      <c r="S112" s="248"/>
    </row>
    <row r="113" spans="1:19" ht="17.25" thickBot="1">
      <c r="A113" s="125" t="s">
        <v>114</v>
      </c>
      <c r="B113" s="129">
        <v>749</v>
      </c>
      <c r="C113" s="80">
        <v>8.0753700999999997E-3</v>
      </c>
      <c r="D113" s="106">
        <v>764</v>
      </c>
      <c r="E113" s="107">
        <f>IF(ISNUMBER(D113), (D113 - $B113) / $B113, "")</f>
        <v>2.0026702269692925E-2</v>
      </c>
      <c r="F113" s="108">
        <f>IF(ISNUMBER(D113), $B118 * E113, "")</f>
        <v>2002.6702269692926</v>
      </c>
      <c r="G113" s="109">
        <v>795</v>
      </c>
      <c r="H113" s="107">
        <f>IF(ISNUMBER(G113), (G113 - $B113) / $B113, "")</f>
        <v>6.1415220293724967E-2</v>
      </c>
      <c r="I113" s="110">
        <f>IF(ISNUMBER(G113), $B118 * H113, "")</f>
        <v>6141.5220293724969</v>
      </c>
      <c r="J113" s="106">
        <v>782</v>
      </c>
      <c r="K113" s="107">
        <f>IF(ISNUMBER(J113), (J113 - $B113) / $B113, "")</f>
        <v>4.4058744993324434E-2</v>
      </c>
      <c r="L113" s="108">
        <f>IF(ISNUMBER(J113), $B118 * K113, "")</f>
        <v>4405.8744993324435</v>
      </c>
      <c r="M113" s="109">
        <v>752</v>
      </c>
      <c r="N113" s="107">
        <f>IF(ISNUMBER(M113), (M113 - $B113) / $B113, "")</f>
        <v>4.0053404539385851E-3</v>
      </c>
      <c r="O113" s="108">
        <f>IF(ISNUMBER(M113), $B118 * N113, "")</f>
        <v>400.53404539385849</v>
      </c>
      <c r="Q113" s="238"/>
      <c r="R113" s="238"/>
      <c r="S113" s="238"/>
    </row>
    <row r="114" spans="1:19" ht="17.25" thickBot="1">
      <c r="A114" s="125" t="s">
        <v>136</v>
      </c>
      <c r="B114" s="126">
        <v>2240</v>
      </c>
      <c r="C114" s="77">
        <v>6.7415729999999998E-3</v>
      </c>
      <c r="D114" s="15">
        <v>2315</v>
      </c>
      <c r="E114" s="32">
        <f t="shared" ref="E114:E117" si="58">IF(ISNUMBER(D114), (D114 - $B114) / $B114, "")</f>
        <v>3.3482142857142856E-2</v>
      </c>
      <c r="F114" s="18">
        <f>IF(ISNUMBER(D114), $B118 * E114, "")</f>
        <v>3348.2142857142858</v>
      </c>
      <c r="G114" s="31">
        <v>2315</v>
      </c>
      <c r="H114" s="32">
        <f t="shared" ref="H114:H117" si="59">IF(ISNUMBER(G114), (G114 - $B114) / $B114, "")</f>
        <v>3.3482142857142856E-2</v>
      </c>
      <c r="I114" s="101">
        <f>IF(ISNUMBER(G114), $B118 * H114, "")</f>
        <v>3348.2142857142858</v>
      </c>
      <c r="J114" s="15">
        <v>2315</v>
      </c>
      <c r="K114" s="32">
        <f t="shared" ref="K114:K117" si="60">IF(ISNUMBER(J114), (J114 - $B114) / $B114, "")</f>
        <v>3.3482142857142856E-2</v>
      </c>
      <c r="L114" s="18">
        <f>IF(ISNUMBER(J114), $B118 * K114, "")</f>
        <v>3348.2142857142858</v>
      </c>
      <c r="M114" s="31">
        <v>2230</v>
      </c>
      <c r="N114" s="32">
        <f t="shared" ref="N114:N117" si="61">IF(ISNUMBER(M114), (M114 - $B114) / $B114, "")</f>
        <v>-4.464285714285714E-3</v>
      </c>
      <c r="O114" s="18">
        <f>IF(ISNUMBER(M114), $B118 * N114, "")</f>
        <v>-446.42857142857139</v>
      </c>
      <c r="Q114" s="238"/>
      <c r="R114" s="238"/>
      <c r="S114" s="238"/>
    </row>
    <row r="115" spans="1:19" ht="17.25" thickBot="1">
      <c r="A115" s="125" t="s">
        <v>204</v>
      </c>
      <c r="B115" s="126">
        <v>15.7</v>
      </c>
      <c r="C115" s="77">
        <v>6.4102563999999997E-3</v>
      </c>
      <c r="D115" s="15">
        <v>17</v>
      </c>
      <c r="E115" s="32">
        <f t="shared" si="58"/>
        <v>8.2802547770700688E-2</v>
      </c>
      <c r="F115" s="18">
        <f>IF(ISNUMBER(D115), $B118 * E115, "")</f>
        <v>8280.2547770700694</v>
      </c>
      <c r="G115" s="31">
        <v>16.8</v>
      </c>
      <c r="H115" s="32">
        <f t="shared" si="59"/>
        <v>7.0063694267516019E-2</v>
      </c>
      <c r="I115" s="101">
        <f>IF(ISNUMBER(G115), $B118 * H115, "")</f>
        <v>7006.3694267516021</v>
      </c>
      <c r="J115" s="15">
        <v>16.8</v>
      </c>
      <c r="K115" s="32">
        <f t="shared" si="60"/>
        <v>7.0063694267516019E-2</v>
      </c>
      <c r="L115" s="18">
        <f>IF(ISNUMBER(J115), $B118 * K115, "")</f>
        <v>7006.3694267516021</v>
      </c>
      <c r="M115" s="31">
        <v>16.2</v>
      </c>
      <c r="N115" s="32">
        <f t="shared" si="61"/>
        <v>3.1847133757961783E-2</v>
      </c>
      <c r="O115" s="18">
        <f>IF(ISNUMBER(M115), $B118 * N115, "")</f>
        <v>3184.7133757961783</v>
      </c>
      <c r="Q115" s="238"/>
      <c r="R115" s="238"/>
      <c r="S115" s="238"/>
    </row>
    <row r="116" spans="1:19">
      <c r="A116" s="125" t="s">
        <v>206</v>
      </c>
      <c r="B116" s="126">
        <v>361</v>
      </c>
      <c r="C116" s="77">
        <v>2.7777778000000002E-3</v>
      </c>
      <c r="D116" s="15">
        <v>372</v>
      </c>
      <c r="E116" s="32">
        <f t="shared" si="58"/>
        <v>3.0470914127423823E-2</v>
      </c>
      <c r="F116" s="18">
        <f>IF(ISNUMBER(D116), $B118 * E116, "")</f>
        <v>3047.0914127423825</v>
      </c>
      <c r="G116" s="31">
        <v>367</v>
      </c>
      <c r="H116" s="32">
        <f t="shared" si="59"/>
        <v>1.662049861495845E-2</v>
      </c>
      <c r="I116" s="101">
        <f>IF(ISNUMBER(G116), $B118 * H116, "")</f>
        <v>1662.0498614958449</v>
      </c>
      <c r="J116" s="15">
        <v>369</v>
      </c>
      <c r="K116" s="32">
        <f t="shared" si="60"/>
        <v>2.2160664819944598E-2</v>
      </c>
      <c r="L116" s="18">
        <f>IF(ISNUMBER(J116), $B118 * K116, "")</f>
        <v>2216.06648199446</v>
      </c>
      <c r="M116" s="31">
        <v>358</v>
      </c>
      <c r="N116" s="32">
        <f t="shared" si="61"/>
        <v>-8.3102493074792248E-3</v>
      </c>
      <c r="O116" s="18">
        <f>IF(ISNUMBER(M116), $B118 * N116, "")</f>
        <v>-831.02493074792244</v>
      </c>
      <c r="Q116" s="227"/>
      <c r="R116" s="228"/>
      <c r="S116" s="229"/>
    </row>
    <row r="117" spans="1:19" ht="17.25" thickBot="1">
      <c r="A117" s="130" t="s">
        <v>178</v>
      </c>
      <c r="B117" s="131">
        <v>17.600000000000001</v>
      </c>
      <c r="C117" s="79">
        <v>0</v>
      </c>
      <c r="D117" s="24">
        <v>18.2</v>
      </c>
      <c r="E117" s="25">
        <f t="shared" si="58"/>
        <v>3.409090909090897E-2</v>
      </c>
      <c r="F117" s="104">
        <f>IF(ISNUMBER(D117), $B118 * E117, "")</f>
        <v>3409.0909090908972</v>
      </c>
      <c r="G117" s="102">
        <v>18.2</v>
      </c>
      <c r="H117" s="25">
        <f t="shared" si="59"/>
        <v>3.409090909090897E-2</v>
      </c>
      <c r="I117" s="103">
        <f>IF(ISNUMBER(G117), $B118 * H117, "")</f>
        <v>3409.0909090908972</v>
      </c>
      <c r="J117" s="24">
        <v>18.3</v>
      </c>
      <c r="K117" s="25">
        <f t="shared" si="60"/>
        <v>3.977272727272723E-2</v>
      </c>
      <c r="L117" s="104">
        <f>IF(ISNUMBER(J117), $B118 * K117, "")</f>
        <v>3977.2727272727229</v>
      </c>
      <c r="M117" s="102">
        <v>17.7</v>
      </c>
      <c r="N117" s="25">
        <f t="shared" si="61"/>
        <v>5.6818181818180605E-3</v>
      </c>
      <c r="O117" s="104">
        <f>IF(ISNUMBER(M117), $B118 * N117, "")</f>
        <v>568.18181818180608</v>
      </c>
      <c r="Q117" s="230"/>
      <c r="R117" s="231"/>
      <c r="S117" s="232"/>
    </row>
    <row r="118" spans="1:19" ht="17.25" thickBot="1">
      <c r="A118" s="132" t="s">
        <v>270</v>
      </c>
      <c r="B118" s="291">
        <f>$B$37</f>
        <v>100000</v>
      </c>
      <c r="C118" s="292"/>
      <c r="D118" s="26" t="s">
        <v>271</v>
      </c>
      <c r="E118" s="27">
        <f>IF(COUNT(E98:E117), SUM(E98:E117) / COUNT(E98:E117), 0)</f>
        <v>3.338192953270773E-2</v>
      </c>
      <c r="F118" s="28">
        <f>SUM(F98:F117)</f>
        <v>66763.859065415425</v>
      </c>
      <c r="G118" s="26" t="s">
        <v>271</v>
      </c>
      <c r="H118" s="27">
        <f>IF(COUNT(H98:H117), SUM(H98:H117) / COUNT(H98:H117), 0)</f>
        <v>3.1460250256893127E-2</v>
      </c>
      <c r="I118" s="28">
        <f>SUM(I98:I117)</f>
        <v>62920.500513786268</v>
      </c>
      <c r="J118" s="26" t="s">
        <v>271</v>
      </c>
      <c r="K118" s="27">
        <f>IF(COUNT(K98:K117), SUM(K98:K117) / COUNT(K98:K117), 0)</f>
        <v>3.6833607275435984E-2</v>
      </c>
      <c r="L118" s="28">
        <f>SUM(L98:L117)</f>
        <v>73667.21455087197</v>
      </c>
      <c r="M118" s="26" t="s">
        <v>271</v>
      </c>
      <c r="N118" s="27">
        <f>IF(COUNT(N98:N117), SUM(N98:N117) / COUNT(N98:N117), 0)</f>
        <v>1.1110458518734937E-2</v>
      </c>
      <c r="O118" s="28">
        <f>SUM(O98:O117)</f>
        <v>22220.917037469881</v>
      </c>
      <c r="Q118" s="233"/>
      <c r="R118" s="234"/>
      <c r="S118" s="23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48"/>
      <c r="R121" s="248"/>
      <c r="S121" s="248"/>
    </row>
    <row r="122" spans="1:19" ht="17.25" thickBot="1">
      <c r="A122" s="219" t="s">
        <v>267</v>
      </c>
      <c r="B122" s="249" t="s">
        <v>49</v>
      </c>
      <c r="C122" s="251"/>
      <c r="D122" s="249" t="s">
        <v>58</v>
      </c>
      <c r="E122" s="250"/>
      <c r="F122" s="251"/>
      <c r="G122" s="252">
        <f>_xlfn.IFNA(VLOOKUP(B122, 현재가테이블!$B$2:$D$200, 2, FALSE), "-")</f>
        <v>54440000</v>
      </c>
      <c r="H122" s="253"/>
      <c r="I122" s="254"/>
      <c r="J122" s="249" t="s">
        <v>59</v>
      </c>
      <c r="K122" s="250"/>
      <c r="L122" s="251"/>
      <c r="M122" s="255">
        <f>_xlfn.IFNA(VLOOKUP(B122, 현재가테이블!$B$2:$D$200, 3, FALSE), "-")</f>
        <v>1.07123628E-2</v>
      </c>
      <c r="N122" s="256"/>
      <c r="O122" s="257"/>
      <c r="Q122" s="248"/>
      <c r="R122" s="248"/>
      <c r="S122" s="248"/>
    </row>
    <row r="123" spans="1:19" ht="17.25" thickBot="1">
      <c r="A123" s="293" t="s">
        <v>55</v>
      </c>
      <c r="B123" s="289" t="str">
        <f>TEXT($G$1, "[$-ko-KR]yyyy-mm-dd(ddd) ") &amp; "오전 00:00"</f>
        <v>2021-08-16(월) 오전 00:00</v>
      </c>
      <c r="C123" s="290"/>
      <c r="D123" s="262" t="str">
        <f>TEXT($G$1, "[$-ko-KR]yyyy-mm-dd(ddd) ") &amp; "오후 14:00"</f>
        <v>2021-08-16(월) 오후 14:00</v>
      </c>
      <c r="E123" s="263"/>
      <c r="F123" s="264"/>
      <c r="G123" s="262" t="str">
        <f>TEXT($G$1, "[$-ko-KR]yyyy-mm-dd(ddd) ") &amp; "오후 19:00"</f>
        <v>2021-08-16(월) 오후 19:00</v>
      </c>
      <c r="H123" s="263"/>
      <c r="I123" s="264"/>
      <c r="J123" s="262" t="str">
        <f>TEXT($G$1, "[$-ko-KR]yyyy-mm-dd(ddd) ") &amp; "오후 21:00"</f>
        <v>2021-08-16(월) 오후 21:00</v>
      </c>
      <c r="K123" s="263"/>
      <c r="L123" s="264"/>
      <c r="M123" s="262" t="str">
        <f>TEXT($G$1+1, "[$-ko-KR]yyyy-mm-dd(ddd) ") &amp; "오전 00:00"</f>
        <v>2021-08-17(화) 오전 00:00</v>
      </c>
      <c r="N123" s="263"/>
      <c r="O123" s="264"/>
      <c r="Q123" s="248"/>
      <c r="R123" s="248"/>
      <c r="S123" s="248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0" t="s">
        <v>58</v>
      </c>
      <c r="H124" s="221" t="s">
        <v>268</v>
      </c>
      <c r="I124" s="22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8"/>
      <c r="R124" s="238"/>
      <c r="S124" s="238"/>
    </row>
    <row r="125" spans="1:19" ht="17.25" thickBot="1">
      <c r="A125" s="123" t="s">
        <v>150</v>
      </c>
      <c r="B125" s="124">
        <v>14</v>
      </c>
      <c r="C125" s="76">
        <v>2.9411764699999999E-2</v>
      </c>
      <c r="D125" s="13">
        <v>14.1</v>
      </c>
      <c r="E125" s="14">
        <f>IF(ISNUMBER(D125), (D125 - $B125) / $B125, "")</f>
        <v>7.1428571428571175E-3</v>
      </c>
      <c r="F125" s="16">
        <f>IF(ISNUMBER(D125), $B145 * E125, "")</f>
        <v>714.28571428571172</v>
      </c>
      <c r="G125" s="29">
        <v>14</v>
      </c>
      <c r="H125" s="14">
        <f>IF(ISNUMBER(G125), (G125 - $B125) / $B125, "")</f>
        <v>0</v>
      </c>
      <c r="I125" s="100">
        <f>IF(ISNUMBER(G125), $B145 * H125, "")</f>
        <v>0</v>
      </c>
      <c r="J125" s="13">
        <v>14.1</v>
      </c>
      <c r="K125" s="14">
        <f>IF(ISNUMBER(J125), (J125 - $B125) / $B125, "")</f>
        <v>7.1428571428571175E-3</v>
      </c>
      <c r="L125" s="16">
        <f>IF(ISNUMBER(J125), $B145 * K125, "")</f>
        <v>714.28571428571172</v>
      </c>
      <c r="M125" s="29">
        <v>13.8</v>
      </c>
      <c r="N125" s="14">
        <f>IF(ISNUMBER(M125), (M125 - $B125) / $B125, "")</f>
        <v>-1.4285714285714235E-2</v>
      </c>
      <c r="O125" s="16">
        <f>IF(ISNUMBER(M125), $B145 * N125, "")</f>
        <v>-1428.5714285714234</v>
      </c>
      <c r="Q125" s="248"/>
      <c r="R125" s="248"/>
      <c r="S125" s="248"/>
    </row>
    <row r="126" spans="1:19" ht="17.25" thickBot="1">
      <c r="A126" s="125" t="s">
        <v>216</v>
      </c>
      <c r="B126" s="126">
        <v>11.8</v>
      </c>
      <c r="C126" s="77">
        <v>1.7241379300000002E-2</v>
      </c>
      <c r="D126" s="15">
        <v>12.1</v>
      </c>
      <c r="E126" s="32">
        <f t="shared" ref="E126:E129" si="62">IF(ISNUMBER(D126), (D126 - $B126) / $B126, "")</f>
        <v>2.542372881355923E-2</v>
      </c>
      <c r="F126" s="18">
        <f>IF(ISNUMBER(D126), $B145 * E126, "")</f>
        <v>2542.3728813559228</v>
      </c>
      <c r="G126" s="31">
        <v>12.1</v>
      </c>
      <c r="H126" s="32">
        <f t="shared" ref="H126:H129" si="63">IF(ISNUMBER(G126), (G126 - $B126) / $B126, "")</f>
        <v>2.542372881355923E-2</v>
      </c>
      <c r="I126" s="101">
        <f>IF(ISNUMBER(G126), $B145 * H126, "")</f>
        <v>2542.3728813559228</v>
      </c>
      <c r="J126" s="15">
        <v>12.1</v>
      </c>
      <c r="K126" s="32">
        <f t="shared" ref="K126:K129" si="64">IF(ISNUMBER(J126), (J126 - $B126) / $B126, "")</f>
        <v>2.542372881355923E-2</v>
      </c>
      <c r="L126" s="18">
        <f>IF(ISNUMBER(J126), $B145 * K126, "")</f>
        <v>2542.3728813559228</v>
      </c>
      <c r="M126" s="31">
        <v>11.9</v>
      </c>
      <c r="N126" s="32">
        <f t="shared" ref="N126:N129" si="65">IF(ISNUMBER(M126), (M126 - $B126) / $B126, "")</f>
        <v>8.4745762711864094E-3</v>
      </c>
      <c r="O126" s="18">
        <f>IF(ISNUMBER(M126), $B145 * N126, "")</f>
        <v>847.45762711864097</v>
      </c>
      <c r="Q126" s="248"/>
      <c r="R126" s="248"/>
      <c r="S126" s="248"/>
    </row>
    <row r="127" spans="1:19" ht="17.25" thickBot="1">
      <c r="A127" s="125" t="s">
        <v>204</v>
      </c>
      <c r="B127" s="126">
        <v>15.7</v>
      </c>
      <c r="C127" s="77">
        <v>6.4102563999999997E-3</v>
      </c>
      <c r="D127" s="15">
        <v>17</v>
      </c>
      <c r="E127" s="32">
        <f t="shared" si="62"/>
        <v>8.2802547770700688E-2</v>
      </c>
      <c r="F127" s="18">
        <f>IF(ISNUMBER(D127), $B145 * E127, "")</f>
        <v>8280.2547770700694</v>
      </c>
      <c r="G127" s="31">
        <v>16.8</v>
      </c>
      <c r="H127" s="32">
        <f t="shared" si="63"/>
        <v>7.0063694267516019E-2</v>
      </c>
      <c r="I127" s="101">
        <f>IF(ISNUMBER(G127), $B145 * H127, "")</f>
        <v>7006.3694267516021</v>
      </c>
      <c r="J127" s="15">
        <v>16.8</v>
      </c>
      <c r="K127" s="32">
        <f t="shared" si="64"/>
        <v>7.0063694267516019E-2</v>
      </c>
      <c r="L127" s="18">
        <f>IF(ISNUMBER(J127), $B145 * K127, "")</f>
        <v>7006.3694267516021</v>
      </c>
      <c r="M127" s="31">
        <v>16.2</v>
      </c>
      <c r="N127" s="32">
        <f t="shared" si="65"/>
        <v>3.1847133757961783E-2</v>
      </c>
      <c r="O127" s="18">
        <f>IF(ISNUMBER(M127), $B145 * N127, "")</f>
        <v>3184.7133757961783</v>
      </c>
      <c r="Q127" s="238"/>
      <c r="R127" s="238"/>
      <c r="S127" s="238"/>
    </row>
    <row r="128" spans="1:19" ht="17.25" thickBot="1">
      <c r="A128" s="125" t="s">
        <v>178</v>
      </c>
      <c r="B128" s="126">
        <v>17.600000000000001</v>
      </c>
      <c r="C128" s="77">
        <v>0</v>
      </c>
      <c r="D128" s="15">
        <v>18.2</v>
      </c>
      <c r="E128" s="32">
        <f t="shared" si="62"/>
        <v>3.409090909090897E-2</v>
      </c>
      <c r="F128" s="18">
        <f>IF(ISNUMBER(D128), $B145 * E128, "")</f>
        <v>3409.0909090908972</v>
      </c>
      <c r="G128" s="31">
        <v>18.2</v>
      </c>
      <c r="H128" s="32">
        <f t="shared" si="63"/>
        <v>3.409090909090897E-2</v>
      </c>
      <c r="I128" s="101">
        <f>IF(ISNUMBER(G128), $B145 * H128, "")</f>
        <v>3409.0909090908972</v>
      </c>
      <c r="J128" s="15">
        <v>18.3</v>
      </c>
      <c r="K128" s="32">
        <f t="shared" si="64"/>
        <v>3.977272727272723E-2</v>
      </c>
      <c r="L128" s="18">
        <f>IF(ISNUMBER(J128), $B145 * K128, "")</f>
        <v>3977.2727272727229</v>
      </c>
      <c r="M128" s="31">
        <v>17.7</v>
      </c>
      <c r="N128" s="32">
        <f t="shared" si="65"/>
        <v>5.6818181818180605E-3</v>
      </c>
      <c r="O128" s="18">
        <f>IF(ISNUMBER(M128), $B145 * N128, "")</f>
        <v>568.18181818180608</v>
      </c>
      <c r="Q128" s="238"/>
      <c r="R128" s="238"/>
      <c r="S128" s="238"/>
    </row>
    <row r="129" spans="1:19" ht="17.25" thickBot="1">
      <c r="A129" s="127" t="s">
        <v>250</v>
      </c>
      <c r="B129" s="128">
        <v>82.3</v>
      </c>
      <c r="C129" s="78">
        <v>-2.02380952E-2</v>
      </c>
      <c r="D129" s="20">
        <v>87.2</v>
      </c>
      <c r="E129" s="21">
        <f t="shared" si="62"/>
        <v>5.9538274605103352E-2</v>
      </c>
      <c r="F129" s="22">
        <f>IF(ISNUMBER(D129), $B145 * E129, "")</f>
        <v>5953.8274605103352</v>
      </c>
      <c r="G129" s="30">
        <v>87.2</v>
      </c>
      <c r="H129" s="21">
        <f t="shared" si="63"/>
        <v>5.9538274605103352E-2</v>
      </c>
      <c r="I129" s="105">
        <f>IF(ISNUMBER(G129), $B145 * H129, "")</f>
        <v>5953.8274605103352</v>
      </c>
      <c r="J129" s="20">
        <v>88.9</v>
      </c>
      <c r="K129" s="21">
        <f t="shared" si="64"/>
        <v>8.0194410692588203E-2</v>
      </c>
      <c r="L129" s="22">
        <f>IF(ISNUMBER(J129), $B145 * K129, "")</f>
        <v>8019.4410692588199</v>
      </c>
      <c r="M129" s="30">
        <v>84.7</v>
      </c>
      <c r="N129" s="21">
        <f t="shared" si="65"/>
        <v>2.916160388821392E-2</v>
      </c>
      <c r="O129" s="22">
        <f>IF(ISNUMBER(M129), $B145 * N129, "")</f>
        <v>2916.1603888213922</v>
      </c>
      <c r="Q129" s="238"/>
      <c r="R129" s="238"/>
      <c r="S129" s="238"/>
    </row>
    <row r="130" spans="1:19" ht="17.25" thickBot="1">
      <c r="A130" s="125" t="s">
        <v>188</v>
      </c>
      <c r="B130" s="129">
        <v>13.3</v>
      </c>
      <c r="C130" s="80">
        <v>-2.2058823500000001E-2</v>
      </c>
      <c r="D130" s="106">
        <v>13.4</v>
      </c>
      <c r="E130" s="107">
        <f>IF(ISNUMBER(D130), (D130 - $B130) / $B130, "")</f>
        <v>7.5187969924811757E-3</v>
      </c>
      <c r="F130" s="108">
        <f>IF(ISNUMBER(D130), $B145 * E130, "")</f>
        <v>751.87969924811762</v>
      </c>
      <c r="G130" s="109">
        <v>13.5</v>
      </c>
      <c r="H130" s="107">
        <f>IF(ISNUMBER(G130), (G130 - $B130) / $B130, "")</f>
        <v>1.5037593984962351E-2</v>
      </c>
      <c r="I130" s="110">
        <f>IF(ISNUMBER(G130), $B145 * H130, "")</f>
        <v>1503.7593984962352</v>
      </c>
      <c r="J130" s="106">
        <v>13.7</v>
      </c>
      <c r="K130" s="107">
        <f>IF(ISNUMBER(J130), (J130 - $B130) / $B130, "")</f>
        <v>3.0075187969924703E-2</v>
      </c>
      <c r="L130" s="108">
        <f>IF(ISNUMBER(J130), $B145 * K130, "")</f>
        <v>3007.5187969924705</v>
      </c>
      <c r="M130" s="109">
        <v>13.3</v>
      </c>
      <c r="N130" s="107">
        <f>IF(ISNUMBER(M130), (M130 - $B130) / $B130, "")</f>
        <v>0</v>
      </c>
      <c r="O130" s="108">
        <f>IF(ISNUMBER(M130), $B145 * N130, "")</f>
        <v>0</v>
      </c>
      <c r="Q130" s="238"/>
      <c r="R130" s="238"/>
      <c r="S130" s="238"/>
    </row>
    <row r="131" spans="1:19" ht="17.25" thickBot="1">
      <c r="A131" s="125" t="s">
        <v>210</v>
      </c>
      <c r="B131" s="126">
        <v>12.8</v>
      </c>
      <c r="C131" s="77">
        <v>-2.2900763399999999E-2</v>
      </c>
      <c r="D131" s="15">
        <v>13.2</v>
      </c>
      <c r="E131" s="32">
        <f t="shared" ref="E131:E134" si="66">IF(ISNUMBER(D131), (D131 - $B131) / $B131, "")</f>
        <v>3.1249999999999889E-2</v>
      </c>
      <c r="F131" s="18">
        <f>IF(ISNUMBER(D131), $B145 * E131, "")</f>
        <v>3124.9999999999891</v>
      </c>
      <c r="G131" s="31">
        <v>13.1</v>
      </c>
      <c r="H131" s="32">
        <f t="shared" ref="H131:H134" si="67">IF(ISNUMBER(G131), (G131 - $B131) / $B131, "")</f>
        <v>2.3437499999999917E-2</v>
      </c>
      <c r="I131" s="101">
        <f>IF(ISNUMBER(G131), $B145 * H131, "")</f>
        <v>2343.7499999999918</v>
      </c>
      <c r="J131" s="15">
        <v>13.1</v>
      </c>
      <c r="K131" s="32">
        <f t="shared" ref="K131:K134" si="68">IF(ISNUMBER(J131), (J131 - $B131) / $B131, "")</f>
        <v>2.3437499999999917E-2</v>
      </c>
      <c r="L131" s="18">
        <f>IF(ISNUMBER(J131), $B145 * K131, "")</f>
        <v>2343.7499999999918</v>
      </c>
      <c r="M131" s="31">
        <v>12.8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38"/>
      <c r="R131" s="238"/>
      <c r="S131" s="238"/>
    </row>
    <row r="132" spans="1:19" ht="17.25" thickBot="1">
      <c r="A132" s="125" t="s">
        <v>234</v>
      </c>
      <c r="B132" s="126">
        <v>76.7</v>
      </c>
      <c r="C132" s="77">
        <v>-2.4173027999999999E-2</v>
      </c>
      <c r="D132" s="15">
        <v>77.900000000000006</v>
      </c>
      <c r="E132" s="32">
        <f t="shared" si="66"/>
        <v>1.5645371577575003E-2</v>
      </c>
      <c r="F132" s="18">
        <f>IF(ISNUMBER(D132), $B145 * E132, "")</f>
        <v>1564.5371577575004</v>
      </c>
      <c r="G132" s="31">
        <v>77.400000000000006</v>
      </c>
      <c r="H132" s="32">
        <f t="shared" si="67"/>
        <v>9.1264667535854351E-3</v>
      </c>
      <c r="I132" s="101">
        <f>IF(ISNUMBER(G132), $B145 * H132, "")</f>
        <v>912.64667535854346</v>
      </c>
      <c r="J132" s="15">
        <v>78.2</v>
      </c>
      <c r="K132" s="32">
        <f t="shared" si="68"/>
        <v>1.955671447196871E-2</v>
      </c>
      <c r="L132" s="18">
        <f>IF(ISNUMBER(J132), $B145 * K132, "")</f>
        <v>1955.671447196871</v>
      </c>
      <c r="M132" s="31">
        <v>76.599999999999994</v>
      </c>
      <c r="N132" s="32">
        <f t="shared" si="69"/>
        <v>-1.3037809647980252E-3</v>
      </c>
      <c r="O132" s="18">
        <f>IF(ISNUMBER(M132), $B145 * N132, "")</f>
        <v>-130.37809647980251</v>
      </c>
      <c r="Q132" s="238"/>
      <c r="R132" s="238"/>
      <c r="S132" s="238"/>
    </row>
    <row r="133" spans="1:19" ht="17.25" thickBot="1">
      <c r="A133" s="125" t="s">
        <v>72</v>
      </c>
      <c r="B133" s="126">
        <v>24.8</v>
      </c>
      <c r="C133" s="77">
        <v>-3.125E-2</v>
      </c>
      <c r="D133" s="15">
        <v>25.4</v>
      </c>
      <c r="E133" s="32">
        <f t="shared" si="66"/>
        <v>2.4193548387096687E-2</v>
      </c>
      <c r="F133" s="18">
        <f>IF(ISNUMBER(D133), $B145 * E133, "")</f>
        <v>2419.3548387096685</v>
      </c>
      <c r="G133" s="31">
        <v>25.1</v>
      </c>
      <c r="H133" s="32">
        <f t="shared" si="67"/>
        <v>1.2096774193548416E-2</v>
      </c>
      <c r="I133" s="101">
        <f>IF(ISNUMBER(G133), $B145 * H133, "")</f>
        <v>1209.6774193548417</v>
      </c>
      <c r="J133" s="15">
        <v>25.3</v>
      </c>
      <c r="K133" s="32">
        <f t="shared" si="68"/>
        <v>2.0161290322580645E-2</v>
      </c>
      <c r="L133" s="18">
        <f>IF(ISNUMBER(J133), $B145 * K133, "")</f>
        <v>2016.1290322580644</v>
      </c>
      <c r="M133" s="31">
        <v>24.6</v>
      </c>
      <c r="N133" s="32">
        <f t="shared" si="69"/>
        <v>-8.0645161290322284E-3</v>
      </c>
      <c r="O133" s="18">
        <f>IF(ISNUMBER(M133), $B145 * N133, "")</f>
        <v>-806.45161290322278</v>
      </c>
      <c r="Q133" s="33"/>
      <c r="R133" s="33"/>
    </row>
    <row r="134" spans="1:19" ht="17.25" thickBot="1">
      <c r="A134" s="130" t="s">
        <v>98</v>
      </c>
      <c r="B134" s="131">
        <v>5.45</v>
      </c>
      <c r="C134" s="79">
        <v>-3.1971580800000003E-2</v>
      </c>
      <c r="D134" s="24">
        <v>5.56</v>
      </c>
      <c r="E134" s="25">
        <f t="shared" si="66"/>
        <v>2.0183486238532004E-2</v>
      </c>
      <c r="F134" s="104">
        <f>IF(ISNUMBER(D134), $B145 * E134, "")</f>
        <v>2018.3486238532005</v>
      </c>
      <c r="G134" s="102">
        <v>5.55</v>
      </c>
      <c r="H134" s="25">
        <f t="shared" si="67"/>
        <v>1.8348623853210944E-2</v>
      </c>
      <c r="I134" s="103">
        <f>IF(ISNUMBER(G134), $B145 * H134, "")</f>
        <v>1834.8623853210945</v>
      </c>
      <c r="J134" s="24">
        <v>5.64</v>
      </c>
      <c r="K134" s="25">
        <f t="shared" si="68"/>
        <v>3.4862385321100822E-2</v>
      </c>
      <c r="L134" s="104">
        <f>IF(ISNUMBER(J134), $B145 * K134, "")</f>
        <v>3486.2385321100824</v>
      </c>
      <c r="M134" s="102">
        <v>5.5</v>
      </c>
      <c r="N134" s="25">
        <f t="shared" si="69"/>
        <v>9.1743119266054721E-3</v>
      </c>
      <c r="O134" s="104">
        <f>IF(ISNUMBER(M134), $B145 * N134, "")</f>
        <v>917.43119266054725</v>
      </c>
      <c r="Q134" s="239"/>
      <c r="R134" s="240"/>
      <c r="S134" s="241"/>
    </row>
    <row r="135" spans="1:19">
      <c r="A135" s="123" t="s">
        <v>202</v>
      </c>
      <c r="B135" s="124">
        <v>95.8</v>
      </c>
      <c r="C135" s="76">
        <v>-3.2323232299999997E-2</v>
      </c>
      <c r="D135" s="13">
        <v>96.9</v>
      </c>
      <c r="E135" s="14">
        <f>IF(ISNUMBER(D135), (D135 - $B135) / $B135, "")</f>
        <v>1.1482254697286101E-2</v>
      </c>
      <c r="F135" s="16">
        <f>IF(ISNUMBER(D135), $B145 * E135, "")</f>
        <v>1148.2254697286101</v>
      </c>
      <c r="G135" s="29">
        <v>96.3</v>
      </c>
      <c r="H135" s="14">
        <f>IF(ISNUMBER(G135), (G135 - $B135) / $B135, "")</f>
        <v>5.2192066805845511E-3</v>
      </c>
      <c r="I135" s="100">
        <f>IF(ISNUMBER(G135), $B145 * H135, "")</f>
        <v>521.92066805845513</v>
      </c>
      <c r="J135" s="13">
        <v>96.8</v>
      </c>
      <c r="K135" s="14">
        <f>IF(ISNUMBER(J135), (J135 - $B135) / $B135, "")</f>
        <v>1.0438413361169102E-2</v>
      </c>
      <c r="L135" s="16">
        <f>IF(ISNUMBER(J135), $B145 * K135, "")</f>
        <v>1043.8413361169103</v>
      </c>
      <c r="M135" s="29">
        <v>94.9</v>
      </c>
      <c r="N135" s="14">
        <f>IF(ISNUMBER(M135), (M135 - $B135) / $B135, "")</f>
        <v>-9.3945720250521031E-3</v>
      </c>
      <c r="O135" s="16">
        <f>IF(ISNUMBER(M135), $B145 * N135, "")</f>
        <v>-939.45720250521026</v>
      </c>
      <c r="Q135" s="242"/>
      <c r="R135" s="243"/>
      <c r="S135" s="244"/>
    </row>
    <row r="136" spans="1:19" ht="17.25" thickBot="1">
      <c r="A136" s="125" t="s">
        <v>65</v>
      </c>
      <c r="B136" s="126">
        <v>36.799999999999997</v>
      </c>
      <c r="C136" s="77">
        <v>-3.4120734899999998E-2</v>
      </c>
      <c r="D136" s="15">
        <v>37.9</v>
      </c>
      <c r="E136" s="32">
        <f t="shared" ref="E136:E139" si="70">IF(ISNUMBER(D136), (D136 - $B136) / $B136, "")</f>
        <v>2.9891304347826129E-2</v>
      </c>
      <c r="F136" s="18">
        <f>IF(ISNUMBER(D136), $B145 * E136, "")</f>
        <v>2989.1304347826131</v>
      </c>
      <c r="G136" s="31">
        <v>39.200000000000003</v>
      </c>
      <c r="H136" s="32">
        <f t="shared" ref="H136:H139" si="71">IF(ISNUMBER(G136), (G136 - $B136) / $B136, "")</f>
        <v>6.5217391304347991E-2</v>
      </c>
      <c r="I136" s="101">
        <f>IF(ISNUMBER(G136), $B145 * H136, "")</f>
        <v>6521.7391304347993</v>
      </c>
      <c r="J136" s="15">
        <v>39.1</v>
      </c>
      <c r="K136" s="32">
        <f t="shared" ref="K136:K139" si="72">IF(ISNUMBER(J136), (J136 - $B136) / $B136, "")</f>
        <v>6.2500000000000125E-2</v>
      </c>
      <c r="L136" s="18">
        <f>IF(ISNUMBER(J136), $B145 * K136, "")</f>
        <v>6250.0000000000127</v>
      </c>
      <c r="M136" s="31">
        <v>38</v>
      </c>
      <c r="N136" s="32">
        <f t="shared" ref="N136:N139" si="73">IF(ISNUMBER(M136), (M136 - $B136) / $B136, "")</f>
        <v>3.2608695652173995E-2</v>
      </c>
      <c r="O136" s="18">
        <f>IF(ISNUMBER(M136), $B145 * N136, "")</f>
        <v>3260.8695652173997</v>
      </c>
      <c r="Q136" s="245"/>
      <c r="R136" s="246"/>
      <c r="S136" s="247"/>
    </row>
    <row r="137" spans="1:19" ht="17.25" thickBot="1">
      <c r="A137" s="125" t="s">
        <v>190</v>
      </c>
      <c r="B137" s="126">
        <v>19.8</v>
      </c>
      <c r="C137" s="77">
        <v>-3.4146341500000003E-2</v>
      </c>
      <c r="D137" s="15">
        <v>20.100000000000001</v>
      </c>
      <c r="E137" s="32">
        <f t="shared" si="70"/>
        <v>1.5151515151515187E-2</v>
      </c>
      <c r="F137" s="18">
        <f>IF(ISNUMBER(D137), $B145 * E137, "")</f>
        <v>1515.1515151515187</v>
      </c>
      <c r="G137" s="31">
        <v>20.100000000000001</v>
      </c>
      <c r="H137" s="32">
        <f t="shared" si="71"/>
        <v>1.5151515151515187E-2</v>
      </c>
      <c r="I137" s="101">
        <f>IF(ISNUMBER(G137), $B145 * H137, "")</f>
        <v>1515.1515151515187</v>
      </c>
      <c r="J137" s="15">
        <v>20.100000000000001</v>
      </c>
      <c r="K137" s="32">
        <f t="shared" si="72"/>
        <v>1.5151515151515187E-2</v>
      </c>
      <c r="L137" s="18">
        <f>IF(ISNUMBER(J137), $B145 * K137, "")</f>
        <v>1515.1515151515187</v>
      </c>
      <c r="M137" s="31">
        <v>19.600000000000001</v>
      </c>
      <c r="N137" s="32">
        <f t="shared" si="73"/>
        <v>-1.0101010101010065E-2</v>
      </c>
      <c r="O137" s="18">
        <f>IF(ISNUMBER(M137), $B145 * N137, "")</f>
        <v>-1010.1010101010065</v>
      </c>
      <c r="Q137" s="238"/>
      <c r="R137" s="238"/>
      <c r="S137" s="238"/>
    </row>
    <row r="138" spans="1:19" ht="17.25" thickBot="1">
      <c r="A138" s="125" t="s">
        <v>208</v>
      </c>
      <c r="B138" s="126">
        <v>14.1</v>
      </c>
      <c r="C138" s="77">
        <v>-3.4246575299999998E-2</v>
      </c>
      <c r="D138" s="15">
        <v>14.4</v>
      </c>
      <c r="E138" s="32">
        <f t="shared" si="70"/>
        <v>2.1276595744680903E-2</v>
      </c>
      <c r="F138" s="18">
        <f>IF(ISNUMBER(D138), $B145 * E138, "")</f>
        <v>2127.6595744680903</v>
      </c>
      <c r="G138" s="31">
        <v>14.4</v>
      </c>
      <c r="H138" s="32">
        <f t="shared" si="71"/>
        <v>2.1276595744680903E-2</v>
      </c>
      <c r="I138" s="101">
        <f>IF(ISNUMBER(G138), $B145 * H138, "")</f>
        <v>2127.6595744680903</v>
      </c>
      <c r="J138" s="15">
        <v>14.8</v>
      </c>
      <c r="K138" s="32">
        <f t="shared" si="72"/>
        <v>4.9645390070922064E-2</v>
      </c>
      <c r="L138" s="18">
        <f>IF(ISNUMBER(J138), $B145 * K138, "")</f>
        <v>4964.5390070922067</v>
      </c>
      <c r="M138" s="31">
        <v>14.2</v>
      </c>
      <c r="N138" s="32">
        <f t="shared" si="73"/>
        <v>7.0921985815602584E-3</v>
      </c>
      <c r="O138" s="18">
        <f>IF(ISNUMBER(M138), $B145 * N138, "")</f>
        <v>709.21985815602579</v>
      </c>
      <c r="Q138" s="248"/>
      <c r="R138" s="248"/>
      <c r="S138" s="248"/>
    </row>
    <row r="139" spans="1:19" ht="17.25" thickBot="1">
      <c r="A139" s="127" t="s">
        <v>148</v>
      </c>
      <c r="B139" s="128">
        <v>21.9</v>
      </c>
      <c r="C139" s="78">
        <v>-3.5242290699999998E-2</v>
      </c>
      <c r="D139" s="20">
        <v>23</v>
      </c>
      <c r="E139" s="21">
        <f t="shared" si="70"/>
        <v>5.0228310502283172E-2</v>
      </c>
      <c r="F139" s="22">
        <f>IF(ISNUMBER(D139), $B145 * E139, "")</f>
        <v>5022.8310502283175</v>
      </c>
      <c r="G139" s="30">
        <v>23.1</v>
      </c>
      <c r="H139" s="21">
        <f t="shared" si="71"/>
        <v>5.4794520547945341E-2</v>
      </c>
      <c r="I139" s="105">
        <f>IF(ISNUMBER(G139), $B145 * H139, "")</f>
        <v>5479.452054794534</v>
      </c>
      <c r="J139" s="20">
        <v>23.4</v>
      </c>
      <c r="K139" s="21">
        <f t="shared" si="72"/>
        <v>6.8493150684931517E-2</v>
      </c>
      <c r="L139" s="22">
        <f>IF(ISNUMBER(J139), $B145 * K139, "")</f>
        <v>6849.3150684931516</v>
      </c>
      <c r="M139" s="30">
        <v>22.7</v>
      </c>
      <c r="N139" s="21">
        <f t="shared" si="73"/>
        <v>3.6529680365296836E-2</v>
      </c>
      <c r="O139" s="22">
        <f>IF(ISNUMBER(M139), $B145 * N139, "")</f>
        <v>3652.9680365296836</v>
      </c>
      <c r="Q139" s="248"/>
      <c r="R139" s="248"/>
      <c r="S139" s="248"/>
    </row>
    <row r="140" spans="1:19" ht="17.25" thickBot="1">
      <c r="A140" s="125" t="s">
        <v>122</v>
      </c>
      <c r="B140" s="129">
        <v>33.700000000000003</v>
      </c>
      <c r="C140" s="80">
        <v>-4.2613636400000002E-2</v>
      </c>
      <c r="D140" s="106">
        <v>35.4</v>
      </c>
      <c r="E140" s="107">
        <f>IF(ISNUMBER(D140), (D140 - $B140) / $B140, "")</f>
        <v>5.0445103857566634E-2</v>
      </c>
      <c r="F140" s="108">
        <f>IF(ISNUMBER(D140), $B145 * E140, "")</f>
        <v>5044.5103857566637</v>
      </c>
      <c r="G140" s="109">
        <v>35.200000000000003</v>
      </c>
      <c r="H140" s="107">
        <f>IF(ISNUMBER(G140), (G140 - $B140) / $B140, "")</f>
        <v>4.4510385756676554E-2</v>
      </c>
      <c r="I140" s="110">
        <f>IF(ISNUMBER(G140), $B145 * H140, "")</f>
        <v>4451.0385756676551</v>
      </c>
      <c r="J140" s="106">
        <v>36</v>
      </c>
      <c r="K140" s="107">
        <f>IF(ISNUMBER(J140), (J140 - $B140) / $B140, "")</f>
        <v>6.8249258160237303E-2</v>
      </c>
      <c r="L140" s="108">
        <f>IF(ISNUMBER(J140), $B145 * K140, "")</f>
        <v>6824.9258160237305</v>
      </c>
      <c r="M140" s="109">
        <v>36.200000000000003</v>
      </c>
      <c r="N140" s="107">
        <f>IF(ISNUMBER(M140), (M140 - $B140) / $B140, "")</f>
        <v>7.418397626112759E-2</v>
      </c>
      <c r="O140" s="108">
        <f>IF(ISNUMBER(M140), $B145 * N140, "")</f>
        <v>7418.3976261127591</v>
      </c>
      <c r="Q140" s="238"/>
      <c r="R140" s="238"/>
      <c r="S140" s="238"/>
    </row>
    <row r="141" spans="1:19" ht="17.25" thickBot="1">
      <c r="A141" s="125" t="s">
        <v>240</v>
      </c>
      <c r="B141" s="126">
        <v>76.8</v>
      </c>
      <c r="C141" s="77">
        <v>-4.4776119400000002E-2</v>
      </c>
      <c r="D141" s="15">
        <v>77.2</v>
      </c>
      <c r="E141" s="32">
        <f t="shared" ref="E141:E144" si="74">IF(ISNUMBER(D141), (D141 - $B141) / $B141, "")</f>
        <v>5.2083333333334076E-3</v>
      </c>
      <c r="F141" s="18">
        <f>IF(ISNUMBER(D141), $B145 * E141, "")</f>
        <v>520.83333333334076</v>
      </c>
      <c r="G141" s="31">
        <v>77.2</v>
      </c>
      <c r="H141" s="32">
        <f t="shared" ref="H141:H144" si="75">IF(ISNUMBER(G141), (G141 - $B141) / $B141, "")</f>
        <v>5.2083333333334076E-3</v>
      </c>
      <c r="I141" s="101">
        <f>IF(ISNUMBER(G141), $B145 * H141, "")</f>
        <v>520.83333333334076</v>
      </c>
      <c r="J141" s="15">
        <v>77.400000000000006</v>
      </c>
      <c r="K141" s="32">
        <f t="shared" ref="K141:K144" si="76">IF(ISNUMBER(J141), (J141 - $B141) / $B141, "")</f>
        <v>7.812500000000111E-3</v>
      </c>
      <c r="L141" s="18">
        <f>IF(ISNUMBER(J141), $B145 * K141, "")</f>
        <v>781.25000000001114</v>
      </c>
      <c r="M141" s="31">
        <v>76.2</v>
      </c>
      <c r="N141" s="32">
        <f t="shared" ref="N141:N144" si="77">IF(ISNUMBER(M141), (M141 - $B141) / $B141, "")</f>
        <v>-7.8124999999999263E-3</v>
      </c>
      <c r="O141" s="18">
        <f>IF(ISNUMBER(M141), $B145 * N141, "")</f>
        <v>-781.24999999999261</v>
      </c>
      <c r="Q141" s="238"/>
      <c r="R141" s="238"/>
      <c r="S141" s="238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8"/>
      <c r="R142" s="238"/>
      <c r="S142" s="238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7"/>
      <c r="R143" s="228"/>
      <c r="S143" s="22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30"/>
      <c r="R144" s="231"/>
      <c r="S144" s="232"/>
    </row>
    <row r="145" spans="1:19" ht="17.25" thickBot="1">
      <c r="A145" s="132" t="s">
        <v>270</v>
      </c>
      <c r="B145" s="291">
        <f>$B$37</f>
        <v>100000</v>
      </c>
      <c r="C145" s="292"/>
      <c r="D145" s="26" t="s">
        <v>271</v>
      </c>
      <c r="E145" s="27">
        <f>IF(COUNT(E125:E144), SUM(E125:E144) / COUNT(E125:E144), 0)</f>
        <v>2.891017283842974E-2</v>
      </c>
      <c r="F145" s="28">
        <f>SUM(F125:F144)</f>
        <v>49147.293825330577</v>
      </c>
      <c r="G145" s="26" t="s">
        <v>271</v>
      </c>
      <c r="H145" s="27">
        <f>IF(COUNT(H125:H144), SUM(H125:H144) / COUNT(H125:H144), 0)</f>
        <v>2.8149500828322266E-2</v>
      </c>
      <c r="I145" s="28">
        <f>SUM(I125:I144)</f>
        <v>47854.151408147867</v>
      </c>
      <c r="J145" s="26" t="s">
        <v>271</v>
      </c>
      <c r="K145" s="27">
        <f>IF(COUNT(K125:K144), SUM(K125:K144) / COUNT(K125:K144), 0)</f>
        <v>3.7234160217858699E-2</v>
      </c>
      <c r="L145" s="28">
        <f>SUM(L125:L144)</f>
        <v>63298.072370359805</v>
      </c>
      <c r="M145" s="26" t="s">
        <v>271</v>
      </c>
      <c r="N145" s="27">
        <f>IF(COUNT(N125:N144), SUM(N125:N144) / COUNT(N125:N144), 0)</f>
        <v>1.0811288316490454E-2</v>
      </c>
      <c r="O145" s="28">
        <f>SUM(O125:O144)</f>
        <v>18379.190138033773</v>
      </c>
      <c r="Q145" s="233"/>
      <c r="R145" s="234"/>
      <c r="S145" s="23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48"/>
      <c r="R148" s="248"/>
      <c r="S148" s="248"/>
    </row>
    <row r="149" spans="1:19" ht="17.25" thickBot="1">
      <c r="A149" s="219" t="s">
        <v>267</v>
      </c>
      <c r="B149" s="249" t="s">
        <v>49</v>
      </c>
      <c r="C149" s="251"/>
      <c r="D149" s="249" t="s">
        <v>58</v>
      </c>
      <c r="E149" s="250"/>
      <c r="F149" s="251"/>
      <c r="G149" s="252">
        <f>_xlfn.IFNA(VLOOKUP(B149, 현재가테이블!$B$2:$D$200, 2, FALSE), "-")</f>
        <v>54440000</v>
      </c>
      <c r="H149" s="253"/>
      <c r="I149" s="254"/>
      <c r="J149" s="249" t="s">
        <v>59</v>
      </c>
      <c r="K149" s="250"/>
      <c r="L149" s="251"/>
      <c r="M149" s="255">
        <f>_xlfn.IFNA(VLOOKUP(B149, 현재가테이블!$B$2:$D$200, 3, FALSE), "-")</f>
        <v>1.07123628E-2</v>
      </c>
      <c r="N149" s="256"/>
      <c r="O149" s="257"/>
      <c r="Q149" s="248"/>
      <c r="R149" s="248"/>
      <c r="S149" s="248"/>
    </row>
    <row r="150" spans="1:19" ht="17.25" thickBot="1">
      <c r="A150" s="293" t="s">
        <v>55</v>
      </c>
      <c r="B150" s="289" t="str">
        <f>TEXT($G$1, "[$-ko-KR]yyyy-mm-dd(ddd) ") &amp; "오전 00:00"</f>
        <v>2021-08-16(월) 오전 00:00</v>
      </c>
      <c r="C150" s="290"/>
      <c r="D150" s="262" t="str">
        <f>TEXT($G$1, "[$-ko-KR]yyyy-mm-dd(ddd) ") &amp; "오후 14:00"</f>
        <v>2021-08-16(월) 오후 14:00</v>
      </c>
      <c r="E150" s="263"/>
      <c r="F150" s="264"/>
      <c r="G150" s="262" t="str">
        <f>TEXT($G$1, "[$-ko-KR]yyyy-mm-dd(ddd) ") &amp; "오후 19:00"</f>
        <v>2021-08-16(월) 오후 19:00</v>
      </c>
      <c r="H150" s="263"/>
      <c r="I150" s="264"/>
      <c r="J150" s="262" t="str">
        <f>TEXT($G$1, "[$-ko-KR]yyyy-mm-dd(ddd) ") &amp; "오후 21:00"</f>
        <v>2021-08-16(월) 오후 21:00</v>
      </c>
      <c r="K150" s="263"/>
      <c r="L150" s="264"/>
      <c r="M150" s="262" t="str">
        <f>TEXT($G$1+1, "[$-ko-KR]yyyy-mm-dd(ddd) ") &amp; "오전 00:00"</f>
        <v>2021-08-17(화) 오전 00:00</v>
      </c>
      <c r="N150" s="263"/>
      <c r="O150" s="264"/>
      <c r="Q150" s="248"/>
      <c r="R150" s="248"/>
      <c r="S150" s="248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0" t="s">
        <v>58</v>
      </c>
      <c r="H151" s="221" t="s">
        <v>268</v>
      </c>
      <c r="I151" s="22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8"/>
      <c r="R151" s="238"/>
      <c r="S151" s="238"/>
    </row>
    <row r="152" spans="1:19" ht="17.25" thickBot="1">
      <c r="A152" s="123" t="s">
        <v>228</v>
      </c>
      <c r="B152" s="124">
        <v>417</v>
      </c>
      <c r="C152" s="76">
        <v>-1.88235294E-2</v>
      </c>
      <c r="D152" s="13">
        <v>418</v>
      </c>
      <c r="E152" s="14">
        <f>IF(ISNUMBER(D152), (D152 - $B152) / $B152, "")</f>
        <v>2.3980815347721821E-3</v>
      </c>
      <c r="F152" s="16">
        <f>IF(ISNUMBER(D152), $B172 * E152, "")</f>
        <v>239.80815347721821</v>
      </c>
      <c r="G152" s="29">
        <v>417</v>
      </c>
      <c r="H152" s="14">
        <f>IF(ISNUMBER(G152), (G152 - $B152) / $B152, "")</f>
        <v>0</v>
      </c>
      <c r="I152" s="100">
        <f>IF(ISNUMBER(G152), $B172 * H152, "")</f>
        <v>0</v>
      </c>
      <c r="J152" s="13">
        <v>420</v>
      </c>
      <c r="K152" s="14">
        <f>IF(ISNUMBER(J152), (J152 - $B152) / $B152, "")</f>
        <v>7.1942446043165471E-3</v>
      </c>
      <c r="L152" s="16">
        <f>IF(ISNUMBER(J152), $B172 * K152, "")</f>
        <v>719.42446043165467</v>
      </c>
      <c r="M152" s="29">
        <v>412</v>
      </c>
      <c r="N152" s="14">
        <f>IF(ISNUMBER(M152), (M152 - $B152) / $B152, "")</f>
        <v>-1.1990407673860911E-2</v>
      </c>
      <c r="O152" s="16">
        <f>IF(ISNUMBER(M152), $B172 * N152, "")</f>
        <v>-1199.0407673860911</v>
      </c>
      <c r="Q152" s="248"/>
      <c r="R152" s="248"/>
      <c r="S152" s="248"/>
    </row>
    <row r="153" spans="1:19" ht="17.25" thickBot="1">
      <c r="A153" s="125" t="s">
        <v>222</v>
      </c>
      <c r="B153" s="126">
        <v>149</v>
      </c>
      <c r="C153" s="77">
        <v>-1.9736842099999999E-2</v>
      </c>
      <c r="D153" s="15">
        <v>150</v>
      </c>
      <c r="E153" s="32">
        <f t="shared" ref="E153:E156" si="78">IF(ISNUMBER(D153), (D153 - $B153) / $B153, "")</f>
        <v>6.7114093959731542E-3</v>
      </c>
      <c r="F153" s="18">
        <f>IF(ISNUMBER(D153), $B172 * E153, "")</f>
        <v>671.14093959731542</v>
      </c>
      <c r="G153" s="31">
        <v>150</v>
      </c>
      <c r="H153" s="32">
        <f t="shared" ref="H153:H156" si="79">IF(ISNUMBER(G153), (G153 - $B153) / $B153, "")</f>
        <v>6.7114093959731542E-3</v>
      </c>
      <c r="I153" s="101">
        <f>IF(ISNUMBER(G153), $B172 * H153, "")</f>
        <v>671.14093959731542</v>
      </c>
      <c r="J153" s="15">
        <v>150</v>
      </c>
      <c r="K153" s="32">
        <f t="shared" ref="K153:K156" si="80">IF(ISNUMBER(J153), (J153 - $B153) / $B153, "")</f>
        <v>6.7114093959731542E-3</v>
      </c>
      <c r="L153" s="18">
        <f>IF(ISNUMBER(J153), $B172 * K153, "")</f>
        <v>671.14093959731542</v>
      </c>
      <c r="M153" s="31">
        <v>148</v>
      </c>
      <c r="N153" s="32">
        <f t="shared" ref="N153:N156" si="81">IF(ISNUMBER(M153), (M153 - $B153) / $B153, "")</f>
        <v>-6.7114093959731542E-3</v>
      </c>
      <c r="O153" s="18">
        <f>IF(ISNUMBER(M153), $B172 * N153, "")</f>
        <v>-671.14093959731542</v>
      </c>
      <c r="Q153" s="248"/>
      <c r="R153" s="248"/>
      <c r="S153" s="248"/>
    </row>
    <row r="154" spans="1:19" ht="17.25" thickBot="1">
      <c r="A154" s="125" t="s">
        <v>192</v>
      </c>
      <c r="B154" s="126">
        <v>241</v>
      </c>
      <c r="C154" s="77">
        <v>-2.0325203300000001E-2</v>
      </c>
      <c r="D154" s="15">
        <v>243</v>
      </c>
      <c r="E154" s="32">
        <f t="shared" si="78"/>
        <v>8.2987551867219917E-3</v>
      </c>
      <c r="F154" s="18">
        <f>IF(ISNUMBER(D154), $B172 * E154, "")</f>
        <v>829.87551867219918</v>
      </c>
      <c r="G154" s="31">
        <v>245</v>
      </c>
      <c r="H154" s="32">
        <f t="shared" si="79"/>
        <v>1.6597510373443983E-2</v>
      </c>
      <c r="I154" s="101">
        <f>IF(ISNUMBER(G154), $B172 * H154, "")</f>
        <v>1659.7510373443984</v>
      </c>
      <c r="J154" s="15">
        <v>245</v>
      </c>
      <c r="K154" s="32">
        <f t="shared" si="80"/>
        <v>1.6597510373443983E-2</v>
      </c>
      <c r="L154" s="18">
        <f>IF(ISNUMBER(J154), $B172 * K154, "")</f>
        <v>1659.7510373443984</v>
      </c>
      <c r="M154" s="31">
        <v>242</v>
      </c>
      <c r="N154" s="32">
        <f t="shared" si="81"/>
        <v>4.1493775933609959E-3</v>
      </c>
      <c r="O154" s="18">
        <f>IF(ISNUMBER(M154), $B172 * N154, "")</f>
        <v>414.93775933609959</v>
      </c>
      <c r="Q154" s="238"/>
      <c r="R154" s="238"/>
      <c r="S154" s="238"/>
    </row>
    <row r="155" spans="1:19" ht="17.25" thickBot="1">
      <c r="A155" s="125" t="s">
        <v>220</v>
      </c>
      <c r="B155" s="126">
        <v>215</v>
      </c>
      <c r="C155" s="77">
        <v>-2.2727272699999999E-2</v>
      </c>
      <c r="D155" s="15">
        <v>218</v>
      </c>
      <c r="E155" s="32">
        <f t="shared" si="78"/>
        <v>1.3953488372093023E-2</v>
      </c>
      <c r="F155" s="18">
        <f>IF(ISNUMBER(D155), $B172 * E155, "")</f>
        <v>1395.3488372093022</v>
      </c>
      <c r="G155" s="31">
        <v>218</v>
      </c>
      <c r="H155" s="32">
        <f t="shared" si="79"/>
        <v>1.3953488372093023E-2</v>
      </c>
      <c r="I155" s="101">
        <f>IF(ISNUMBER(G155), $B172 * H155, "")</f>
        <v>1395.3488372093022</v>
      </c>
      <c r="J155" s="15">
        <v>219</v>
      </c>
      <c r="K155" s="32">
        <f t="shared" si="80"/>
        <v>1.8604651162790697E-2</v>
      </c>
      <c r="L155" s="18">
        <f>IF(ISNUMBER(J155), $B172 * K155, "")</f>
        <v>1860.4651162790697</v>
      </c>
      <c r="M155" s="31">
        <v>215</v>
      </c>
      <c r="N155" s="32">
        <f t="shared" si="81"/>
        <v>0</v>
      </c>
      <c r="O155" s="18">
        <f>IF(ISNUMBER(M155), $B172 * N155, "")</f>
        <v>0</v>
      </c>
      <c r="Q155" s="238"/>
      <c r="R155" s="238"/>
      <c r="S155" s="238"/>
    </row>
    <row r="156" spans="1:19" ht="17.25" thickBot="1">
      <c r="A156" s="127" t="s">
        <v>86</v>
      </c>
      <c r="B156" s="128">
        <v>422</v>
      </c>
      <c r="C156" s="78">
        <v>-2.3148148100000002E-2</v>
      </c>
      <c r="D156" s="20">
        <v>441</v>
      </c>
      <c r="E156" s="21">
        <f t="shared" si="78"/>
        <v>4.5023696682464455E-2</v>
      </c>
      <c r="F156" s="22">
        <f>IF(ISNUMBER(D156), $B172 * E156, "")</f>
        <v>4502.3696682464451</v>
      </c>
      <c r="G156" s="30">
        <v>436</v>
      </c>
      <c r="H156" s="21">
        <f t="shared" si="79"/>
        <v>3.3175355450236969E-2</v>
      </c>
      <c r="I156" s="105">
        <f>IF(ISNUMBER(G156), $B172 * H156, "")</f>
        <v>3317.5355450236971</v>
      </c>
      <c r="J156" s="20">
        <v>438</v>
      </c>
      <c r="K156" s="21">
        <f t="shared" si="80"/>
        <v>3.7914691943127965E-2</v>
      </c>
      <c r="L156" s="22">
        <f>IF(ISNUMBER(J156), $B172 * K156, "")</f>
        <v>3791.4691943127964</v>
      </c>
      <c r="M156" s="30">
        <v>423</v>
      </c>
      <c r="N156" s="21">
        <f t="shared" si="81"/>
        <v>2.3696682464454978E-3</v>
      </c>
      <c r="O156" s="22">
        <f>IF(ISNUMBER(M156), $B172 * N156, "")</f>
        <v>236.96682464454977</v>
      </c>
      <c r="Q156" s="238"/>
      <c r="R156" s="238"/>
      <c r="S156" s="238"/>
    </row>
    <row r="157" spans="1:19" ht="17.25" thickBot="1">
      <c r="A157" s="125" t="s">
        <v>124</v>
      </c>
      <c r="B157" s="129">
        <v>386</v>
      </c>
      <c r="C157" s="80">
        <v>-2.5252525299999998E-2</v>
      </c>
      <c r="D157" s="106">
        <v>407</v>
      </c>
      <c r="E157" s="107">
        <f>IF(ISNUMBER(D157), (D157 - $B157) / $B157, "")</f>
        <v>5.4404145077720206E-2</v>
      </c>
      <c r="F157" s="108">
        <f>IF(ISNUMBER(D157), $B172 * E157, "")</f>
        <v>5440.4145077720204</v>
      </c>
      <c r="G157" s="109">
        <v>408</v>
      </c>
      <c r="H157" s="107">
        <f>IF(ISNUMBER(G157), (G157 - $B157) / $B157, "")</f>
        <v>5.6994818652849742E-2</v>
      </c>
      <c r="I157" s="110">
        <f>IF(ISNUMBER(G157), $B172 * H157, "")</f>
        <v>5699.4818652849744</v>
      </c>
      <c r="J157" s="106">
        <v>408</v>
      </c>
      <c r="K157" s="107">
        <f>IF(ISNUMBER(J157), (J157 - $B157) / $B157, "")</f>
        <v>5.6994818652849742E-2</v>
      </c>
      <c r="L157" s="108">
        <f>IF(ISNUMBER(J157), $B172 * K157, "")</f>
        <v>5699.4818652849744</v>
      </c>
      <c r="M157" s="109">
        <v>394</v>
      </c>
      <c r="N157" s="107">
        <f>IF(ISNUMBER(M157), (M157 - $B157) / $B157, "")</f>
        <v>2.072538860103627E-2</v>
      </c>
      <c r="O157" s="108">
        <f>IF(ISNUMBER(M157), $B172 * N157, "")</f>
        <v>2072.538860103627</v>
      </c>
      <c r="Q157" s="238"/>
      <c r="R157" s="238"/>
      <c r="S157" s="238"/>
    </row>
    <row r="158" spans="1:19" ht="17.25" thickBot="1">
      <c r="A158" s="125" t="s">
        <v>242</v>
      </c>
      <c r="B158" s="126">
        <v>497</v>
      </c>
      <c r="C158" s="77">
        <v>-2.5490196100000001E-2</v>
      </c>
      <c r="D158" s="15">
        <v>504</v>
      </c>
      <c r="E158" s="32">
        <f t="shared" ref="E158:E161" si="82">IF(ISNUMBER(D158), (D158 - $B158) / $B158, "")</f>
        <v>1.4084507042253521E-2</v>
      </c>
      <c r="F158" s="18">
        <f>IF(ISNUMBER(D158), $B172 * E158, "")</f>
        <v>1408.4507042253522</v>
      </c>
      <c r="G158" s="31">
        <v>508</v>
      </c>
      <c r="H158" s="32">
        <f t="shared" ref="H158:H161" si="83">IF(ISNUMBER(G158), (G158 - $B158) / $B158, "")</f>
        <v>2.2132796780684104E-2</v>
      </c>
      <c r="I158" s="101">
        <f>IF(ISNUMBER(G158), $B172 * H158, "")</f>
        <v>2213.2796780684102</v>
      </c>
      <c r="J158" s="15">
        <v>511</v>
      </c>
      <c r="K158" s="32">
        <f t="shared" ref="K158:K161" si="84">IF(ISNUMBER(J158), (J158 - $B158) / $B158, "")</f>
        <v>2.8169014084507043E-2</v>
      </c>
      <c r="L158" s="18">
        <f>IF(ISNUMBER(J158), $B172 * K158, "")</f>
        <v>2816.9014084507044</v>
      </c>
      <c r="M158" s="31">
        <v>504</v>
      </c>
      <c r="N158" s="32">
        <f t="shared" ref="N158:N161" si="85">IF(ISNUMBER(M158), (M158 - $B158) / $B158, "")</f>
        <v>1.4084507042253521E-2</v>
      </c>
      <c r="O158" s="18">
        <f>IF(ISNUMBER(M158), $B172 * N158, "")</f>
        <v>1408.4507042253522</v>
      </c>
      <c r="Q158" s="238"/>
      <c r="R158" s="238"/>
      <c r="S158" s="238"/>
    </row>
    <row r="159" spans="1:19" ht="17.25" thickBot="1">
      <c r="A159" s="125" t="s">
        <v>194</v>
      </c>
      <c r="B159" s="126">
        <v>152</v>
      </c>
      <c r="C159" s="77">
        <v>-2.5641025599999999E-2</v>
      </c>
      <c r="D159" s="15">
        <v>154</v>
      </c>
      <c r="E159" s="32">
        <f t="shared" si="82"/>
        <v>1.3157894736842105E-2</v>
      </c>
      <c r="F159" s="18">
        <f>IF(ISNUMBER(D159), $B172 * E159, "")</f>
        <v>1315.7894736842104</v>
      </c>
      <c r="G159" s="31">
        <v>153</v>
      </c>
      <c r="H159" s="32">
        <f t="shared" si="83"/>
        <v>6.5789473684210523E-3</v>
      </c>
      <c r="I159" s="101">
        <f>IF(ISNUMBER(G159), $B172 * H159, "")</f>
        <v>657.8947368421052</v>
      </c>
      <c r="J159" s="15">
        <v>154</v>
      </c>
      <c r="K159" s="32">
        <f t="shared" si="84"/>
        <v>1.3157894736842105E-2</v>
      </c>
      <c r="L159" s="18">
        <f>IF(ISNUMBER(J159), $B172 * K159, "")</f>
        <v>1315.7894736842104</v>
      </c>
      <c r="M159" s="31">
        <v>150</v>
      </c>
      <c r="N159" s="32">
        <f t="shared" si="85"/>
        <v>-1.3157894736842105E-2</v>
      </c>
      <c r="O159" s="18">
        <f>IF(ISNUMBER(M159), $B172 * N159, "")</f>
        <v>-1315.7894736842104</v>
      </c>
      <c r="Q159" s="238"/>
      <c r="R159" s="238"/>
      <c r="S159" s="238"/>
    </row>
    <row r="160" spans="1:19" ht="17.25" thickBot="1">
      <c r="A160" s="125" t="s">
        <v>130</v>
      </c>
      <c r="B160" s="126">
        <v>113</v>
      </c>
      <c r="C160" s="77">
        <v>-2.5862069000000001E-2</v>
      </c>
      <c r="D160" s="15">
        <v>117</v>
      </c>
      <c r="E160" s="32">
        <f t="shared" si="82"/>
        <v>3.5398230088495575E-2</v>
      </c>
      <c r="F160" s="18">
        <f>IF(ISNUMBER(D160), $B172 * E160, "")</f>
        <v>3539.8230088495575</v>
      </c>
      <c r="G160" s="31">
        <v>116</v>
      </c>
      <c r="H160" s="32">
        <f t="shared" si="83"/>
        <v>2.6548672566371681E-2</v>
      </c>
      <c r="I160" s="101">
        <f>IF(ISNUMBER(G160), $B172 * H160, "")</f>
        <v>2654.8672566371679</v>
      </c>
      <c r="J160" s="15">
        <v>117</v>
      </c>
      <c r="K160" s="32">
        <f t="shared" si="84"/>
        <v>3.5398230088495575E-2</v>
      </c>
      <c r="L160" s="18">
        <f>IF(ISNUMBER(J160), $B172 * K160, "")</f>
        <v>3539.8230088495575</v>
      </c>
      <c r="M160" s="31">
        <v>115</v>
      </c>
      <c r="N160" s="32">
        <f t="shared" si="85"/>
        <v>1.7699115044247787E-2</v>
      </c>
      <c r="O160" s="18">
        <f>IF(ISNUMBER(M160), $B172 * N160, "")</f>
        <v>1769.9115044247787</v>
      </c>
      <c r="Q160" s="33"/>
      <c r="R160" s="33"/>
    </row>
    <row r="161" spans="1:19" ht="17.25" thickBot="1">
      <c r="A161" s="130" t="s">
        <v>200</v>
      </c>
      <c r="B161" s="131">
        <v>144</v>
      </c>
      <c r="C161" s="79">
        <v>-2.7027026999999999E-2</v>
      </c>
      <c r="D161" s="24">
        <v>147</v>
      </c>
      <c r="E161" s="25">
        <f t="shared" si="82"/>
        <v>2.0833333333333332E-2</v>
      </c>
      <c r="F161" s="104">
        <f>IF(ISNUMBER(D161), $B172 * E161, "")</f>
        <v>2083.333333333333</v>
      </c>
      <c r="G161" s="102">
        <v>145</v>
      </c>
      <c r="H161" s="25">
        <f t="shared" si="83"/>
        <v>6.9444444444444441E-3</v>
      </c>
      <c r="I161" s="103">
        <f>IF(ISNUMBER(G161), $B172 * H161, "")</f>
        <v>694.44444444444446</v>
      </c>
      <c r="J161" s="24">
        <v>146</v>
      </c>
      <c r="K161" s="25">
        <f t="shared" si="84"/>
        <v>1.3888888888888888E-2</v>
      </c>
      <c r="L161" s="104">
        <f>IF(ISNUMBER(J161), $B172 * K161, "")</f>
        <v>1388.8888888888889</v>
      </c>
      <c r="M161" s="102">
        <v>142</v>
      </c>
      <c r="N161" s="25">
        <f t="shared" si="85"/>
        <v>-1.3888888888888888E-2</v>
      </c>
      <c r="O161" s="104">
        <f>IF(ISNUMBER(M161), $B172 * N161, "")</f>
        <v>-1388.8888888888889</v>
      </c>
      <c r="Q161" s="239"/>
      <c r="R161" s="240"/>
      <c r="S161" s="241"/>
    </row>
    <row r="162" spans="1:19">
      <c r="A162" s="123" t="s">
        <v>61</v>
      </c>
      <c r="B162" s="124">
        <v>949</v>
      </c>
      <c r="C162" s="76">
        <v>-2.76639344E-2</v>
      </c>
      <c r="D162" s="13">
        <v>1015</v>
      </c>
      <c r="E162" s="14">
        <f>IF(ISNUMBER(D162), (D162 - $B162) / $B162, "")</f>
        <v>6.9546891464699681E-2</v>
      </c>
      <c r="F162" s="16">
        <f>IF(ISNUMBER(D162), $B172 * E162, "")</f>
        <v>6954.6891464699684</v>
      </c>
      <c r="G162" s="29">
        <v>1040</v>
      </c>
      <c r="H162" s="14">
        <f>IF(ISNUMBER(G162), (G162 - $B162) / $B162, "")</f>
        <v>9.5890410958904104E-2</v>
      </c>
      <c r="I162" s="100">
        <f>IF(ISNUMBER(G162), $B172 * H162, "")</f>
        <v>9589.0410958904104</v>
      </c>
      <c r="J162" s="13">
        <v>1045</v>
      </c>
      <c r="K162" s="14">
        <f>IF(ISNUMBER(J162), (J162 - $B162) / $B162, "")</f>
        <v>0.10115911485774499</v>
      </c>
      <c r="L162" s="16">
        <f>IF(ISNUMBER(J162), $B172 * K162, "")</f>
        <v>10115.911485774499</v>
      </c>
      <c r="M162" s="29">
        <v>1000</v>
      </c>
      <c r="N162" s="14">
        <f>IF(ISNUMBER(M162), (M162 - $B162) / $B162, "")</f>
        <v>5.3740779768177031E-2</v>
      </c>
      <c r="O162" s="16">
        <f>IF(ISNUMBER(M162), $B172 * N162, "")</f>
        <v>5374.0779768177035</v>
      </c>
      <c r="Q162" s="242"/>
      <c r="R162" s="243"/>
      <c r="S162" s="244"/>
    </row>
    <row r="163" spans="1:19" ht="17.25" thickBot="1">
      <c r="A163" s="125" t="s">
        <v>232</v>
      </c>
      <c r="B163" s="126">
        <v>549</v>
      </c>
      <c r="C163" s="77">
        <v>-3.0035335699999999E-2</v>
      </c>
      <c r="D163" s="15">
        <v>560</v>
      </c>
      <c r="E163" s="32">
        <f t="shared" ref="E163:E166" si="86">IF(ISNUMBER(D163), (D163 - $B163) / $B163, "")</f>
        <v>2.0036429872495445E-2</v>
      </c>
      <c r="F163" s="18">
        <f>IF(ISNUMBER(D163), $B172 * E163, "")</f>
        <v>2003.6429872495446</v>
      </c>
      <c r="G163" s="31">
        <v>562</v>
      </c>
      <c r="H163" s="32">
        <f t="shared" ref="H163:H166" si="87">IF(ISNUMBER(G163), (G163 - $B163) / $B163, "")</f>
        <v>2.3679417122040074E-2</v>
      </c>
      <c r="I163" s="101">
        <f>IF(ISNUMBER(G163), $B172 * H163, "")</f>
        <v>2367.9417122040072</v>
      </c>
      <c r="J163" s="15">
        <v>564</v>
      </c>
      <c r="K163" s="32">
        <f t="shared" ref="K163:K166" si="88">IF(ISNUMBER(J163), (J163 - $B163) / $B163, "")</f>
        <v>2.7322404371584699E-2</v>
      </c>
      <c r="L163" s="18">
        <f>IF(ISNUMBER(J163), $B172 * K163, "")</f>
        <v>2732.2404371584698</v>
      </c>
      <c r="M163" s="31">
        <v>559</v>
      </c>
      <c r="N163" s="32">
        <f t="shared" ref="N163:N166" si="89">IF(ISNUMBER(M163), (M163 - $B163) / $B163, "")</f>
        <v>1.8214936247723135E-2</v>
      </c>
      <c r="O163" s="18">
        <f>IF(ISNUMBER(M163), $B172 * N163, "")</f>
        <v>1821.4936247723135</v>
      </c>
      <c r="Q163" s="245"/>
      <c r="R163" s="246"/>
      <c r="S163" s="247"/>
    </row>
    <row r="164" spans="1:19" ht="17.25" thickBot="1">
      <c r="A164" s="125" t="s">
        <v>51</v>
      </c>
      <c r="B164" s="126">
        <v>446</v>
      </c>
      <c r="C164" s="77">
        <v>-3.0434782600000002E-2</v>
      </c>
      <c r="D164" s="15">
        <v>474</v>
      </c>
      <c r="E164" s="32">
        <f t="shared" si="86"/>
        <v>6.2780269058295965E-2</v>
      </c>
      <c r="F164" s="18">
        <f>IF(ISNUMBER(D164), $B172 * E164, "")</f>
        <v>6278.0269058295962</v>
      </c>
      <c r="G164" s="31">
        <v>461</v>
      </c>
      <c r="H164" s="32">
        <f t="shared" si="87"/>
        <v>3.3632286995515695E-2</v>
      </c>
      <c r="I164" s="101">
        <f>IF(ISNUMBER(G164), $B172 * H164, "")</f>
        <v>3363.2286995515697</v>
      </c>
      <c r="J164" s="15">
        <v>463</v>
      </c>
      <c r="K164" s="32">
        <f t="shared" si="88"/>
        <v>3.811659192825112E-2</v>
      </c>
      <c r="L164" s="18">
        <f>IF(ISNUMBER(J164), $B172 * K164, "")</f>
        <v>3811.6591928251119</v>
      </c>
      <c r="M164" s="31">
        <v>446</v>
      </c>
      <c r="N164" s="32">
        <f t="shared" si="89"/>
        <v>0</v>
      </c>
      <c r="O164" s="18">
        <f>IF(ISNUMBER(M164), $B172 * N164, "")</f>
        <v>0</v>
      </c>
      <c r="Q164" s="238"/>
      <c r="R164" s="238"/>
      <c r="S164" s="238"/>
    </row>
    <row r="165" spans="1:19" ht="17.25" thickBot="1">
      <c r="A165" s="125" t="s">
        <v>57</v>
      </c>
      <c r="B165" s="126">
        <v>241</v>
      </c>
      <c r="C165" s="77">
        <v>-3.2128514099999998E-2</v>
      </c>
      <c r="D165" s="15">
        <v>258</v>
      </c>
      <c r="E165" s="32">
        <f t="shared" si="86"/>
        <v>7.0539419087136929E-2</v>
      </c>
      <c r="F165" s="18">
        <f>IF(ISNUMBER(D165), $B172 * E165, "")</f>
        <v>7053.941908713693</v>
      </c>
      <c r="G165" s="31">
        <v>258</v>
      </c>
      <c r="H165" s="32">
        <f t="shared" si="87"/>
        <v>7.0539419087136929E-2</v>
      </c>
      <c r="I165" s="101">
        <f>IF(ISNUMBER(G165), $B172 * H165, "")</f>
        <v>7053.941908713693</v>
      </c>
      <c r="J165" s="15">
        <v>262</v>
      </c>
      <c r="K165" s="32">
        <f t="shared" si="88"/>
        <v>8.7136929460580909E-2</v>
      </c>
      <c r="L165" s="18">
        <f>IF(ISNUMBER(J165), $B172 * K165, "")</f>
        <v>8713.6929460580905</v>
      </c>
      <c r="M165" s="31">
        <v>251</v>
      </c>
      <c r="N165" s="32">
        <f t="shared" si="89"/>
        <v>4.1493775933609957E-2</v>
      </c>
      <c r="O165" s="18">
        <f>IF(ISNUMBER(M165), $B172 * N165, "")</f>
        <v>4149.3775933609959</v>
      </c>
      <c r="Q165" s="248"/>
      <c r="R165" s="248"/>
      <c r="S165" s="248"/>
    </row>
    <row r="166" spans="1:19" ht="17.25" thickBot="1">
      <c r="A166" s="127" t="s">
        <v>162</v>
      </c>
      <c r="B166" s="128">
        <v>117</v>
      </c>
      <c r="C166" s="78">
        <v>-3.3057851200000002E-2</v>
      </c>
      <c r="D166" s="20">
        <v>121</v>
      </c>
      <c r="E166" s="21">
        <f t="shared" si="86"/>
        <v>3.4188034188034191E-2</v>
      </c>
      <c r="F166" s="22">
        <f>IF(ISNUMBER(D166), $B172 * E166, "")</f>
        <v>3418.8034188034189</v>
      </c>
      <c r="G166" s="30">
        <v>121</v>
      </c>
      <c r="H166" s="21">
        <f t="shared" si="87"/>
        <v>3.4188034188034191E-2</v>
      </c>
      <c r="I166" s="105">
        <f>IF(ISNUMBER(G166), $B172 * H166, "")</f>
        <v>3418.8034188034189</v>
      </c>
      <c r="J166" s="20">
        <v>123</v>
      </c>
      <c r="K166" s="21">
        <f t="shared" si="88"/>
        <v>5.128205128205128E-2</v>
      </c>
      <c r="L166" s="22">
        <f>IF(ISNUMBER(J166), $B172 * K166, "")</f>
        <v>5128.2051282051279</v>
      </c>
      <c r="M166" s="30">
        <v>118</v>
      </c>
      <c r="N166" s="21">
        <f t="shared" si="89"/>
        <v>8.5470085470085479E-3</v>
      </c>
      <c r="O166" s="22">
        <f>IF(ISNUMBER(M166), $B172 * N166, "")</f>
        <v>854.70085470085473</v>
      </c>
      <c r="Q166" s="248"/>
      <c r="R166" s="248"/>
      <c r="S166" s="248"/>
    </row>
    <row r="167" spans="1:19" ht="17.25" thickBot="1">
      <c r="A167" s="125" t="s">
        <v>138</v>
      </c>
      <c r="B167" s="129">
        <v>392</v>
      </c>
      <c r="C167" s="80">
        <v>-3.4482758600000003E-2</v>
      </c>
      <c r="D167" s="106">
        <v>421</v>
      </c>
      <c r="E167" s="107">
        <f>IF(ISNUMBER(D167), (D167 - $B167) / $B167, "")</f>
        <v>7.3979591836734693E-2</v>
      </c>
      <c r="F167" s="108">
        <f>IF(ISNUMBER(D167), $B172 * E167, "")</f>
        <v>7397.9591836734689</v>
      </c>
      <c r="G167" s="109">
        <v>428</v>
      </c>
      <c r="H167" s="107">
        <f>IF(ISNUMBER(G167), (G167 - $B167) / $B167, "")</f>
        <v>9.1836734693877556E-2</v>
      </c>
      <c r="I167" s="110">
        <f>IF(ISNUMBER(G167), $B172 * H167, "")</f>
        <v>9183.6734693877552</v>
      </c>
      <c r="J167" s="106">
        <v>428</v>
      </c>
      <c r="K167" s="107">
        <f>IF(ISNUMBER(J167), (J167 - $B167) / $B167, "")</f>
        <v>9.1836734693877556E-2</v>
      </c>
      <c r="L167" s="108">
        <f>IF(ISNUMBER(J167), $B172 * K167, "")</f>
        <v>9183.6734693877552</v>
      </c>
      <c r="M167" s="109">
        <v>418</v>
      </c>
      <c r="N167" s="107">
        <f>IF(ISNUMBER(M167), (M167 - $B167) / $B167, "")</f>
        <v>6.6326530612244902E-2</v>
      </c>
      <c r="O167" s="108">
        <f>IF(ISNUMBER(M167), $B172 * N167, "")</f>
        <v>6632.6530612244906</v>
      </c>
      <c r="Q167" s="238"/>
      <c r="R167" s="238"/>
      <c r="S167" s="238"/>
    </row>
    <row r="168" spans="1:19" ht="17.25" thickBot="1">
      <c r="A168" s="125" t="s">
        <v>132</v>
      </c>
      <c r="B168" s="126">
        <v>125</v>
      </c>
      <c r="C168" s="77">
        <v>-3.8461538500000003E-2</v>
      </c>
      <c r="D168" s="15">
        <v>132</v>
      </c>
      <c r="E168" s="32">
        <f t="shared" ref="E168:E171" si="90">IF(ISNUMBER(D168), (D168 - $B168) / $B168, "")</f>
        <v>5.6000000000000001E-2</v>
      </c>
      <c r="F168" s="18">
        <f>IF(ISNUMBER(D168), $B172 * E168, "")</f>
        <v>5600</v>
      </c>
      <c r="G168" s="31">
        <v>132</v>
      </c>
      <c r="H168" s="32">
        <f t="shared" ref="H168:H171" si="91">IF(ISNUMBER(G168), (G168 - $B168) / $B168, "")</f>
        <v>5.6000000000000001E-2</v>
      </c>
      <c r="I168" s="101">
        <f>IF(ISNUMBER(G168), $B172 * H168, "")</f>
        <v>5600</v>
      </c>
      <c r="J168" s="15">
        <v>133</v>
      </c>
      <c r="K168" s="32">
        <f t="shared" ref="K168:K171" si="92">IF(ISNUMBER(J168), (J168 - $B168) / $B168, "")</f>
        <v>6.4000000000000001E-2</v>
      </c>
      <c r="L168" s="18">
        <f>IF(ISNUMBER(J168), $B172 * K168, "")</f>
        <v>6400</v>
      </c>
      <c r="M168" s="31">
        <v>129</v>
      </c>
      <c r="N168" s="32">
        <f t="shared" ref="N168:N171" si="93">IF(ISNUMBER(M168), (M168 - $B168) / $B168, "")</f>
        <v>3.2000000000000001E-2</v>
      </c>
      <c r="O168" s="18">
        <f>IF(ISNUMBER(M168), $B172 * N168, "")</f>
        <v>3200</v>
      </c>
      <c r="Q168" s="238"/>
      <c r="R168" s="238"/>
      <c r="S168" s="238"/>
    </row>
    <row r="169" spans="1:19" ht="17.25" thickBot="1">
      <c r="A169" s="125" t="s">
        <v>166</v>
      </c>
      <c r="B169" s="126">
        <v>251</v>
      </c>
      <c r="C169" s="77">
        <v>-4.1984732800000001E-2</v>
      </c>
      <c r="D169" s="15">
        <v>253</v>
      </c>
      <c r="E169" s="32">
        <f t="shared" si="90"/>
        <v>7.9681274900398405E-3</v>
      </c>
      <c r="F169" s="18">
        <f>IF(ISNUMBER(D169), $B172 * E169, "")</f>
        <v>796.81274900398409</v>
      </c>
      <c r="G169" s="31">
        <v>252</v>
      </c>
      <c r="H169" s="32">
        <f t="shared" si="91"/>
        <v>3.9840637450199202E-3</v>
      </c>
      <c r="I169" s="101">
        <f>IF(ISNUMBER(G169), $B172 * H169, "")</f>
        <v>398.40637450199205</v>
      </c>
      <c r="J169" s="15">
        <v>253</v>
      </c>
      <c r="K169" s="32">
        <f t="shared" si="92"/>
        <v>7.9681274900398405E-3</v>
      </c>
      <c r="L169" s="18">
        <f>IF(ISNUMBER(J169), $B172 * K169, "")</f>
        <v>796.81274900398409</v>
      </c>
      <c r="M169" s="31">
        <v>249</v>
      </c>
      <c r="N169" s="32">
        <f t="shared" si="93"/>
        <v>-7.9681274900398405E-3</v>
      </c>
      <c r="O169" s="18">
        <f>IF(ISNUMBER(M169), $B172 * N169, "")</f>
        <v>-796.81274900398409</v>
      </c>
      <c r="Q169" s="238"/>
      <c r="R169" s="238"/>
      <c r="S169" s="238"/>
    </row>
    <row r="170" spans="1:19">
      <c r="A170" s="125" t="s">
        <v>218</v>
      </c>
      <c r="B170" s="126">
        <v>137</v>
      </c>
      <c r="C170" s="77">
        <v>-4.86111111E-2</v>
      </c>
      <c r="D170" s="15">
        <v>138</v>
      </c>
      <c r="E170" s="32">
        <f t="shared" si="90"/>
        <v>7.2992700729927005E-3</v>
      </c>
      <c r="F170" s="18">
        <f>IF(ISNUMBER(D170), $B172 * E170, "")</f>
        <v>729.92700729927003</v>
      </c>
      <c r="G170" s="31">
        <v>139</v>
      </c>
      <c r="H170" s="32">
        <f t="shared" si="91"/>
        <v>1.4598540145985401E-2</v>
      </c>
      <c r="I170" s="101">
        <f>IF(ISNUMBER(G170), $B172 * H170, "")</f>
        <v>1459.8540145985401</v>
      </c>
      <c r="J170" s="15">
        <v>139</v>
      </c>
      <c r="K170" s="32">
        <f t="shared" si="92"/>
        <v>1.4598540145985401E-2</v>
      </c>
      <c r="L170" s="18">
        <f>IF(ISNUMBER(J170), $B172 * K170, "")</f>
        <v>1459.8540145985401</v>
      </c>
      <c r="M170" s="31">
        <v>136</v>
      </c>
      <c r="N170" s="32">
        <f t="shared" si="93"/>
        <v>-7.2992700729927005E-3</v>
      </c>
      <c r="O170" s="18">
        <f>IF(ISNUMBER(M170), $B172 * N170, "")</f>
        <v>-729.92700729927003</v>
      </c>
      <c r="Q170" s="227"/>
      <c r="R170" s="228"/>
      <c r="S170" s="229"/>
    </row>
    <row r="171" spans="1:19" ht="17.25" thickBot="1">
      <c r="A171" s="130" t="s">
        <v>54</v>
      </c>
      <c r="B171" s="131">
        <v>285</v>
      </c>
      <c r="C171" s="79">
        <v>-6.8627451000000006E-2</v>
      </c>
      <c r="D171" s="24">
        <v>298</v>
      </c>
      <c r="E171" s="25">
        <f t="shared" si="90"/>
        <v>4.5614035087719301E-2</v>
      </c>
      <c r="F171" s="104">
        <f>IF(ISNUMBER(D171), $B172 * E171, "")</f>
        <v>4561.4035087719303</v>
      </c>
      <c r="G171" s="102">
        <v>300</v>
      </c>
      <c r="H171" s="25">
        <f t="shared" si="91"/>
        <v>5.2631578947368418E-2</v>
      </c>
      <c r="I171" s="103">
        <f>IF(ISNUMBER(G171), $B172 * H171, "")</f>
        <v>5263.1578947368416</v>
      </c>
      <c r="J171" s="24">
        <v>302</v>
      </c>
      <c r="K171" s="25">
        <f t="shared" si="92"/>
        <v>5.9649122807017542E-2</v>
      </c>
      <c r="L171" s="104">
        <f>IF(ISNUMBER(J171), $B172 * K171, "")</f>
        <v>5964.9122807017538</v>
      </c>
      <c r="M171" s="102">
        <v>289</v>
      </c>
      <c r="N171" s="25">
        <f t="shared" si="93"/>
        <v>1.4035087719298246E-2</v>
      </c>
      <c r="O171" s="104">
        <f>IF(ISNUMBER(M171), $B172 * N171, "")</f>
        <v>1403.5087719298247</v>
      </c>
      <c r="Q171" s="230"/>
      <c r="R171" s="231"/>
      <c r="S171" s="232"/>
    </row>
    <row r="172" spans="1:19" ht="17.25" thickBot="1">
      <c r="A172" s="132" t="s">
        <v>270</v>
      </c>
      <c r="B172" s="291">
        <f>$B$37</f>
        <v>100000</v>
      </c>
      <c r="C172" s="292"/>
      <c r="D172" s="26" t="s">
        <v>271</v>
      </c>
      <c r="E172" s="27">
        <f>IF(COUNT(E152:E171), SUM(E152:E171) / COUNT(E152:E171), 0)</f>
        <v>3.3110780480440916E-2</v>
      </c>
      <c r="F172" s="28">
        <f>SUM(F152:F171)</f>
        <v>66221.560960881834</v>
      </c>
      <c r="G172" s="26" t="s">
        <v>271</v>
      </c>
      <c r="H172" s="27">
        <f>IF(COUNT(H152:H171), SUM(H152:H171) / COUNT(H152:H171), 0)</f>
        <v>3.3330896464420022E-2</v>
      </c>
      <c r="I172" s="28">
        <f>SUM(I152:I171)</f>
        <v>66661.792928840048</v>
      </c>
      <c r="J172" s="26" t="s">
        <v>271</v>
      </c>
      <c r="K172" s="27">
        <f>IF(COUNT(K152:K171), SUM(K152:K171) / COUNT(K152:K171), 0)</f>
        <v>3.8885048548418441E-2</v>
      </c>
      <c r="L172" s="28">
        <f>SUM(L152:L171)</f>
        <v>77770.097096836907</v>
      </c>
      <c r="M172" s="26" t="s">
        <v>271</v>
      </c>
      <c r="N172" s="27">
        <f>IF(COUNT(N152:N171), SUM(N152:N171) / COUNT(N152:N171), 0)</f>
        <v>1.1618508854840413E-2</v>
      </c>
      <c r="O172" s="28">
        <f>SUM(O152:O171)</f>
        <v>23237.017709680833</v>
      </c>
      <c r="Q172" s="233"/>
      <c r="R172" s="234"/>
      <c r="S172" s="23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48"/>
      <c r="R175" s="248"/>
      <c r="S175" s="248"/>
    </row>
    <row r="176" spans="1:19" ht="17.25" thickBot="1">
      <c r="A176" s="219" t="s">
        <v>267</v>
      </c>
      <c r="B176" s="249" t="s">
        <v>49</v>
      </c>
      <c r="C176" s="251"/>
      <c r="D176" s="249" t="s">
        <v>58</v>
      </c>
      <c r="E176" s="250"/>
      <c r="F176" s="251"/>
      <c r="G176" s="252">
        <f>_xlfn.IFNA(VLOOKUP(B176, 현재가테이블!$B$2:$D$200, 2, FALSE), "-")</f>
        <v>54440000</v>
      </c>
      <c r="H176" s="253"/>
      <c r="I176" s="254"/>
      <c r="J176" s="249" t="s">
        <v>59</v>
      </c>
      <c r="K176" s="250"/>
      <c r="L176" s="251"/>
      <c r="M176" s="255">
        <f>_xlfn.IFNA(VLOOKUP(B176, 현재가테이블!$B$2:$D$200, 3, FALSE), "-")</f>
        <v>1.07123628E-2</v>
      </c>
      <c r="N176" s="256"/>
      <c r="O176" s="257"/>
      <c r="Q176" s="248"/>
      <c r="R176" s="248"/>
      <c r="S176" s="248"/>
    </row>
    <row r="177" spans="1:19" ht="17.25" thickBot="1">
      <c r="A177" s="293" t="s">
        <v>55</v>
      </c>
      <c r="B177" s="289" t="str">
        <f>TEXT($G$1, "[$-ko-KR]yyyy-mm-dd(ddd) ") &amp; "오전 00:00"</f>
        <v>2021-08-16(월) 오전 00:00</v>
      </c>
      <c r="C177" s="290"/>
      <c r="D177" s="262" t="str">
        <f>TEXT($G$1, "[$-ko-KR]yyyy-mm-dd(ddd) ") &amp; "오후 14:00"</f>
        <v>2021-08-16(월) 오후 14:00</v>
      </c>
      <c r="E177" s="263"/>
      <c r="F177" s="264"/>
      <c r="G177" s="262" t="str">
        <f>TEXT($G$1, "[$-ko-KR]yyyy-mm-dd(ddd) ") &amp; "오후 19:00"</f>
        <v>2021-08-16(월) 오후 19:00</v>
      </c>
      <c r="H177" s="263"/>
      <c r="I177" s="264"/>
      <c r="J177" s="262" t="str">
        <f>TEXT($G$1, "[$-ko-KR]yyyy-mm-dd(ddd) ") &amp; "오후 21:00"</f>
        <v>2021-08-16(월) 오후 21:00</v>
      </c>
      <c r="K177" s="263"/>
      <c r="L177" s="264"/>
      <c r="M177" s="262" t="str">
        <f>TEXT($G$1+1, "[$-ko-KR]yyyy-mm-dd(ddd) ") &amp; "오전 00:00"</f>
        <v>2021-08-17(화) 오전 00:00</v>
      </c>
      <c r="N177" s="263"/>
      <c r="O177" s="264"/>
      <c r="Q177" s="248"/>
      <c r="R177" s="248"/>
      <c r="S177" s="248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0" t="s">
        <v>58</v>
      </c>
      <c r="H178" s="221" t="s">
        <v>268</v>
      </c>
      <c r="I178" s="22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8"/>
      <c r="R178" s="238"/>
      <c r="S178" s="238"/>
    </row>
    <row r="179" spans="1:19" ht="17.25" thickBot="1">
      <c r="A179" s="123" t="s">
        <v>138</v>
      </c>
      <c r="B179" s="124">
        <v>392</v>
      </c>
      <c r="C179" s="76">
        <v>-3.4482758600000003E-2</v>
      </c>
      <c r="D179" s="13">
        <v>421</v>
      </c>
      <c r="E179" s="14">
        <f>IF(ISNUMBER(D179), (D179 - $B179) / $B179, "")</f>
        <v>7.3979591836734693E-2</v>
      </c>
      <c r="F179" s="16">
        <f>IF(ISNUMBER(D179), $B199 * E179, "")</f>
        <v>7397.9591836734689</v>
      </c>
      <c r="G179" s="29">
        <v>428</v>
      </c>
      <c r="H179" s="14">
        <f>IF(ISNUMBER(G179), (G179 - $B179) / $B179, "")</f>
        <v>9.1836734693877556E-2</v>
      </c>
      <c r="I179" s="100">
        <f>IF(ISNUMBER(G179), $B199 * H179, "")</f>
        <v>9183.6734693877552</v>
      </c>
      <c r="J179" s="13">
        <v>428</v>
      </c>
      <c r="K179" s="14">
        <f>IF(ISNUMBER(J179), (J179 - $B179) / $B179, "")</f>
        <v>9.1836734693877556E-2</v>
      </c>
      <c r="L179" s="16">
        <f>IF(ISNUMBER(J179), $B199 * K179, "")</f>
        <v>9183.6734693877552</v>
      </c>
      <c r="M179" s="29">
        <v>418</v>
      </c>
      <c r="N179" s="14">
        <f>IF(ISNUMBER(M179), (M179 - $B179) / $B179, "")</f>
        <v>6.6326530612244902E-2</v>
      </c>
      <c r="O179" s="16">
        <f>IF(ISNUMBER(M179), $B199 * N179, "")</f>
        <v>6632.6530612244906</v>
      </c>
      <c r="Q179" s="248"/>
      <c r="R179" s="248"/>
      <c r="S179" s="248"/>
    </row>
    <row r="180" spans="1:19" ht="17.25" thickBot="1">
      <c r="A180" s="125" t="s">
        <v>226</v>
      </c>
      <c r="B180" s="126">
        <v>2075</v>
      </c>
      <c r="C180" s="77">
        <v>-3.4883720899999998E-2</v>
      </c>
      <c r="D180" s="15">
        <v>2255</v>
      </c>
      <c r="E180" s="32">
        <f t="shared" ref="E180:E183" si="94">IF(ISNUMBER(D180), (D180 - $B180) / $B180, "")</f>
        <v>8.6746987951807228E-2</v>
      </c>
      <c r="F180" s="18">
        <f>IF(ISNUMBER(D180), $B199 * E180, "")</f>
        <v>8674.6987951807223</v>
      </c>
      <c r="G180" s="31">
        <v>2250</v>
      </c>
      <c r="H180" s="32">
        <f t="shared" ref="H180:H183" si="95">IF(ISNUMBER(G180), (G180 - $B180) / $B180, "")</f>
        <v>8.4337349397590355E-2</v>
      </c>
      <c r="I180" s="101">
        <f>IF(ISNUMBER(G180), $B199 * H180, "")</f>
        <v>8433.7349397590351</v>
      </c>
      <c r="J180" s="15">
        <v>2245</v>
      </c>
      <c r="K180" s="32">
        <f t="shared" ref="K180:K183" si="96">IF(ISNUMBER(J180), (J180 - $B180) / $B180, "")</f>
        <v>8.1927710843373497E-2</v>
      </c>
      <c r="L180" s="18">
        <f>IF(ISNUMBER(J180), $B199 * K180, "")</f>
        <v>8192.7710843373497</v>
      </c>
      <c r="M180" s="31">
        <v>2195</v>
      </c>
      <c r="N180" s="32">
        <f t="shared" ref="N180:N183" si="97">IF(ISNUMBER(M180), (M180 - $B180) / $B180, "")</f>
        <v>5.7831325301204821E-2</v>
      </c>
      <c r="O180" s="18">
        <f>IF(ISNUMBER(M180), $B199 * N180, "")</f>
        <v>5783.1325301204824</v>
      </c>
      <c r="Q180" s="248"/>
      <c r="R180" s="248"/>
      <c r="S180" s="248"/>
    </row>
    <row r="181" spans="1:19" ht="17.25" thickBot="1">
      <c r="A181" s="125" t="s">
        <v>198</v>
      </c>
      <c r="B181" s="126">
        <v>26240</v>
      </c>
      <c r="C181" s="77">
        <v>-3.4939315899999997E-2</v>
      </c>
      <c r="D181" s="15">
        <v>26890</v>
      </c>
      <c r="E181" s="32">
        <f t="shared" si="94"/>
        <v>2.4771341463414635E-2</v>
      </c>
      <c r="F181" s="18">
        <f>IF(ISNUMBER(D181), $B199 * E181, "")</f>
        <v>2477.1341463414637</v>
      </c>
      <c r="G181" s="31">
        <v>26910</v>
      </c>
      <c r="H181" s="32">
        <f t="shared" si="95"/>
        <v>2.5533536585365852E-2</v>
      </c>
      <c r="I181" s="101">
        <f>IF(ISNUMBER(G181), $B199 * H181, "")</f>
        <v>2553.353658536585</v>
      </c>
      <c r="J181" s="15">
        <v>27180</v>
      </c>
      <c r="K181" s="32">
        <f t="shared" si="96"/>
        <v>3.5823170731707314E-2</v>
      </c>
      <c r="L181" s="18">
        <f>IF(ISNUMBER(J181), $B199 * K181, "")</f>
        <v>3582.3170731707314</v>
      </c>
      <c r="M181" s="31">
        <v>26510</v>
      </c>
      <c r="N181" s="32">
        <f t="shared" si="97"/>
        <v>1.0289634146341464E-2</v>
      </c>
      <c r="O181" s="18">
        <f>IF(ISNUMBER(M181), $B199 * N181, "")</f>
        <v>1028.9634146341464</v>
      </c>
      <c r="Q181" s="238"/>
      <c r="R181" s="238"/>
      <c r="S181" s="238"/>
    </row>
    <row r="182" spans="1:19" ht="17.25" thickBot="1">
      <c r="A182" s="125" t="s">
        <v>148</v>
      </c>
      <c r="B182" s="126">
        <v>21.9</v>
      </c>
      <c r="C182" s="77">
        <v>-3.5242290699999998E-2</v>
      </c>
      <c r="D182" s="15">
        <v>23</v>
      </c>
      <c r="E182" s="32">
        <f t="shared" si="94"/>
        <v>5.0228310502283172E-2</v>
      </c>
      <c r="F182" s="18">
        <f>IF(ISNUMBER(D182), $B199 * E182, "")</f>
        <v>5022.8310502283175</v>
      </c>
      <c r="G182" s="31">
        <v>23.1</v>
      </c>
      <c r="H182" s="32">
        <f t="shared" si="95"/>
        <v>5.4794520547945341E-2</v>
      </c>
      <c r="I182" s="101">
        <f>IF(ISNUMBER(G182), $B199 * H182, "")</f>
        <v>5479.452054794534</v>
      </c>
      <c r="J182" s="15">
        <v>23.4</v>
      </c>
      <c r="K182" s="32">
        <f t="shared" si="96"/>
        <v>6.8493150684931517E-2</v>
      </c>
      <c r="L182" s="18">
        <f>IF(ISNUMBER(J182), $B199 * K182, "")</f>
        <v>6849.3150684931516</v>
      </c>
      <c r="M182" s="31">
        <v>22.7</v>
      </c>
      <c r="N182" s="32">
        <f t="shared" si="97"/>
        <v>3.6529680365296836E-2</v>
      </c>
      <c r="O182" s="18">
        <f>IF(ISNUMBER(M182), $B199 * N182, "")</f>
        <v>3652.9680365296836</v>
      </c>
      <c r="Q182" s="238"/>
      <c r="R182" s="238"/>
      <c r="S182" s="238"/>
    </row>
    <row r="183" spans="1:19" ht="17.25" thickBot="1">
      <c r="A183" s="127" t="s">
        <v>84</v>
      </c>
      <c r="B183" s="128">
        <v>6165</v>
      </c>
      <c r="C183" s="78">
        <v>-3.5965598100000003E-2</v>
      </c>
      <c r="D183" s="20">
        <v>6730</v>
      </c>
      <c r="E183" s="21">
        <f t="shared" si="94"/>
        <v>9.1646390916463913E-2</v>
      </c>
      <c r="F183" s="22">
        <f>IF(ISNUMBER(D183), $B199 * E183, "")</f>
        <v>9164.6390916463915</v>
      </c>
      <c r="G183" s="30">
        <v>6770</v>
      </c>
      <c r="H183" s="21">
        <f t="shared" si="95"/>
        <v>9.813463098134631E-2</v>
      </c>
      <c r="I183" s="105">
        <f>IF(ISNUMBER(G183), $B199 * H183, "")</f>
        <v>9813.4630981346309</v>
      </c>
      <c r="J183" s="20">
        <v>6800</v>
      </c>
      <c r="K183" s="21">
        <f t="shared" si="96"/>
        <v>0.1030008110300081</v>
      </c>
      <c r="L183" s="22">
        <f>IF(ISNUMBER(J183), $B199 * K183, "")</f>
        <v>10300.08110300081</v>
      </c>
      <c r="M183" s="30">
        <v>6495</v>
      </c>
      <c r="N183" s="21">
        <f t="shared" si="97"/>
        <v>5.3527980535279802E-2</v>
      </c>
      <c r="O183" s="22">
        <f>IF(ISNUMBER(M183), $B199 * N183, "")</f>
        <v>5352.7980535279803</v>
      </c>
      <c r="Q183" s="238"/>
      <c r="R183" s="238"/>
      <c r="S183" s="238"/>
    </row>
    <row r="184" spans="1:19" ht="17.25" thickBot="1">
      <c r="A184" s="125" t="s">
        <v>184</v>
      </c>
      <c r="B184" s="129">
        <v>1045</v>
      </c>
      <c r="C184" s="80">
        <v>-3.68663594E-2</v>
      </c>
      <c r="D184" s="106">
        <v>1085</v>
      </c>
      <c r="E184" s="107">
        <f>IF(ISNUMBER(D184), (D184 - $B184) / $B184, "")</f>
        <v>3.8277511961722487E-2</v>
      </c>
      <c r="F184" s="108">
        <f>IF(ISNUMBER(D184), $B199 * E184, "")</f>
        <v>3827.7511961722485</v>
      </c>
      <c r="G184" s="109">
        <v>1080</v>
      </c>
      <c r="H184" s="107">
        <f>IF(ISNUMBER(G184), (G184 - $B184) / $B184, "")</f>
        <v>3.3492822966507178E-2</v>
      </c>
      <c r="I184" s="110">
        <f>IF(ISNUMBER(G184), $B199 * H184, "")</f>
        <v>3349.2822966507179</v>
      </c>
      <c r="J184" s="106">
        <v>1090</v>
      </c>
      <c r="K184" s="107">
        <f>IF(ISNUMBER(J184), (J184 - $B184) / $B184, "")</f>
        <v>4.3062200956937802E-2</v>
      </c>
      <c r="L184" s="108">
        <f>IF(ISNUMBER(J184), $B199 * K184, "")</f>
        <v>4306.2200956937804</v>
      </c>
      <c r="M184" s="109">
        <v>1075</v>
      </c>
      <c r="N184" s="107">
        <f>IF(ISNUMBER(M184), (M184 - $B184) / $B184, "")</f>
        <v>2.8708133971291867E-2</v>
      </c>
      <c r="O184" s="108">
        <f>IF(ISNUMBER(M184), $B199 * N184, "")</f>
        <v>2870.8133971291868</v>
      </c>
      <c r="Q184" s="238"/>
      <c r="R184" s="238"/>
      <c r="S184" s="238"/>
    </row>
    <row r="185" spans="1:19" ht="17.25" thickBot="1">
      <c r="A185" s="125" t="s">
        <v>142</v>
      </c>
      <c r="B185" s="126">
        <v>11530</v>
      </c>
      <c r="C185" s="77">
        <v>-3.8365304400000001E-2</v>
      </c>
      <c r="D185" s="15">
        <v>11910</v>
      </c>
      <c r="E185" s="32">
        <f t="shared" ref="E185:E188" si="98">IF(ISNUMBER(D185), (D185 - $B185) / $B185, "")</f>
        <v>3.2957502168256721E-2</v>
      </c>
      <c r="F185" s="18">
        <f>IF(ISNUMBER(D185), $B199 * E185, "")</f>
        <v>3295.7502168256719</v>
      </c>
      <c r="G185" s="31">
        <v>11920</v>
      </c>
      <c r="H185" s="32">
        <f t="shared" ref="H185:H188" si="99">IF(ISNUMBER(G185), (G185 - $B185) / $B185, "")</f>
        <v>3.3824804856895055E-2</v>
      </c>
      <c r="I185" s="101">
        <f>IF(ISNUMBER(G185), $B199 * H185, "")</f>
        <v>3382.4804856895057</v>
      </c>
      <c r="J185" s="15">
        <v>12000</v>
      </c>
      <c r="K185" s="32">
        <f t="shared" ref="K185:K188" si="100">IF(ISNUMBER(J185), (J185 - $B185) / $B185, "")</f>
        <v>4.0763226366001735E-2</v>
      </c>
      <c r="L185" s="18">
        <f>IF(ISNUMBER(J185), $B199 * K185, "")</f>
        <v>4076.3226366001736</v>
      </c>
      <c r="M185" s="31">
        <v>11640</v>
      </c>
      <c r="N185" s="32">
        <f t="shared" ref="N185:N188" si="101">IF(ISNUMBER(M185), (M185 - $B185) / $B185, "")</f>
        <v>9.5403295750216832E-3</v>
      </c>
      <c r="O185" s="18">
        <f>IF(ISNUMBER(M185), $B199 * N185, "")</f>
        <v>954.0329575021683</v>
      </c>
      <c r="Q185" s="238"/>
      <c r="R185" s="238"/>
      <c r="S185" s="238"/>
    </row>
    <row r="186" spans="1:19" ht="17.25" thickBot="1">
      <c r="A186" s="125" t="s">
        <v>132</v>
      </c>
      <c r="B186" s="126">
        <v>125</v>
      </c>
      <c r="C186" s="77">
        <v>-3.8461538500000003E-2</v>
      </c>
      <c r="D186" s="15">
        <v>132</v>
      </c>
      <c r="E186" s="32">
        <f t="shared" si="98"/>
        <v>5.6000000000000001E-2</v>
      </c>
      <c r="F186" s="18">
        <f>IF(ISNUMBER(D186), $B199 * E186, "")</f>
        <v>5600</v>
      </c>
      <c r="G186" s="31">
        <v>132</v>
      </c>
      <c r="H186" s="32">
        <f t="shared" si="99"/>
        <v>5.6000000000000001E-2</v>
      </c>
      <c r="I186" s="101">
        <f>IF(ISNUMBER(G186), $B199 * H186, "")</f>
        <v>5600</v>
      </c>
      <c r="J186" s="15">
        <v>133</v>
      </c>
      <c r="K186" s="32">
        <f t="shared" si="100"/>
        <v>6.4000000000000001E-2</v>
      </c>
      <c r="L186" s="18">
        <f>IF(ISNUMBER(J186), $B199 * K186, "")</f>
        <v>6400</v>
      </c>
      <c r="M186" s="31">
        <v>129</v>
      </c>
      <c r="N186" s="32">
        <f t="shared" si="101"/>
        <v>3.2000000000000001E-2</v>
      </c>
      <c r="O186" s="18">
        <f>IF(ISNUMBER(M186), $B199 * N186, "")</f>
        <v>3200</v>
      </c>
      <c r="Q186" s="238"/>
      <c r="R186" s="238"/>
      <c r="S186" s="238"/>
    </row>
    <row r="187" spans="1:19" ht="17.25" thickBot="1">
      <c r="A187" s="125" t="s">
        <v>140</v>
      </c>
      <c r="B187" s="126">
        <v>6335</v>
      </c>
      <c r="C187" s="77">
        <v>-3.8694992400000003E-2</v>
      </c>
      <c r="D187" s="15">
        <v>6845</v>
      </c>
      <c r="E187" s="32">
        <f t="shared" si="98"/>
        <v>8.050513022888714E-2</v>
      </c>
      <c r="F187" s="18">
        <f>IF(ISNUMBER(D187), $B199 * E187, "")</f>
        <v>8050.5130228887137</v>
      </c>
      <c r="G187" s="31">
        <v>6875</v>
      </c>
      <c r="H187" s="32">
        <f t="shared" si="99"/>
        <v>8.5240726124704028E-2</v>
      </c>
      <c r="I187" s="101">
        <f>IF(ISNUMBER(G187), $B199 * H187, "")</f>
        <v>8524.0726124704033</v>
      </c>
      <c r="J187" s="15">
        <v>6865</v>
      </c>
      <c r="K187" s="32">
        <f t="shared" si="100"/>
        <v>8.3662194159431727E-2</v>
      </c>
      <c r="L187" s="18">
        <f>IF(ISNUMBER(J187), $B199 * K187, "")</f>
        <v>8366.2194159431729</v>
      </c>
      <c r="M187" s="31">
        <v>6635</v>
      </c>
      <c r="N187" s="32">
        <f t="shared" si="101"/>
        <v>4.7355958958168902E-2</v>
      </c>
      <c r="O187" s="18">
        <f>IF(ISNUMBER(M187), $B199 * N187, "")</f>
        <v>4735.5958958168903</v>
      </c>
      <c r="Q187" s="33"/>
      <c r="R187" s="33"/>
    </row>
    <row r="188" spans="1:19" ht="17.25" thickBot="1">
      <c r="A188" s="130" t="s">
        <v>104</v>
      </c>
      <c r="B188" s="131">
        <v>1200</v>
      </c>
      <c r="C188" s="79">
        <v>-0.04</v>
      </c>
      <c r="D188" s="24">
        <v>1235</v>
      </c>
      <c r="E188" s="25">
        <f t="shared" si="98"/>
        <v>2.9166666666666667E-2</v>
      </c>
      <c r="F188" s="104">
        <f>IF(ISNUMBER(D188), $B199 * E188, "")</f>
        <v>2916.6666666666665</v>
      </c>
      <c r="G188" s="102">
        <v>1245</v>
      </c>
      <c r="H188" s="25">
        <f t="shared" si="99"/>
        <v>3.7499999999999999E-2</v>
      </c>
      <c r="I188" s="103">
        <f>IF(ISNUMBER(G188), $B199 * H188, "")</f>
        <v>3750</v>
      </c>
      <c r="J188" s="24">
        <v>1280</v>
      </c>
      <c r="K188" s="25">
        <f t="shared" si="100"/>
        <v>6.6666666666666666E-2</v>
      </c>
      <c r="L188" s="104">
        <f>IF(ISNUMBER(J188), $B199 * K188, "")</f>
        <v>6666.666666666667</v>
      </c>
      <c r="M188" s="102">
        <v>1220</v>
      </c>
      <c r="N188" s="25">
        <f t="shared" si="101"/>
        <v>1.6666666666666666E-2</v>
      </c>
      <c r="O188" s="104">
        <f>IF(ISNUMBER(M188), $B199 * N188, "")</f>
        <v>1666.6666666666667</v>
      </c>
      <c r="Q188" s="239"/>
      <c r="R188" s="240"/>
      <c r="S188" s="241"/>
    </row>
    <row r="189" spans="1:19">
      <c r="A189" s="123" t="s">
        <v>166</v>
      </c>
      <c r="B189" s="124">
        <v>251</v>
      </c>
      <c r="C189" s="76">
        <v>-4.1984732800000001E-2</v>
      </c>
      <c r="D189" s="13">
        <v>253</v>
      </c>
      <c r="E189" s="14">
        <f>IF(ISNUMBER(D189), (D189 - $B189) / $B189, "")</f>
        <v>7.9681274900398405E-3</v>
      </c>
      <c r="F189" s="16">
        <f>IF(ISNUMBER(D189), $B199 * E189, "")</f>
        <v>796.81274900398409</v>
      </c>
      <c r="G189" s="29">
        <v>252</v>
      </c>
      <c r="H189" s="14">
        <f>IF(ISNUMBER(G189), (G189 - $B189) / $B189, "")</f>
        <v>3.9840637450199202E-3</v>
      </c>
      <c r="I189" s="100">
        <f>IF(ISNUMBER(G189), $B199 * H189, "")</f>
        <v>398.40637450199205</v>
      </c>
      <c r="J189" s="13">
        <v>253</v>
      </c>
      <c r="K189" s="14">
        <f>IF(ISNUMBER(J189), (J189 - $B189) / $B189, "")</f>
        <v>7.9681274900398405E-3</v>
      </c>
      <c r="L189" s="16">
        <f>IF(ISNUMBER(J189), $B199 * K189, "")</f>
        <v>796.81274900398409</v>
      </c>
      <c r="M189" s="29">
        <v>249</v>
      </c>
      <c r="N189" s="14">
        <f>IF(ISNUMBER(M189), (M189 - $B189) / $B189, "")</f>
        <v>-7.9681274900398405E-3</v>
      </c>
      <c r="O189" s="16">
        <f>IF(ISNUMBER(M189), $B199 * N189, "")</f>
        <v>-796.81274900398409</v>
      </c>
      <c r="Q189" s="242"/>
      <c r="R189" s="243"/>
      <c r="S189" s="244"/>
    </row>
    <row r="190" spans="1:19" ht="17.25" thickBot="1">
      <c r="A190" s="125" t="s">
        <v>122</v>
      </c>
      <c r="B190" s="126">
        <v>33.700000000000003</v>
      </c>
      <c r="C190" s="77">
        <v>-4.2613636400000002E-2</v>
      </c>
      <c r="D190" s="15">
        <v>35.4</v>
      </c>
      <c r="E190" s="32">
        <f t="shared" ref="E190:E193" si="102">IF(ISNUMBER(D190), (D190 - $B190) / $B190, "")</f>
        <v>5.0445103857566634E-2</v>
      </c>
      <c r="F190" s="18">
        <f>IF(ISNUMBER(D190), $B199 * E190, "")</f>
        <v>5044.5103857566637</v>
      </c>
      <c r="G190" s="31">
        <v>35.200000000000003</v>
      </c>
      <c r="H190" s="32">
        <f t="shared" ref="H190:H193" si="103">IF(ISNUMBER(G190), (G190 - $B190) / $B190, "")</f>
        <v>4.4510385756676554E-2</v>
      </c>
      <c r="I190" s="101">
        <f>IF(ISNUMBER(G190), $B199 * H190, "")</f>
        <v>4451.0385756676551</v>
      </c>
      <c r="J190" s="15">
        <v>36</v>
      </c>
      <c r="K190" s="32">
        <f t="shared" ref="K190:K193" si="104">IF(ISNUMBER(J190), (J190 - $B190) / $B190, "")</f>
        <v>6.8249258160237303E-2</v>
      </c>
      <c r="L190" s="18">
        <f>IF(ISNUMBER(J190), $B199 * K190, "")</f>
        <v>6824.9258160237305</v>
      </c>
      <c r="M190" s="31">
        <v>36.200000000000003</v>
      </c>
      <c r="N190" s="32">
        <f t="shared" ref="N190:N193" si="105">IF(ISNUMBER(M190), (M190 - $B190) / $B190, "")</f>
        <v>7.418397626112759E-2</v>
      </c>
      <c r="O190" s="18">
        <f>IF(ISNUMBER(M190), $B199 * N190, "")</f>
        <v>7418.3976261127591</v>
      </c>
      <c r="Q190" s="245"/>
      <c r="R190" s="246"/>
      <c r="S190" s="247"/>
    </row>
    <row r="191" spans="1:19" ht="17.25" thickBot="1">
      <c r="A191" s="125" t="s">
        <v>156</v>
      </c>
      <c r="B191" s="126">
        <v>1880</v>
      </c>
      <c r="C191" s="77">
        <v>-4.3256997499999998E-2</v>
      </c>
      <c r="D191" s="15">
        <v>1960</v>
      </c>
      <c r="E191" s="32">
        <f t="shared" si="102"/>
        <v>4.2553191489361701E-2</v>
      </c>
      <c r="F191" s="18">
        <f>IF(ISNUMBER(D191), $B199 * E191, "")</f>
        <v>4255.3191489361698</v>
      </c>
      <c r="G191" s="31">
        <v>2005</v>
      </c>
      <c r="H191" s="32">
        <f t="shared" si="103"/>
        <v>6.6489361702127658E-2</v>
      </c>
      <c r="I191" s="101">
        <f>IF(ISNUMBER(G191), $B199 * H191, "")</f>
        <v>6648.9361702127662</v>
      </c>
      <c r="J191" s="15">
        <v>2000</v>
      </c>
      <c r="K191" s="32">
        <f t="shared" si="104"/>
        <v>6.3829787234042548E-2</v>
      </c>
      <c r="L191" s="18">
        <f>IF(ISNUMBER(J191), $B199 * K191, "")</f>
        <v>6382.9787234042551</v>
      </c>
      <c r="M191" s="31">
        <v>1925</v>
      </c>
      <c r="N191" s="32">
        <f t="shared" si="105"/>
        <v>2.3936170212765957E-2</v>
      </c>
      <c r="O191" s="18">
        <f>IF(ISNUMBER(M191), $B199 * N191, "")</f>
        <v>2393.6170212765956</v>
      </c>
      <c r="Q191" s="238"/>
      <c r="R191" s="238"/>
      <c r="S191" s="238"/>
    </row>
    <row r="192" spans="1:19" ht="17.25" thickBot="1">
      <c r="A192" s="125" t="s">
        <v>214</v>
      </c>
      <c r="B192" s="126">
        <v>1080</v>
      </c>
      <c r="C192" s="77">
        <v>-4.4247787599999998E-2</v>
      </c>
      <c r="D192" s="15">
        <v>1070</v>
      </c>
      <c r="E192" s="32">
        <f t="shared" si="102"/>
        <v>-9.2592592592592587E-3</v>
      </c>
      <c r="F192" s="18">
        <f>IF(ISNUMBER(D192), $B199 * E192, "")</f>
        <v>-925.92592592592587</v>
      </c>
      <c r="G192" s="31">
        <v>1085</v>
      </c>
      <c r="H192" s="32">
        <f t="shared" si="103"/>
        <v>4.6296296296296294E-3</v>
      </c>
      <c r="I192" s="101">
        <f>IF(ISNUMBER(G192), $B199 * H192, "")</f>
        <v>462.96296296296293</v>
      </c>
      <c r="J192" s="15">
        <v>1085</v>
      </c>
      <c r="K192" s="32">
        <f t="shared" si="104"/>
        <v>4.6296296296296294E-3</v>
      </c>
      <c r="L192" s="18">
        <f>IF(ISNUMBER(J192), $B199 * K192, "")</f>
        <v>462.96296296296293</v>
      </c>
      <c r="M192" s="31">
        <v>1080</v>
      </c>
      <c r="N192" s="32">
        <f t="shared" si="105"/>
        <v>0</v>
      </c>
      <c r="O192" s="18">
        <f>IF(ISNUMBER(M192), $B199 * N192, "")</f>
        <v>0</v>
      </c>
      <c r="Q192" s="248"/>
      <c r="R192" s="248"/>
      <c r="S192" s="248"/>
    </row>
    <row r="193" spans="1:19" ht="17.25" thickBot="1">
      <c r="A193" s="127" t="s">
        <v>240</v>
      </c>
      <c r="B193" s="128">
        <v>76.8</v>
      </c>
      <c r="C193" s="78">
        <v>-4.4776119400000002E-2</v>
      </c>
      <c r="D193" s="20">
        <v>77.2</v>
      </c>
      <c r="E193" s="21">
        <f t="shared" si="102"/>
        <v>5.2083333333334076E-3</v>
      </c>
      <c r="F193" s="22">
        <f>IF(ISNUMBER(D193), $B199 * E193, "")</f>
        <v>520.83333333334076</v>
      </c>
      <c r="G193" s="30">
        <v>77.2</v>
      </c>
      <c r="H193" s="21">
        <f t="shared" si="103"/>
        <v>5.2083333333334076E-3</v>
      </c>
      <c r="I193" s="105">
        <f>IF(ISNUMBER(G193), $B199 * H193, "")</f>
        <v>520.83333333334076</v>
      </c>
      <c r="J193" s="20">
        <v>77.400000000000006</v>
      </c>
      <c r="K193" s="21">
        <f t="shared" si="104"/>
        <v>7.812500000000111E-3</v>
      </c>
      <c r="L193" s="22">
        <f>IF(ISNUMBER(J193), $B199 * K193, "")</f>
        <v>781.25000000001114</v>
      </c>
      <c r="M193" s="30">
        <v>76.2</v>
      </c>
      <c r="N193" s="21">
        <f t="shared" si="105"/>
        <v>-7.8124999999999263E-3</v>
      </c>
      <c r="O193" s="22">
        <f>IF(ISNUMBER(M193), $B199 * N193, "")</f>
        <v>-781.24999999999261</v>
      </c>
      <c r="Q193" s="248"/>
      <c r="R193" s="248"/>
      <c r="S193" s="248"/>
    </row>
    <row r="194" spans="1:19" ht="17.25" thickBot="1">
      <c r="A194" s="125" t="s">
        <v>160</v>
      </c>
      <c r="B194" s="129">
        <v>1485</v>
      </c>
      <c r="C194" s="80">
        <v>-4.8076923100000002E-2</v>
      </c>
      <c r="D194" s="106">
        <v>1610</v>
      </c>
      <c r="E194" s="107">
        <f>IF(ISNUMBER(D194), (D194 - $B194) / $B194, "")</f>
        <v>8.4175084175084181E-2</v>
      </c>
      <c r="F194" s="108">
        <f>IF(ISNUMBER(D194), $B199 * E194, "")</f>
        <v>8417.5084175084176</v>
      </c>
      <c r="G194" s="109">
        <v>1590</v>
      </c>
      <c r="H194" s="107">
        <f>IF(ISNUMBER(G194), (G194 - $B194) / $B194, "")</f>
        <v>7.0707070707070704E-2</v>
      </c>
      <c r="I194" s="110">
        <f>IF(ISNUMBER(G194), $B199 * H194, "")</f>
        <v>7070.7070707070707</v>
      </c>
      <c r="J194" s="106">
        <v>1635</v>
      </c>
      <c r="K194" s="107">
        <f>IF(ISNUMBER(J194), (J194 - $B194) / $B194, "")</f>
        <v>0.10101010101010101</v>
      </c>
      <c r="L194" s="108">
        <f>IF(ISNUMBER(J194), $B199 * K194, "")</f>
        <v>10101.010101010101</v>
      </c>
      <c r="M194" s="109">
        <v>1580</v>
      </c>
      <c r="N194" s="107">
        <f>IF(ISNUMBER(M194), (M194 - $B194) / $B194, "")</f>
        <v>6.3973063973063973E-2</v>
      </c>
      <c r="O194" s="108">
        <f>IF(ISNUMBER(M194), $B199 * N194, "")</f>
        <v>6397.3063973063972</v>
      </c>
      <c r="Q194" s="238"/>
      <c r="R194" s="238"/>
      <c r="S194" s="238"/>
    </row>
    <row r="195" spans="1:19" ht="17.25" thickBot="1">
      <c r="A195" s="125" t="s">
        <v>218</v>
      </c>
      <c r="B195" s="126">
        <v>137</v>
      </c>
      <c r="C195" s="77">
        <v>-4.86111111E-2</v>
      </c>
      <c r="D195" s="15">
        <v>138</v>
      </c>
      <c r="E195" s="32">
        <f t="shared" ref="E195:E198" si="106">IF(ISNUMBER(D195), (D195 - $B195) / $B195, "")</f>
        <v>7.2992700729927005E-3</v>
      </c>
      <c r="F195" s="18">
        <f>IF(ISNUMBER(D195), $B199 * E195, "")</f>
        <v>729.92700729927003</v>
      </c>
      <c r="G195" s="31">
        <v>139</v>
      </c>
      <c r="H195" s="32">
        <f t="shared" ref="H195:H198" si="107">IF(ISNUMBER(G195), (G195 - $B195) / $B195, "")</f>
        <v>1.4598540145985401E-2</v>
      </c>
      <c r="I195" s="101">
        <f>IF(ISNUMBER(G195), $B199 * H195, "")</f>
        <v>1459.8540145985401</v>
      </c>
      <c r="J195" s="15">
        <v>139</v>
      </c>
      <c r="K195" s="32">
        <f t="shared" ref="K195:K198" si="108">IF(ISNUMBER(J195), (J195 - $B195) / $B195, "")</f>
        <v>1.4598540145985401E-2</v>
      </c>
      <c r="L195" s="18">
        <f>IF(ISNUMBER(J195), $B199 * K195, "")</f>
        <v>1459.8540145985401</v>
      </c>
      <c r="M195" s="31">
        <v>136</v>
      </c>
      <c r="N195" s="32">
        <f t="shared" ref="N195:N198" si="109">IF(ISNUMBER(M195), (M195 - $B195) / $B195, "")</f>
        <v>-7.2992700729927005E-3</v>
      </c>
      <c r="O195" s="18">
        <f>IF(ISNUMBER(M195), $B199 * N195, "")</f>
        <v>-729.92700729927003</v>
      </c>
      <c r="Q195" s="238"/>
      <c r="R195" s="238"/>
      <c r="S195" s="238"/>
    </row>
    <row r="196" spans="1:19" ht="17.25" thickBot="1">
      <c r="A196" s="125" t="s">
        <v>180</v>
      </c>
      <c r="B196" s="126">
        <v>15650</v>
      </c>
      <c r="C196" s="77">
        <v>-5.0364077700000003E-2</v>
      </c>
      <c r="D196" s="15">
        <v>16570</v>
      </c>
      <c r="E196" s="32">
        <f t="shared" si="106"/>
        <v>5.8785942492012778E-2</v>
      </c>
      <c r="F196" s="18">
        <f>IF(ISNUMBER(D196), $B199 * E196, "")</f>
        <v>5878.5942492012782</v>
      </c>
      <c r="G196" s="31">
        <v>16430</v>
      </c>
      <c r="H196" s="32">
        <f t="shared" si="107"/>
        <v>4.984025559105431E-2</v>
      </c>
      <c r="I196" s="101">
        <f>IF(ISNUMBER(G196), $B199 * H196, "")</f>
        <v>4984.0255591054311</v>
      </c>
      <c r="J196" s="15">
        <v>16370</v>
      </c>
      <c r="K196" s="32">
        <f t="shared" si="108"/>
        <v>4.6006389776357827E-2</v>
      </c>
      <c r="L196" s="18">
        <f>IF(ISNUMBER(J196), $B199 * K196, "")</f>
        <v>4600.6389776357828</v>
      </c>
      <c r="M196" s="31">
        <v>15690</v>
      </c>
      <c r="N196" s="32">
        <f t="shared" si="109"/>
        <v>2.5559105431309905E-3</v>
      </c>
      <c r="O196" s="18">
        <f>IF(ISNUMBER(M196), $B199 * N196, "")</f>
        <v>255.59105431309905</v>
      </c>
      <c r="Q196" s="238"/>
      <c r="R196" s="238"/>
      <c r="S196" s="238"/>
    </row>
    <row r="197" spans="1:19">
      <c r="A197" s="125" t="s">
        <v>54</v>
      </c>
      <c r="B197" s="126">
        <v>285</v>
      </c>
      <c r="C197" s="77">
        <v>-6.8627451000000006E-2</v>
      </c>
      <c r="D197" s="15">
        <v>298</v>
      </c>
      <c r="E197" s="32">
        <f t="shared" si="106"/>
        <v>4.5614035087719301E-2</v>
      </c>
      <c r="F197" s="18">
        <f>IF(ISNUMBER(D197), $B199 * E197, "")</f>
        <v>4561.4035087719303</v>
      </c>
      <c r="G197" s="31">
        <v>300</v>
      </c>
      <c r="H197" s="32">
        <f t="shared" si="107"/>
        <v>5.2631578947368418E-2</v>
      </c>
      <c r="I197" s="101">
        <f>IF(ISNUMBER(G197), $B199 * H197, "")</f>
        <v>5263.1578947368416</v>
      </c>
      <c r="J197" s="15">
        <v>302</v>
      </c>
      <c r="K197" s="32">
        <f t="shared" si="108"/>
        <v>5.9649122807017542E-2</v>
      </c>
      <c r="L197" s="18">
        <f>IF(ISNUMBER(J197), $B199 * K197, "")</f>
        <v>5964.9122807017538</v>
      </c>
      <c r="M197" s="31">
        <v>289</v>
      </c>
      <c r="N197" s="32">
        <f t="shared" si="109"/>
        <v>1.4035087719298246E-2</v>
      </c>
      <c r="O197" s="18">
        <f>IF(ISNUMBER(M197), $B199 * N197, "")</f>
        <v>1403.5087719298247</v>
      </c>
      <c r="Q197" s="227"/>
      <c r="R197" s="228"/>
      <c r="S197" s="229"/>
    </row>
    <row r="198" spans="1:19" ht="17.25" thickBot="1">
      <c r="A198" s="130" t="s">
        <v>158</v>
      </c>
      <c r="B198" s="131">
        <v>28480</v>
      </c>
      <c r="C198" s="79">
        <v>-7.4723846699999999E-2</v>
      </c>
      <c r="D198" s="24">
        <v>28500</v>
      </c>
      <c r="E198" s="25">
        <f t="shared" si="106"/>
        <v>7.0224719101123594E-4</v>
      </c>
      <c r="F198" s="104">
        <f>IF(ISNUMBER(D198), $B199 * E198, "")</f>
        <v>70.224719101123597</v>
      </c>
      <c r="G198" s="102">
        <v>28580</v>
      </c>
      <c r="H198" s="25">
        <f t="shared" si="107"/>
        <v>3.5112359550561797E-3</v>
      </c>
      <c r="I198" s="103">
        <f>IF(ISNUMBER(G198), $B199 * H198, "")</f>
        <v>351.12359550561797</v>
      </c>
      <c r="J198" s="24">
        <v>28570</v>
      </c>
      <c r="K198" s="25">
        <f t="shared" si="108"/>
        <v>3.1601123595505617E-3</v>
      </c>
      <c r="L198" s="104">
        <f>IF(ISNUMBER(J198), $B199 * K198, "")</f>
        <v>316.01123595505618</v>
      </c>
      <c r="M198" s="102">
        <v>27740</v>
      </c>
      <c r="N198" s="25">
        <f t="shared" si="109"/>
        <v>-2.5983146067415731E-2</v>
      </c>
      <c r="O198" s="104">
        <f>IF(ISNUMBER(M198), $B199 * N198, "")</f>
        <v>-2598.3146067415732</v>
      </c>
      <c r="Q198" s="230"/>
      <c r="R198" s="231"/>
      <c r="S198" s="232"/>
    </row>
    <row r="199" spans="1:19" ht="17.25" thickBot="1">
      <c r="A199" s="132" t="s">
        <v>270</v>
      </c>
      <c r="B199" s="291">
        <f>$B$37</f>
        <v>100000</v>
      </c>
      <c r="C199" s="292"/>
      <c r="D199" s="26" t="s">
        <v>271</v>
      </c>
      <c r="E199" s="27">
        <f>IF(COUNT(E179:E198), SUM(E179:E198) / COUNT(E179:E198), 0)</f>
        <v>4.2888575481304946E-2</v>
      </c>
      <c r="F199" s="28">
        <f>SUM(F179:F198)</f>
        <v>85777.150962609914</v>
      </c>
      <c r="G199" s="26" t="s">
        <v>271</v>
      </c>
      <c r="H199" s="27">
        <f>IF(COUNT(H179:H198), SUM(H179:H198) / COUNT(H179:H198), 0)</f>
        <v>4.5840279083377698E-2</v>
      </c>
      <c r="I199" s="28">
        <f>SUM(I179:I198)</f>
        <v>91680.558166755378</v>
      </c>
      <c r="J199" s="26" t="s">
        <v>271</v>
      </c>
      <c r="K199" s="27">
        <f>IF(COUNT(K179:K198), SUM(K179:K198) / COUNT(K179:K198), 0)</f>
        <v>5.2807471737294887E-2</v>
      </c>
      <c r="L199" s="28">
        <f>SUM(L179:L198)</f>
        <v>105614.9434745898</v>
      </c>
      <c r="M199" s="26" t="s">
        <v>271</v>
      </c>
      <c r="N199" s="27">
        <f>IF(COUNT(N179:N198), SUM(N179:N198) / COUNT(N179:N198), 0)</f>
        <v>2.4419870260522777E-2</v>
      </c>
      <c r="O199" s="28">
        <f>SUM(O179:O198)</f>
        <v>48839.74052104554</v>
      </c>
      <c r="Q199" s="233"/>
      <c r="R199" s="234"/>
      <c r="S199" s="23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84E86-B774-4F43-8DED-CFB52E47578D}">
  <sheetPr codeName="Sheet23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80">
        <v>44425</v>
      </c>
      <c r="H1" s="281"/>
      <c r="I1" s="282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83" t="s">
        <v>8</v>
      </c>
      <c r="C2" s="284"/>
      <c r="D2" s="284"/>
      <c r="E2" s="284"/>
      <c r="F2" s="285"/>
      <c r="G2" s="277" t="s">
        <v>46</v>
      </c>
      <c r="H2" s="278"/>
      <c r="I2" s="279"/>
      <c r="J2" s="1" t="s">
        <v>3</v>
      </c>
      <c r="K2" s="283" t="s">
        <v>320</v>
      </c>
      <c r="L2" s="284"/>
      <c r="M2" s="284"/>
      <c r="N2" s="284"/>
      <c r="O2" s="285"/>
      <c r="Q2" s="2" t="s">
        <v>6</v>
      </c>
      <c r="R2" s="3">
        <v>0.375</v>
      </c>
    </row>
    <row r="3" spans="1:19" ht="17.25" customHeight="1" thickBot="1">
      <c r="A3" s="118" t="s">
        <v>7</v>
      </c>
      <c r="B3" s="274" t="s">
        <v>328</v>
      </c>
      <c r="C3" s="275"/>
      <c r="D3" s="275"/>
      <c r="E3" s="275"/>
      <c r="F3" s="276"/>
      <c r="G3" s="27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19,867 KRW (0.99%)</v>
      </c>
      <c r="H3" s="271"/>
      <c r="I3" s="272"/>
      <c r="J3" s="4" t="s">
        <v>7</v>
      </c>
      <c r="K3" s="274" t="s">
        <v>321</v>
      </c>
      <c r="L3" s="275"/>
      <c r="M3" s="275"/>
      <c r="N3" s="275"/>
      <c r="O3" s="27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4" t="s">
        <v>16</v>
      </c>
      <c r="C4" s="275"/>
      <c r="D4" s="275"/>
      <c r="E4" s="275"/>
      <c r="F4" s="276"/>
      <c r="G4" s="277" t="s">
        <v>44</v>
      </c>
      <c r="H4" s="278"/>
      <c r="I4" s="279"/>
      <c r="J4" s="4" t="s">
        <v>11</v>
      </c>
      <c r="K4" s="274" t="s">
        <v>322</v>
      </c>
      <c r="L4" s="275"/>
      <c r="M4" s="275"/>
      <c r="N4" s="275"/>
      <c r="O4" s="27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4" t="s">
        <v>319</v>
      </c>
      <c r="C5" s="275"/>
      <c r="D5" s="275"/>
      <c r="E5" s="275"/>
      <c r="F5" s="276"/>
      <c r="G5" s="27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-8,090 KRW (-0.48%)</v>
      </c>
      <c r="H5" s="271"/>
      <c r="I5" s="272"/>
      <c r="J5" s="4" t="s">
        <v>15</v>
      </c>
      <c r="K5" s="274" t="s">
        <v>323</v>
      </c>
      <c r="L5" s="275"/>
      <c r="M5" s="275"/>
      <c r="N5" s="275"/>
      <c r="O5" s="276"/>
    </row>
    <row r="6" spans="1:19">
      <c r="A6" s="118" t="s">
        <v>18</v>
      </c>
      <c r="B6" s="274"/>
      <c r="C6" s="275"/>
      <c r="D6" s="275"/>
      <c r="E6" s="275"/>
      <c r="F6" s="276"/>
      <c r="G6" s="277" t="s">
        <v>45</v>
      </c>
      <c r="H6" s="278"/>
      <c r="I6" s="279"/>
      <c r="J6" s="4" t="s">
        <v>18</v>
      </c>
      <c r="K6" s="274" t="s">
        <v>324</v>
      </c>
      <c r="L6" s="275"/>
      <c r="M6" s="275"/>
      <c r="N6" s="275"/>
      <c r="O6" s="276"/>
    </row>
    <row r="7" spans="1:19" ht="17.25" thickBot="1">
      <c r="A7" s="118" t="s">
        <v>21</v>
      </c>
      <c r="B7" s="274"/>
      <c r="C7" s="275"/>
      <c r="D7" s="275"/>
      <c r="E7" s="275"/>
      <c r="F7" s="276"/>
      <c r="G7" s="27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3,756 KRW (0.19%)</v>
      </c>
      <c r="H7" s="271"/>
      <c r="I7" s="272"/>
      <c r="J7" s="4" t="s">
        <v>21</v>
      </c>
      <c r="K7" s="274" t="s">
        <v>325</v>
      </c>
      <c r="L7" s="275"/>
      <c r="M7" s="275"/>
      <c r="N7" s="275"/>
      <c r="O7" s="276"/>
    </row>
    <row r="8" spans="1:19" ht="17.25" thickBot="1">
      <c r="A8" s="118" t="s">
        <v>24</v>
      </c>
      <c r="B8" s="274"/>
      <c r="C8" s="275"/>
      <c r="D8" s="275"/>
      <c r="E8" s="275"/>
      <c r="F8" s="276"/>
      <c r="G8" s="277" t="s">
        <v>255</v>
      </c>
      <c r="H8" s="278"/>
      <c r="I8" s="279"/>
      <c r="J8" s="4" t="s">
        <v>24</v>
      </c>
      <c r="K8" s="274"/>
      <c r="L8" s="275"/>
      <c r="M8" s="275"/>
      <c r="N8" s="275"/>
      <c r="O8" s="276"/>
      <c r="Q8" s="249" t="s">
        <v>27</v>
      </c>
      <c r="R8" s="251"/>
    </row>
    <row r="9" spans="1:19" ht="17.25" thickBot="1">
      <c r="A9" s="118" t="s">
        <v>28</v>
      </c>
      <c r="B9" s="274"/>
      <c r="C9" s="275"/>
      <c r="D9" s="275"/>
      <c r="E9" s="275"/>
      <c r="F9" s="276"/>
      <c r="G9" s="27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-13,225 KRW (-0.66%)</v>
      </c>
      <c r="H9" s="271"/>
      <c r="I9" s="272"/>
      <c r="J9" s="4" t="s">
        <v>28</v>
      </c>
      <c r="K9" s="274"/>
      <c r="L9" s="275"/>
      <c r="M9" s="275"/>
      <c r="N9" s="275"/>
      <c r="O9" s="276"/>
      <c r="Q9" s="2" t="s">
        <v>29</v>
      </c>
      <c r="R9" s="6">
        <v>10</v>
      </c>
    </row>
    <row r="10" spans="1:19">
      <c r="A10" s="118" t="s">
        <v>30</v>
      </c>
      <c r="B10" s="274"/>
      <c r="C10" s="275"/>
      <c r="D10" s="275"/>
      <c r="E10" s="275"/>
      <c r="F10" s="276"/>
      <c r="G10" s="277" t="s">
        <v>47</v>
      </c>
      <c r="H10" s="278"/>
      <c r="I10" s="279"/>
      <c r="J10" s="4" t="s">
        <v>30</v>
      </c>
      <c r="K10" s="274" t="s">
        <v>326</v>
      </c>
      <c r="L10" s="275"/>
      <c r="M10" s="275"/>
      <c r="N10" s="275"/>
      <c r="O10" s="276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7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-8,090 KRW (-0.48%)</v>
      </c>
      <c r="H11" s="271"/>
      <c r="I11" s="272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48"/>
      <c r="R13" s="248"/>
      <c r="S13" s="248"/>
    </row>
    <row r="14" spans="1:19" ht="17.25" customHeight="1" thickBot="1">
      <c r="A14" s="223" t="s">
        <v>35</v>
      </c>
      <c r="B14" s="249" t="s">
        <v>36</v>
      </c>
      <c r="C14" s="251"/>
      <c r="D14" s="249" t="s">
        <v>37</v>
      </c>
      <c r="E14" s="250"/>
      <c r="F14" s="251"/>
      <c r="G14" s="252">
        <f>_xlfn.IFNA(VLOOKUP(B14, 현재가테이블!$B$2:$D$200, 2, FALSE), "-")</f>
        <v>54440000</v>
      </c>
      <c r="H14" s="253"/>
      <c r="I14" s="254"/>
      <c r="J14" s="249" t="s">
        <v>38</v>
      </c>
      <c r="K14" s="250"/>
      <c r="L14" s="251"/>
      <c r="M14" s="255">
        <f>_xlfn.IFNA(VLOOKUP(B14, 현재가테이블!$B$2:$D$200, 3, FALSE), "-")</f>
        <v>1.07123628E-2</v>
      </c>
      <c r="N14" s="256"/>
      <c r="O14" s="257"/>
      <c r="Q14" s="248"/>
      <c r="R14" s="248"/>
      <c r="S14" s="248"/>
    </row>
    <row r="15" spans="1:19" ht="17.25" customHeight="1" thickBot="1">
      <c r="A15" s="286" t="s">
        <v>39</v>
      </c>
      <c r="B15" s="287" t="str">
        <f>TEXT($G$1, "[$-ko-KR]yyyy-mm-dd(ddd) ") &amp; "오전 00:00"</f>
        <v>2021-08-17(화) 오전 00:00</v>
      </c>
      <c r="C15" s="288"/>
      <c r="D15" s="262" t="str">
        <f>TEXT($G$1, "[$-ko-KR]yyyy-mm-dd(ddd) ") &amp; "오후 14:00"</f>
        <v>2021-08-17(화) 오후 14:00</v>
      </c>
      <c r="E15" s="263"/>
      <c r="F15" s="264"/>
      <c r="G15" s="262" t="str">
        <f>TEXT($G$1, "[$-ko-KR]yyyy-mm-dd(ddd) ") &amp; "오후 19:00"</f>
        <v>2021-08-17(화) 오후 19:00</v>
      </c>
      <c r="H15" s="263"/>
      <c r="I15" s="264"/>
      <c r="J15" s="262" t="str">
        <f>TEXT($G$1, "[$-ko-KR]yyyy-mm-dd(ddd) ") &amp; "오후 21:00"</f>
        <v>2021-08-17(화) 오후 21:00</v>
      </c>
      <c r="K15" s="263"/>
      <c r="L15" s="264"/>
      <c r="M15" s="262" t="str">
        <f>TEXT($G$1+1, "[$-ko-KR]yyyy-mm-dd(ddd) ") &amp; "오전 00:00"</f>
        <v>2021-08-18(수) 오전 00:00</v>
      </c>
      <c r="N15" s="263"/>
      <c r="O15" s="264"/>
      <c r="Q15" s="248"/>
      <c r="R15" s="248"/>
      <c r="S15" s="248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4" t="s">
        <v>37</v>
      </c>
      <c r="H16" s="225" t="s">
        <v>40</v>
      </c>
      <c r="I16" s="22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36.200000000000003</v>
      </c>
      <c r="C17" s="76">
        <f>IF(NOT(ISBLANK(_xlfn.IFNA(VLOOKUP($A17, $A$40:$O$199, 3, FALSE), ))), _xlfn.IFNA(VLOOKUP($A17, $A$40:$O$199, 3, FALSE), ), "")</f>
        <v>4.0229885100000001E-2</v>
      </c>
      <c r="D17" s="13">
        <f>IF(NOT(ISBLANK(_xlfn.IFNA(VLOOKUP($A17, $A$40:$O$199, 4, FALSE), ))), _xlfn.IFNA(VLOOKUP($A17, $A$40:$O$199, 4, FALSE), ), "")</f>
        <v>35.299999999999997</v>
      </c>
      <c r="E17" s="14">
        <f>IF(NOT(ISBLANK(_xlfn.IFNA(VLOOKUP($A17, $A$40:$O$199, 5, FALSE), ))), _xlfn.IFNA(VLOOKUP($A17, $A$40:$O$199, 5, FALSE), ), "")</f>
        <v>-2.4861878453038829E-2</v>
      </c>
      <c r="F17" s="16">
        <f>IF(NOT(ISBLANK(_xlfn.IFNA(VLOOKUP($A17, $A$40:$O$199, 6, FALSE), ))), _xlfn.IFNA(VLOOKUP($A17, $A$40:$O$199, 6, FALSE), ), "")</f>
        <v>-2486.187845303883</v>
      </c>
      <c r="G17" s="29">
        <f>IF(NOT(ISBLANK(_xlfn.IFNA(VLOOKUP($A17, $A$40:$O$199, 7, FALSE), ))), _xlfn.IFNA(VLOOKUP($A17, $A$40:$O$199, 7, FALSE), ), "")</f>
        <v>37.4</v>
      </c>
      <c r="H17" s="14">
        <f>IF(NOT(ISBLANK(_xlfn.IFNA(VLOOKUP($A17, $A$40:$O$199, 8, FALSE), ))), _xlfn.IFNA(VLOOKUP($A17, $A$40:$O$199, 8, FALSE), ), "")</f>
        <v>3.3149171270718113E-2</v>
      </c>
      <c r="I17" s="100">
        <f>IF(NOT(ISBLANK(_xlfn.IFNA(VLOOKUP($A17, $A$40:$O$199, 9, FALSE), ))), _xlfn.IFNA(VLOOKUP($A17, $A$40:$O$199, 9, FALSE), ), "")</f>
        <v>3314.9171270718111</v>
      </c>
      <c r="J17" s="13">
        <f>IF(NOT(ISBLANK(_xlfn.IFNA(VLOOKUP($A17, $A$40:$O$199, 10, FALSE), ))), _xlfn.IFNA(VLOOKUP($A17, $A$40:$O$199, 10, FALSE), ), "")</f>
        <v>38</v>
      </c>
      <c r="K17" s="14">
        <f>IF(NOT(ISBLANK(_xlfn.IFNA(VLOOKUP($A17, $A$40:$O$199, 11, FALSE), ))), _xlfn.IFNA(VLOOKUP($A17, $A$40:$O$199, 11, FALSE), ), "")</f>
        <v>4.9723756906077263E-2</v>
      </c>
      <c r="L17" s="16">
        <f>IF(NOT(ISBLANK(_xlfn.IFNA(VLOOKUP($A17, $A$40:$O$199, 12, FALSE), ))), _xlfn.IFNA(VLOOKUP($A17, $A$40:$O$199, 12, FALSE), ), "")</f>
        <v>4972.375690607726</v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8"/>
      <c r="R17" s="248"/>
      <c r="S17" s="248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84.7</v>
      </c>
      <c r="C18" s="77">
        <f t="shared" ref="C18:C36" si="1">IF(NOT(ISBLANK(_xlfn.IFNA(VLOOKUP($A18, $A$40:$O$199, 3, FALSE), ))), _xlfn.IFNA(VLOOKUP($A18, $A$40:$O$199, 3, FALSE), ), "")</f>
        <v>7.1343639000000002E-3</v>
      </c>
      <c r="D18" s="15">
        <f t="shared" ref="D18:D36" si="2">IF(NOT(ISBLANK(_xlfn.IFNA(VLOOKUP($A18, $A$40:$O$199, 4, FALSE), ))), _xlfn.IFNA(VLOOKUP($A18, $A$40:$O$199, 4, FALSE), ), "")</f>
        <v>82</v>
      </c>
      <c r="E18" s="32">
        <f t="shared" ref="E18:E36" si="3">IF(NOT(ISBLANK(_xlfn.IFNA(VLOOKUP($A18, $A$40:$O$199, 5, FALSE), ))), _xlfn.IFNA(VLOOKUP($A18, $A$40:$O$199, 5, FALSE), ), "")</f>
        <v>-3.1877213695395548E-2</v>
      </c>
      <c r="F18" s="18">
        <f t="shared" ref="F18:F36" si="4">IF(NOT(ISBLANK(_xlfn.IFNA(VLOOKUP($A18, $A$40:$O$199, 6, FALSE), ))), _xlfn.IFNA(VLOOKUP($A18, $A$40:$O$199, 6, FALSE), ), "")</f>
        <v>-3187.7213695395549</v>
      </c>
      <c r="G18" s="31">
        <f t="shared" ref="G18:G36" si="5">IF(NOT(ISBLANK(_xlfn.IFNA(VLOOKUP($A18, $A$40:$O$199, 7, FALSE), ))), _xlfn.IFNA(VLOOKUP($A18, $A$40:$O$199, 7, FALSE), ), "")</f>
        <v>83.4</v>
      </c>
      <c r="H18" s="32">
        <f t="shared" ref="H18:H36" si="6">IF(NOT(ISBLANK(_xlfn.IFNA(VLOOKUP($A18, $A$40:$O$199, 8, FALSE), ))), _xlfn.IFNA(VLOOKUP($A18, $A$40:$O$199, 8, FALSE), ), "")</f>
        <v>-1.5348288075560769E-2</v>
      </c>
      <c r="I18" s="101">
        <f t="shared" ref="I18:I36" si="7">IF(NOT(ISBLANK(_xlfn.IFNA(VLOOKUP($A18, $A$40:$O$199, 9, FALSE), ))), _xlfn.IFNA(VLOOKUP($A18, $A$40:$O$199, 9, FALSE), ), "")</f>
        <v>-1534.828807556077</v>
      </c>
      <c r="J18" s="15">
        <f t="shared" ref="J18:J36" si="8">IF(NOT(ISBLANK(_xlfn.IFNA(VLOOKUP($A18, $A$40:$O$199, 10, FALSE), ))), _xlfn.IFNA(VLOOKUP($A18, $A$40:$O$199, 10, FALSE), ), "")</f>
        <v>84.5</v>
      </c>
      <c r="K18" s="32">
        <f t="shared" ref="K18:K36" si="9">IF(NOT(ISBLANK(_xlfn.IFNA(VLOOKUP($A18, $A$40:$O$199, 11, FALSE), ))), _xlfn.IFNA(VLOOKUP($A18, $A$40:$O$199, 11, FALSE), ), "")</f>
        <v>-2.3612750885478491E-3</v>
      </c>
      <c r="L18" s="18">
        <f t="shared" ref="L18:L36" si="10">IF(NOT(ISBLANK(_xlfn.IFNA(VLOOKUP($A18, $A$40:$O$199, 12, FALSE), ))), _xlfn.IFNA(VLOOKUP($A18, $A$40:$O$199, 12, FALSE), ), "")</f>
        <v>-236.12750885478491</v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8"/>
      <c r="R18" s="248"/>
      <c r="S18" s="248"/>
    </row>
    <row r="19" spans="1:19" ht="17.25" customHeight="1" thickBot="1">
      <c r="A19" s="125" t="s">
        <v>204</v>
      </c>
      <c r="B19" s="126">
        <f t="shared" si="0"/>
        <v>16.2</v>
      </c>
      <c r="C19" s="77">
        <f t="shared" si="1"/>
        <v>6.2111800999999998E-3</v>
      </c>
      <c r="D19" s="15">
        <f t="shared" si="2"/>
        <v>16.100000000000001</v>
      </c>
      <c r="E19" s="32">
        <f t="shared" si="3"/>
        <v>-6.1728395061727082E-3</v>
      </c>
      <c r="F19" s="18">
        <f t="shared" si="4"/>
        <v>-617.28395061727088</v>
      </c>
      <c r="G19" s="31">
        <f t="shared" si="5"/>
        <v>16.2</v>
      </c>
      <c r="H19" s="32">
        <f t="shared" si="6"/>
        <v>0</v>
      </c>
      <c r="I19" s="101">
        <f t="shared" si="7"/>
        <v>0</v>
      </c>
      <c r="J19" s="15">
        <f t="shared" si="8"/>
        <v>16.100000000000001</v>
      </c>
      <c r="K19" s="32">
        <f t="shared" si="9"/>
        <v>-6.1728395061727082E-3</v>
      </c>
      <c r="L19" s="18">
        <f t="shared" si="10"/>
        <v>-617.28395061727088</v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8"/>
      <c r="R19" s="238"/>
      <c r="S19" s="238"/>
    </row>
    <row r="20" spans="1:19" ht="17.25" customHeight="1" thickBot="1">
      <c r="A20" s="125" t="s">
        <v>148</v>
      </c>
      <c r="B20" s="126">
        <f t="shared" si="0"/>
        <v>22.7</v>
      </c>
      <c r="C20" s="77">
        <f t="shared" si="1"/>
        <v>0</v>
      </c>
      <c r="D20" s="15">
        <f t="shared" si="2"/>
        <v>22.5</v>
      </c>
      <c r="E20" s="32">
        <f t="shared" si="3"/>
        <v>-8.8105726872246392E-3</v>
      </c>
      <c r="F20" s="18">
        <f t="shared" si="4"/>
        <v>-881.05726872246396</v>
      </c>
      <c r="G20" s="31">
        <f t="shared" si="5"/>
        <v>22.6</v>
      </c>
      <c r="H20" s="32">
        <f t="shared" si="6"/>
        <v>-4.4052863436122407E-3</v>
      </c>
      <c r="I20" s="101">
        <f t="shared" si="7"/>
        <v>-440.52863436122408</v>
      </c>
      <c r="J20" s="15">
        <f t="shared" si="8"/>
        <v>22.9</v>
      </c>
      <c r="K20" s="32">
        <f t="shared" si="9"/>
        <v>8.8105726872246392E-3</v>
      </c>
      <c r="L20" s="18">
        <f t="shared" si="10"/>
        <v>881.05726872246396</v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8"/>
      <c r="R20" s="238"/>
      <c r="S20" s="238"/>
    </row>
    <row r="21" spans="1:19" ht="17.25" customHeight="1" thickBot="1">
      <c r="A21" s="127" t="s">
        <v>65</v>
      </c>
      <c r="B21" s="128">
        <f t="shared" si="0"/>
        <v>38</v>
      </c>
      <c r="C21" s="78">
        <f t="shared" si="1"/>
        <v>-1.2987013E-2</v>
      </c>
      <c r="D21" s="20">
        <f t="shared" si="2"/>
        <v>37.799999999999997</v>
      </c>
      <c r="E21" s="21">
        <f t="shared" si="3"/>
        <v>-5.2631578947369166E-3</v>
      </c>
      <c r="F21" s="22">
        <f t="shared" si="4"/>
        <v>-526.31578947369167</v>
      </c>
      <c r="G21" s="30">
        <f t="shared" si="5"/>
        <v>38.200000000000003</v>
      </c>
      <c r="H21" s="21">
        <f t="shared" si="6"/>
        <v>5.2631578947369166E-3</v>
      </c>
      <c r="I21" s="105">
        <f t="shared" si="7"/>
        <v>526.31578947369167</v>
      </c>
      <c r="J21" s="20">
        <f t="shared" si="8"/>
        <v>38.299999999999997</v>
      </c>
      <c r="K21" s="21">
        <f t="shared" si="9"/>
        <v>7.8947368421051888E-3</v>
      </c>
      <c r="L21" s="22">
        <f t="shared" si="10"/>
        <v>789.47368421051885</v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8"/>
      <c r="R21" s="238"/>
      <c r="S21" s="238"/>
    </row>
    <row r="22" spans="1:19" ht="17.25" customHeight="1" thickBot="1">
      <c r="A22" s="125" t="s">
        <v>98</v>
      </c>
      <c r="B22" s="129">
        <f t="shared" si="0"/>
        <v>5.5</v>
      </c>
      <c r="C22" s="80">
        <f t="shared" si="1"/>
        <v>-1.6100178900000001E-2</v>
      </c>
      <c r="D22" s="106">
        <f t="shared" si="2"/>
        <v>5.34</v>
      </c>
      <c r="E22" s="107">
        <f t="shared" si="3"/>
        <v>-2.9090909090909115E-2</v>
      </c>
      <c r="F22" s="108">
        <f t="shared" si="4"/>
        <v>-2909.0909090909117</v>
      </c>
      <c r="G22" s="109">
        <f t="shared" si="5"/>
        <v>5.4</v>
      </c>
      <c r="H22" s="107">
        <f t="shared" si="6"/>
        <v>-1.8181818181818118E-2</v>
      </c>
      <c r="I22" s="110">
        <f t="shared" si="7"/>
        <v>-1818.1818181818119</v>
      </c>
      <c r="J22" s="106">
        <f t="shared" si="8"/>
        <v>5.37</v>
      </c>
      <c r="K22" s="107">
        <f t="shared" si="9"/>
        <v>-2.3636363636363619E-2</v>
      </c>
      <c r="L22" s="108">
        <f t="shared" si="10"/>
        <v>-2363.6363636363617</v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8"/>
      <c r="R22" s="238"/>
      <c r="S22" s="238"/>
    </row>
    <row r="23" spans="1:19" ht="17.25" customHeight="1" thickBot="1">
      <c r="A23" s="125" t="s">
        <v>208</v>
      </c>
      <c r="B23" s="126">
        <f t="shared" si="0"/>
        <v>14.2</v>
      </c>
      <c r="C23" s="77">
        <f t="shared" si="1"/>
        <v>-2.06896552E-2</v>
      </c>
      <c r="D23" s="15">
        <f t="shared" si="2"/>
        <v>14.5</v>
      </c>
      <c r="E23" s="32">
        <f t="shared" si="3"/>
        <v>2.1126760563380333E-2</v>
      </c>
      <c r="F23" s="18">
        <f t="shared" si="4"/>
        <v>2112.6760563380335</v>
      </c>
      <c r="G23" s="31">
        <f t="shared" si="5"/>
        <v>14.5</v>
      </c>
      <c r="H23" s="32">
        <f t="shared" si="6"/>
        <v>2.1126760563380333E-2</v>
      </c>
      <c r="I23" s="101">
        <f t="shared" si="7"/>
        <v>2112.6760563380335</v>
      </c>
      <c r="J23" s="15">
        <f t="shared" si="8"/>
        <v>14.7</v>
      </c>
      <c r="K23" s="32">
        <f t="shared" si="9"/>
        <v>3.5211267605633804E-2</v>
      </c>
      <c r="L23" s="18">
        <f t="shared" si="10"/>
        <v>3521.1267605633802</v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8"/>
      <c r="R23" s="238"/>
      <c r="S23" s="238"/>
    </row>
    <row r="24" spans="1:19" ht="17.25" customHeight="1" thickBot="1">
      <c r="A24" s="125" t="s">
        <v>202</v>
      </c>
      <c r="B24" s="126">
        <f t="shared" si="0"/>
        <v>94.9</v>
      </c>
      <c r="C24" s="77">
        <f t="shared" si="1"/>
        <v>-2.16494845E-2</v>
      </c>
      <c r="D24" s="15">
        <f t="shared" si="2"/>
        <v>92.4</v>
      </c>
      <c r="E24" s="32">
        <f t="shared" si="3"/>
        <v>-2.6343519494204423E-2</v>
      </c>
      <c r="F24" s="18">
        <f t="shared" si="4"/>
        <v>-2634.3519494204425</v>
      </c>
      <c r="G24" s="31">
        <f t="shared" si="5"/>
        <v>93.8</v>
      </c>
      <c r="H24" s="32">
        <f t="shared" si="6"/>
        <v>-1.1591148577450036E-2</v>
      </c>
      <c r="I24" s="101">
        <f t="shared" si="7"/>
        <v>-1159.1148577450037</v>
      </c>
      <c r="J24" s="15">
        <f t="shared" si="8"/>
        <v>94</v>
      </c>
      <c r="K24" s="32">
        <f t="shared" si="9"/>
        <v>-9.4836670179136526E-3</v>
      </c>
      <c r="L24" s="18">
        <f t="shared" si="10"/>
        <v>-948.36670179136524</v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8"/>
      <c r="R24" s="238"/>
      <c r="S24" s="238"/>
    </row>
    <row r="25" spans="1:19" ht="17.25" customHeight="1" thickBot="1">
      <c r="A25" s="125" t="s">
        <v>188</v>
      </c>
      <c r="B25" s="126">
        <f t="shared" si="0"/>
        <v>13.3</v>
      </c>
      <c r="C25" s="77">
        <f t="shared" si="1"/>
        <v>-2.2058823500000001E-2</v>
      </c>
      <c r="D25" s="15">
        <f t="shared" si="2"/>
        <v>13</v>
      </c>
      <c r="E25" s="32">
        <f t="shared" si="3"/>
        <v>-2.255639097744366E-2</v>
      </c>
      <c r="F25" s="18">
        <f t="shared" si="4"/>
        <v>-2255.6390977443662</v>
      </c>
      <c r="G25" s="31">
        <f t="shared" si="5"/>
        <v>13.1</v>
      </c>
      <c r="H25" s="32">
        <f t="shared" si="6"/>
        <v>-1.5037593984962485E-2</v>
      </c>
      <c r="I25" s="101">
        <f t="shared" si="7"/>
        <v>-1503.7593984962484</v>
      </c>
      <c r="J25" s="15">
        <f t="shared" si="8"/>
        <v>13</v>
      </c>
      <c r="K25" s="32">
        <f t="shared" si="9"/>
        <v>-2.255639097744366E-2</v>
      </c>
      <c r="L25" s="18">
        <f t="shared" si="10"/>
        <v>-2255.6390977443662</v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 t="s">
        <v>234</v>
      </c>
      <c r="B26" s="131">
        <f t="shared" si="0"/>
        <v>76.599999999999994</v>
      </c>
      <c r="C26" s="79">
        <f t="shared" si="1"/>
        <v>-2.4203821699999999E-2</v>
      </c>
      <c r="D26" s="24">
        <f t="shared" si="2"/>
        <v>74.8</v>
      </c>
      <c r="E26" s="25">
        <f t="shared" si="3"/>
        <v>-2.3498694516971244E-2</v>
      </c>
      <c r="F26" s="104">
        <f t="shared" si="4"/>
        <v>-2349.8694516971245</v>
      </c>
      <c r="G26" s="102">
        <f t="shared" si="5"/>
        <v>75.7</v>
      </c>
      <c r="H26" s="25">
        <f t="shared" si="6"/>
        <v>-1.1749347258485528E-2</v>
      </c>
      <c r="I26" s="103">
        <f t="shared" si="7"/>
        <v>-1174.9347258485529</v>
      </c>
      <c r="J26" s="24">
        <f t="shared" si="8"/>
        <v>75.8</v>
      </c>
      <c r="K26" s="25">
        <f t="shared" si="9"/>
        <v>-1.0443864229764977E-2</v>
      </c>
      <c r="L26" s="104">
        <f t="shared" si="10"/>
        <v>-1044.3864229764977</v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9"/>
      <c r="R26" s="240"/>
      <c r="S26" s="241"/>
    </row>
    <row r="27" spans="1:19" ht="17.25" customHeight="1">
      <c r="A27" s="123" t="s">
        <v>178</v>
      </c>
      <c r="B27" s="124">
        <f t="shared" si="0"/>
        <v>17.7</v>
      </c>
      <c r="C27" s="76">
        <f t="shared" si="1"/>
        <v>-2.74725275E-2</v>
      </c>
      <c r="D27" s="13">
        <f t="shared" si="2"/>
        <v>17.3</v>
      </c>
      <c r="E27" s="14">
        <f t="shared" si="3"/>
        <v>-2.2598870056497095E-2</v>
      </c>
      <c r="F27" s="16">
        <f t="shared" si="4"/>
        <v>-2259.8870056497094</v>
      </c>
      <c r="G27" s="29">
        <f t="shared" si="5"/>
        <v>17.399999999999999</v>
      </c>
      <c r="H27" s="14">
        <f t="shared" si="6"/>
        <v>-1.6949152542372923E-2</v>
      </c>
      <c r="I27" s="100">
        <f t="shared" si="7"/>
        <v>-1694.9152542372924</v>
      </c>
      <c r="J27" s="13">
        <f t="shared" si="8"/>
        <v>17.5</v>
      </c>
      <c r="K27" s="14">
        <f t="shared" si="9"/>
        <v>-1.1299435028248548E-2</v>
      </c>
      <c r="L27" s="16">
        <f t="shared" si="10"/>
        <v>-1129.9435028248547</v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2"/>
      <c r="R27" s="243"/>
      <c r="S27" s="244"/>
    </row>
    <row r="28" spans="1:19" ht="17.25" customHeight="1" thickBot="1">
      <c r="A28" s="125" t="s">
        <v>240</v>
      </c>
      <c r="B28" s="126">
        <f t="shared" si="0"/>
        <v>76.2</v>
      </c>
      <c r="C28" s="77">
        <f t="shared" si="1"/>
        <v>-2.8061224499999999E-2</v>
      </c>
      <c r="D28" s="15">
        <f t="shared" si="2"/>
        <v>74.599999999999994</v>
      </c>
      <c r="E28" s="32">
        <f t="shared" si="3"/>
        <v>-2.09973753280841E-2</v>
      </c>
      <c r="F28" s="18">
        <f t="shared" si="4"/>
        <v>-2099.7375328084099</v>
      </c>
      <c r="G28" s="31">
        <f t="shared" si="5"/>
        <v>74.900000000000006</v>
      </c>
      <c r="H28" s="32">
        <f t="shared" si="6"/>
        <v>-1.7060367454068203E-2</v>
      </c>
      <c r="I28" s="101">
        <f t="shared" si="7"/>
        <v>-1706.0367454068203</v>
      </c>
      <c r="J28" s="15">
        <f t="shared" si="8"/>
        <v>75</v>
      </c>
      <c r="K28" s="32">
        <f t="shared" si="9"/>
        <v>-1.574803149606303E-2</v>
      </c>
      <c r="L28" s="18">
        <f t="shared" si="10"/>
        <v>-1574.8031496063029</v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5"/>
      <c r="R28" s="246"/>
      <c r="S28" s="247"/>
    </row>
    <row r="29" spans="1:19" ht="17.25" customHeight="1" thickBot="1">
      <c r="A29" s="125" t="s">
        <v>72</v>
      </c>
      <c r="B29" s="126">
        <f t="shared" si="0"/>
        <v>24.6</v>
      </c>
      <c r="C29" s="77">
        <f t="shared" si="1"/>
        <v>-3.1496062999999998E-2</v>
      </c>
      <c r="D29" s="15">
        <f t="shared" si="2"/>
        <v>24.6</v>
      </c>
      <c r="E29" s="32">
        <f t="shared" si="3"/>
        <v>0</v>
      </c>
      <c r="F29" s="18">
        <f t="shared" si="4"/>
        <v>0</v>
      </c>
      <c r="G29" s="31">
        <f t="shared" si="5"/>
        <v>24.6</v>
      </c>
      <c r="H29" s="32">
        <f t="shared" si="6"/>
        <v>0</v>
      </c>
      <c r="I29" s="101">
        <f t="shared" si="7"/>
        <v>0</v>
      </c>
      <c r="J29" s="15">
        <f t="shared" si="8"/>
        <v>24.7</v>
      </c>
      <c r="K29" s="32">
        <f t="shared" si="9"/>
        <v>4.0650406504064169E-3</v>
      </c>
      <c r="L29" s="18">
        <f t="shared" si="10"/>
        <v>406.50406504064171</v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8"/>
      <c r="R29" s="238"/>
      <c r="S29" s="238"/>
    </row>
    <row r="30" spans="1:19" ht="17.25" customHeight="1" thickBot="1">
      <c r="A30" s="125" t="s">
        <v>216</v>
      </c>
      <c r="B30" s="126">
        <f t="shared" si="0"/>
        <v>11.9</v>
      </c>
      <c r="C30" s="77">
        <f t="shared" si="1"/>
        <v>-3.2520325199999998E-2</v>
      </c>
      <c r="D30" s="15">
        <f t="shared" si="2"/>
        <v>11.5</v>
      </c>
      <c r="E30" s="32">
        <f t="shared" si="3"/>
        <v>-3.3613445378151287E-2</v>
      </c>
      <c r="F30" s="18">
        <f t="shared" si="4"/>
        <v>-3361.3445378151287</v>
      </c>
      <c r="G30" s="31">
        <f t="shared" si="5"/>
        <v>11.6</v>
      </c>
      <c r="H30" s="32">
        <f t="shared" si="6"/>
        <v>-2.5210084033613505E-2</v>
      </c>
      <c r="I30" s="101">
        <f t="shared" si="7"/>
        <v>-2521.0084033613507</v>
      </c>
      <c r="J30" s="15">
        <f t="shared" si="8"/>
        <v>11.5</v>
      </c>
      <c r="K30" s="32">
        <f t="shared" si="9"/>
        <v>-3.3613445378151287E-2</v>
      </c>
      <c r="L30" s="18">
        <f t="shared" si="10"/>
        <v>-3361.3445378151287</v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8"/>
      <c r="R30" s="248"/>
      <c r="S30" s="248"/>
    </row>
    <row r="31" spans="1:19" ht="17.25" customHeight="1" thickBot="1">
      <c r="A31" s="127" t="s">
        <v>190</v>
      </c>
      <c r="B31" s="128">
        <f t="shared" si="0"/>
        <v>19.600000000000001</v>
      </c>
      <c r="C31" s="78">
        <f t="shared" si="1"/>
        <v>-3.4482758600000003E-2</v>
      </c>
      <c r="D31" s="20">
        <f t="shared" si="2"/>
        <v>19.5</v>
      </c>
      <c r="E31" s="21">
        <f t="shared" si="3"/>
        <v>-5.1020408163266031E-3</v>
      </c>
      <c r="F31" s="22">
        <f t="shared" si="4"/>
        <v>-510.20408163266029</v>
      </c>
      <c r="G31" s="30">
        <f t="shared" si="5"/>
        <v>19.8</v>
      </c>
      <c r="H31" s="21">
        <f t="shared" si="6"/>
        <v>1.0204081632653024E-2</v>
      </c>
      <c r="I31" s="105">
        <f t="shared" si="7"/>
        <v>1020.4081632653024</v>
      </c>
      <c r="J31" s="20">
        <f t="shared" si="8"/>
        <v>19.600000000000001</v>
      </c>
      <c r="K31" s="21">
        <f t="shared" si="9"/>
        <v>0</v>
      </c>
      <c r="L31" s="22">
        <f t="shared" si="10"/>
        <v>0</v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8"/>
      <c r="R31" s="248"/>
      <c r="S31" s="248"/>
    </row>
    <row r="32" spans="1:19" ht="17.25" customHeight="1" thickBot="1">
      <c r="A32" s="125" t="s">
        <v>150</v>
      </c>
      <c r="B32" s="129">
        <f t="shared" si="0"/>
        <v>13.8</v>
      </c>
      <c r="C32" s="80">
        <f t="shared" si="1"/>
        <v>-3.4965034999999998E-2</v>
      </c>
      <c r="D32" s="106">
        <f t="shared" si="2"/>
        <v>13.2</v>
      </c>
      <c r="E32" s="107">
        <f t="shared" si="3"/>
        <v>-4.347826086956532E-2</v>
      </c>
      <c r="F32" s="108">
        <f t="shared" si="4"/>
        <v>-4347.826086956532</v>
      </c>
      <c r="G32" s="109">
        <f t="shared" si="5"/>
        <v>13.4</v>
      </c>
      <c r="H32" s="107">
        <f t="shared" si="6"/>
        <v>-2.8985507246376836E-2</v>
      </c>
      <c r="I32" s="110">
        <f t="shared" si="7"/>
        <v>-2898.5507246376837</v>
      </c>
      <c r="J32" s="106">
        <f t="shared" si="8"/>
        <v>13.2</v>
      </c>
      <c r="K32" s="107">
        <f t="shared" si="9"/>
        <v>-4.347826086956532E-2</v>
      </c>
      <c r="L32" s="108">
        <f t="shared" si="10"/>
        <v>-4347.826086956532</v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8"/>
      <c r="R32" s="238"/>
      <c r="S32" s="238"/>
    </row>
    <row r="33" spans="1:19" ht="17.25" customHeight="1" thickBot="1">
      <c r="A33" s="125" t="s">
        <v>210</v>
      </c>
      <c r="B33" s="126">
        <f t="shared" si="0"/>
        <v>12.8</v>
      </c>
      <c r="C33" s="77">
        <f t="shared" si="1"/>
        <v>-3.7593985000000003E-2</v>
      </c>
      <c r="D33" s="15">
        <f t="shared" si="2"/>
        <v>12.6</v>
      </c>
      <c r="E33" s="32">
        <f t="shared" si="3"/>
        <v>-1.5625000000000083E-2</v>
      </c>
      <c r="F33" s="18">
        <f t="shared" si="4"/>
        <v>-1562.5000000000084</v>
      </c>
      <c r="G33" s="31">
        <f t="shared" si="5"/>
        <v>12.7</v>
      </c>
      <c r="H33" s="32">
        <f t="shared" si="6"/>
        <v>-7.812500000000111E-3</v>
      </c>
      <c r="I33" s="101">
        <f t="shared" si="7"/>
        <v>-781.25000000001114</v>
      </c>
      <c r="J33" s="15">
        <f t="shared" si="8"/>
        <v>12.7</v>
      </c>
      <c r="K33" s="32">
        <f t="shared" si="9"/>
        <v>-7.812500000000111E-3</v>
      </c>
      <c r="L33" s="18">
        <f t="shared" si="10"/>
        <v>-781.25000000001114</v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7"/>
      <c r="R35" s="228"/>
      <c r="S35" s="22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0"/>
      <c r="R36" s="231"/>
      <c r="S36" s="232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-1.7574318129490656E-2</v>
      </c>
      <c r="F37" s="28">
        <f>SUM(F17:F36)</f>
        <v>-29876.340820134123</v>
      </c>
      <c r="G37" s="26" t="s">
        <v>43</v>
      </c>
      <c r="H37" s="27">
        <f>IF(COUNT(H17:H36), SUM(H17:H36) / COUNT(H17:H36), 0)</f>
        <v>-6.0345836668724917E-3</v>
      </c>
      <c r="I37" s="28">
        <f>SUM(I17:I36)</f>
        <v>-10258.792233683238</v>
      </c>
      <c r="J37" s="26" t="s">
        <v>43</v>
      </c>
      <c r="K37" s="27">
        <f>IF(COUNT(K17:K36), SUM(K17:K36) / COUNT(K17:K36), 0)</f>
        <v>-4.7588646198110244E-3</v>
      </c>
      <c r="L37" s="28">
        <f>SUM(L17:L36)</f>
        <v>-8090.069853678744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3"/>
      <c r="R37" s="234"/>
      <c r="S37" s="23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48"/>
      <c r="R40" s="248"/>
      <c r="S40" s="248"/>
    </row>
    <row r="41" spans="1:19" ht="17.25" customHeight="1" thickBot="1">
      <c r="A41" s="223" t="s">
        <v>267</v>
      </c>
      <c r="B41" s="249" t="s">
        <v>49</v>
      </c>
      <c r="C41" s="251"/>
      <c r="D41" s="249" t="s">
        <v>58</v>
      </c>
      <c r="E41" s="250"/>
      <c r="F41" s="251"/>
      <c r="G41" s="252">
        <f>_xlfn.IFNA(VLOOKUP(B41, 현재가테이블!$B$2:$D$200, 2, FALSE), "-")</f>
        <v>54440000</v>
      </c>
      <c r="H41" s="253"/>
      <c r="I41" s="254"/>
      <c r="J41" s="249" t="s">
        <v>59</v>
      </c>
      <c r="K41" s="250"/>
      <c r="L41" s="251"/>
      <c r="M41" s="255">
        <f>_xlfn.IFNA(VLOOKUP(B41, 현재가테이블!$B$2:$D$200, 3, FALSE), "-")</f>
        <v>1.07123628E-2</v>
      </c>
      <c r="N41" s="256"/>
      <c r="O41" s="257"/>
      <c r="Q41" s="248"/>
      <c r="R41" s="248"/>
      <c r="S41" s="248"/>
    </row>
    <row r="42" spans="1:19" ht="17.25" customHeight="1" thickBot="1">
      <c r="A42" s="293" t="s">
        <v>55</v>
      </c>
      <c r="B42" s="289" t="str">
        <f>TEXT($G$1, "[$-ko-KR]yyyy-mm-dd(ddd) ") &amp; "오전 00:00"</f>
        <v>2021-08-17(화) 오전 00:00</v>
      </c>
      <c r="C42" s="290"/>
      <c r="D42" s="262" t="str">
        <f>TEXT($G$1, "[$-ko-KR]yyyy-mm-dd(ddd) ") &amp; "오후 14:00"</f>
        <v>2021-08-17(화) 오후 14:00</v>
      </c>
      <c r="E42" s="263"/>
      <c r="F42" s="264"/>
      <c r="G42" s="262" t="str">
        <f>TEXT($G$1, "[$-ko-KR]yyyy-mm-dd(ddd) ") &amp; "오후 19:00"</f>
        <v>2021-08-17(화) 오후 19:00</v>
      </c>
      <c r="H42" s="263"/>
      <c r="I42" s="264"/>
      <c r="J42" s="262" t="str">
        <f>TEXT($G$1, "[$-ko-KR]yyyy-mm-dd(ddd) ") &amp; "오후 21:00"</f>
        <v>2021-08-17(화) 오후 21:00</v>
      </c>
      <c r="K42" s="263"/>
      <c r="L42" s="264"/>
      <c r="M42" s="262" t="str">
        <f>TEXT($G$1+1, "[$-ko-KR]yyyy-mm-dd(ddd) ") &amp; "오전 00:00"</f>
        <v>2021-08-18(수) 오전 00:00</v>
      </c>
      <c r="N42" s="263"/>
      <c r="O42" s="264"/>
      <c r="Q42" s="248"/>
      <c r="R42" s="248"/>
      <c r="S42" s="248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4" t="s">
        <v>58</v>
      </c>
      <c r="H43" s="225" t="s">
        <v>268</v>
      </c>
      <c r="I43" s="22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8"/>
      <c r="R43" s="238"/>
      <c r="S43" s="238"/>
    </row>
    <row r="44" spans="1:19" ht="17.25" customHeight="1" thickBot="1">
      <c r="A44" s="123" t="s">
        <v>122</v>
      </c>
      <c r="B44" s="124">
        <v>36.200000000000003</v>
      </c>
      <c r="C44" s="76">
        <v>4.0229885100000001E-2</v>
      </c>
      <c r="D44" s="13">
        <v>35.299999999999997</v>
      </c>
      <c r="E44" s="14">
        <f>IF(ISNUMBER(D44), (D44 - $B44) / $B44, "")</f>
        <v>-2.4861878453038829E-2</v>
      </c>
      <c r="F44" s="16">
        <f>IF(ISNUMBER(D44), $B64 * E44, "")</f>
        <v>-2486.187845303883</v>
      </c>
      <c r="G44" s="29">
        <v>37.4</v>
      </c>
      <c r="H44" s="14">
        <f>IF(ISNUMBER(G44), (G44 - $B44) / $B44, "")</f>
        <v>3.3149171270718113E-2</v>
      </c>
      <c r="I44" s="100">
        <f>IF(ISNUMBER(G44), $B64 * H44, "")</f>
        <v>3314.9171270718111</v>
      </c>
      <c r="J44" s="13">
        <v>38</v>
      </c>
      <c r="K44" s="14">
        <f>IF(ISNUMBER(J44), (J44 - $B44) / $B44, "")</f>
        <v>4.9723756906077263E-2</v>
      </c>
      <c r="L44" s="16">
        <f>IF(ISNUMBER(J44), $B64 * K44, "")</f>
        <v>4972.375690607726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8"/>
      <c r="R44" s="248"/>
      <c r="S44" s="248"/>
    </row>
    <row r="45" spans="1:19" ht="17.25" customHeight="1" thickBot="1">
      <c r="A45" s="125" t="s">
        <v>250</v>
      </c>
      <c r="B45" s="126">
        <v>84.7</v>
      </c>
      <c r="C45" s="77">
        <v>7.1343639000000002E-3</v>
      </c>
      <c r="D45" s="15">
        <v>82</v>
      </c>
      <c r="E45" s="32">
        <f t="shared" ref="E45:E48" si="14">IF(ISNUMBER(D45), (D45 - $B45) / $B45, "")</f>
        <v>-3.1877213695395548E-2</v>
      </c>
      <c r="F45" s="18">
        <f>IF(ISNUMBER(D45), $B64 * E45, "")</f>
        <v>-3187.7213695395549</v>
      </c>
      <c r="G45" s="31">
        <v>83.4</v>
      </c>
      <c r="H45" s="32">
        <f t="shared" ref="H45:H48" si="15">IF(ISNUMBER(G45), (G45 - $B45) / $B45, "")</f>
        <v>-1.5348288075560769E-2</v>
      </c>
      <c r="I45" s="101">
        <f>IF(ISNUMBER(G45), $B64 * H45, "")</f>
        <v>-1534.828807556077</v>
      </c>
      <c r="J45" s="15">
        <v>84.5</v>
      </c>
      <c r="K45" s="32">
        <f t="shared" ref="K45:K48" si="16">IF(ISNUMBER(J45), (J45 - $B45) / $B45, "")</f>
        <v>-2.3612750885478491E-3</v>
      </c>
      <c r="L45" s="18">
        <f>IF(ISNUMBER(J45), $B64 * K45, "")</f>
        <v>-236.12750885478491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8"/>
      <c r="R45" s="248"/>
      <c r="S45" s="248"/>
    </row>
    <row r="46" spans="1:19" ht="17.25" customHeight="1" thickBot="1">
      <c r="A46" s="125" t="s">
        <v>204</v>
      </c>
      <c r="B46" s="126">
        <v>16.2</v>
      </c>
      <c r="C46" s="77">
        <v>6.2111800999999998E-3</v>
      </c>
      <c r="D46" s="15">
        <v>16.100000000000001</v>
      </c>
      <c r="E46" s="32">
        <f t="shared" si="14"/>
        <v>-6.1728395061727082E-3</v>
      </c>
      <c r="F46" s="18">
        <f>IF(ISNUMBER(D46), $B64 * E46, "")</f>
        <v>-617.28395061727088</v>
      </c>
      <c r="G46" s="31">
        <v>16.2</v>
      </c>
      <c r="H46" s="32">
        <f t="shared" si="15"/>
        <v>0</v>
      </c>
      <c r="I46" s="101">
        <f>IF(ISNUMBER(G46), $B64 * H46, "")</f>
        <v>0</v>
      </c>
      <c r="J46" s="15">
        <v>16.100000000000001</v>
      </c>
      <c r="K46" s="32">
        <f t="shared" si="16"/>
        <v>-6.1728395061727082E-3</v>
      </c>
      <c r="L46" s="18">
        <f>IF(ISNUMBER(J46), $B64 * K46, "")</f>
        <v>-617.28395061727088</v>
      </c>
      <c r="M46" s="31"/>
      <c r="N46" s="32" t="str">
        <f t="shared" si="17"/>
        <v/>
      </c>
      <c r="O46" s="18" t="str">
        <f>IF(ISNUMBER(M46), $B64 * N46, "")</f>
        <v/>
      </c>
      <c r="Q46" s="238"/>
      <c r="R46" s="238"/>
      <c r="S46" s="238"/>
    </row>
    <row r="47" spans="1:19" ht="17.25" customHeight="1" thickBot="1">
      <c r="A47" s="125" t="s">
        <v>148</v>
      </c>
      <c r="B47" s="126">
        <v>22.7</v>
      </c>
      <c r="C47" s="77">
        <v>0</v>
      </c>
      <c r="D47" s="15">
        <v>22.5</v>
      </c>
      <c r="E47" s="32">
        <f t="shared" si="14"/>
        <v>-8.8105726872246392E-3</v>
      </c>
      <c r="F47" s="18">
        <f>IF(ISNUMBER(D47), $B64 * E47, "")</f>
        <v>-881.05726872246396</v>
      </c>
      <c r="G47" s="31">
        <v>22.6</v>
      </c>
      <c r="H47" s="32">
        <f t="shared" si="15"/>
        <v>-4.4052863436122407E-3</v>
      </c>
      <c r="I47" s="101">
        <f>IF(ISNUMBER(G47), $B64 * H47, "")</f>
        <v>-440.52863436122408</v>
      </c>
      <c r="J47" s="15">
        <v>22.9</v>
      </c>
      <c r="K47" s="32">
        <f t="shared" si="16"/>
        <v>8.8105726872246392E-3</v>
      </c>
      <c r="L47" s="18">
        <f>IF(ISNUMBER(J47), $B64 * K47, "")</f>
        <v>881.05726872246396</v>
      </c>
      <c r="M47" s="31"/>
      <c r="N47" s="32" t="str">
        <f t="shared" si="17"/>
        <v/>
      </c>
      <c r="O47" s="18" t="str">
        <f>IF(ISNUMBER(M47), $B64 * N47, "")</f>
        <v/>
      </c>
      <c r="Q47" s="238"/>
      <c r="R47" s="238"/>
      <c r="S47" s="238"/>
    </row>
    <row r="48" spans="1:19" ht="17.25" customHeight="1" thickBot="1">
      <c r="A48" s="127" t="s">
        <v>65</v>
      </c>
      <c r="B48" s="128">
        <v>38</v>
      </c>
      <c r="C48" s="78">
        <v>-1.2987013E-2</v>
      </c>
      <c r="D48" s="20">
        <v>37.799999999999997</v>
      </c>
      <c r="E48" s="21">
        <f t="shared" si="14"/>
        <v>-5.2631578947369166E-3</v>
      </c>
      <c r="F48" s="22">
        <f>IF(ISNUMBER(D48), $B64 * E48, "")</f>
        <v>-526.31578947369167</v>
      </c>
      <c r="G48" s="30">
        <v>38.200000000000003</v>
      </c>
      <c r="H48" s="21">
        <f t="shared" si="15"/>
        <v>5.2631578947369166E-3</v>
      </c>
      <c r="I48" s="105">
        <f>IF(ISNUMBER(G48), $B64 * H48, "")</f>
        <v>526.31578947369167</v>
      </c>
      <c r="J48" s="20">
        <v>38.299999999999997</v>
      </c>
      <c r="K48" s="21">
        <f t="shared" si="16"/>
        <v>7.8947368421051888E-3</v>
      </c>
      <c r="L48" s="22">
        <f>IF(ISNUMBER(J48), $B64 * K48, "")</f>
        <v>789.47368421051885</v>
      </c>
      <c r="M48" s="30"/>
      <c r="N48" s="21" t="str">
        <f t="shared" si="17"/>
        <v/>
      </c>
      <c r="O48" s="22" t="str">
        <f>IF(ISNUMBER(M48), $B64 * N48, "")</f>
        <v/>
      </c>
      <c r="Q48" s="238"/>
      <c r="R48" s="238"/>
      <c r="S48" s="238"/>
    </row>
    <row r="49" spans="1:19" ht="17.25" customHeight="1" thickBot="1">
      <c r="A49" s="125" t="s">
        <v>98</v>
      </c>
      <c r="B49" s="129">
        <v>5.5</v>
      </c>
      <c r="C49" s="80">
        <v>-1.6100178900000001E-2</v>
      </c>
      <c r="D49" s="106">
        <v>5.34</v>
      </c>
      <c r="E49" s="107">
        <f>IF(ISNUMBER(D49), (D49 - $B49) / $B49, "")</f>
        <v>-2.9090909090909115E-2</v>
      </c>
      <c r="F49" s="108">
        <f>IF(ISNUMBER(D49), $B64 * E49, "")</f>
        <v>-2909.0909090909117</v>
      </c>
      <c r="G49" s="109">
        <v>5.4</v>
      </c>
      <c r="H49" s="107">
        <f>IF(ISNUMBER(G49), (G49 - $B49) / $B49, "")</f>
        <v>-1.8181818181818118E-2</v>
      </c>
      <c r="I49" s="110">
        <f>IF(ISNUMBER(G49), $B64 * H49, "")</f>
        <v>-1818.1818181818119</v>
      </c>
      <c r="J49" s="106">
        <v>5.37</v>
      </c>
      <c r="K49" s="107">
        <f>IF(ISNUMBER(J49), (J49 - $B49) / $B49, "")</f>
        <v>-2.3636363636363619E-2</v>
      </c>
      <c r="L49" s="108">
        <f>IF(ISNUMBER(J49), $B64 * K49, "")</f>
        <v>-2363.6363636363617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8"/>
      <c r="R49" s="238"/>
      <c r="S49" s="238"/>
    </row>
    <row r="50" spans="1:19" ht="17.25" customHeight="1" thickBot="1">
      <c r="A50" s="125" t="s">
        <v>208</v>
      </c>
      <c r="B50" s="126">
        <v>14.2</v>
      </c>
      <c r="C50" s="77">
        <v>-2.06896552E-2</v>
      </c>
      <c r="D50" s="15">
        <v>14.5</v>
      </c>
      <c r="E50" s="32">
        <f t="shared" ref="E50:E53" si="18">IF(ISNUMBER(D50), (D50 - $B50) / $B50, "")</f>
        <v>2.1126760563380333E-2</v>
      </c>
      <c r="F50" s="18">
        <f>IF(ISNUMBER(D50), $B64 * E50, "")</f>
        <v>2112.6760563380335</v>
      </c>
      <c r="G50" s="31">
        <v>14.5</v>
      </c>
      <c r="H50" s="32">
        <f t="shared" ref="H50:H53" si="19">IF(ISNUMBER(G50), (G50 - $B50) / $B50, "")</f>
        <v>2.1126760563380333E-2</v>
      </c>
      <c r="I50" s="101">
        <f>IF(ISNUMBER(G50), $B64 * H50, "")</f>
        <v>2112.6760563380335</v>
      </c>
      <c r="J50" s="15">
        <v>14.7</v>
      </c>
      <c r="K50" s="32">
        <f t="shared" ref="K50:K53" si="20">IF(ISNUMBER(J50), (J50 - $B50) / $B50, "")</f>
        <v>3.5211267605633804E-2</v>
      </c>
      <c r="L50" s="18">
        <f>IF(ISNUMBER(J50), $B64 * K50, "")</f>
        <v>3521.1267605633802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8"/>
      <c r="R50" s="238"/>
      <c r="S50" s="238"/>
    </row>
    <row r="51" spans="1:19" ht="17.25" customHeight="1" thickBot="1">
      <c r="A51" s="125" t="s">
        <v>202</v>
      </c>
      <c r="B51" s="126">
        <v>94.9</v>
      </c>
      <c r="C51" s="77">
        <v>-2.16494845E-2</v>
      </c>
      <c r="D51" s="15">
        <v>92.4</v>
      </c>
      <c r="E51" s="32">
        <f t="shared" si="18"/>
        <v>-2.6343519494204423E-2</v>
      </c>
      <c r="F51" s="18">
        <f>IF(ISNUMBER(D51), $B64 * E51, "")</f>
        <v>-2634.3519494204425</v>
      </c>
      <c r="G51" s="31">
        <v>93.8</v>
      </c>
      <c r="H51" s="32">
        <f t="shared" si="19"/>
        <v>-1.1591148577450036E-2</v>
      </c>
      <c r="I51" s="101">
        <f>IF(ISNUMBER(G51), $B64 * H51, "")</f>
        <v>-1159.1148577450037</v>
      </c>
      <c r="J51" s="15">
        <v>94</v>
      </c>
      <c r="K51" s="32">
        <f t="shared" si="20"/>
        <v>-9.4836670179136526E-3</v>
      </c>
      <c r="L51" s="18">
        <f>IF(ISNUMBER(J51), $B64 * K51, "")</f>
        <v>-948.36670179136524</v>
      </c>
      <c r="M51" s="31"/>
      <c r="N51" s="32" t="str">
        <f t="shared" si="21"/>
        <v/>
      </c>
      <c r="O51" s="18" t="str">
        <f>IF(ISNUMBER(M51), $B64 * N51, "")</f>
        <v/>
      </c>
      <c r="Q51" s="238"/>
      <c r="R51" s="238"/>
      <c r="S51" s="238"/>
    </row>
    <row r="52" spans="1:19" ht="17.25" customHeight="1" thickBot="1">
      <c r="A52" s="125" t="s">
        <v>188</v>
      </c>
      <c r="B52" s="126">
        <v>13.3</v>
      </c>
      <c r="C52" s="77">
        <v>-2.2058823500000001E-2</v>
      </c>
      <c r="D52" s="15">
        <v>13</v>
      </c>
      <c r="E52" s="32">
        <f t="shared" si="18"/>
        <v>-2.255639097744366E-2</v>
      </c>
      <c r="F52" s="18">
        <f>IF(ISNUMBER(D52), $B64 * E52, "")</f>
        <v>-2255.6390977443662</v>
      </c>
      <c r="G52" s="31">
        <v>13.1</v>
      </c>
      <c r="H52" s="32">
        <f t="shared" si="19"/>
        <v>-1.5037593984962485E-2</v>
      </c>
      <c r="I52" s="101">
        <f>IF(ISNUMBER(G52), $B64 * H52, "")</f>
        <v>-1503.7593984962484</v>
      </c>
      <c r="J52" s="15">
        <v>13</v>
      </c>
      <c r="K52" s="32">
        <f t="shared" si="20"/>
        <v>-2.255639097744366E-2</v>
      </c>
      <c r="L52" s="18">
        <f>IF(ISNUMBER(J52), $B64 * K52, "")</f>
        <v>-2255.6390977443662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234</v>
      </c>
      <c r="B53" s="131">
        <v>76.599999999999994</v>
      </c>
      <c r="C53" s="79">
        <v>-2.4203821699999999E-2</v>
      </c>
      <c r="D53" s="24">
        <v>74.8</v>
      </c>
      <c r="E53" s="25">
        <f t="shared" si="18"/>
        <v>-2.3498694516971244E-2</v>
      </c>
      <c r="F53" s="104">
        <f>IF(ISNUMBER(D53), $B64 * E53, "")</f>
        <v>-2349.8694516971245</v>
      </c>
      <c r="G53" s="102">
        <v>75.7</v>
      </c>
      <c r="H53" s="25">
        <f t="shared" si="19"/>
        <v>-1.1749347258485528E-2</v>
      </c>
      <c r="I53" s="103">
        <f>IF(ISNUMBER(G53), $B64 * H53, "")</f>
        <v>-1174.9347258485529</v>
      </c>
      <c r="J53" s="24">
        <v>75.8</v>
      </c>
      <c r="K53" s="25">
        <f t="shared" si="20"/>
        <v>-1.0443864229764977E-2</v>
      </c>
      <c r="L53" s="104">
        <f>IF(ISNUMBER(J53), $B64 * K53, "")</f>
        <v>-1044.3864229764977</v>
      </c>
      <c r="M53" s="102"/>
      <c r="N53" s="25" t="str">
        <f t="shared" si="21"/>
        <v/>
      </c>
      <c r="O53" s="104" t="str">
        <f>IF(ISNUMBER(M53), $B64 * N53, "")</f>
        <v/>
      </c>
      <c r="Q53" s="239"/>
      <c r="R53" s="240"/>
      <c r="S53" s="241"/>
    </row>
    <row r="54" spans="1:19" ht="17.25" customHeight="1">
      <c r="A54" s="123" t="s">
        <v>178</v>
      </c>
      <c r="B54" s="124">
        <v>17.7</v>
      </c>
      <c r="C54" s="76">
        <v>-2.74725275E-2</v>
      </c>
      <c r="D54" s="13">
        <v>17.3</v>
      </c>
      <c r="E54" s="14">
        <f>IF(ISNUMBER(D54), (D54 - $B54) / $B54, "")</f>
        <v>-2.2598870056497095E-2</v>
      </c>
      <c r="F54" s="16">
        <f>IF(ISNUMBER(D54), $B64 * E54, "")</f>
        <v>-2259.8870056497094</v>
      </c>
      <c r="G54" s="29">
        <v>17.399999999999999</v>
      </c>
      <c r="H54" s="14">
        <f>IF(ISNUMBER(G54), (G54 - $B54) / $B54, "")</f>
        <v>-1.6949152542372923E-2</v>
      </c>
      <c r="I54" s="100">
        <f>IF(ISNUMBER(G54), $B64 * H54, "")</f>
        <v>-1694.9152542372924</v>
      </c>
      <c r="J54" s="13">
        <v>17.5</v>
      </c>
      <c r="K54" s="14">
        <f>IF(ISNUMBER(J54), (J54 - $B54) / $B54, "")</f>
        <v>-1.1299435028248548E-2</v>
      </c>
      <c r="L54" s="16">
        <f>IF(ISNUMBER(J54), $B64 * K54, "")</f>
        <v>-1129.9435028248547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2"/>
      <c r="R54" s="243"/>
      <c r="S54" s="244"/>
    </row>
    <row r="55" spans="1:19" ht="17.25" customHeight="1" thickBot="1">
      <c r="A55" s="125" t="s">
        <v>240</v>
      </c>
      <c r="B55" s="126">
        <v>76.2</v>
      </c>
      <c r="C55" s="77">
        <v>-2.8061224499999999E-2</v>
      </c>
      <c r="D55" s="15">
        <v>74.599999999999994</v>
      </c>
      <c r="E55" s="32">
        <f t="shared" ref="E55:E58" si="22">IF(ISNUMBER(D55), (D55 - $B55) / $B55, "")</f>
        <v>-2.09973753280841E-2</v>
      </c>
      <c r="F55" s="18">
        <f>IF(ISNUMBER(D55), $B64 * E55, "")</f>
        <v>-2099.7375328084099</v>
      </c>
      <c r="G55" s="31">
        <v>74.900000000000006</v>
      </c>
      <c r="H55" s="32">
        <f t="shared" ref="H55:H58" si="23">IF(ISNUMBER(G55), (G55 - $B55) / $B55, "")</f>
        <v>-1.7060367454068203E-2</v>
      </c>
      <c r="I55" s="101">
        <f>IF(ISNUMBER(G55), $B64 * H55, "")</f>
        <v>-1706.0367454068203</v>
      </c>
      <c r="J55" s="15">
        <v>75</v>
      </c>
      <c r="K55" s="32">
        <f t="shared" ref="K55:K58" si="24">IF(ISNUMBER(J55), (J55 - $B55) / $B55, "")</f>
        <v>-1.574803149606303E-2</v>
      </c>
      <c r="L55" s="18">
        <f>IF(ISNUMBER(J55), $B64 * K55, "")</f>
        <v>-1574.8031496063029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5"/>
      <c r="R55" s="246"/>
      <c r="S55" s="247"/>
    </row>
    <row r="56" spans="1:19" ht="17.25" customHeight="1" thickBot="1">
      <c r="A56" s="125" t="s">
        <v>72</v>
      </c>
      <c r="B56" s="126">
        <v>24.6</v>
      </c>
      <c r="C56" s="77">
        <v>-3.1496062999999998E-2</v>
      </c>
      <c r="D56" s="15">
        <v>24.6</v>
      </c>
      <c r="E56" s="32">
        <f t="shared" si="22"/>
        <v>0</v>
      </c>
      <c r="F56" s="18">
        <f>IF(ISNUMBER(D56), $B64 * E56, "")</f>
        <v>0</v>
      </c>
      <c r="G56" s="31">
        <v>24.6</v>
      </c>
      <c r="H56" s="32">
        <f t="shared" si="23"/>
        <v>0</v>
      </c>
      <c r="I56" s="101">
        <f>IF(ISNUMBER(G56), $B64 * H56, "")</f>
        <v>0</v>
      </c>
      <c r="J56" s="15">
        <v>24.7</v>
      </c>
      <c r="K56" s="32">
        <f t="shared" si="24"/>
        <v>4.0650406504064169E-3</v>
      </c>
      <c r="L56" s="18">
        <f>IF(ISNUMBER(J56), $B64 * K56, "")</f>
        <v>406.50406504064171</v>
      </c>
      <c r="M56" s="31"/>
      <c r="N56" s="32" t="str">
        <f t="shared" si="25"/>
        <v/>
      </c>
      <c r="O56" s="18" t="str">
        <f>IF(ISNUMBER(M56), $B64 * N56, "")</f>
        <v/>
      </c>
      <c r="Q56" s="238"/>
      <c r="R56" s="238"/>
      <c r="S56" s="238"/>
    </row>
    <row r="57" spans="1:19" ht="17.25" customHeight="1" thickBot="1">
      <c r="A57" s="125" t="s">
        <v>216</v>
      </c>
      <c r="B57" s="126">
        <v>11.9</v>
      </c>
      <c r="C57" s="77">
        <v>-3.2520325199999998E-2</v>
      </c>
      <c r="D57" s="15">
        <v>11.5</v>
      </c>
      <c r="E57" s="32">
        <f t="shared" si="22"/>
        <v>-3.3613445378151287E-2</v>
      </c>
      <c r="F57" s="18">
        <f>IF(ISNUMBER(D57), $B64 * E57, "")</f>
        <v>-3361.3445378151287</v>
      </c>
      <c r="G57" s="31">
        <v>11.6</v>
      </c>
      <c r="H57" s="32">
        <f t="shared" si="23"/>
        <v>-2.5210084033613505E-2</v>
      </c>
      <c r="I57" s="101">
        <f>IF(ISNUMBER(G57), $B64 * H57, "")</f>
        <v>-2521.0084033613507</v>
      </c>
      <c r="J57" s="15">
        <v>11.5</v>
      </c>
      <c r="K57" s="32">
        <f t="shared" si="24"/>
        <v>-3.3613445378151287E-2</v>
      </c>
      <c r="L57" s="18">
        <f>IF(ISNUMBER(J57), $B64 * K57, "")</f>
        <v>-3361.3445378151287</v>
      </c>
      <c r="M57" s="31"/>
      <c r="N57" s="32" t="str">
        <f t="shared" si="25"/>
        <v/>
      </c>
      <c r="O57" s="18" t="str">
        <f>IF(ISNUMBER(M57), $B64 * N57, "")</f>
        <v/>
      </c>
      <c r="Q57" s="248"/>
      <c r="R57" s="248"/>
      <c r="S57" s="248"/>
    </row>
    <row r="58" spans="1:19" ht="17.25" customHeight="1" thickBot="1">
      <c r="A58" s="127" t="s">
        <v>190</v>
      </c>
      <c r="B58" s="128">
        <v>19.600000000000001</v>
      </c>
      <c r="C58" s="78">
        <v>-3.4482758600000003E-2</v>
      </c>
      <c r="D58" s="20">
        <v>19.5</v>
      </c>
      <c r="E58" s="21">
        <f t="shared" si="22"/>
        <v>-5.1020408163266031E-3</v>
      </c>
      <c r="F58" s="22">
        <f>IF(ISNUMBER(D58), $B64 * E58, "")</f>
        <v>-510.20408163266029</v>
      </c>
      <c r="G58" s="30">
        <v>19.8</v>
      </c>
      <c r="H58" s="21">
        <f t="shared" si="23"/>
        <v>1.0204081632653024E-2</v>
      </c>
      <c r="I58" s="105">
        <f>IF(ISNUMBER(G58), $B64 * H58, "")</f>
        <v>1020.4081632653024</v>
      </c>
      <c r="J58" s="20">
        <v>19.600000000000001</v>
      </c>
      <c r="K58" s="21">
        <f t="shared" si="24"/>
        <v>0</v>
      </c>
      <c r="L58" s="22">
        <f>IF(ISNUMBER(J58), $B64 * K58, "")</f>
        <v>0</v>
      </c>
      <c r="M58" s="30"/>
      <c r="N58" s="21" t="str">
        <f t="shared" si="25"/>
        <v/>
      </c>
      <c r="O58" s="22" t="str">
        <f>IF(ISNUMBER(M58), $B64 * N58, "")</f>
        <v/>
      </c>
      <c r="Q58" s="248"/>
      <c r="R58" s="248"/>
      <c r="S58" s="248"/>
    </row>
    <row r="59" spans="1:19" ht="17.25" customHeight="1" thickBot="1">
      <c r="A59" s="125" t="s">
        <v>150</v>
      </c>
      <c r="B59" s="129">
        <v>13.8</v>
      </c>
      <c r="C59" s="80">
        <v>-3.4965034999999998E-2</v>
      </c>
      <c r="D59" s="106">
        <v>13.2</v>
      </c>
      <c r="E59" s="107">
        <f>IF(ISNUMBER(D59), (D59 - $B59) / $B59, "")</f>
        <v>-4.347826086956532E-2</v>
      </c>
      <c r="F59" s="108">
        <f>IF(ISNUMBER(D59), $B64 * E59, "")</f>
        <v>-4347.826086956532</v>
      </c>
      <c r="G59" s="109">
        <v>13.4</v>
      </c>
      <c r="H59" s="107">
        <f>IF(ISNUMBER(G59), (G59 - $B59) / $B59, "")</f>
        <v>-2.8985507246376836E-2</v>
      </c>
      <c r="I59" s="110">
        <f>IF(ISNUMBER(G59), $B64 * H59, "")</f>
        <v>-2898.5507246376837</v>
      </c>
      <c r="J59" s="106">
        <v>13.2</v>
      </c>
      <c r="K59" s="107">
        <f>IF(ISNUMBER(J59), (J59 - $B59) / $B59, "")</f>
        <v>-4.347826086956532E-2</v>
      </c>
      <c r="L59" s="108">
        <f>IF(ISNUMBER(J59), $B64 * K59, "")</f>
        <v>-4347.826086956532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8"/>
      <c r="R59" s="238"/>
      <c r="S59" s="238"/>
    </row>
    <row r="60" spans="1:19" ht="17.25" customHeight="1" thickBot="1">
      <c r="A60" s="125" t="s">
        <v>210</v>
      </c>
      <c r="B60" s="126">
        <v>12.8</v>
      </c>
      <c r="C60" s="77">
        <v>-3.7593985000000003E-2</v>
      </c>
      <c r="D60" s="15">
        <v>12.6</v>
      </c>
      <c r="E60" s="32">
        <f t="shared" ref="E60:E63" si="26">IF(ISNUMBER(D60), (D60 - $B60) / $B60, "")</f>
        <v>-1.5625000000000083E-2</v>
      </c>
      <c r="F60" s="18">
        <f>IF(ISNUMBER(D60), $B64 * E60, "")</f>
        <v>-1562.5000000000084</v>
      </c>
      <c r="G60" s="31">
        <v>12.7</v>
      </c>
      <c r="H60" s="32">
        <f t="shared" ref="H60:H63" si="27">IF(ISNUMBER(G60), (G60 - $B60) / $B60, "")</f>
        <v>-7.812500000000111E-3</v>
      </c>
      <c r="I60" s="101">
        <f>IF(ISNUMBER(G60), $B64 * H60, "")</f>
        <v>-781.25000000001114</v>
      </c>
      <c r="J60" s="15">
        <v>12.7</v>
      </c>
      <c r="K60" s="32">
        <f t="shared" ref="K60:K63" si="28">IF(ISNUMBER(J60), (J60 - $B60) / $B60, "")</f>
        <v>-7.812500000000111E-3</v>
      </c>
      <c r="L60" s="18">
        <f>IF(ISNUMBER(J60), $B64 * K60, "")</f>
        <v>-781.25000000001114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8"/>
      <c r="R60" s="238"/>
      <c r="S60" s="238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8"/>
      <c r="R61" s="238"/>
      <c r="S61" s="238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7"/>
      <c r="R62" s="228"/>
      <c r="S62" s="22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0"/>
      <c r="R63" s="231"/>
      <c r="S63" s="232"/>
    </row>
    <row r="64" spans="1:19" ht="17.25" customHeight="1" thickBot="1">
      <c r="A64" s="132" t="s">
        <v>270</v>
      </c>
      <c r="B64" s="291">
        <f>$B$37</f>
        <v>100000</v>
      </c>
      <c r="C64" s="292"/>
      <c r="D64" s="26" t="s">
        <v>271</v>
      </c>
      <c r="E64" s="27">
        <f>IF(COUNT(E44:E63), SUM(E44:E63) / COUNT(E44:E63), 0)</f>
        <v>-1.7574318129490656E-2</v>
      </c>
      <c r="F64" s="28">
        <f>SUM(F44:F63)</f>
        <v>-29876.340820134123</v>
      </c>
      <c r="G64" s="26" t="s">
        <v>271</v>
      </c>
      <c r="H64" s="27">
        <f>IF(COUNT(H44:H63), SUM(H44:H63) / COUNT(H44:H63), 0)</f>
        <v>-6.0345836668724917E-3</v>
      </c>
      <c r="I64" s="28">
        <f>SUM(I44:I63)</f>
        <v>-10258.792233683238</v>
      </c>
      <c r="J64" s="26" t="s">
        <v>271</v>
      </c>
      <c r="K64" s="27">
        <f>IF(COUNT(K44:K63), SUM(K44:K63) / COUNT(K44:K63), 0)</f>
        <v>-4.7588646198110244E-3</v>
      </c>
      <c r="L64" s="28">
        <f>SUM(L44:L63)</f>
        <v>-8090.069853678744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33"/>
      <c r="R64" s="234"/>
      <c r="S64" s="23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48"/>
      <c r="R67" s="248"/>
      <c r="S67" s="248"/>
    </row>
    <row r="68" spans="1:19" ht="17.25" thickBot="1">
      <c r="A68" s="223" t="s">
        <v>267</v>
      </c>
      <c r="B68" s="249" t="s">
        <v>49</v>
      </c>
      <c r="C68" s="251"/>
      <c r="D68" s="249" t="s">
        <v>58</v>
      </c>
      <c r="E68" s="250"/>
      <c r="F68" s="251"/>
      <c r="G68" s="252">
        <f>_xlfn.IFNA(VLOOKUP(B68, 현재가테이블!$B$2:$D$200, 2, FALSE), "-")</f>
        <v>54440000</v>
      </c>
      <c r="H68" s="253"/>
      <c r="I68" s="254"/>
      <c r="J68" s="249" t="s">
        <v>59</v>
      </c>
      <c r="K68" s="250"/>
      <c r="L68" s="251"/>
      <c r="M68" s="255">
        <f>_xlfn.IFNA(VLOOKUP(B68, 현재가테이블!$B$2:$D$200, 3, FALSE), "-")</f>
        <v>1.07123628E-2</v>
      </c>
      <c r="N68" s="256"/>
      <c r="O68" s="257"/>
      <c r="Q68" s="248"/>
      <c r="R68" s="248"/>
      <c r="S68" s="248"/>
    </row>
    <row r="69" spans="1:19" ht="17.25" thickBot="1">
      <c r="A69" s="293" t="s">
        <v>55</v>
      </c>
      <c r="B69" s="289" t="str">
        <f>TEXT($G$1, "[$-ko-KR]yyyy-mm-dd(ddd) ") &amp; "오전 00:00"</f>
        <v>2021-08-17(화) 오전 00:00</v>
      </c>
      <c r="C69" s="290"/>
      <c r="D69" s="262" t="str">
        <f>TEXT($G$1, "[$-ko-KR]yyyy-mm-dd(ddd) ") &amp; "오후 14:00"</f>
        <v>2021-08-17(화) 오후 14:00</v>
      </c>
      <c r="E69" s="263"/>
      <c r="F69" s="264"/>
      <c r="G69" s="262" t="str">
        <f>TEXT($G$1, "[$-ko-KR]yyyy-mm-dd(ddd) ") &amp; "오후 19:00"</f>
        <v>2021-08-17(화) 오후 19:00</v>
      </c>
      <c r="H69" s="263"/>
      <c r="I69" s="264"/>
      <c r="J69" s="262" t="str">
        <f>TEXT($G$1, "[$-ko-KR]yyyy-mm-dd(ddd) ") &amp; "오후 21:00"</f>
        <v>2021-08-17(화) 오후 21:00</v>
      </c>
      <c r="K69" s="263"/>
      <c r="L69" s="264"/>
      <c r="M69" s="262" t="str">
        <f>TEXT($G$1+1, "[$-ko-KR]yyyy-mm-dd(ddd) ") &amp; "오전 00:00"</f>
        <v>2021-08-18(수) 오전 00:00</v>
      </c>
      <c r="N69" s="263"/>
      <c r="O69" s="264"/>
      <c r="Q69" s="248"/>
      <c r="R69" s="248"/>
      <c r="S69" s="248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4" t="s">
        <v>58</v>
      </c>
      <c r="H70" s="225" t="s">
        <v>268</v>
      </c>
      <c r="I70" s="22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8"/>
      <c r="R70" s="238"/>
      <c r="S70" s="238"/>
    </row>
    <row r="71" spans="1:19" ht="17.25" thickBot="1">
      <c r="A71" s="123" t="s">
        <v>138</v>
      </c>
      <c r="B71" s="124">
        <v>418</v>
      </c>
      <c r="C71" s="76">
        <v>3.9800994999999999E-2</v>
      </c>
      <c r="D71" s="13">
        <v>412</v>
      </c>
      <c r="E71" s="14">
        <f>IF(ISNUMBER(D71), (D71 - $B71) / $B71, "")</f>
        <v>-1.4354066985645933E-2</v>
      </c>
      <c r="F71" s="16">
        <f>IF(ISNUMBER(D71), $B91 * E71, "")</f>
        <v>-1435.4066985645934</v>
      </c>
      <c r="G71" s="29">
        <v>417</v>
      </c>
      <c r="H71" s="14">
        <f>IF(ISNUMBER(G71), (G71 - $B71) / $B71, "")</f>
        <v>-2.3923444976076554E-3</v>
      </c>
      <c r="I71" s="100">
        <f>IF(ISNUMBER(G71), $B91 * H71, "")</f>
        <v>-239.23444976076553</v>
      </c>
      <c r="J71" s="13">
        <v>416</v>
      </c>
      <c r="K71" s="14">
        <f>IF(ISNUMBER(J71), (J71 - $B71) / $B71, "")</f>
        <v>-4.7846889952153108E-3</v>
      </c>
      <c r="L71" s="16">
        <f>IF(ISNUMBER(J71), $B91 * K71, "")</f>
        <v>-478.46889952153106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8"/>
      <c r="R71" s="248"/>
      <c r="S71" s="248"/>
    </row>
    <row r="72" spans="1:19" ht="17.25" thickBot="1">
      <c r="A72" s="125" t="s">
        <v>164</v>
      </c>
      <c r="B72" s="126">
        <v>343</v>
      </c>
      <c r="C72" s="77">
        <v>1.78041543E-2</v>
      </c>
      <c r="D72" s="15">
        <v>354</v>
      </c>
      <c r="E72" s="32">
        <f t="shared" ref="E72:E75" si="30">IF(ISNUMBER(D72), (D72 - $B72) / $B72, "")</f>
        <v>3.2069970845481049E-2</v>
      </c>
      <c r="F72" s="18">
        <f>IF(ISNUMBER(D72), $B91 * E72, "")</f>
        <v>3206.9970845481048</v>
      </c>
      <c r="G72" s="31">
        <v>358</v>
      </c>
      <c r="H72" s="32">
        <f t="shared" ref="H72:H75" si="31">IF(ISNUMBER(G72), (G72 - $B72) / $B72, "")</f>
        <v>4.3731778425655975E-2</v>
      </c>
      <c r="I72" s="101">
        <f>IF(ISNUMBER(G72), $B91 * H72, "")</f>
        <v>4373.1778425655975</v>
      </c>
      <c r="J72" s="15">
        <v>355</v>
      </c>
      <c r="K72" s="32">
        <f t="shared" ref="K72:K75" si="32">IF(ISNUMBER(J72), (J72 - $B72) / $B72, "")</f>
        <v>3.4985422740524783E-2</v>
      </c>
      <c r="L72" s="18">
        <f>IF(ISNUMBER(J72), $B91 * K72, "")</f>
        <v>3498.5422740524782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8"/>
      <c r="R72" s="248"/>
      <c r="S72" s="248"/>
    </row>
    <row r="73" spans="1:19" ht="17.25" thickBot="1">
      <c r="A73" s="125" t="s">
        <v>238</v>
      </c>
      <c r="B73" s="126">
        <v>118</v>
      </c>
      <c r="C73" s="77">
        <v>8.5470084999999998E-3</v>
      </c>
      <c r="D73" s="15">
        <v>114</v>
      </c>
      <c r="E73" s="32">
        <f t="shared" si="30"/>
        <v>-3.3898305084745763E-2</v>
      </c>
      <c r="F73" s="18">
        <f>IF(ISNUMBER(D73), $B91 * E73, "")</f>
        <v>-3389.8305084745762</v>
      </c>
      <c r="G73" s="31">
        <v>120</v>
      </c>
      <c r="H73" s="32">
        <f t="shared" si="31"/>
        <v>1.6949152542372881E-2</v>
      </c>
      <c r="I73" s="101">
        <f>IF(ISNUMBER(G73), $B91 * H73, "")</f>
        <v>1694.9152542372881</v>
      </c>
      <c r="J73" s="15">
        <v>117</v>
      </c>
      <c r="K73" s="32">
        <f t="shared" si="32"/>
        <v>-8.4745762711864406E-3</v>
      </c>
      <c r="L73" s="18">
        <f>IF(ISNUMBER(J73), $B91 * K73, "")</f>
        <v>-847.45762711864404</v>
      </c>
      <c r="M73" s="31"/>
      <c r="N73" s="32" t="str">
        <f t="shared" si="33"/>
        <v/>
      </c>
      <c r="O73" s="18" t="str">
        <f>IF(ISNUMBER(M73), $B91 * N73, "")</f>
        <v/>
      </c>
      <c r="Q73" s="238"/>
      <c r="R73" s="238"/>
      <c r="S73" s="238"/>
    </row>
    <row r="74" spans="1:19" ht="17.25" thickBot="1">
      <c r="A74" s="125" t="s">
        <v>114</v>
      </c>
      <c r="B74" s="126">
        <v>752</v>
      </c>
      <c r="C74" s="77">
        <v>2.6666667000000001E-3</v>
      </c>
      <c r="D74" s="15">
        <v>749</v>
      </c>
      <c r="E74" s="32">
        <f t="shared" si="30"/>
        <v>-3.9893617021276593E-3</v>
      </c>
      <c r="F74" s="18">
        <f>IF(ISNUMBER(D74), $B91 * E74, "")</f>
        <v>-398.93617021276594</v>
      </c>
      <c r="G74" s="31">
        <v>749</v>
      </c>
      <c r="H74" s="32">
        <f t="shared" si="31"/>
        <v>-3.9893617021276593E-3</v>
      </c>
      <c r="I74" s="101">
        <f>IF(ISNUMBER(G74), $B91 * H74, "")</f>
        <v>-398.93617021276594</v>
      </c>
      <c r="J74" s="15">
        <v>781</v>
      </c>
      <c r="K74" s="32">
        <f t="shared" si="32"/>
        <v>3.8563829787234043E-2</v>
      </c>
      <c r="L74" s="18">
        <f>IF(ISNUMBER(J74), $B91 * K74, "")</f>
        <v>3856.3829787234044</v>
      </c>
      <c r="M74" s="31"/>
      <c r="N74" s="32" t="str">
        <f t="shared" si="33"/>
        <v/>
      </c>
      <c r="O74" s="18" t="str">
        <f>IF(ISNUMBER(M74), $B91 * N74, "")</f>
        <v/>
      </c>
      <c r="Q74" s="238"/>
      <c r="R74" s="238"/>
      <c r="S74" s="238"/>
    </row>
    <row r="75" spans="1:19" ht="17.25" thickBot="1">
      <c r="A75" s="127" t="s">
        <v>132</v>
      </c>
      <c r="B75" s="128">
        <v>129</v>
      </c>
      <c r="C75" s="78">
        <v>0</v>
      </c>
      <c r="D75" s="20">
        <v>124</v>
      </c>
      <c r="E75" s="21">
        <f t="shared" si="30"/>
        <v>-3.875968992248062E-2</v>
      </c>
      <c r="F75" s="22">
        <f>IF(ISNUMBER(D75), $B91 * E75, "")</f>
        <v>-3875.968992248062</v>
      </c>
      <c r="G75" s="30">
        <v>127</v>
      </c>
      <c r="H75" s="21">
        <f t="shared" si="31"/>
        <v>-1.5503875968992248E-2</v>
      </c>
      <c r="I75" s="105">
        <f>IF(ISNUMBER(G75), $B91 * H75, "")</f>
        <v>-1550.3875968992247</v>
      </c>
      <c r="J75" s="20">
        <v>127</v>
      </c>
      <c r="K75" s="21">
        <f t="shared" si="32"/>
        <v>-1.5503875968992248E-2</v>
      </c>
      <c r="L75" s="22">
        <f>IF(ISNUMBER(J75), $B91 * K75, "")</f>
        <v>-1550.3875968992247</v>
      </c>
      <c r="M75" s="30"/>
      <c r="N75" s="21" t="str">
        <f t="shared" si="33"/>
        <v/>
      </c>
      <c r="O75" s="22" t="str">
        <f>IF(ISNUMBER(M75), $B91 * N75, "")</f>
        <v/>
      </c>
      <c r="Q75" s="238"/>
      <c r="R75" s="238"/>
      <c r="S75" s="238"/>
    </row>
    <row r="76" spans="1:19" ht="17.25" thickBot="1">
      <c r="A76" s="125" t="s">
        <v>232</v>
      </c>
      <c r="B76" s="129">
        <v>559</v>
      </c>
      <c r="C76" s="80">
        <v>-5.3380783000000001E-3</v>
      </c>
      <c r="D76" s="106">
        <v>562</v>
      </c>
      <c r="E76" s="107">
        <f>IF(ISNUMBER(D76), (D76 - $B76) / $B76, "")</f>
        <v>5.3667262969588547E-3</v>
      </c>
      <c r="F76" s="108">
        <f>IF(ISNUMBER(D76), $B91 * E76, "")</f>
        <v>536.67262969588546</v>
      </c>
      <c r="G76" s="109">
        <v>576</v>
      </c>
      <c r="H76" s="107">
        <f>IF(ISNUMBER(G76), (G76 - $B76) / $B76, "")</f>
        <v>3.041144901610018E-2</v>
      </c>
      <c r="I76" s="110">
        <f>IF(ISNUMBER(G76), $B91 * H76, "")</f>
        <v>3041.1449016100182</v>
      </c>
      <c r="J76" s="106">
        <v>566</v>
      </c>
      <c r="K76" s="107">
        <f>IF(ISNUMBER(J76), (J76 - $B76) / $B76, "")</f>
        <v>1.2522361359570662E-2</v>
      </c>
      <c r="L76" s="108">
        <f>IF(ISNUMBER(J76), $B91 * K76, "")</f>
        <v>1252.2361359570662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8"/>
      <c r="R76" s="238"/>
      <c r="S76" s="238"/>
    </row>
    <row r="77" spans="1:19" ht="17.25" thickBot="1">
      <c r="A77" s="125" t="s">
        <v>242</v>
      </c>
      <c r="B77" s="126">
        <v>504</v>
      </c>
      <c r="C77" s="77">
        <v>-5.9171598000000002E-3</v>
      </c>
      <c r="D77" s="15">
        <v>511</v>
      </c>
      <c r="E77" s="32">
        <f t="shared" ref="E77:E80" si="34">IF(ISNUMBER(D77), (D77 - $B77) / $B77, "")</f>
        <v>1.3888888888888888E-2</v>
      </c>
      <c r="F77" s="18">
        <f>IF(ISNUMBER(D77), $B91 * E77, "")</f>
        <v>1388.8888888888889</v>
      </c>
      <c r="G77" s="31">
        <v>515</v>
      </c>
      <c r="H77" s="32">
        <f t="shared" ref="H77:H80" si="35">IF(ISNUMBER(G77), (G77 - $B77) / $B77, "")</f>
        <v>2.1825396825396824E-2</v>
      </c>
      <c r="I77" s="101">
        <f>IF(ISNUMBER(G77), $B91 * H77, "")</f>
        <v>2182.5396825396824</v>
      </c>
      <c r="J77" s="15">
        <v>514</v>
      </c>
      <c r="K77" s="32">
        <f t="shared" ref="K77:K80" si="36">IF(ISNUMBER(J77), (J77 - $B77) / $B77, "")</f>
        <v>1.984126984126984E-2</v>
      </c>
      <c r="L77" s="18">
        <f>IF(ISNUMBER(J77), $B91 * K77, "")</f>
        <v>1984.1269841269841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8"/>
      <c r="R77" s="238"/>
      <c r="S77" s="238"/>
    </row>
    <row r="78" spans="1:19" ht="17.25" thickBot="1">
      <c r="A78" s="125" t="s">
        <v>162</v>
      </c>
      <c r="B78" s="126">
        <v>118</v>
      </c>
      <c r="C78" s="77">
        <v>-8.4033613000000004E-3</v>
      </c>
      <c r="D78" s="15">
        <v>116</v>
      </c>
      <c r="E78" s="32">
        <f t="shared" si="34"/>
        <v>-1.6949152542372881E-2</v>
      </c>
      <c r="F78" s="18">
        <f>IF(ISNUMBER(D78), $B91 * E78, "")</f>
        <v>-1694.9152542372881</v>
      </c>
      <c r="G78" s="31">
        <v>117</v>
      </c>
      <c r="H78" s="32">
        <f t="shared" si="35"/>
        <v>-8.4745762711864406E-3</v>
      </c>
      <c r="I78" s="101">
        <f>IF(ISNUMBER(G78), $B91 * H78, "")</f>
        <v>-847.45762711864404</v>
      </c>
      <c r="J78" s="15">
        <v>116</v>
      </c>
      <c r="K78" s="32">
        <f t="shared" si="36"/>
        <v>-1.6949152542372881E-2</v>
      </c>
      <c r="L78" s="18">
        <f>IF(ISNUMBER(J78), $B91 * K78, "")</f>
        <v>-1694.9152542372881</v>
      </c>
      <c r="M78" s="31"/>
      <c r="N78" s="32" t="str">
        <f t="shared" si="37"/>
        <v/>
      </c>
      <c r="O78" s="18" t="str">
        <f>IF(ISNUMBER(M78), $B91 * N78, "")</f>
        <v/>
      </c>
      <c r="Q78" s="238"/>
      <c r="R78" s="238"/>
      <c r="S78" s="238"/>
    </row>
    <row r="79" spans="1:19" ht="17.25" thickBot="1">
      <c r="A79" s="125" t="s">
        <v>152</v>
      </c>
      <c r="B79" s="126">
        <v>107</v>
      </c>
      <c r="C79" s="77">
        <v>-9.2592592999999994E-3</v>
      </c>
      <c r="D79" s="15">
        <v>104</v>
      </c>
      <c r="E79" s="32">
        <f t="shared" si="34"/>
        <v>-2.8037383177570093E-2</v>
      </c>
      <c r="F79" s="18">
        <f>IF(ISNUMBER(D79), $B91 * E79, "")</f>
        <v>-2803.7383177570091</v>
      </c>
      <c r="G79" s="31">
        <v>106</v>
      </c>
      <c r="H79" s="32">
        <f t="shared" si="35"/>
        <v>-9.3457943925233638E-3</v>
      </c>
      <c r="I79" s="101">
        <f>IF(ISNUMBER(G79), $B91 * H79, "")</f>
        <v>-934.57943925233633</v>
      </c>
      <c r="J79" s="15">
        <v>106</v>
      </c>
      <c r="K79" s="32">
        <f t="shared" si="36"/>
        <v>-9.3457943925233638E-3</v>
      </c>
      <c r="L79" s="18">
        <f>IF(ISNUMBER(J79), $B91 * K79, "")</f>
        <v>-934.57943925233633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54</v>
      </c>
      <c r="B80" s="131">
        <v>289</v>
      </c>
      <c r="C80" s="79">
        <v>-1.02739726E-2</v>
      </c>
      <c r="D80" s="24">
        <v>286</v>
      </c>
      <c r="E80" s="25">
        <f t="shared" si="34"/>
        <v>-1.0380622837370242E-2</v>
      </c>
      <c r="F80" s="104">
        <f>IF(ISNUMBER(D80), $B91 * E80, "")</f>
        <v>-1038.0622837370242</v>
      </c>
      <c r="G80" s="102">
        <v>293</v>
      </c>
      <c r="H80" s="25">
        <f t="shared" si="35"/>
        <v>1.384083044982699E-2</v>
      </c>
      <c r="I80" s="103">
        <f>IF(ISNUMBER(G80), $B91 * H80, "")</f>
        <v>1384.083044982699</v>
      </c>
      <c r="J80" s="24">
        <v>291</v>
      </c>
      <c r="K80" s="25">
        <f t="shared" si="36"/>
        <v>6.920415224913495E-3</v>
      </c>
      <c r="L80" s="104">
        <f>IF(ISNUMBER(J80), $B91 * K80, "")</f>
        <v>692.0415224913495</v>
      </c>
      <c r="M80" s="102"/>
      <c r="N80" s="25" t="str">
        <f t="shared" si="37"/>
        <v/>
      </c>
      <c r="O80" s="104" t="str">
        <f>IF(ISNUMBER(M80), $B91 * N80, "")</f>
        <v/>
      </c>
      <c r="Q80" s="239"/>
      <c r="R80" s="240"/>
      <c r="S80" s="241"/>
    </row>
    <row r="81" spans="1:19">
      <c r="A81" s="123" t="s">
        <v>206</v>
      </c>
      <c r="B81" s="124">
        <v>358</v>
      </c>
      <c r="C81" s="76">
        <v>-1.1049723799999999E-2</v>
      </c>
      <c r="D81" s="13">
        <v>356</v>
      </c>
      <c r="E81" s="14">
        <f>IF(ISNUMBER(D81), (D81 - $B81) / $B81, "")</f>
        <v>-5.5865921787709499E-3</v>
      </c>
      <c r="F81" s="16">
        <f>IF(ISNUMBER(D81), $B91 * E81, "")</f>
        <v>-558.65921787709499</v>
      </c>
      <c r="G81" s="29">
        <v>360</v>
      </c>
      <c r="H81" s="14">
        <f>IF(ISNUMBER(G81), (G81 - $B81) / $B81, "")</f>
        <v>5.5865921787709499E-3</v>
      </c>
      <c r="I81" s="100">
        <f>IF(ISNUMBER(G81), $B91 * H81, "")</f>
        <v>558.65921787709499</v>
      </c>
      <c r="J81" s="13">
        <v>359</v>
      </c>
      <c r="K81" s="14">
        <f>IF(ISNUMBER(J81), (J81 - $B81) / $B81, "")</f>
        <v>2.7932960893854749E-3</v>
      </c>
      <c r="L81" s="16">
        <f>IF(ISNUMBER(J81), $B91 * K81, "")</f>
        <v>279.32960893854749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2"/>
      <c r="R81" s="243"/>
      <c r="S81" s="244"/>
    </row>
    <row r="82" spans="1:19" ht="17.25" thickBot="1">
      <c r="A82" s="125" t="s">
        <v>118</v>
      </c>
      <c r="B82" s="126">
        <v>173</v>
      </c>
      <c r="C82" s="77">
        <v>-1.14285714E-2</v>
      </c>
      <c r="D82" s="15">
        <v>173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176</v>
      </c>
      <c r="H82" s="32">
        <f t="shared" ref="H82:H85" si="39">IF(ISNUMBER(G82), (G82 - $B82) / $B82, "")</f>
        <v>1.7341040462427744E-2</v>
      </c>
      <c r="I82" s="101">
        <f>IF(ISNUMBER(G82), $B91 * H82, "")</f>
        <v>1734.1040462427743</v>
      </c>
      <c r="J82" s="15">
        <v>176</v>
      </c>
      <c r="K82" s="32">
        <f t="shared" ref="K82:K85" si="40">IF(ISNUMBER(J82), (J82 - $B82) / $B82, "")</f>
        <v>1.7341040462427744E-2</v>
      </c>
      <c r="L82" s="18">
        <f>IF(ISNUMBER(J82), $B91 * K82, "")</f>
        <v>1734.1040462427743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5"/>
      <c r="R82" s="246"/>
      <c r="S82" s="247"/>
    </row>
    <row r="83" spans="1:19" ht="17.25" thickBot="1">
      <c r="A83" s="125" t="s">
        <v>57</v>
      </c>
      <c r="B83" s="126">
        <v>251</v>
      </c>
      <c r="C83" s="77">
        <v>-1.18110236E-2</v>
      </c>
      <c r="D83" s="15">
        <v>248</v>
      </c>
      <c r="E83" s="32">
        <f t="shared" si="38"/>
        <v>-1.1952191235059761E-2</v>
      </c>
      <c r="F83" s="18">
        <f>IF(ISNUMBER(D83), $B91 * E83, "")</f>
        <v>-1195.2191235059761</v>
      </c>
      <c r="G83" s="31">
        <v>249</v>
      </c>
      <c r="H83" s="32">
        <f t="shared" si="39"/>
        <v>-7.9681274900398405E-3</v>
      </c>
      <c r="I83" s="101">
        <f>IF(ISNUMBER(G83), $B91 * H83, "")</f>
        <v>-796.81274900398409</v>
      </c>
      <c r="J83" s="15">
        <v>250</v>
      </c>
      <c r="K83" s="32">
        <f t="shared" si="40"/>
        <v>-3.9840637450199202E-3</v>
      </c>
      <c r="L83" s="18">
        <f>IF(ISNUMBER(J83), $B91 * K83, "")</f>
        <v>-398.40637450199205</v>
      </c>
      <c r="M83" s="31"/>
      <c r="N83" s="32" t="str">
        <f t="shared" si="41"/>
        <v/>
      </c>
      <c r="O83" s="18" t="str">
        <f>IF(ISNUMBER(M83), $B91 * N83, "")</f>
        <v/>
      </c>
      <c r="Q83" s="238"/>
      <c r="R83" s="238"/>
      <c r="S83" s="238"/>
    </row>
    <row r="84" spans="1:19" ht="17.25" thickBot="1">
      <c r="A84" s="125" t="s">
        <v>124</v>
      </c>
      <c r="B84" s="126">
        <v>394</v>
      </c>
      <c r="C84" s="77">
        <v>-1.25313283E-2</v>
      </c>
      <c r="D84" s="15">
        <v>391</v>
      </c>
      <c r="E84" s="32">
        <f t="shared" si="38"/>
        <v>-7.6142131979695434E-3</v>
      </c>
      <c r="F84" s="18">
        <f>IF(ISNUMBER(D84), $B91 * E84, "")</f>
        <v>-761.42131979695432</v>
      </c>
      <c r="G84" s="31">
        <v>392</v>
      </c>
      <c r="H84" s="32">
        <f t="shared" si="39"/>
        <v>-5.076142131979695E-3</v>
      </c>
      <c r="I84" s="101">
        <f>IF(ISNUMBER(G84), $B91 * H84, "")</f>
        <v>-507.61421319796949</v>
      </c>
      <c r="J84" s="15">
        <v>397</v>
      </c>
      <c r="K84" s="32">
        <f t="shared" si="40"/>
        <v>7.6142131979695434E-3</v>
      </c>
      <c r="L84" s="18">
        <f>IF(ISNUMBER(J84), $B91 * K84, "")</f>
        <v>761.42131979695432</v>
      </c>
      <c r="M84" s="31"/>
      <c r="N84" s="32" t="str">
        <f t="shared" si="41"/>
        <v/>
      </c>
      <c r="O84" s="18" t="str">
        <f>IF(ISNUMBER(M84), $B91 * N84, "")</f>
        <v/>
      </c>
      <c r="Q84" s="248"/>
      <c r="R84" s="248"/>
      <c r="S84" s="248"/>
    </row>
    <row r="85" spans="1:19" ht="17.25" thickBot="1">
      <c r="A85" s="127" t="s">
        <v>254</v>
      </c>
      <c r="B85" s="128">
        <v>326</v>
      </c>
      <c r="C85" s="78">
        <v>-1.51057402E-2</v>
      </c>
      <c r="D85" s="20">
        <v>322</v>
      </c>
      <c r="E85" s="21">
        <f t="shared" si="38"/>
        <v>-1.2269938650306749E-2</v>
      </c>
      <c r="F85" s="22">
        <f>IF(ISNUMBER(D85), $B91 * E85, "")</f>
        <v>-1226.9938650306749</v>
      </c>
      <c r="G85" s="30">
        <v>326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-3.0674846625766872E-3</v>
      </c>
      <c r="L85" s="22">
        <f>IF(ISNUMBER(J85), $B91 * K85, "")</f>
        <v>-306.74846625766872</v>
      </c>
      <c r="M85" s="30"/>
      <c r="N85" s="21" t="str">
        <f t="shared" si="41"/>
        <v/>
      </c>
      <c r="O85" s="22" t="str">
        <f>IF(ISNUMBER(M85), $B91 * N85, "")</f>
        <v/>
      </c>
      <c r="Q85" s="248"/>
      <c r="R85" s="248"/>
      <c r="S85" s="248"/>
    </row>
    <row r="86" spans="1:19" ht="17.25" thickBot="1">
      <c r="A86" s="125" t="s">
        <v>86</v>
      </c>
      <c r="B86" s="129">
        <v>423</v>
      </c>
      <c r="C86" s="80">
        <v>-1.62790698E-2</v>
      </c>
      <c r="D86" s="106">
        <v>415</v>
      </c>
      <c r="E86" s="107">
        <f>IF(ISNUMBER(D86), (D86 - $B86) / $B86, "")</f>
        <v>-1.8912529550827423E-2</v>
      </c>
      <c r="F86" s="108">
        <f>IF(ISNUMBER(D86), $B91 * E86, "")</f>
        <v>-1891.2529550827423</v>
      </c>
      <c r="G86" s="109">
        <v>419</v>
      </c>
      <c r="H86" s="107">
        <f>IF(ISNUMBER(G86), (G86 - $B86) / $B86, "")</f>
        <v>-9.4562647754137114E-3</v>
      </c>
      <c r="I86" s="110">
        <f>IF(ISNUMBER(G86), $B91 * H86, "")</f>
        <v>-945.62647754137117</v>
      </c>
      <c r="J86" s="106">
        <v>420</v>
      </c>
      <c r="K86" s="107">
        <f>IF(ISNUMBER(J86), (J86 - $B86) / $B86, "")</f>
        <v>-7.0921985815602835E-3</v>
      </c>
      <c r="L86" s="108">
        <f>IF(ISNUMBER(J86), $B91 * K86, "")</f>
        <v>-709.21985815602841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8"/>
      <c r="R86" s="238"/>
      <c r="S86" s="238"/>
    </row>
    <row r="87" spans="1:19" ht="17.25" thickBot="1">
      <c r="A87" s="125" t="s">
        <v>236</v>
      </c>
      <c r="B87" s="126">
        <v>681</v>
      </c>
      <c r="C87" s="77">
        <v>-1.73160173E-2</v>
      </c>
      <c r="D87" s="15">
        <v>672</v>
      </c>
      <c r="E87" s="32">
        <f t="shared" ref="E87:E90" si="42">IF(ISNUMBER(D87), (D87 - $B87) / $B87, "")</f>
        <v>-1.3215859030837005E-2</v>
      </c>
      <c r="F87" s="18">
        <f>IF(ISNUMBER(D87), $B91 * E87, "")</f>
        <v>-1321.5859030837005</v>
      </c>
      <c r="G87" s="31">
        <v>675</v>
      </c>
      <c r="H87" s="32">
        <f t="shared" ref="H87:H90" si="43">IF(ISNUMBER(G87), (G87 - $B87) / $B87, "")</f>
        <v>-8.8105726872246704E-3</v>
      </c>
      <c r="I87" s="101">
        <f>IF(ISNUMBER(G87), $B91 * H87, "")</f>
        <v>-881.05726872246703</v>
      </c>
      <c r="J87" s="15">
        <v>674</v>
      </c>
      <c r="K87" s="32">
        <f t="shared" ref="K87:K90" si="44">IF(ISNUMBER(J87), (J87 - $B87) / $B87, "")</f>
        <v>-1.0279001468428781E-2</v>
      </c>
      <c r="L87" s="18">
        <f>IF(ISNUMBER(J87), $B91 * K87, "")</f>
        <v>-1027.900146842878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8"/>
      <c r="R87" s="238"/>
      <c r="S87" s="238"/>
    </row>
    <row r="88" spans="1:19" ht="17.25" thickBot="1">
      <c r="A88" s="125" t="s">
        <v>51</v>
      </c>
      <c r="B88" s="126">
        <v>446</v>
      </c>
      <c r="C88" s="77">
        <v>-1.76211454E-2</v>
      </c>
      <c r="D88" s="15">
        <v>437</v>
      </c>
      <c r="E88" s="32">
        <f t="shared" si="42"/>
        <v>-2.0179372197309416E-2</v>
      </c>
      <c r="F88" s="18">
        <f>IF(ISNUMBER(D88), $B91 * E88, "")</f>
        <v>-2017.9372197309417</v>
      </c>
      <c r="G88" s="31">
        <v>441</v>
      </c>
      <c r="H88" s="32">
        <f t="shared" si="43"/>
        <v>-1.1210762331838564E-2</v>
      </c>
      <c r="I88" s="101">
        <f>IF(ISNUMBER(G88), $B91 * H88, "")</f>
        <v>-1121.0762331838564</v>
      </c>
      <c r="J88" s="15">
        <v>441</v>
      </c>
      <c r="K88" s="32">
        <f t="shared" si="44"/>
        <v>-1.1210762331838564E-2</v>
      </c>
      <c r="L88" s="18">
        <f>IF(ISNUMBER(J88), $B91 * K88, "")</f>
        <v>-1121.0762331838564</v>
      </c>
      <c r="M88" s="31"/>
      <c r="N88" s="32" t="str">
        <f t="shared" si="45"/>
        <v/>
      </c>
      <c r="O88" s="18" t="str">
        <f>IF(ISNUMBER(M88), $B91 * N88, "")</f>
        <v/>
      </c>
      <c r="Q88" s="238"/>
      <c r="R88" s="238"/>
      <c r="S88" s="238"/>
    </row>
    <row r="89" spans="1:19">
      <c r="A89" s="125" t="s">
        <v>144</v>
      </c>
      <c r="B89" s="126">
        <v>122</v>
      </c>
      <c r="C89" s="77">
        <v>-2.4E-2</v>
      </c>
      <c r="D89" s="15">
        <v>120</v>
      </c>
      <c r="E89" s="32">
        <f t="shared" si="42"/>
        <v>-1.6393442622950821E-2</v>
      </c>
      <c r="F89" s="18">
        <f>IF(ISNUMBER(D89), $B91 * E89, "")</f>
        <v>-1639.344262295082</v>
      </c>
      <c r="G89" s="31">
        <v>120</v>
      </c>
      <c r="H89" s="32">
        <f t="shared" si="43"/>
        <v>-1.6393442622950821E-2</v>
      </c>
      <c r="I89" s="101">
        <f>IF(ISNUMBER(G89), $B91 * H89, "")</f>
        <v>-1639.344262295082</v>
      </c>
      <c r="J89" s="15">
        <v>121</v>
      </c>
      <c r="K89" s="32">
        <f t="shared" si="44"/>
        <v>-8.1967213114754103E-3</v>
      </c>
      <c r="L89" s="18">
        <f>IF(ISNUMBER(J89), $B91 * K89, "")</f>
        <v>-819.67213114754099</v>
      </c>
      <c r="M89" s="31"/>
      <c r="N89" s="32" t="str">
        <f t="shared" si="45"/>
        <v/>
      </c>
      <c r="O89" s="18" t="str">
        <f>IF(ISNUMBER(M89), $B91 * N89, "")</f>
        <v/>
      </c>
      <c r="Q89" s="227"/>
      <c r="R89" s="228"/>
      <c r="S89" s="229"/>
    </row>
    <row r="90" spans="1:19" ht="17.25" thickBot="1">
      <c r="A90" s="130" t="s">
        <v>192</v>
      </c>
      <c r="B90" s="131">
        <v>242</v>
      </c>
      <c r="C90" s="79">
        <v>-2.4193548400000001E-2</v>
      </c>
      <c r="D90" s="24">
        <v>237</v>
      </c>
      <c r="E90" s="25">
        <f t="shared" si="42"/>
        <v>-2.0661157024793389E-2</v>
      </c>
      <c r="F90" s="104">
        <f>IF(ISNUMBER(D90), $B91 * E90, "")</f>
        <v>-2066.1157024793388</v>
      </c>
      <c r="G90" s="102">
        <v>240</v>
      </c>
      <c r="H90" s="25">
        <f t="shared" si="43"/>
        <v>-8.2644628099173556E-3</v>
      </c>
      <c r="I90" s="103">
        <f>IF(ISNUMBER(G90), $B91 * H90, "")</f>
        <v>-826.44628099173553</v>
      </c>
      <c r="J90" s="24">
        <v>241</v>
      </c>
      <c r="K90" s="25">
        <f t="shared" si="44"/>
        <v>-4.1322314049586778E-3</v>
      </c>
      <c r="L90" s="104">
        <f>IF(ISNUMBER(J90), $B91 * K90, "")</f>
        <v>-413.22314049586777</v>
      </c>
      <c r="M90" s="102"/>
      <c r="N90" s="25" t="str">
        <f t="shared" si="45"/>
        <v/>
      </c>
      <c r="O90" s="104" t="str">
        <f>IF(ISNUMBER(M90), $B91 * N90, "")</f>
        <v/>
      </c>
      <c r="Q90" s="230"/>
      <c r="R90" s="231"/>
      <c r="S90" s="232"/>
    </row>
    <row r="91" spans="1:19" ht="17.25" thickBot="1">
      <c r="A91" s="132" t="s">
        <v>270</v>
      </c>
      <c r="B91" s="291">
        <f>$B$37</f>
        <v>100000</v>
      </c>
      <c r="C91" s="292"/>
      <c r="D91" s="26" t="s">
        <v>271</v>
      </c>
      <c r="E91" s="27">
        <f>IF(COUNT(E71:E90), SUM(E71:E90) / COUNT(E71:E90), 0)</f>
        <v>-1.109141459549047E-2</v>
      </c>
      <c r="F91" s="28">
        <f>SUM(F71:F90)</f>
        <v>-22182.829190980952</v>
      </c>
      <c r="G91" s="26" t="s">
        <v>271</v>
      </c>
      <c r="H91" s="27">
        <f>IF(COUNT(H71:H90), SUM(H71:H90) / COUNT(H71:H90), 0)</f>
        <v>2.1400256109374767E-3</v>
      </c>
      <c r="I91" s="28">
        <f>SUM(I71:I90)</f>
        <v>4280.0512218749527</v>
      </c>
      <c r="J91" s="26" t="s">
        <v>271</v>
      </c>
      <c r="K91" s="27">
        <f>IF(COUNT(K71:K90), SUM(K71:K90) / COUNT(K71:K90), 0)</f>
        <v>1.8780648513573514E-3</v>
      </c>
      <c r="L91" s="28">
        <f>SUM(L71:L90)</f>
        <v>3756.1297027147007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33"/>
      <c r="R91" s="234"/>
      <c r="S91" s="23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48"/>
      <c r="R94" s="248"/>
      <c r="S94" s="248"/>
    </row>
    <row r="95" spans="1:19" ht="17.25" thickBot="1">
      <c r="A95" s="223" t="s">
        <v>267</v>
      </c>
      <c r="B95" s="249" t="s">
        <v>49</v>
      </c>
      <c r="C95" s="251"/>
      <c r="D95" s="249" t="s">
        <v>58</v>
      </c>
      <c r="E95" s="250"/>
      <c r="F95" s="251"/>
      <c r="G95" s="252">
        <f>_xlfn.IFNA(VLOOKUP(B95, 현재가테이블!$B$2:$D$200, 2, FALSE), "-")</f>
        <v>54440000</v>
      </c>
      <c r="H95" s="253"/>
      <c r="I95" s="254"/>
      <c r="J95" s="249" t="s">
        <v>59</v>
      </c>
      <c r="K95" s="250"/>
      <c r="L95" s="251"/>
      <c r="M95" s="255">
        <f>_xlfn.IFNA(VLOOKUP(B95, 현재가테이블!$B$2:$D$200, 3, FALSE), "-")</f>
        <v>1.07123628E-2</v>
      </c>
      <c r="N95" s="256"/>
      <c r="O95" s="257"/>
      <c r="Q95" s="248"/>
      <c r="R95" s="248"/>
      <c r="S95" s="248"/>
    </row>
    <row r="96" spans="1:19" ht="17.25" thickBot="1">
      <c r="A96" s="293" t="s">
        <v>55</v>
      </c>
      <c r="B96" s="289" t="str">
        <f>TEXT($G$1, "[$-ko-KR]yyyy-mm-dd(ddd) ") &amp; "오전 00:00"</f>
        <v>2021-08-17(화) 오전 00:00</v>
      </c>
      <c r="C96" s="290"/>
      <c r="D96" s="262" t="str">
        <f>TEXT($G$1, "[$-ko-KR]yyyy-mm-dd(ddd) ") &amp; "오후 14:00"</f>
        <v>2021-08-17(화) 오후 14:00</v>
      </c>
      <c r="E96" s="263"/>
      <c r="F96" s="264"/>
      <c r="G96" s="262" t="str">
        <f>TEXT($G$1, "[$-ko-KR]yyyy-mm-dd(ddd) ") &amp; "오후 19:00"</f>
        <v>2021-08-17(화) 오후 19:00</v>
      </c>
      <c r="H96" s="263"/>
      <c r="I96" s="264"/>
      <c r="J96" s="262" t="str">
        <f>TEXT($G$1, "[$-ko-KR]yyyy-mm-dd(ddd) ") &amp; "오후 21:00"</f>
        <v>2021-08-17(화) 오후 21:00</v>
      </c>
      <c r="K96" s="263"/>
      <c r="L96" s="264"/>
      <c r="M96" s="262" t="str">
        <f>TEXT($G$1+1, "[$-ko-KR]yyyy-mm-dd(ddd) ") &amp; "오전 00:00"</f>
        <v>2021-08-18(수) 오전 00:00</v>
      </c>
      <c r="N96" s="263"/>
      <c r="O96" s="264"/>
      <c r="Q96" s="248"/>
      <c r="R96" s="248"/>
      <c r="S96" s="248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4" t="s">
        <v>58</v>
      </c>
      <c r="H97" s="225" t="s">
        <v>268</v>
      </c>
      <c r="I97" s="22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8"/>
      <c r="R97" s="238"/>
      <c r="S97" s="238"/>
    </row>
    <row r="98" spans="1:19" ht="17.25" thickBot="1">
      <c r="A98" s="123" t="s">
        <v>69</v>
      </c>
      <c r="B98" s="124">
        <v>8315</v>
      </c>
      <c r="C98" s="76">
        <v>0.1548611111</v>
      </c>
      <c r="D98" s="13">
        <v>7925</v>
      </c>
      <c r="E98" s="14">
        <f>IF(ISNUMBER(D98), (D98 - $B98) / $B98, "")</f>
        <v>-4.6903187011425138E-2</v>
      </c>
      <c r="F98" s="16">
        <f>IF(ISNUMBER(D98), $B118 * E98, "")</f>
        <v>-4690.3187011425134</v>
      </c>
      <c r="G98" s="29">
        <v>8280</v>
      </c>
      <c r="H98" s="14">
        <f>IF(ISNUMBER(G98), (G98 - $B98) / $B98, "")</f>
        <v>-4.2092603728202047E-3</v>
      </c>
      <c r="I98" s="100">
        <f>IF(ISNUMBER(G98), $B118 * H98, "")</f>
        <v>-420.92603728202045</v>
      </c>
      <c r="J98" s="13">
        <v>8145</v>
      </c>
      <c r="K98" s="14">
        <f>IF(ISNUMBER(J98), (J98 - $B98) / $B98, "")</f>
        <v>-2.0444978953698137E-2</v>
      </c>
      <c r="L98" s="16">
        <f>IF(ISNUMBER(J98), $B118 * K98, "")</f>
        <v>-2044.4978953698137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8"/>
      <c r="R98" s="248"/>
      <c r="S98" s="248"/>
    </row>
    <row r="99" spans="1:19" ht="17.25" thickBot="1">
      <c r="A99" s="125" t="s">
        <v>168</v>
      </c>
      <c r="B99" s="126">
        <v>1755</v>
      </c>
      <c r="C99" s="77">
        <v>6.04229607E-2</v>
      </c>
      <c r="D99" s="15">
        <v>1700</v>
      </c>
      <c r="E99" s="32">
        <f t="shared" ref="E99:E102" si="46">IF(ISNUMBER(D99), (D99 - $B99) / $B99, "")</f>
        <v>-3.1339031339031341E-2</v>
      </c>
      <c r="F99" s="18">
        <f>IF(ISNUMBER(D99), $B118 * E99, "")</f>
        <v>-3133.9031339031339</v>
      </c>
      <c r="G99" s="31">
        <v>1720</v>
      </c>
      <c r="H99" s="32">
        <f t="shared" ref="H99:H102" si="47">IF(ISNUMBER(G99), (G99 - $B99) / $B99, "")</f>
        <v>-1.9943019943019943E-2</v>
      </c>
      <c r="I99" s="101">
        <f>IF(ISNUMBER(G99), $B118 * H99, "")</f>
        <v>-1994.3019943019942</v>
      </c>
      <c r="J99" s="15">
        <v>1755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8"/>
      <c r="R99" s="248"/>
      <c r="S99" s="248"/>
    </row>
    <row r="100" spans="1:19" ht="17.25" thickBot="1">
      <c r="A100" s="125" t="s">
        <v>108</v>
      </c>
      <c r="B100" s="126">
        <v>1535</v>
      </c>
      <c r="C100" s="77">
        <v>4.7781570000000002E-2</v>
      </c>
      <c r="D100" s="15">
        <v>1480</v>
      </c>
      <c r="E100" s="32">
        <f t="shared" si="46"/>
        <v>-3.5830618892508145E-2</v>
      </c>
      <c r="F100" s="18">
        <f>IF(ISNUMBER(D100), $B118 * E100, "")</f>
        <v>-3583.0618892508146</v>
      </c>
      <c r="G100" s="31">
        <v>1505</v>
      </c>
      <c r="H100" s="32">
        <f t="shared" si="47"/>
        <v>-1.9543973941368076E-2</v>
      </c>
      <c r="I100" s="101">
        <f>IF(ISNUMBER(G100), $B118 * H100, "")</f>
        <v>-1954.3973941368076</v>
      </c>
      <c r="J100" s="15">
        <v>1510</v>
      </c>
      <c r="K100" s="32">
        <f t="shared" si="48"/>
        <v>-1.6286644951140065E-2</v>
      </c>
      <c r="L100" s="18">
        <f>IF(ISNUMBER(J100), $B118 * K100, "")</f>
        <v>-1628.6644951140065</v>
      </c>
      <c r="M100" s="31"/>
      <c r="N100" s="32" t="str">
        <f t="shared" si="49"/>
        <v/>
      </c>
      <c r="O100" s="18" t="str">
        <f>IF(ISNUMBER(M100), $B118 * N100, "")</f>
        <v/>
      </c>
      <c r="Q100" s="238"/>
      <c r="R100" s="238"/>
      <c r="S100" s="238"/>
    </row>
    <row r="101" spans="1:19" ht="17.25" thickBot="1">
      <c r="A101" s="125" t="s">
        <v>112</v>
      </c>
      <c r="B101" s="126">
        <v>9090</v>
      </c>
      <c r="C101" s="77">
        <v>4.7235023000000001E-2</v>
      </c>
      <c r="D101" s="15">
        <v>9070</v>
      </c>
      <c r="E101" s="32">
        <f t="shared" si="46"/>
        <v>-2.2002200220022001E-3</v>
      </c>
      <c r="F101" s="18">
        <f>IF(ISNUMBER(D101), $B118 * E101, "")</f>
        <v>-220.02200220022002</v>
      </c>
      <c r="G101" s="31">
        <v>9260</v>
      </c>
      <c r="H101" s="32">
        <f t="shared" si="47"/>
        <v>1.8701870187018702E-2</v>
      </c>
      <c r="I101" s="101">
        <f>IF(ISNUMBER(G101), $B118 * H101, "")</f>
        <v>1870.1870187018701</v>
      </c>
      <c r="J101" s="15">
        <v>9170</v>
      </c>
      <c r="K101" s="32">
        <f t="shared" si="48"/>
        <v>8.8008800880088004E-3</v>
      </c>
      <c r="L101" s="18">
        <f>IF(ISNUMBER(J101), $B118 * K101, "")</f>
        <v>880.08800880088006</v>
      </c>
      <c r="M101" s="31"/>
      <c r="N101" s="32" t="str">
        <f t="shared" si="49"/>
        <v/>
      </c>
      <c r="O101" s="18" t="str">
        <f>IF(ISNUMBER(M101), $B118 * N101, "")</f>
        <v/>
      </c>
      <c r="Q101" s="238"/>
      <c r="R101" s="238"/>
      <c r="S101" s="238"/>
    </row>
    <row r="102" spans="1:19" ht="17.25" thickBot="1">
      <c r="A102" s="127" t="s">
        <v>76</v>
      </c>
      <c r="B102" s="128">
        <v>33850</v>
      </c>
      <c r="C102" s="78">
        <v>4.2179803000000002E-2</v>
      </c>
      <c r="D102" s="20">
        <v>33340</v>
      </c>
      <c r="E102" s="21">
        <f t="shared" si="46"/>
        <v>-1.5066469719350073E-2</v>
      </c>
      <c r="F102" s="22">
        <f>IF(ISNUMBER(D102), $B118 * E102, "")</f>
        <v>-1506.6469719350073</v>
      </c>
      <c r="G102" s="30">
        <v>34250</v>
      </c>
      <c r="H102" s="21">
        <f t="shared" si="47"/>
        <v>1.1816838995568686E-2</v>
      </c>
      <c r="I102" s="105">
        <f>IF(ISNUMBER(G102), $B118 * H102, "")</f>
        <v>1181.6838995568687</v>
      </c>
      <c r="J102" s="20">
        <v>34840</v>
      </c>
      <c r="K102" s="21">
        <f t="shared" si="48"/>
        <v>2.9246676514032496E-2</v>
      </c>
      <c r="L102" s="22">
        <f>IF(ISNUMBER(J102), $B118 * K102, "")</f>
        <v>2924.6676514032497</v>
      </c>
      <c r="M102" s="30"/>
      <c r="N102" s="21" t="str">
        <f t="shared" si="49"/>
        <v/>
      </c>
      <c r="O102" s="22" t="str">
        <f>IF(ISNUMBER(M102), $B118 * N102, "")</f>
        <v/>
      </c>
      <c r="Q102" s="238"/>
      <c r="R102" s="238"/>
      <c r="S102" s="238"/>
    </row>
    <row r="103" spans="1:19" ht="17.25" thickBot="1">
      <c r="A103" s="125" t="s">
        <v>134</v>
      </c>
      <c r="B103" s="129">
        <v>28130</v>
      </c>
      <c r="C103" s="80">
        <v>4.1851851900000001E-2</v>
      </c>
      <c r="D103" s="106">
        <v>30620</v>
      </c>
      <c r="E103" s="107">
        <f>IF(ISNUMBER(D103), (D103 - $B103) / $B103, "")</f>
        <v>8.8517596871667256E-2</v>
      </c>
      <c r="F103" s="108">
        <f>IF(ISNUMBER(D103), $B118 * E103, "")</f>
        <v>8851.7596871667265</v>
      </c>
      <c r="G103" s="109">
        <v>30880</v>
      </c>
      <c r="H103" s="107">
        <f>IF(ISNUMBER(G103), (G103 - $B103) / $B103, "")</f>
        <v>9.7760398151439748E-2</v>
      </c>
      <c r="I103" s="110">
        <f>IF(ISNUMBER(G103), $B118 * H103, "")</f>
        <v>9776.0398151439749</v>
      </c>
      <c r="J103" s="106">
        <v>30570</v>
      </c>
      <c r="K103" s="107">
        <f>IF(ISNUMBER(J103), (J103 - $B103) / $B103, "")</f>
        <v>8.6740135087095632E-2</v>
      </c>
      <c r="L103" s="108">
        <f>IF(ISNUMBER(J103), $B118 * K103, "")</f>
        <v>8674.0135087095641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8"/>
      <c r="R103" s="238"/>
      <c r="S103" s="238"/>
    </row>
    <row r="104" spans="1:19" ht="17.25" thickBot="1">
      <c r="A104" s="125" t="s">
        <v>122</v>
      </c>
      <c r="B104" s="126">
        <v>36.200000000000003</v>
      </c>
      <c r="C104" s="77">
        <v>4.0229885100000001E-2</v>
      </c>
      <c r="D104" s="15">
        <v>35.299999999999997</v>
      </c>
      <c r="E104" s="32">
        <f t="shared" ref="E104:E107" si="50">IF(ISNUMBER(D104), (D104 - $B104) / $B104, "")</f>
        <v>-2.4861878453038829E-2</v>
      </c>
      <c r="F104" s="18">
        <f>IF(ISNUMBER(D104), $B118 * E104, "")</f>
        <v>-2486.187845303883</v>
      </c>
      <c r="G104" s="31">
        <v>37.4</v>
      </c>
      <c r="H104" s="32">
        <f t="shared" ref="H104:H107" si="51">IF(ISNUMBER(G104), (G104 - $B104) / $B104, "")</f>
        <v>3.3149171270718113E-2</v>
      </c>
      <c r="I104" s="101">
        <f>IF(ISNUMBER(G104), $B118 * H104, "")</f>
        <v>3314.9171270718111</v>
      </c>
      <c r="J104" s="15">
        <v>38</v>
      </c>
      <c r="K104" s="32">
        <f t="shared" ref="K104:K107" si="52">IF(ISNUMBER(J104), (J104 - $B104) / $B104, "")</f>
        <v>4.9723756906077263E-2</v>
      </c>
      <c r="L104" s="18">
        <f>IF(ISNUMBER(J104), $B118 * K104, "")</f>
        <v>4972.375690607726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8"/>
      <c r="R104" s="238"/>
      <c r="S104" s="238"/>
    </row>
    <row r="105" spans="1:19" ht="17.25" thickBot="1">
      <c r="A105" s="125" t="s">
        <v>138</v>
      </c>
      <c r="B105" s="126">
        <v>418</v>
      </c>
      <c r="C105" s="77">
        <v>3.9800994999999999E-2</v>
      </c>
      <c r="D105" s="15">
        <v>412</v>
      </c>
      <c r="E105" s="32">
        <f t="shared" si="50"/>
        <v>-1.4354066985645933E-2</v>
      </c>
      <c r="F105" s="18">
        <f>IF(ISNUMBER(D105), $B118 * E105, "")</f>
        <v>-1435.4066985645934</v>
      </c>
      <c r="G105" s="31">
        <v>417</v>
      </c>
      <c r="H105" s="32">
        <f t="shared" si="51"/>
        <v>-2.3923444976076554E-3</v>
      </c>
      <c r="I105" s="101">
        <f>IF(ISNUMBER(G105), $B118 * H105, "")</f>
        <v>-239.23444976076553</v>
      </c>
      <c r="J105" s="15">
        <v>416</v>
      </c>
      <c r="K105" s="32">
        <f t="shared" si="52"/>
        <v>-4.7846889952153108E-3</v>
      </c>
      <c r="L105" s="18">
        <f>IF(ISNUMBER(J105), $B118 * K105, "")</f>
        <v>-478.46889952153106</v>
      </c>
      <c r="M105" s="31"/>
      <c r="N105" s="32" t="str">
        <f t="shared" si="53"/>
        <v/>
      </c>
      <c r="O105" s="18" t="str">
        <f>IF(ISNUMBER(M105), $B118 * N105, "")</f>
        <v/>
      </c>
      <c r="Q105" s="238"/>
      <c r="R105" s="238"/>
      <c r="S105" s="238"/>
    </row>
    <row r="106" spans="1:19" ht="17.25" thickBot="1">
      <c r="A106" s="125" t="s">
        <v>226</v>
      </c>
      <c r="B106" s="126">
        <v>2195</v>
      </c>
      <c r="C106" s="77">
        <v>3.5377358499999997E-2</v>
      </c>
      <c r="D106" s="15">
        <v>2100</v>
      </c>
      <c r="E106" s="32">
        <f t="shared" si="50"/>
        <v>-4.328018223234624E-2</v>
      </c>
      <c r="F106" s="18">
        <f>IF(ISNUMBER(D106), $B118 * E106, "")</f>
        <v>-4328.0182232346242</v>
      </c>
      <c r="G106" s="31">
        <v>2135</v>
      </c>
      <c r="H106" s="32">
        <f t="shared" si="51"/>
        <v>-2.7334851936218679E-2</v>
      </c>
      <c r="I106" s="101">
        <f>IF(ISNUMBER(G106), $B118 * H106, "")</f>
        <v>-2733.4851936218679</v>
      </c>
      <c r="J106" s="15">
        <v>2135</v>
      </c>
      <c r="K106" s="32">
        <f t="shared" si="52"/>
        <v>-2.7334851936218679E-2</v>
      </c>
      <c r="L106" s="18">
        <f>IF(ISNUMBER(J106), $B118 * K106, "")</f>
        <v>-2733.4851936218679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224</v>
      </c>
      <c r="B107" s="131">
        <v>5315</v>
      </c>
      <c r="C107" s="79">
        <v>3.5053554000000001E-2</v>
      </c>
      <c r="D107" s="24">
        <v>5410</v>
      </c>
      <c r="E107" s="25">
        <f t="shared" si="50"/>
        <v>1.7873941674506115E-2</v>
      </c>
      <c r="F107" s="104">
        <f>IF(ISNUMBER(D107), $B118 * E107, "")</f>
        <v>1787.3941674506116</v>
      </c>
      <c r="G107" s="102">
        <v>5480</v>
      </c>
      <c r="H107" s="25">
        <f t="shared" si="51"/>
        <v>3.1044214487300093E-2</v>
      </c>
      <c r="I107" s="103">
        <f>IF(ISNUMBER(G107), $B118 * H107, "")</f>
        <v>3104.4214487300092</v>
      </c>
      <c r="J107" s="24">
        <v>5465</v>
      </c>
      <c r="K107" s="25">
        <f t="shared" si="52"/>
        <v>2.8222013170272814E-2</v>
      </c>
      <c r="L107" s="104">
        <f>IF(ISNUMBER(J107), $B118 * K107, "")</f>
        <v>2822.2013170272812</v>
      </c>
      <c r="M107" s="102"/>
      <c r="N107" s="25" t="str">
        <f t="shared" si="53"/>
        <v/>
      </c>
      <c r="O107" s="104" t="str">
        <f>IF(ISNUMBER(M107), $B118 * N107, "")</f>
        <v/>
      </c>
      <c r="Q107" s="239"/>
      <c r="R107" s="240"/>
      <c r="S107" s="241"/>
    </row>
    <row r="108" spans="1:19">
      <c r="A108" s="123" t="s">
        <v>196</v>
      </c>
      <c r="B108" s="124">
        <v>4670</v>
      </c>
      <c r="C108" s="76">
        <v>2.5246981299999999E-2</v>
      </c>
      <c r="D108" s="13">
        <v>4650</v>
      </c>
      <c r="E108" s="14">
        <f>IF(ISNUMBER(D108), (D108 - $B108) / $B108, "")</f>
        <v>-4.2826552462526769E-3</v>
      </c>
      <c r="F108" s="16">
        <f>IF(ISNUMBER(D108), $B118 * E108, "")</f>
        <v>-428.26552462526769</v>
      </c>
      <c r="G108" s="29">
        <v>4685</v>
      </c>
      <c r="H108" s="14">
        <f>IF(ISNUMBER(G108), (G108 - $B108) / $B108, "")</f>
        <v>3.2119914346895075E-3</v>
      </c>
      <c r="I108" s="100">
        <f>IF(ISNUMBER(G108), $B118 * H108, "")</f>
        <v>321.19914346895075</v>
      </c>
      <c r="J108" s="13">
        <v>4810</v>
      </c>
      <c r="K108" s="14">
        <f>IF(ISNUMBER(J108), (J108 - $B108) / $B108, "")</f>
        <v>2.9978586723768737E-2</v>
      </c>
      <c r="L108" s="16">
        <f>IF(ISNUMBER(J108), $B118 * K108, "")</f>
        <v>2997.8586723768735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2"/>
      <c r="R108" s="243"/>
      <c r="S108" s="244"/>
    </row>
    <row r="109" spans="1:19" ht="17.25" thickBot="1">
      <c r="A109" s="125" t="s">
        <v>106</v>
      </c>
      <c r="B109" s="126">
        <v>67450</v>
      </c>
      <c r="C109" s="77">
        <v>2.4608840999999999E-2</v>
      </c>
      <c r="D109" s="15">
        <v>65320</v>
      </c>
      <c r="E109" s="32">
        <f t="shared" ref="E109:E112" si="54">IF(ISNUMBER(D109), (D109 - $B109) / $B109, "")</f>
        <v>-3.1578947368421054E-2</v>
      </c>
      <c r="F109" s="18">
        <f>IF(ISNUMBER(D109), $B118 * E109, "")</f>
        <v>-3157.8947368421054</v>
      </c>
      <c r="G109" s="31">
        <v>65300</v>
      </c>
      <c r="H109" s="32">
        <f t="shared" ref="H109:H112" si="55">IF(ISNUMBER(G109), (G109 - $B109) / $B109, "")</f>
        <v>-3.1875463306152707E-2</v>
      </c>
      <c r="I109" s="101">
        <f>IF(ISNUMBER(G109), $B118 * H109, "")</f>
        <v>-3187.5463306152706</v>
      </c>
      <c r="J109" s="15">
        <v>66080</v>
      </c>
      <c r="K109" s="32">
        <f t="shared" ref="K109:K112" si="56">IF(ISNUMBER(J109), (J109 - $B109) / $B109, "")</f>
        <v>-2.0311341734618234E-2</v>
      </c>
      <c r="L109" s="18">
        <f>IF(ISNUMBER(J109), $B118 * K109, "")</f>
        <v>-2031.1341734618234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5"/>
      <c r="R109" s="246"/>
      <c r="S109" s="247"/>
    </row>
    <row r="110" spans="1:19" ht="17.25" thickBot="1">
      <c r="A110" s="125" t="s">
        <v>164</v>
      </c>
      <c r="B110" s="126">
        <v>343</v>
      </c>
      <c r="C110" s="77">
        <v>1.78041543E-2</v>
      </c>
      <c r="D110" s="15">
        <v>354</v>
      </c>
      <c r="E110" s="32">
        <f t="shared" si="54"/>
        <v>3.2069970845481049E-2</v>
      </c>
      <c r="F110" s="18">
        <f>IF(ISNUMBER(D110), $B118 * E110, "")</f>
        <v>3206.9970845481048</v>
      </c>
      <c r="G110" s="31">
        <v>358</v>
      </c>
      <c r="H110" s="32">
        <f t="shared" si="55"/>
        <v>4.3731778425655975E-2</v>
      </c>
      <c r="I110" s="101">
        <f>IF(ISNUMBER(G110), $B118 * H110, "")</f>
        <v>4373.1778425655975</v>
      </c>
      <c r="J110" s="15">
        <v>355</v>
      </c>
      <c r="K110" s="32">
        <f t="shared" si="56"/>
        <v>3.4985422740524783E-2</v>
      </c>
      <c r="L110" s="18">
        <f>IF(ISNUMBER(J110), $B118 * K110, "")</f>
        <v>3498.5422740524782</v>
      </c>
      <c r="M110" s="31"/>
      <c r="N110" s="32" t="str">
        <f t="shared" si="57"/>
        <v/>
      </c>
      <c r="O110" s="18" t="str">
        <f>IF(ISNUMBER(M110), $B118 * N110, "")</f>
        <v/>
      </c>
      <c r="Q110" s="238"/>
      <c r="R110" s="238"/>
      <c r="S110" s="238"/>
    </row>
    <row r="111" spans="1:19" ht="17.25" thickBot="1">
      <c r="A111" s="125" t="s">
        <v>160</v>
      </c>
      <c r="B111" s="126">
        <v>1580</v>
      </c>
      <c r="C111" s="77">
        <v>9.5846644999999994E-3</v>
      </c>
      <c r="D111" s="15">
        <v>1525</v>
      </c>
      <c r="E111" s="32">
        <f t="shared" si="54"/>
        <v>-3.4810126582278479E-2</v>
      </c>
      <c r="F111" s="18">
        <f>IF(ISNUMBER(D111), $B118 * E111, "")</f>
        <v>-3481.0126582278481</v>
      </c>
      <c r="G111" s="31">
        <v>1570</v>
      </c>
      <c r="H111" s="32">
        <f t="shared" si="55"/>
        <v>-6.3291139240506328E-3</v>
      </c>
      <c r="I111" s="101">
        <f>IF(ISNUMBER(G111), $B118 * H111, "")</f>
        <v>-632.91139240506322</v>
      </c>
      <c r="J111" s="15">
        <v>1565</v>
      </c>
      <c r="K111" s="32">
        <f t="shared" si="56"/>
        <v>-9.4936708860759497E-3</v>
      </c>
      <c r="L111" s="18">
        <f>IF(ISNUMBER(J111), $B118 * K111, "")</f>
        <v>-949.36708860759495</v>
      </c>
      <c r="M111" s="31"/>
      <c r="N111" s="32" t="str">
        <f t="shared" si="57"/>
        <v/>
      </c>
      <c r="O111" s="18" t="str">
        <f>IF(ISNUMBER(M111), $B118 * N111, "")</f>
        <v/>
      </c>
      <c r="Q111" s="248"/>
      <c r="R111" s="248"/>
      <c r="S111" s="248"/>
    </row>
    <row r="112" spans="1:19" ht="17.25" thickBot="1">
      <c r="A112" s="127" t="s">
        <v>252</v>
      </c>
      <c r="B112" s="128">
        <v>1055</v>
      </c>
      <c r="C112" s="78">
        <v>9.5693779999999999E-3</v>
      </c>
      <c r="D112" s="20">
        <v>1035</v>
      </c>
      <c r="E112" s="21">
        <f t="shared" si="54"/>
        <v>-1.8957345971563982E-2</v>
      </c>
      <c r="F112" s="22">
        <f>IF(ISNUMBER(D112), $B118 * E112, "")</f>
        <v>-1895.7345971563982</v>
      </c>
      <c r="G112" s="30">
        <v>1045</v>
      </c>
      <c r="H112" s="21">
        <f t="shared" si="55"/>
        <v>-9.4786729857819912E-3</v>
      </c>
      <c r="I112" s="105">
        <f>IF(ISNUMBER(G112), $B118 * H112, "")</f>
        <v>-947.8672985781991</v>
      </c>
      <c r="J112" s="20">
        <v>1050</v>
      </c>
      <c r="K112" s="21">
        <f t="shared" si="56"/>
        <v>-4.7393364928909956E-3</v>
      </c>
      <c r="L112" s="22">
        <f>IF(ISNUMBER(J112), $B118 * K112, "")</f>
        <v>-473.93364928909955</v>
      </c>
      <c r="M112" s="30"/>
      <c r="N112" s="21" t="str">
        <f t="shared" si="57"/>
        <v/>
      </c>
      <c r="O112" s="22" t="str">
        <f>IF(ISNUMBER(M112), $B118 * N112, "")</f>
        <v/>
      </c>
      <c r="Q112" s="248"/>
      <c r="R112" s="248"/>
      <c r="S112" s="248"/>
    </row>
    <row r="113" spans="1:19" ht="17.25" thickBot="1">
      <c r="A113" s="125" t="s">
        <v>238</v>
      </c>
      <c r="B113" s="129">
        <v>118</v>
      </c>
      <c r="C113" s="80">
        <v>8.5470084999999998E-3</v>
      </c>
      <c r="D113" s="106">
        <v>114</v>
      </c>
      <c r="E113" s="107">
        <f>IF(ISNUMBER(D113), (D113 - $B113) / $B113, "")</f>
        <v>-3.3898305084745763E-2</v>
      </c>
      <c r="F113" s="108">
        <f>IF(ISNUMBER(D113), $B118 * E113, "")</f>
        <v>-3389.8305084745762</v>
      </c>
      <c r="G113" s="109">
        <v>120</v>
      </c>
      <c r="H113" s="107">
        <f>IF(ISNUMBER(G113), (G113 - $B113) / $B113, "")</f>
        <v>1.6949152542372881E-2</v>
      </c>
      <c r="I113" s="110">
        <f>IF(ISNUMBER(G113), $B118 * H113, "")</f>
        <v>1694.9152542372881</v>
      </c>
      <c r="J113" s="106">
        <v>117</v>
      </c>
      <c r="K113" s="107">
        <f>IF(ISNUMBER(J113), (J113 - $B113) / $B113, "")</f>
        <v>-8.4745762711864406E-3</v>
      </c>
      <c r="L113" s="108">
        <f>IF(ISNUMBER(J113), $B118 * K113, "")</f>
        <v>-847.45762711864404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8"/>
      <c r="R113" s="238"/>
      <c r="S113" s="238"/>
    </row>
    <row r="114" spans="1:19" ht="17.25" thickBot="1">
      <c r="A114" s="125" t="s">
        <v>250</v>
      </c>
      <c r="B114" s="126">
        <v>84.7</v>
      </c>
      <c r="C114" s="77">
        <v>7.1343639000000002E-3</v>
      </c>
      <c r="D114" s="15">
        <v>82</v>
      </c>
      <c r="E114" s="32">
        <f t="shared" ref="E114:E117" si="58">IF(ISNUMBER(D114), (D114 - $B114) / $B114, "")</f>
        <v>-3.1877213695395548E-2</v>
      </c>
      <c r="F114" s="18">
        <f>IF(ISNUMBER(D114), $B118 * E114, "")</f>
        <v>-3187.7213695395549</v>
      </c>
      <c r="G114" s="31">
        <v>83.4</v>
      </c>
      <c r="H114" s="32">
        <f t="shared" ref="H114:H117" si="59">IF(ISNUMBER(G114), (G114 - $B114) / $B114, "")</f>
        <v>-1.5348288075560769E-2</v>
      </c>
      <c r="I114" s="101">
        <f>IF(ISNUMBER(G114), $B118 * H114, "")</f>
        <v>-1534.828807556077</v>
      </c>
      <c r="J114" s="15">
        <v>84.5</v>
      </c>
      <c r="K114" s="32">
        <f t="shared" ref="K114:K117" si="60">IF(ISNUMBER(J114), (J114 - $B114) / $B114, "")</f>
        <v>-2.3612750885478491E-3</v>
      </c>
      <c r="L114" s="18">
        <f>IF(ISNUMBER(J114), $B118 * K114, "")</f>
        <v>-236.12750885478491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8"/>
      <c r="R114" s="238"/>
      <c r="S114" s="238"/>
    </row>
    <row r="115" spans="1:19" ht="17.25" thickBot="1">
      <c r="A115" s="125" t="s">
        <v>204</v>
      </c>
      <c r="B115" s="126">
        <v>16.2</v>
      </c>
      <c r="C115" s="77">
        <v>6.2111800999999998E-3</v>
      </c>
      <c r="D115" s="15">
        <v>16.100000000000001</v>
      </c>
      <c r="E115" s="32">
        <f t="shared" si="58"/>
        <v>-6.1728395061727082E-3</v>
      </c>
      <c r="F115" s="18">
        <f>IF(ISNUMBER(D115), $B118 * E115, "")</f>
        <v>-617.28395061727088</v>
      </c>
      <c r="G115" s="31">
        <v>16.2</v>
      </c>
      <c r="H115" s="32">
        <f t="shared" si="59"/>
        <v>0</v>
      </c>
      <c r="I115" s="101">
        <f>IF(ISNUMBER(G115), $B118 * H115, "")</f>
        <v>0</v>
      </c>
      <c r="J115" s="15">
        <v>16.100000000000001</v>
      </c>
      <c r="K115" s="32">
        <f t="shared" si="60"/>
        <v>-6.1728395061727082E-3</v>
      </c>
      <c r="L115" s="18">
        <f>IF(ISNUMBER(J115), $B118 * K115, "")</f>
        <v>-617.28395061727088</v>
      </c>
      <c r="M115" s="31"/>
      <c r="N115" s="32" t="str">
        <f t="shared" si="61"/>
        <v/>
      </c>
      <c r="O115" s="18" t="str">
        <f>IF(ISNUMBER(M115), $B118 * N115, "")</f>
        <v/>
      </c>
      <c r="Q115" s="238"/>
      <c r="R115" s="238"/>
      <c r="S115" s="238"/>
    </row>
    <row r="116" spans="1:19">
      <c r="A116" s="125" t="s">
        <v>114</v>
      </c>
      <c r="B116" s="126">
        <v>752</v>
      </c>
      <c r="C116" s="77">
        <v>2.6666667000000001E-3</v>
      </c>
      <c r="D116" s="15">
        <v>749</v>
      </c>
      <c r="E116" s="32">
        <f t="shared" si="58"/>
        <v>-3.9893617021276593E-3</v>
      </c>
      <c r="F116" s="18">
        <f>IF(ISNUMBER(D116), $B118 * E116, "")</f>
        <v>-398.93617021276594</v>
      </c>
      <c r="G116" s="31">
        <v>749</v>
      </c>
      <c r="H116" s="32">
        <f t="shared" si="59"/>
        <v>-3.9893617021276593E-3</v>
      </c>
      <c r="I116" s="101">
        <f>IF(ISNUMBER(G116), $B118 * H116, "")</f>
        <v>-398.93617021276594</v>
      </c>
      <c r="J116" s="15">
        <v>781</v>
      </c>
      <c r="K116" s="32">
        <f t="shared" si="60"/>
        <v>3.8563829787234043E-2</v>
      </c>
      <c r="L116" s="18">
        <f>IF(ISNUMBER(J116), $B118 * K116, "")</f>
        <v>3856.3829787234044</v>
      </c>
      <c r="M116" s="31"/>
      <c r="N116" s="32" t="str">
        <f t="shared" si="61"/>
        <v/>
      </c>
      <c r="O116" s="18" t="str">
        <f>IF(ISNUMBER(M116), $B118 * N116, "")</f>
        <v/>
      </c>
      <c r="Q116" s="227"/>
      <c r="R116" s="228"/>
      <c r="S116" s="229"/>
    </row>
    <row r="117" spans="1:19" ht="17.25" thickBot="1">
      <c r="A117" s="130" t="s">
        <v>140</v>
      </c>
      <c r="B117" s="131">
        <v>6635</v>
      </c>
      <c r="C117" s="79">
        <v>2.2658610000000001E-3</v>
      </c>
      <c r="D117" s="24">
        <v>6765</v>
      </c>
      <c r="E117" s="25">
        <f t="shared" si="58"/>
        <v>1.9593067068575734E-2</v>
      </c>
      <c r="F117" s="104">
        <f>IF(ISNUMBER(D117), $B118 * E117, "")</f>
        <v>1959.3067068575733</v>
      </c>
      <c r="G117" s="102">
        <v>6740</v>
      </c>
      <c r="H117" s="25">
        <f t="shared" si="59"/>
        <v>1.5825169555388093E-2</v>
      </c>
      <c r="I117" s="103">
        <f>IF(ISNUMBER(G117), $B118 * H117, "")</f>
        <v>1582.5169555388093</v>
      </c>
      <c r="J117" s="24">
        <v>6720</v>
      </c>
      <c r="K117" s="25">
        <f t="shared" si="60"/>
        <v>1.281085154483798E-2</v>
      </c>
      <c r="L117" s="104">
        <f>IF(ISNUMBER(J117), $B118 * K117, "")</f>
        <v>1281.0851544837981</v>
      </c>
      <c r="M117" s="102"/>
      <c r="N117" s="25" t="str">
        <f t="shared" si="61"/>
        <v/>
      </c>
      <c r="O117" s="104" t="str">
        <f>IF(ISNUMBER(M117), $B118 * N117, "")</f>
        <v/>
      </c>
      <c r="Q117" s="230"/>
      <c r="R117" s="231"/>
      <c r="S117" s="232"/>
    </row>
    <row r="118" spans="1:19" ht="17.25" thickBot="1">
      <c r="A118" s="132" t="s">
        <v>270</v>
      </c>
      <c r="B118" s="291">
        <f>$B$37</f>
        <v>100000</v>
      </c>
      <c r="C118" s="292"/>
      <c r="D118" s="26" t="s">
        <v>271</v>
      </c>
      <c r="E118" s="27">
        <f>IF(COUNT(E98:E117), SUM(E98:E117) / COUNT(E98:E117), 0)</f>
        <v>-1.1067393667603781E-2</v>
      </c>
      <c r="F118" s="28">
        <f>SUM(F98:F117)</f>
        <v>-22134.787335207558</v>
      </c>
      <c r="G118" s="26" t="s">
        <v>271</v>
      </c>
      <c r="H118" s="27">
        <f>IF(COUNT(H98:H117), SUM(H98:H117) / COUNT(H98:H117), 0)</f>
        <v>6.5873117182721737E-3</v>
      </c>
      <c r="I118" s="28">
        <f>SUM(I98:I117)</f>
        <v>13174.623436544347</v>
      </c>
      <c r="J118" s="26" t="s">
        <v>271</v>
      </c>
      <c r="K118" s="27">
        <f>IF(COUNT(K98:K117), SUM(K98:K117) / COUNT(K98:K117), 0)</f>
        <v>9.9333973873044091E-3</v>
      </c>
      <c r="L118" s="28">
        <f>SUM(L98:L117)</f>
        <v>19866.794774608821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33"/>
      <c r="R118" s="234"/>
      <c r="S118" s="23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48"/>
      <c r="R121" s="248"/>
      <c r="S121" s="248"/>
    </row>
    <row r="122" spans="1:19" ht="17.25" thickBot="1">
      <c r="A122" s="223" t="s">
        <v>267</v>
      </c>
      <c r="B122" s="249" t="s">
        <v>49</v>
      </c>
      <c r="C122" s="251"/>
      <c r="D122" s="249" t="s">
        <v>58</v>
      </c>
      <c r="E122" s="250"/>
      <c r="F122" s="251"/>
      <c r="G122" s="252">
        <f>_xlfn.IFNA(VLOOKUP(B122, 현재가테이블!$B$2:$D$200, 2, FALSE), "-")</f>
        <v>54440000</v>
      </c>
      <c r="H122" s="253"/>
      <c r="I122" s="254"/>
      <c r="J122" s="249" t="s">
        <v>59</v>
      </c>
      <c r="K122" s="250"/>
      <c r="L122" s="251"/>
      <c r="M122" s="255">
        <f>_xlfn.IFNA(VLOOKUP(B122, 현재가테이블!$B$2:$D$200, 3, FALSE), "-")</f>
        <v>1.07123628E-2</v>
      </c>
      <c r="N122" s="256"/>
      <c r="O122" s="257"/>
      <c r="Q122" s="248"/>
      <c r="R122" s="248"/>
      <c r="S122" s="248"/>
    </row>
    <row r="123" spans="1:19" ht="17.25" thickBot="1">
      <c r="A123" s="293" t="s">
        <v>55</v>
      </c>
      <c r="B123" s="289" t="str">
        <f>TEXT($G$1, "[$-ko-KR]yyyy-mm-dd(ddd) ") &amp; "오전 00:00"</f>
        <v>2021-08-17(화) 오전 00:00</v>
      </c>
      <c r="C123" s="290"/>
      <c r="D123" s="262" t="str">
        <f>TEXT($G$1, "[$-ko-KR]yyyy-mm-dd(ddd) ") &amp; "오후 14:00"</f>
        <v>2021-08-17(화) 오후 14:00</v>
      </c>
      <c r="E123" s="263"/>
      <c r="F123" s="264"/>
      <c r="G123" s="262" t="str">
        <f>TEXT($G$1, "[$-ko-KR]yyyy-mm-dd(ddd) ") &amp; "오후 19:00"</f>
        <v>2021-08-17(화) 오후 19:00</v>
      </c>
      <c r="H123" s="263"/>
      <c r="I123" s="264"/>
      <c r="J123" s="262" t="str">
        <f>TEXT($G$1, "[$-ko-KR]yyyy-mm-dd(ddd) ") &amp; "오후 21:00"</f>
        <v>2021-08-17(화) 오후 21:00</v>
      </c>
      <c r="K123" s="263"/>
      <c r="L123" s="264"/>
      <c r="M123" s="262" t="str">
        <f>TEXT($G$1+1, "[$-ko-KR]yyyy-mm-dd(ddd) ") &amp; "오전 00:00"</f>
        <v>2021-08-18(수) 오전 00:00</v>
      </c>
      <c r="N123" s="263"/>
      <c r="O123" s="264"/>
      <c r="Q123" s="248"/>
      <c r="R123" s="248"/>
      <c r="S123" s="248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4" t="s">
        <v>58</v>
      </c>
      <c r="H124" s="225" t="s">
        <v>268</v>
      </c>
      <c r="I124" s="22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8"/>
      <c r="R124" s="238"/>
      <c r="S124" s="238"/>
    </row>
    <row r="125" spans="1:19" ht="17.25" thickBot="1">
      <c r="A125" s="123" t="s">
        <v>122</v>
      </c>
      <c r="B125" s="124">
        <v>36.200000000000003</v>
      </c>
      <c r="C125" s="76">
        <v>4.0229885100000001E-2</v>
      </c>
      <c r="D125" s="13">
        <v>35.299999999999997</v>
      </c>
      <c r="E125" s="14">
        <f>IF(ISNUMBER(D125), (D125 - $B125) / $B125, "")</f>
        <v>-2.4861878453038829E-2</v>
      </c>
      <c r="F125" s="16">
        <f>IF(ISNUMBER(D125), $B145 * E125, "")</f>
        <v>-2486.187845303883</v>
      </c>
      <c r="G125" s="29">
        <v>37.4</v>
      </c>
      <c r="H125" s="14">
        <f>IF(ISNUMBER(G125), (G125 - $B125) / $B125, "")</f>
        <v>3.3149171270718113E-2</v>
      </c>
      <c r="I125" s="100">
        <f>IF(ISNUMBER(G125), $B145 * H125, "")</f>
        <v>3314.9171270718111</v>
      </c>
      <c r="J125" s="13">
        <v>38</v>
      </c>
      <c r="K125" s="14">
        <f>IF(ISNUMBER(J125), (J125 - $B125) / $B125, "")</f>
        <v>4.9723756906077263E-2</v>
      </c>
      <c r="L125" s="16">
        <f>IF(ISNUMBER(J125), $B145 * K125, "")</f>
        <v>4972.375690607726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8"/>
      <c r="R125" s="248"/>
      <c r="S125" s="248"/>
    </row>
    <row r="126" spans="1:19" ht="17.25" thickBot="1">
      <c r="A126" s="125" t="s">
        <v>250</v>
      </c>
      <c r="B126" s="126">
        <v>84.7</v>
      </c>
      <c r="C126" s="77">
        <v>7.1343639000000002E-3</v>
      </c>
      <c r="D126" s="15">
        <v>82</v>
      </c>
      <c r="E126" s="32">
        <f t="shared" ref="E126:E129" si="62">IF(ISNUMBER(D126), (D126 - $B126) / $B126, "")</f>
        <v>-3.1877213695395548E-2</v>
      </c>
      <c r="F126" s="18">
        <f>IF(ISNUMBER(D126), $B145 * E126, "")</f>
        <v>-3187.7213695395549</v>
      </c>
      <c r="G126" s="31">
        <v>83.4</v>
      </c>
      <c r="H126" s="32">
        <f t="shared" ref="H126:H129" si="63">IF(ISNUMBER(G126), (G126 - $B126) / $B126, "")</f>
        <v>-1.5348288075560769E-2</v>
      </c>
      <c r="I126" s="101">
        <f>IF(ISNUMBER(G126), $B145 * H126, "")</f>
        <v>-1534.828807556077</v>
      </c>
      <c r="J126" s="15">
        <v>84.5</v>
      </c>
      <c r="K126" s="32">
        <f t="shared" ref="K126:K129" si="64">IF(ISNUMBER(J126), (J126 - $B126) / $B126, "")</f>
        <v>-2.3612750885478491E-3</v>
      </c>
      <c r="L126" s="18">
        <f>IF(ISNUMBER(J126), $B145 * K126, "")</f>
        <v>-236.12750885478491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8"/>
      <c r="R126" s="248"/>
      <c r="S126" s="248"/>
    </row>
    <row r="127" spans="1:19" ht="17.25" thickBot="1">
      <c r="A127" s="125" t="s">
        <v>204</v>
      </c>
      <c r="B127" s="126">
        <v>16.2</v>
      </c>
      <c r="C127" s="77">
        <v>6.2111800999999998E-3</v>
      </c>
      <c r="D127" s="15">
        <v>16.100000000000001</v>
      </c>
      <c r="E127" s="32">
        <f t="shared" si="62"/>
        <v>-6.1728395061727082E-3</v>
      </c>
      <c r="F127" s="18">
        <f>IF(ISNUMBER(D127), $B145 * E127, "")</f>
        <v>-617.28395061727088</v>
      </c>
      <c r="G127" s="31">
        <v>16.2</v>
      </c>
      <c r="H127" s="32">
        <f t="shared" si="63"/>
        <v>0</v>
      </c>
      <c r="I127" s="101">
        <f>IF(ISNUMBER(G127), $B145 * H127, "")</f>
        <v>0</v>
      </c>
      <c r="J127" s="15">
        <v>16.100000000000001</v>
      </c>
      <c r="K127" s="32">
        <f t="shared" si="64"/>
        <v>-6.1728395061727082E-3</v>
      </c>
      <c r="L127" s="18">
        <f>IF(ISNUMBER(J127), $B145 * K127, "")</f>
        <v>-617.28395061727088</v>
      </c>
      <c r="M127" s="31"/>
      <c r="N127" s="32" t="str">
        <f t="shared" si="65"/>
        <v/>
      </c>
      <c r="O127" s="18" t="str">
        <f>IF(ISNUMBER(M127), $B145 * N127, "")</f>
        <v/>
      </c>
      <c r="Q127" s="238"/>
      <c r="R127" s="238"/>
      <c r="S127" s="238"/>
    </row>
    <row r="128" spans="1:19" ht="17.25" thickBot="1">
      <c r="A128" s="125" t="s">
        <v>148</v>
      </c>
      <c r="B128" s="126">
        <v>22.7</v>
      </c>
      <c r="C128" s="77">
        <v>0</v>
      </c>
      <c r="D128" s="15">
        <v>22.5</v>
      </c>
      <c r="E128" s="32">
        <f t="shared" si="62"/>
        <v>-8.8105726872246392E-3</v>
      </c>
      <c r="F128" s="18">
        <f>IF(ISNUMBER(D128), $B145 * E128, "")</f>
        <v>-881.05726872246396</v>
      </c>
      <c r="G128" s="31">
        <v>22.6</v>
      </c>
      <c r="H128" s="32">
        <f t="shared" si="63"/>
        <v>-4.4052863436122407E-3</v>
      </c>
      <c r="I128" s="101">
        <f>IF(ISNUMBER(G128), $B145 * H128, "")</f>
        <v>-440.52863436122408</v>
      </c>
      <c r="J128" s="15">
        <v>22.9</v>
      </c>
      <c r="K128" s="32">
        <f t="shared" si="64"/>
        <v>8.8105726872246392E-3</v>
      </c>
      <c r="L128" s="18">
        <f>IF(ISNUMBER(J128), $B145 * K128, "")</f>
        <v>881.05726872246396</v>
      </c>
      <c r="M128" s="31"/>
      <c r="N128" s="32" t="str">
        <f t="shared" si="65"/>
        <v/>
      </c>
      <c r="O128" s="18" t="str">
        <f>IF(ISNUMBER(M128), $B145 * N128, "")</f>
        <v/>
      </c>
      <c r="Q128" s="238"/>
      <c r="R128" s="238"/>
      <c r="S128" s="238"/>
    </row>
    <row r="129" spans="1:19" ht="17.25" thickBot="1">
      <c r="A129" s="127" t="s">
        <v>65</v>
      </c>
      <c r="B129" s="128">
        <v>38</v>
      </c>
      <c r="C129" s="78">
        <v>-1.2987013E-2</v>
      </c>
      <c r="D129" s="20">
        <v>37.799999999999997</v>
      </c>
      <c r="E129" s="21">
        <f t="shared" si="62"/>
        <v>-5.2631578947369166E-3</v>
      </c>
      <c r="F129" s="22">
        <f>IF(ISNUMBER(D129), $B145 * E129, "")</f>
        <v>-526.31578947369167</v>
      </c>
      <c r="G129" s="30">
        <v>38.200000000000003</v>
      </c>
      <c r="H129" s="21">
        <f t="shared" si="63"/>
        <v>5.2631578947369166E-3</v>
      </c>
      <c r="I129" s="105">
        <f>IF(ISNUMBER(G129), $B145 * H129, "")</f>
        <v>526.31578947369167</v>
      </c>
      <c r="J129" s="20">
        <v>38.299999999999997</v>
      </c>
      <c r="K129" s="21">
        <f t="shared" si="64"/>
        <v>7.8947368421051888E-3</v>
      </c>
      <c r="L129" s="22">
        <f>IF(ISNUMBER(J129), $B145 * K129, "")</f>
        <v>789.47368421051885</v>
      </c>
      <c r="M129" s="30"/>
      <c r="N129" s="21" t="str">
        <f t="shared" si="65"/>
        <v/>
      </c>
      <c r="O129" s="22" t="str">
        <f>IF(ISNUMBER(M129), $B145 * N129, "")</f>
        <v/>
      </c>
      <c r="Q129" s="238"/>
      <c r="R129" s="238"/>
      <c r="S129" s="238"/>
    </row>
    <row r="130" spans="1:19" ht="17.25" thickBot="1">
      <c r="A130" s="125" t="s">
        <v>98</v>
      </c>
      <c r="B130" s="129">
        <v>5.5</v>
      </c>
      <c r="C130" s="80">
        <v>-1.6100178900000001E-2</v>
      </c>
      <c r="D130" s="106">
        <v>5.34</v>
      </c>
      <c r="E130" s="107">
        <f>IF(ISNUMBER(D130), (D130 - $B130) / $B130, "")</f>
        <v>-2.9090909090909115E-2</v>
      </c>
      <c r="F130" s="108">
        <f>IF(ISNUMBER(D130), $B145 * E130, "")</f>
        <v>-2909.0909090909117</v>
      </c>
      <c r="G130" s="109">
        <v>5.4</v>
      </c>
      <c r="H130" s="107">
        <f>IF(ISNUMBER(G130), (G130 - $B130) / $B130, "")</f>
        <v>-1.8181818181818118E-2</v>
      </c>
      <c r="I130" s="110">
        <f>IF(ISNUMBER(G130), $B145 * H130, "")</f>
        <v>-1818.1818181818119</v>
      </c>
      <c r="J130" s="106">
        <v>5.37</v>
      </c>
      <c r="K130" s="107">
        <f>IF(ISNUMBER(J130), (J130 - $B130) / $B130, "")</f>
        <v>-2.3636363636363619E-2</v>
      </c>
      <c r="L130" s="108">
        <f>IF(ISNUMBER(J130), $B145 * K130, "")</f>
        <v>-2363.6363636363617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8"/>
      <c r="R130" s="238"/>
      <c r="S130" s="238"/>
    </row>
    <row r="131" spans="1:19" ht="17.25" thickBot="1">
      <c r="A131" s="125" t="s">
        <v>208</v>
      </c>
      <c r="B131" s="126">
        <v>14.2</v>
      </c>
      <c r="C131" s="77">
        <v>-2.06896552E-2</v>
      </c>
      <c r="D131" s="15">
        <v>14.5</v>
      </c>
      <c r="E131" s="32">
        <f t="shared" ref="E131:E134" si="66">IF(ISNUMBER(D131), (D131 - $B131) / $B131, "")</f>
        <v>2.1126760563380333E-2</v>
      </c>
      <c r="F131" s="18">
        <f>IF(ISNUMBER(D131), $B145 * E131, "")</f>
        <v>2112.6760563380335</v>
      </c>
      <c r="G131" s="31">
        <v>14.5</v>
      </c>
      <c r="H131" s="32">
        <f t="shared" ref="H131:H134" si="67">IF(ISNUMBER(G131), (G131 - $B131) / $B131, "")</f>
        <v>2.1126760563380333E-2</v>
      </c>
      <c r="I131" s="101">
        <f>IF(ISNUMBER(G131), $B145 * H131, "")</f>
        <v>2112.6760563380335</v>
      </c>
      <c r="J131" s="15">
        <v>14.7</v>
      </c>
      <c r="K131" s="32">
        <f t="shared" ref="K131:K134" si="68">IF(ISNUMBER(J131), (J131 - $B131) / $B131, "")</f>
        <v>3.5211267605633804E-2</v>
      </c>
      <c r="L131" s="18">
        <f>IF(ISNUMBER(J131), $B145 * K131, "")</f>
        <v>3521.1267605633802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8"/>
      <c r="R131" s="238"/>
      <c r="S131" s="238"/>
    </row>
    <row r="132" spans="1:19" ht="17.25" thickBot="1">
      <c r="A132" s="125" t="s">
        <v>202</v>
      </c>
      <c r="B132" s="126">
        <v>94.9</v>
      </c>
      <c r="C132" s="77">
        <v>-2.16494845E-2</v>
      </c>
      <c r="D132" s="15">
        <v>92.4</v>
      </c>
      <c r="E132" s="32">
        <f t="shared" si="66"/>
        <v>-2.6343519494204423E-2</v>
      </c>
      <c r="F132" s="18">
        <f>IF(ISNUMBER(D132), $B145 * E132, "")</f>
        <v>-2634.3519494204425</v>
      </c>
      <c r="G132" s="31">
        <v>93.8</v>
      </c>
      <c r="H132" s="32">
        <f t="shared" si="67"/>
        <v>-1.1591148577450036E-2</v>
      </c>
      <c r="I132" s="101">
        <f>IF(ISNUMBER(G132), $B145 * H132, "")</f>
        <v>-1159.1148577450037</v>
      </c>
      <c r="J132" s="15">
        <v>94</v>
      </c>
      <c r="K132" s="32">
        <f t="shared" si="68"/>
        <v>-9.4836670179136526E-3</v>
      </c>
      <c r="L132" s="18">
        <f>IF(ISNUMBER(J132), $B145 * K132, "")</f>
        <v>-948.36670179136524</v>
      </c>
      <c r="M132" s="31"/>
      <c r="N132" s="32" t="str">
        <f t="shared" si="69"/>
        <v/>
      </c>
      <c r="O132" s="18" t="str">
        <f>IF(ISNUMBER(M132), $B145 * N132, "")</f>
        <v/>
      </c>
      <c r="Q132" s="238"/>
      <c r="R132" s="238"/>
      <c r="S132" s="238"/>
    </row>
    <row r="133" spans="1:19" ht="17.25" thickBot="1">
      <c r="A133" s="125" t="s">
        <v>188</v>
      </c>
      <c r="B133" s="126">
        <v>13.3</v>
      </c>
      <c r="C133" s="77">
        <v>-2.2058823500000001E-2</v>
      </c>
      <c r="D133" s="15">
        <v>13</v>
      </c>
      <c r="E133" s="32">
        <f t="shared" si="66"/>
        <v>-2.255639097744366E-2</v>
      </c>
      <c r="F133" s="18">
        <f>IF(ISNUMBER(D133), $B145 * E133, "")</f>
        <v>-2255.6390977443662</v>
      </c>
      <c r="G133" s="31">
        <v>13.1</v>
      </c>
      <c r="H133" s="32">
        <f t="shared" si="67"/>
        <v>-1.5037593984962485E-2</v>
      </c>
      <c r="I133" s="101">
        <f>IF(ISNUMBER(G133), $B145 * H133, "")</f>
        <v>-1503.7593984962484</v>
      </c>
      <c r="J133" s="15">
        <v>13</v>
      </c>
      <c r="K133" s="32">
        <f t="shared" si="68"/>
        <v>-2.255639097744366E-2</v>
      </c>
      <c r="L133" s="18">
        <f>IF(ISNUMBER(J133), $B145 * K133, "")</f>
        <v>-2255.6390977443662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234</v>
      </c>
      <c r="B134" s="131">
        <v>76.599999999999994</v>
      </c>
      <c r="C134" s="79">
        <v>-2.4203821699999999E-2</v>
      </c>
      <c r="D134" s="24">
        <v>74.8</v>
      </c>
      <c r="E134" s="25">
        <f t="shared" si="66"/>
        <v>-2.3498694516971244E-2</v>
      </c>
      <c r="F134" s="104">
        <f>IF(ISNUMBER(D134), $B145 * E134, "")</f>
        <v>-2349.8694516971245</v>
      </c>
      <c r="G134" s="102">
        <v>75.7</v>
      </c>
      <c r="H134" s="25">
        <f t="shared" si="67"/>
        <v>-1.1749347258485528E-2</v>
      </c>
      <c r="I134" s="103">
        <f>IF(ISNUMBER(G134), $B145 * H134, "")</f>
        <v>-1174.9347258485529</v>
      </c>
      <c r="J134" s="24">
        <v>75.8</v>
      </c>
      <c r="K134" s="25">
        <f t="shared" si="68"/>
        <v>-1.0443864229764977E-2</v>
      </c>
      <c r="L134" s="104">
        <f>IF(ISNUMBER(J134), $B145 * K134, "")</f>
        <v>-1044.3864229764977</v>
      </c>
      <c r="M134" s="102"/>
      <c r="N134" s="25" t="str">
        <f t="shared" si="69"/>
        <v/>
      </c>
      <c r="O134" s="104" t="str">
        <f>IF(ISNUMBER(M134), $B145 * N134, "")</f>
        <v/>
      </c>
      <c r="Q134" s="239"/>
      <c r="R134" s="240"/>
      <c r="S134" s="241"/>
    </row>
    <row r="135" spans="1:19">
      <c r="A135" s="123" t="s">
        <v>178</v>
      </c>
      <c r="B135" s="124">
        <v>17.7</v>
      </c>
      <c r="C135" s="76">
        <v>-2.74725275E-2</v>
      </c>
      <c r="D135" s="13">
        <v>17.3</v>
      </c>
      <c r="E135" s="14">
        <f>IF(ISNUMBER(D135), (D135 - $B135) / $B135, "")</f>
        <v>-2.2598870056497095E-2</v>
      </c>
      <c r="F135" s="16">
        <f>IF(ISNUMBER(D135), $B145 * E135, "")</f>
        <v>-2259.8870056497094</v>
      </c>
      <c r="G135" s="29">
        <v>17.399999999999999</v>
      </c>
      <c r="H135" s="14">
        <f>IF(ISNUMBER(G135), (G135 - $B135) / $B135, "")</f>
        <v>-1.6949152542372923E-2</v>
      </c>
      <c r="I135" s="100">
        <f>IF(ISNUMBER(G135), $B145 * H135, "")</f>
        <v>-1694.9152542372924</v>
      </c>
      <c r="J135" s="13">
        <v>17.5</v>
      </c>
      <c r="K135" s="14">
        <f>IF(ISNUMBER(J135), (J135 - $B135) / $B135, "")</f>
        <v>-1.1299435028248548E-2</v>
      </c>
      <c r="L135" s="16">
        <f>IF(ISNUMBER(J135), $B145 * K135, "")</f>
        <v>-1129.9435028248547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2"/>
      <c r="R135" s="243"/>
      <c r="S135" s="244"/>
    </row>
    <row r="136" spans="1:19" ht="17.25" thickBot="1">
      <c r="A136" s="125" t="s">
        <v>240</v>
      </c>
      <c r="B136" s="126">
        <v>76.2</v>
      </c>
      <c r="C136" s="77">
        <v>-2.8061224499999999E-2</v>
      </c>
      <c r="D136" s="15">
        <v>74.599999999999994</v>
      </c>
      <c r="E136" s="32">
        <f t="shared" ref="E136:E139" si="70">IF(ISNUMBER(D136), (D136 - $B136) / $B136, "")</f>
        <v>-2.09973753280841E-2</v>
      </c>
      <c r="F136" s="18">
        <f>IF(ISNUMBER(D136), $B145 * E136, "")</f>
        <v>-2099.7375328084099</v>
      </c>
      <c r="G136" s="31">
        <v>74.900000000000006</v>
      </c>
      <c r="H136" s="32">
        <f t="shared" ref="H136:H139" si="71">IF(ISNUMBER(G136), (G136 - $B136) / $B136, "")</f>
        <v>-1.7060367454068203E-2</v>
      </c>
      <c r="I136" s="101">
        <f>IF(ISNUMBER(G136), $B145 * H136, "")</f>
        <v>-1706.0367454068203</v>
      </c>
      <c r="J136" s="15">
        <v>75</v>
      </c>
      <c r="K136" s="32">
        <f t="shared" ref="K136:K139" si="72">IF(ISNUMBER(J136), (J136 - $B136) / $B136, "")</f>
        <v>-1.574803149606303E-2</v>
      </c>
      <c r="L136" s="18">
        <f>IF(ISNUMBER(J136), $B145 * K136, "")</f>
        <v>-1574.8031496063029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5"/>
      <c r="R136" s="246"/>
      <c r="S136" s="247"/>
    </row>
    <row r="137" spans="1:19" ht="17.25" thickBot="1">
      <c r="A137" s="125" t="s">
        <v>72</v>
      </c>
      <c r="B137" s="126">
        <v>24.6</v>
      </c>
      <c r="C137" s="77">
        <v>-3.1496062999999998E-2</v>
      </c>
      <c r="D137" s="15">
        <v>24.6</v>
      </c>
      <c r="E137" s="32">
        <f t="shared" si="70"/>
        <v>0</v>
      </c>
      <c r="F137" s="18">
        <f>IF(ISNUMBER(D137), $B145 * E137, "")</f>
        <v>0</v>
      </c>
      <c r="G137" s="31">
        <v>24.6</v>
      </c>
      <c r="H137" s="32">
        <f t="shared" si="71"/>
        <v>0</v>
      </c>
      <c r="I137" s="101">
        <f>IF(ISNUMBER(G137), $B145 * H137, "")</f>
        <v>0</v>
      </c>
      <c r="J137" s="15">
        <v>24.7</v>
      </c>
      <c r="K137" s="32">
        <f t="shared" si="72"/>
        <v>4.0650406504064169E-3</v>
      </c>
      <c r="L137" s="18">
        <f>IF(ISNUMBER(J137), $B145 * K137, "")</f>
        <v>406.50406504064171</v>
      </c>
      <c r="M137" s="31"/>
      <c r="N137" s="32" t="str">
        <f t="shared" si="73"/>
        <v/>
      </c>
      <c r="O137" s="18" t="str">
        <f>IF(ISNUMBER(M137), $B145 * N137, "")</f>
        <v/>
      </c>
      <c r="Q137" s="238"/>
      <c r="R137" s="238"/>
      <c r="S137" s="238"/>
    </row>
    <row r="138" spans="1:19" ht="17.25" thickBot="1">
      <c r="A138" s="125" t="s">
        <v>216</v>
      </c>
      <c r="B138" s="126">
        <v>11.9</v>
      </c>
      <c r="C138" s="77">
        <v>-3.2520325199999998E-2</v>
      </c>
      <c r="D138" s="15">
        <v>11.5</v>
      </c>
      <c r="E138" s="32">
        <f t="shared" si="70"/>
        <v>-3.3613445378151287E-2</v>
      </c>
      <c r="F138" s="18">
        <f>IF(ISNUMBER(D138), $B145 * E138, "")</f>
        <v>-3361.3445378151287</v>
      </c>
      <c r="G138" s="31">
        <v>11.6</v>
      </c>
      <c r="H138" s="32">
        <f t="shared" si="71"/>
        <v>-2.5210084033613505E-2</v>
      </c>
      <c r="I138" s="101">
        <f>IF(ISNUMBER(G138), $B145 * H138, "")</f>
        <v>-2521.0084033613507</v>
      </c>
      <c r="J138" s="15">
        <v>11.5</v>
      </c>
      <c r="K138" s="32">
        <f t="shared" si="72"/>
        <v>-3.3613445378151287E-2</v>
      </c>
      <c r="L138" s="18">
        <f>IF(ISNUMBER(J138), $B145 * K138, "")</f>
        <v>-3361.3445378151287</v>
      </c>
      <c r="M138" s="31"/>
      <c r="N138" s="32" t="str">
        <f t="shared" si="73"/>
        <v/>
      </c>
      <c r="O138" s="18" t="str">
        <f>IF(ISNUMBER(M138), $B145 * N138, "")</f>
        <v/>
      </c>
      <c r="Q138" s="248"/>
      <c r="R138" s="248"/>
      <c r="S138" s="248"/>
    </row>
    <row r="139" spans="1:19" ht="17.25" thickBot="1">
      <c r="A139" s="127" t="s">
        <v>190</v>
      </c>
      <c r="B139" s="128">
        <v>19.600000000000001</v>
      </c>
      <c r="C139" s="78">
        <v>-3.4482758600000003E-2</v>
      </c>
      <c r="D139" s="20">
        <v>19.5</v>
      </c>
      <c r="E139" s="21">
        <f t="shared" si="70"/>
        <v>-5.1020408163266031E-3</v>
      </c>
      <c r="F139" s="22">
        <f>IF(ISNUMBER(D139), $B145 * E139, "")</f>
        <v>-510.20408163266029</v>
      </c>
      <c r="G139" s="30">
        <v>19.8</v>
      </c>
      <c r="H139" s="21">
        <f t="shared" si="71"/>
        <v>1.0204081632653024E-2</v>
      </c>
      <c r="I139" s="105">
        <f>IF(ISNUMBER(G139), $B145 * H139, "")</f>
        <v>1020.4081632653024</v>
      </c>
      <c r="J139" s="20">
        <v>19.600000000000001</v>
      </c>
      <c r="K139" s="21">
        <f t="shared" si="72"/>
        <v>0</v>
      </c>
      <c r="L139" s="22">
        <f>IF(ISNUMBER(J139), $B145 * K139, "")</f>
        <v>0</v>
      </c>
      <c r="M139" s="30"/>
      <c r="N139" s="21" t="str">
        <f t="shared" si="73"/>
        <v/>
      </c>
      <c r="O139" s="22" t="str">
        <f>IF(ISNUMBER(M139), $B145 * N139, "")</f>
        <v/>
      </c>
      <c r="Q139" s="248"/>
      <c r="R139" s="248"/>
      <c r="S139" s="248"/>
    </row>
    <row r="140" spans="1:19" ht="17.25" thickBot="1">
      <c r="A140" s="125" t="s">
        <v>150</v>
      </c>
      <c r="B140" s="129">
        <v>13.8</v>
      </c>
      <c r="C140" s="80">
        <v>-3.4965034999999998E-2</v>
      </c>
      <c r="D140" s="106">
        <v>13.2</v>
      </c>
      <c r="E140" s="107">
        <f>IF(ISNUMBER(D140), (D140 - $B140) / $B140, "")</f>
        <v>-4.347826086956532E-2</v>
      </c>
      <c r="F140" s="108">
        <f>IF(ISNUMBER(D140), $B145 * E140, "")</f>
        <v>-4347.826086956532</v>
      </c>
      <c r="G140" s="109">
        <v>13.4</v>
      </c>
      <c r="H140" s="107">
        <f>IF(ISNUMBER(G140), (G140 - $B140) / $B140, "")</f>
        <v>-2.8985507246376836E-2</v>
      </c>
      <c r="I140" s="110">
        <f>IF(ISNUMBER(G140), $B145 * H140, "")</f>
        <v>-2898.5507246376837</v>
      </c>
      <c r="J140" s="106">
        <v>13.2</v>
      </c>
      <c r="K140" s="107">
        <f>IF(ISNUMBER(J140), (J140 - $B140) / $B140, "")</f>
        <v>-4.347826086956532E-2</v>
      </c>
      <c r="L140" s="108">
        <f>IF(ISNUMBER(J140), $B145 * K140, "")</f>
        <v>-4347.826086956532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8"/>
      <c r="R140" s="238"/>
      <c r="S140" s="238"/>
    </row>
    <row r="141" spans="1:19" ht="17.25" thickBot="1">
      <c r="A141" s="125" t="s">
        <v>210</v>
      </c>
      <c r="B141" s="126">
        <v>12.8</v>
      </c>
      <c r="C141" s="77">
        <v>-3.7593985000000003E-2</v>
      </c>
      <c r="D141" s="15">
        <v>12.6</v>
      </c>
      <c r="E141" s="32">
        <f t="shared" ref="E141:E144" si="74">IF(ISNUMBER(D141), (D141 - $B141) / $B141, "")</f>
        <v>-1.5625000000000083E-2</v>
      </c>
      <c r="F141" s="18">
        <f>IF(ISNUMBER(D141), $B145 * E141, "")</f>
        <v>-1562.5000000000084</v>
      </c>
      <c r="G141" s="31">
        <v>12.7</v>
      </c>
      <c r="H141" s="32">
        <f t="shared" ref="H141:H144" si="75">IF(ISNUMBER(G141), (G141 - $B141) / $B141, "")</f>
        <v>-7.812500000000111E-3</v>
      </c>
      <c r="I141" s="101">
        <f>IF(ISNUMBER(G141), $B145 * H141, "")</f>
        <v>-781.25000000001114</v>
      </c>
      <c r="J141" s="15">
        <v>12.7</v>
      </c>
      <c r="K141" s="32">
        <f t="shared" ref="K141:K144" si="76">IF(ISNUMBER(J141), (J141 - $B141) / $B141, "")</f>
        <v>-7.812500000000111E-3</v>
      </c>
      <c r="L141" s="18">
        <f>IF(ISNUMBER(J141), $B145 * K141, "")</f>
        <v>-781.25000000001114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8"/>
      <c r="R141" s="238"/>
      <c r="S141" s="238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8"/>
      <c r="R142" s="238"/>
      <c r="S142" s="238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7"/>
      <c r="R143" s="228"/>
      <c r="S143" s="22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0"/>
      <c r="R144" s="231"/>
      <c r="S144" s="232"/>
    </row>
    <row r="145" spans="1:19" ht="17.25" thickBot="1">
      <c r="A145" s="132" t="s">
        <v>270</v>
      </c>
      <c r="B145" s="291">
        <f>$B$37</f>
        <v>100000</v>
      </c>
      <c r="C145" s="292"/>
      <c r="D145" s="26" t="s">
        <v>271</v>
      </c>
      <c r="E145" s="27">
        <f>IF(COUNT(E125:E144), SUM(E125:E144) / COUNT(E125:E144), 0)</f>
        <v>-1.7574318129490656E-2</v>
      </c>
      <c r="F145" s="28">
        <f>SUM(F125:F144)</f>
        <v>-29876.340820134123</v>
      </c>
      <c r="G145" s="26" t="s">
        <v>271</v>
      </c>
      <c r="H145" s="27">
        <f>IF(COUNT(H125:H144), SUM(H125:H144) / COUNT(H125:H144), 0)</f>
        <v>-6.0345836668724917E-3</v>
      </c>
      <c r="I145" s="28">
        <f>SUM(I125:I144)</f>
        <v>-10258.792233683238</v>
      </c>
      <c r="J145" s="26" t="s">
        <v>271</v>
      </c>
      <c r="K145" s="27">
        <f>IF(COUNT(K125:K144), SUM(K125:K144) / COUNT(K125:K144), 0)</f>
        <v>-4.7588646198110244E-3</v>
      </c>
      <c r="L145" s="28">
        <f>SUM(L125:L144)</f>
        <v>-8090.069853678744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33"/>
      <c r="R145" s="234"/>
      <c r="S145" s="23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48"/>
      <c r="R148" s="248"/>
      <c r="S148" s="248"/>
    </row>
    <row r="149" spans="1:19" ht="17.25" thickBot="1">
      <c r="A149" s="223" t="s">
        <v>267</v>
      </c>
      <c r="B149" s="249" t="s">
        <v>49</v>
      </c>
      <c r="C149" s="251"/>
      <c r="D149" s="249" t="s">
        <v>58</v>
      </c>
      <c r="E149" s="250"/>
      <c r="F149" s="251"/>
      <c r="G149" s="252">
        <f>_xlfn.IFNA(VLOOKUP(B149, 현재가테이블!$B$2:$D$200, 2, FALSE), "-")</f>
        <v>54440000</v>
      </c>
      <c r="H149" s="253"/>
      <c r="I149" s="254"/>
      <c r="J149" s="249" t="s">
        <v>59</v>
      </c>
      <c r="K149" s="250"/>
      <c r="L149" s="251"/>
      <c r="M149" s="255">
        <f>_xlfn.IFNA(VLOOKUP(B149, 현재가테이블!$B$2:$D$200, 3, FALSE), "-")</f>
        <v>1.07123628E-2</v>
      </c>
      <c r="N149" s="256"/>
      <c r="O149" s="257"/>
      <c r="Q149" s="248"/>
      <c r="R149" s="248"/>
      <c r="S149" s="248"/>
    </row>
    <row r="150" spans="1:19" ht="17.25" thickBot="1">
      <c r="A150" s="293" t="s">
        <v>55</v>
      </c>
      <c r="B150" s="289" t="str">
        <f>TEXT($G$1, "[$-ko-KR]yyyy-mm-dd(ddd) ") &amp; "오전 00:00"</f>
        <v>2021-08-17(화) 오전 00:00</v>
      </c>
      <c r="C150" s="290"/>
      <c r="D150" s="262" t="str">
        <f>TEXT($G$1, "[$-ko-KR]yyyy-mm-dd(ddd) ") &amp; "오후 14:00"</f>
        <v>2021-08-17(화) 오후 14:00</v>
      </c>
      <c r="E150" s="263"/>
      <c r="F150" s="264"/>
      <c r="G150" s="262" t="str">
        <f>TEXT($G$1, "[$-ko-KR]yyyy-mm-dd(ddd) ") &amp; "오후 19:00"</f>
        <v>2021-08-17(화) 오후 19:00</v>
      </c>
      <c r="H150" s="263"/>
      <c r="I150" s="264"/>
      <c r="J150" s="262" t="str">
        <f>TEXT($G$1, "[$-ko-KR]yyyy-mm-dd(ddd) ") &amp; "오후 21:00"</f>
        <v>2021-08-17(화) 오후 21:00</v>
      </c>
      <c r="K150" s="263"/>
      <c r="L150" s="264"/>
      <c r="M150" s="262" t="str">
        <f>TEXT($G$1+1, "[$-ko-KR]yyyy-mm-dd(ddd) ") &amp; "오전 00:00"</f>
        <v>2021-08-18(수) 오전 00:00</v>
      </c>
      <c r="N150" s="263"/>
      <c r="O150" s="264"/>
      <c r="Q150" s="248"/>
      <c r="R150" s="248"/>
      <c r="S150" s="248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4" t="s">
        <v>58</v>
      </c>
      <c r="H151" s="225" t="s">
        <v>268</v>
      </c>
      <c r="I151" s="22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8"/>
      <c r="R151" s="238"/>
      <c r="S151" s="238"/>
    </row>
    <row r="152" spans="1:19" ht="17.25" thickBot="1">
      <c r="A152" s="123" t="s">
        <v>254</v>
      </c>
      <c r="B152" s="124">
        <v>326</v>
      </c>
      <c r="C152" s="76">
        <v>-1.51057402E-2</v>
      </c>
      <c r="D152" s="13">
        <v>322</v>
      </c>
      <c r="E152" s="14">
        <f>IF(ISNUMBER(D152), (D152 - $B152) / $B152, "")</f>
        <v>-1.2269938650306749E-2</v>
      </c>
      <c r="F152" s="16">
        <f>IF(ISNUMBER(D152), $B172 * E152, "")</f>
        <v>-1226.9938650306749</v>
      </c>
      <c r="G152" s="29">
        <v>326</v>
      </c>
      <c r="H152" s="14">
        <f>IF(ISNUMBER(G152), (G152 - $B152) / $B152, "")</f>
        <v>0</v>
      </c>
      <c r="I152" s="100">
        <f>IF(ISNUMBER(G152), $B172 * H152, "")</f>
        <v>0</v>
      </c>
      <c r="J152" s="13">
        <v>325</v>
      </c>
      <c r="K152" s="14">
        <f>IF(ISNUMBER(J152), (J152 - $B152) / $B152, "")</f>
        <v>-3.0674846625766872E-3</v>
      </c>
      <c r="L152" s="16">
        <f>IF(ISNUMBER(J152), $B172 * K152, "")</f>
        <v>-306.74846625766872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8"/>
      <c r="R152" s="248"/>
      <c r="S152" s="248"/>
    </row>
    <row r="153" spans="1:19" ht="17.25" thickBot="1">
      <c r="A153" s="125" t="s">
        <v>86</v>
      </c>
      <c r="B153" s="126">
        <v>423</v>
      </c>
      <c r="C153" s="77">
        <v>-1.62790698E-2</v>
      </c>
      <c r="D153" s="15">
        <v>415</v>
      </c>
      <c r="E153" s="32">
        <f t="shared" ref="E153:E156" si="78">IF(ISNUMBER(D153), (D153 - $B153) / $B153, "")</f>
        <v>-1.8912529550827423E-2</v>
      </c>
      <c r="F153" s="18">
        <f>IF(ISNUMBER(D153), $B172 * E153, "")</f>
        <v>-1891.2529550827423</v>
      </c>
      <c r="G153" s="31">
        <v>419</v>
      </c>
      <c r="H153" s="32">
        <f t="shared" ref="H153:H156" si="79">IF(ISNUMBER(G153), (G153 - $B153) / $B153, "")</f>
        <v>-9.4562647754137114E-3</v>
      </c>
      <c r="I153" s="101">
        <f>IF(ISNUMBER(G153), $B172 * H153, "")</f>
        <v>-945.62647754137117</v>
      </c>
      <c r="J153" s="15">
        <v>420</v>
      </c>
      <c r="K153" s="32">
        <f t="shared" ref="K153:K156" si="80">IF(ISNUMBER(J153), (J153 - $B153) / $B153, "")</f>
        <v>-7.0921985815602835E-3</v>
      </c>
      <c r="L153" s="18">
        <f>IF(ISNUMBER(J153), $B172 * K153, "")</f>
        <v>-709.21985815602841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8"/>
      <c r="R153" s="248"/>
      <c r="S153" s="248"/>
    </row>
    <row r="154" spans="1:19" ht="17.25" thickBot="1">
      <c r="A154" s="125" t="s">
        <v>236</v>
      </c>
      <c r="B154" s="126">
        <v>681</v>
      </c>
      <c r="C154" s="77">
        <v>-1.73160173E-2</v>
      </c>
      <c r="D154" s="15">
        <v>672</v>
      </c>
      <c r="E154" s="32">
        <f t="shared" si="78"/>
        <v>-1.3215859030837005E-2</v>
      </c>
      <c r="F154" s="18">
        <f>IF(ISNUMBER(D154), $B172 * E154, "")</f>
        <v>-1321.5859030837005</v>
      </c>
      <c r="G154" s="31">
        <v>675</v>
      </c>
      <c r="H154" s="32">
        <f t="shared" si="79"/>
        <v>-8.8105726872246704E-3</v>
      </c>
      <c r="I154" s="101">
        <f>IF(ISNUMBER(G154), $B172 * H154, "")</f>
        <v>-881.05726872246703</v>
      </c>
      <c r="J154" s="15">
        <v>674</v>
      </c>
      <c r="K154" s="32">
        <f t="shared" si="80"/>
        <v>-1.0279001468428781E-2</v>
      </c>
      <c r="L154" s="18">
        <f>IF(ISNUMBER(J154), $B172 * K154, "")</f>
        <v>-1027.900146842878</v>
      </c>
      <c r="M154" s="31"/>
      <c r="N154" s="32" t="str">
        <f t="shared" si="81"/>
        <v/>
      </c>
      <c r="O154" s="18" t="str">
        <f>IF(ISNUMBER(M154), $B172 * N154, "")</f>
        <v/>
      </c>
      <c r="Q154" s="238"/>
      <c r="R154" s="238"/>
      <c r="S154" s="238"/>
    </row>
    <row r="155" spans="1:19" ht="17.25" thickBot="1">
      <c r="A155" s="125" t="s">
        <v>51</v>
      </c>
      <c r="B155" s="126">
        <v>446</v>
      </c>
      <c r="C155" s="77">
        <v>-1.76211454E-2</v>
      </c>
      <c r="D155" s="15">
        <v>437</v>
      </c>
      <c r="E155" s="32">
        <f t="shared" si="78"/>
        <v>-2.0179372197309416E-2</v>
      </c>
      <c r="F155" s="18">
        <f>IF(ISNUMBER(D155), $B172 * E155, "")</f>
        <v>-2017.9372197309417</v>
      </c>
      <c r="G155" s="31">
        <v>441</v>
      </c>
      <c r="H155" s="32">
        <f t="shared" si="79"/>
        <v>-1.1210762331838564E-2</v>
      </c>
      <c r="I155" s="101">
        <f>IF(ISNUMBER(G155), $B172 * H155, "")</f>
        <v>-1121.0762331838564</v>
      </c>
      <c r="J155" s="15">
        <v>441</v>
      </c>
      <c r="K155" s="32">
        <f t="shared" si="80"/>
        <v>-1.1210762331838564E-2</v>
      </c>
      <c r="L155" s="18">
        <f>IF(ISNUMBER(J155), $B172 * K155, "")</f>
        <v>-1121.0762331838564</v>
      </c>
      <c r="M155" s="31"/>
      <c r="N155" s="32" t="str">
        <f t="shared" si="81"/>
        <v/>
      </c>
      <c r="O155" s="18" t="str">
        <f>IF(ISNUMBER(M155), $B172 * N155, "")</f>
        <v/>
      </c>
      <c r="Q155" s="238"/>
      <c r="R155" s="238"/>
      <c r="S155" s="238"/>
    </row>
    <row r="156" spans="1:19" ht="17.25" thickBot="1">
      <c r="A156" s="127" t="s">
        <v>144</v>
      </c>
      <c r="B156" s="128">
        <v>122</v>
      </c>
      <c r="C156" s="78">
        <v>-2.4E-2</v>
      </c>
      <c r="D156" s="20">
        <v>120</v>
      </c>
      <c r="E156" s="21">
        <f t="shared" si="78"/>
        <v>-1.6393442622950821E-2</v>
      </c>
      <c r="F156" s="22">
        <f>IF(ISNUMBER(D156), $B172 * E156, "")</f>
        <v>-1639.344262295082</v>
      </c>
      <c r="G156" s="30">
        <v>120</v>
      </c>
      <c r="H156" s="21">
        <f t="shared" si="79"/>
        <v>-1.6393442622950821E-2</v>
      </c>
      <c r="I156" s="105">
        <f>IF(ISNUMBER(G156), $B172 * H156, "")</f>
        <v>-1639.344262295082</v>
      </c>
      <c r="J156" s="20">
        <v>121</v>
      </c>
      <c r="K156" s="21">
        <f t="shared" si="80"/>
        <v>-8.1967213114754103E-3</v>
      </c>
      <c r="L156" s="22">
        <f>IF(ISNUMBER(J156), $B172 * K156, "")</f>
        <v>-819.67213114754099</v>
      </c>
      <c r="M156" s="30"/>
      <c r="N156" s="21" t="str">
        <f t="shared" si="81"/>
        <v/>
      </c>
      <c r="O156" s="22" t="str">
        <f>IF(ISNUMBER(M156), $B172 * N156, "")</f>
        <v/>
      </c>
      <c r="Q156" s="238"/>
      <c r="R156" s="238"/>
      <c r="S156" s="238"/>
    </row>
    <row r="157" spans="1:19" ht="17.25" thickBot="1">
      <c r="A157" s="125" t="s">
        <v>192</v>
      </c>
      <c r="B157" s="129">
        <v>242</v>
      </c>
      <c r="C157" s="80">
        <v>-2.4193548400000001E-2</v>
      </c>
      <c r="D157" s="106">
        <v>237</v>
      </c>
      <c r="E157" s="107">
        <f>IF(ISNUMBER(D157), (D157 - $B157) / $B157, "")</f>
        <v>-2.0661157024793389E-2</v>
      </c>
      <c r="F157" s="108">
        <f>IF(ISNUMBER(D157), $B172 * E157, "")</f>
        <v>-2066.1157024793388</v>
      </c>
      <c r="G157" s="109">
        <v>240</v>
      </c>
      <c r="H157" s="107">
        <f>IF(ISNUMBER(G157), (G157 - $B157) / $B157, "")</f>
        <v>-8.2644628099173556E-3</v>
      </c>
      <c r="I157" s="110">
        <f>IF(ISNUMBER(G157), $B172 * H157, "")</f>
        <v>-826.44628099173553</v>
      </c>
      <c r="J157" s="106">
        <v>241</v>
      </c>
      <c r="K157" s="107">
        <f>IF(ISNUMBER(J157), (J157 - $B157) / $B157, "")</f>
        <v>-4.1322314049586778E-3</v>
      </c>
      <c r="L157" s="108">
        <f>IF(ISNUMBER(J157), $B172 * K157, "")</f>
        <v>-413.22314049586777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8"/>
      <c r="R157" s="238"/>
      <c r="S157" s="238"/>
    </row>
    <row r="158" spans="1:19" ht="17.25" thickBot="1">
      <c r="A158" s="125" t="s">
        <v>130</v>
      </c>
      <c r="B158" s="126">
        <v>115</v>
      </c>
      <c r="C158" s="77">
        <v>-2.54237288E-2</v>
      </c>
      <c r="D158" s="15">
        <v>113</v>
      </c>
      <c r="E158" s="32">
        <f t="shared" ref="E158:E161" si="82">IF(ISNUMBER(D158), (D158 - $B158) / $B158, "")</f>
        <v>-1.7391304347826087E-2</v>
      </c>
      <c r="F158" s="18">
        <f>IF(ISNUMBER(D158), $B172 * E158, "")</f>
        <v>-1739.1304347826087</v>
      </c>
      <c r="G158" s="31">
        <v>117</v>
      </c>
      <c r="H158" s="32">
        <f t="shared" ref="H158:H161" si="83">IF(ISNUMBER(G158), (G158 - $B158) / $B158, "")</f>
        <v>1.7391304347826087E-2</v>
      </c>
      <c r="I158" s="101">
        <f>IF(ISNUMBER(G158), $B172 * H158, "")</f>
        <v>1739.1304347826087</v>
      </c>
      <c r="J158" s="15">
        <v>120</v>
      </c>
      <c r="K158" s="32">
        <f t="shared" ref="K158:K161" si="84">IF(ISNUMBER(J158), (J158 - $B158) / $B158, "")</f>
        <v>4.3478260869565216E-2</v>
      </c>
      <c r="L158" s="18">
        <f>IF(ISNUMBER(J158), $B172 * K158, "")</f>
        <v>4347.826086956522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8"/>
      <c r="R158" s="238"/>
      <c r="S158" s="238"/>
    </row>
    <row r="159" spans="1:19" ht="17.25" thickBot="1">
      <c r="A159" s="125" t="s">
        <v>80</v>
      </c>
      <c r="B159" s="126">
        <v>919</v>
      </c>
      <c r="C159" s="77">
        <v>-2.5450689299999999E-2</v>
      </c>
      <c r="D159" s="15">
        <v>909</v>
      </c>
      <c r="E159" s="32">
        <f t="shared" si="82"/>
        <v>-1.088139281828074E-2</v>
      </c>
      <c r="F159" s="18">
        <f>IF(ISNUMBER(D159), $B172 * E159, "")</f>
        <v>-1088.139281828074</v>
      </c>
      <c r="G159" s="31">
        <v>929</v>
      </c>
      <c r="H159" s="32">
        <f t="shared" si="83"/>
        <v>1.088139281828074E-2</v>
      </c>
      <c r="I159" s="101">
        <f>IF(ISNUMBER(G159), $B172 * H159, "")</f>
        <v>1088.139281828074</v>
      </c>
      <c r="J159" s="15">
        <v>931</v>
      </c>
      <c r="K159" s="32">
        <f t="shared" si="84"/>
        <v>1.3057671381936888E-2</v>
      </c>
      <c r="L159" s="18">
        <f>IF(ISNUMBER(J159), $B172 * K159, "")</f>
        <v>1305.7671381936889</v>
      </c>
      <c r="M159" s="31"/>
      <c r="N159" s="32" t="str">
        <f t="shared" si="85"/>
        <v/>
      </c>
      <c r="O159" s="18" t="str">
        <f>IF(ISNUMBER(M159), $B172 * N159, "")</f>
        <v/>
      </c>
      <c r="Q159" s="238"/>
      <c r="R159" s="238"/>
      <c r="S159" s="238"/>
    </row>
    <row r="160" spans="1:19" ht="17.25" thickBot="1">
      <c r="A160" s="125" t="s">
        <v>228</v>
      </c>
      <c r="B160" s="126">
        <v>412</v>
      </c>
      <c r="C160" s="77">
        <v>-2.6004728099999999E-2</v>
      </c>
      <c r="D160" s="15">
        <v>398</v>
      </c>
      <c r="E160" s="32">
        <f t="shared" si="82"/>
        <v>-3.3980582524271843E-2</v>
      </c>
      <c r="F160" s="18">
        <f>IF(ISNUMBER(D160), $B172 * E160, "")</f>
        <v>-3398.0582524271845</v>
      </c>
      <c r="G160" s="31">
        <v>402</v>
      </c>
      <c r="H160" s="32">
        <f t="shared" si="83"/>
        <v>-2.4271844660194174E-2</v>
      </c>
      <c r="I160" s="101">
        <f>IF(ISNUMBER(G160), $B172 * H160, "")</f>
        <v>-2427.1844660194174</v>
      </c>
      <c r="J160" s="15">
        <v>400</v>
      </c>
      <c r="K160" s="32">
        <f t="shared" si="84"/>
        <v>-2.9126213592233011E-2</v>
      </c>
      <c r="L160" s="18">
        <f>IF(ISNUMBER(J160), $B172 * K160, "")</f>
        <v>-2912.6213592233012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220</v>
      </c>
      <c r="B161" s="131">
        <v>215</v>
      </c>
      <c r="C161" s="79">
        <v>-2.7149321300000001E-2</v>
      </c>
      <c r="D161" s="24">
        <v>213</v>
      </c>
      <c r="E161" s="25">
        <f t="shared" si="82"/>
        <v>-9.3023255813953487E-3</v>
      </c>
      <c r="F161" s="104">
        <f>IF(ISNUMBER(D161), $B172 * E161, "")</f>
        <v>-930.23255813953483</v>
      </c>
      <c r="G161" s="102">
        <v>214</v>
      </c>
      <c r="H161" s="25">
        <f t="shared" si="83"/>
        <v>-4.6511627906976744E-3</v>
      </c>
      <c r="I161" s="103">
        <f>IF(ISNUMBER(G161), $B172 * H161, "")</f>
        <v>-465.11627906976742</v>
      </c>
      <c r="J161" s="24">
        <v>215</v>
      </c>
      <c r="K161" s="25">
        <f t="shared" si="84"/>
        <v>0</v>
      </c>
      <c r="L161" s="104">
        <f>IF(ISNUMBER(J161), $B172 * K161, "")</f>
        <v>0</v>
      </c>
      <c r="M161" s="102"/>
      <c r="N161" s="25" t="str">
        <f t="shared" si="85"/>
        <v/>
      </c>
      <c r="O161" s="104" t="str">
        <f>IF(ISNUMBER(M161), $B172 * N161, "")</f>
        <v/>
      </c>
      <c r="Q161" s="239"/>
      <c r="R161" s="240"/>
      <c r="S161" s="241"/>
    </row>
    <row r="162" spans="1:19">
      <c r="A162" s="123" t="s">
        <v>218</v>
      </c>
      <c r="B162" s="124">
        <v>136</v>
      </c>
      <c r="C162" s="76">
        <v>-2.85714286E-2</v>
      </c>
      <c r="D162" s="13">
        <v>136</v>
      </c>
      <c r="E162" s="14">
        <f>IF(ISNUMBER(D162), (D162 - $B162) / $B162, "")</f>
        <v>0</v>
      </c>
      <c r="F162" s="16">
        <f>IF(ISNUMBER(D162), $B172 * E162, "")</f>
        <v>0</v>
      </c>
      <c r="G162" s="29">
        <v>136</v>
      </c>
      <c r="H162" s="14">
        <f>IF(ISNUMBER(G162), (G162 - $B162) / $B162, "")</f>
        <v>0</v>
      </c>
      <c r="I162" s="100">
        <f>IF(ISNUMBER(G162), $B172 * H162, "")</f>
        <v>0</v>
      </c>
      <c r="J162" s="13">
        <v>136</v>
      </c>
      <c r="K162" s="14">
        <f>IF(ISNUMBER(J162), (J162 - $B162) / $B162, "")</f>
        <v>0</v>
      </c>
      <c r="L162" s="16">
        <f>IF(ISNUMBER(J162), $B172 * K162, "")</f>
        <v>0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2"/>
      <c r="R162" s="243"/>
      <c r="S162" s="244"/>
    </row>
    <row r="163" spans="1:19" ht="17.25" thickBot="1">
      <c r="A163" s="125" t="s">
        <v>174</v>
      </c>
      <c r="B163" s="126">
        <v>371</v>
      </c>
      <c r="C163" s="77">
        <v>-2.8795811500000001E-2</v>
      </c>
      <c r="D163" s="15">
        <v>361</v>
      </c>
      <c r="E163" s="32">
        <f t="shared" ref="E163:E166" si="86">IF(ISNUMBER(D163), (D163 - $B163) / $B163, "")</f>
        <v>-2.6954177897574125E-2</v>
      </c>
      <c r="F163" s="18">
        <f>IF(ISNUMBER(D163), $B172 * E163, "")</f>
        <v>-2695.4177897574127</v>
      </c>
      <c r="G163" s="31">
        <v>364</v>
      </c>
      <c r="H163" s="32">
        <f t="shared" ref="H163:H166" si="87">IF(ISNUMBER(G163), (G163 - $B163) / $B163, "")</f>
        <v>-1.8867924528301886E-2</v>
      </c>
      <c r="I163" s="101">
        <f>IF(ISNUMBER(G163), $B172 * H163, "")</f>
        <v>-1886.7924528301885</v>
      </c>
      <c r="J163" s="15">
        <v>366</v>
      </c>
      <c r="K163" s="32">
        <f t="shared" ref="K163:K166" si="88">IF(ISNUMBER(J163), (J163 - $B163) / $B163, "")</f>
        <v>-1.3477088948787063E-2</v>
      </c>
      <c r="L163" s="18">
        <f>IF(ISNUMBER(J163), $B172 * K163, "")</f>
        <v>-1347.7088948787064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5"/>
      <c r="R163" s="246"/>
      <c r="S163" s="247"/>
    </row>
    <row r="164" spans="1:19" ht="17.25" thickBot="1">
      <c r="A164" s="125" t="s">
        <v>128</v>
      </c>
      <c r="B164" s="126">
        <v>156</v>
      </c>
      <c r="C164" s="77">
        <v>-3.1055900599999998E-2</v>
      </c>
      <c r="D164" s="15">
        <v>151</v>
      </c>
      <c r="E164" s="32">
        <f t="shared" si="86"/>
        <v>-3.2051282051282048E-2</v>
      </c>
      <c r="F164" s="18">
        <f>IF(ISNUMBER(D164), $B172 * E164, "")</f>
        <v>-3205.1282051282046</v>
      </c>
      <c r="G164" s="31">
        <v>156</v>
      </c>
      <c r="H164" s="32">
        <f t="shared" si="87"/>
        <v>0</v>
      </c>
      <c r="I164" s="101">
        <f>IF(ISNUMBER(G164), $B172 * H164, "")</f>
        <v>0</v>
      </c>
      <c r="J164" s="15">
        <v>155</v>
      </c>
      <c r="K164" s="32">
        <f t="shared" si="88"/>
        <v>-6.41025641025641E-3</v>
      </c>
      <c r="L164" s="18">
        <f>IF(ISNUMBER(J164), $B172 * K164, "")</f>
        <v>-641.02564102564099</v>
      </c>
      <c r="M164" s="31"/>
      <c r="N164" s="32" t="str">
        <f t="shared" si="89"/>
        <v/>
      </c>
      <c r="O164" s="18" t="str">
        <f>IF(ISNUMBER(M164), $B172 * N164, "")</f>
        <v/>
      </c>
      <c r="Q164" s="238"/>
      <c r="R164" s="238"/>
      <c r="S164" s="238"/>
    </row>
    <row r="165" spans="1:19" ht="17.25" thickBot="1">
      <c r="A165" s="125" t="s">
        <v>166</v>
      </c>
      <c r="B165" s="126">
        <v>249</v>
      </c>
      <c r="C165" s="77">
        <v>-3.1128404700000001E-2</v>
      </c>
      <c r="D165" s="15">
        <v>243</v>
      </c>
      <c r="E165" s="32">
        <f t="shared" si="86"/>
        <v>-2.4096385542168676E-2</v>
      </c>
      <c r="F165" s="18">
        <f>IF(ISNUMBER(D165), $B172 * E165, "")</f>
        <v>-2409.6385542168678</v>
      </c>
      <c r="G165" s="31">
        <v>249</v>
      </c>
      <c r="H165" s="32">
        <f t="shared" si="87"/>
        <v>0</v>
      </c>
      <c r="I165" s="101">
        <f>IF(ISNUMBER(G165), $B172 * H165, "")</f>
        <v>0</v>
      </c>
      <c r="J165" s="15">
        <v>249</v>
      </c>
      <c r="K165" s="32">
        <f t="shared" si="88"/>
        <v>0</v>
      </c>
      <c r="L165" s="18">
        <f>IF(ISNUMBER(J165), $B172 * K165, "")</f>
        <v>0</v>
      </c>
      <c r="M165" s="31"/>
      <c r="N165" s="32" t="str">
        <f t="shared" si="89"/>
        <v/>
      </c>
      <c r="O165" s="18" t="str">
        <f>IF(ISNUMBER(M165), $B172 * N165, "")</f>
        <v/>
      </c>
      <c r="Q165" s="248"/>
      <c r="R165" s="248"/>
      <c r="S165" s="248"/>
    </row>
    <row r="166" spans="1:19" ht="17.25" thickBot="1">
      <c r="A166" s="127" t="s">
        <v>222</v>
      </c>
      <c r="B166" s="128">
        <v>148</v>
      </c>
      <c r="C166" s="78">
        <v>-3.2679738600000001E-2</v>
      </c>
      <c r="D166" s="20">
        <v>145</v>
      </c>
      <c r="E166" s="21">
        <f t="shared" si="86"/>
        <v>-2.0270270270270271E-2</v>
      </c>
      <c r="F166" s="22">
        <f>IF(ISNUMBER(D166), $B172 * E166, "")</f>
        <v>-2027.0270270270271</v>
      </c>
      <c r="G166" s="30">
        <v>147</v>
      </c>
      <c r="H166" s="21">
        <f t="shared" si="87"/>
        <v>-6.7567567567567571E-3</v>
      </c>
      <c r="I166" s="105">
        <f>IF(ISNUMBER(G166), $B172 * H166, "")</f>
        <v>-675.67567567567573</v>
      </c>
      <c r="J166" s="20">
        <v>147</v>
      </c>
      <c r="K166" s="21">
        <f t="shared" si="88"/>
        <v>-6.7567567567567571E-3</v>
      </c>
      <c r="L166" s="22">
        <f>IF(ISNUMBER(J166), $B172 * K166, "")</f>
        <v>-675.67567567567573</v>
      </c>
      <c r="M166" s="30"/>
      <c r="N166" s="21" t="str">
        <f t="shared" si="89"/>
        <v/>
      </c>
      <c r="O166" s="22" t="str">
        <f>IF(ISNUMBER(M166), $B172 * N166, "")</f>
        <v/>
      </c>
      <c r="Q166" s="248"/>
      <c r="R166" s="248"/>
      <c r="S166" s="248"/>
    </row>
    <row r="167" spans="1:19" ht="17.25" thickBot="1">
      <c r="A167" s="125" t="s">
        <v>200</v>
      </c>
      <c r="B167" s="129">
        <v>142</v>
      </c>
      <c r="C167" s="80">
        <v>-3.4013605400000001E-2</v>
      </c>
      <c r="D167" s="106">
        <v>141</v>
      </c>
      <c r="E167" s="107">
        <f>IF(ISNUMBER(D167), (D167 - $B167) / $B167, "")</f>
        <v>-7.0422535211267607E-3</v>
      </c>
      <c r="F167" s="108">
        <f>IF(ISNUMBER(D167), $B172 * E167, "")</f>
        <v>-704.22535211267609</v>
      </c>
      <c r="G167" s="109">
        <v>142</v>
      </c>
      <c r="H167" s="107">
        <f>IF(ISNUMBER(G167), (G167 - $B167) / $B167, "")</f>
        <v>0</v>
      </c>
      <c r="I167" s="110">
        <f>IF(ISNUMBER(G167), $B172 * H167, "")</f>
        <v>0</v>
      </c>
      <c r="J167" s="106">
        <v>143</v>
      </c>
      <c r="K167" s="107">
        <f>IF(ISNUMBER(J167), (J167 - $B167) / $B167, "")</f>
        <v>7.0422535211267607E-3</v>
      </c>
      <c r="L167" s="108">
        <f>IF(ISNUMBER(J167), $B172 * K167, "")</f>
        <v>704.22535211267609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8"/>
      <c r="R167" s="238"/>
      <c r="S167" s="238"/>
    </row>
    <row r="168" spans="1:19" ht="17.25" thickBot="1">
      <c r="A168" s="125" t="s">
        <v>110</v>
      </c>
      <c r="B168" s="126">
        <v>196</v>
      </c>
      <c r="C168" s="77">
        <v>-3.4482758600000003E-2</v>
      </c>
      <c r="D168" s="15">
        <v>192</v>
      </c>
      <c r="E168" s="32">
        <f t="shared" ref="E168:E171" si="90">IF(ISNUMBER(D168), (D168 - $B168) / $B168, "")</f>
        <v>-2.0408163265306121E-2</v>
      </c>
      <c r="F168" s="18">
        <f>IF(ISNUMBER(D168), $B172 * E168, "")</f>
        <v>-2040.8163265306121</v>
      </c>
      <c r="G168" s="31">
        <v>196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195</v>
      </c>
      <c r="K168" s="32">
        <f t="shared" ref="K168:K171" si="92">IF(ISNUMBER(J168), (J168 - $B168) / $B168, "")</f>
        <v>-5.1020408163265302E-3</v>
      </c>
      <c r="L168" s="18">
        <f>IF(ISNUMBER(J168), $B172 * K168, "")</f>
        <v>-510.20408163265301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8"/>
      <c r="R168" s="238"/>
      <c r="S168" s="238"/>
    </row>
    <row r="169" spans="1:19" ht="17.25" thickBot="1">
      <c r="A169" s="125" t="s">
        <v>194</v>
      </c>
      <c r="B169" s="126">
        <v>150</v>
      </c>
      <c r="C169" s="77">
        <v>-3.8461538500000003E-2</v>
      </c>
      <c r="D169" s="15">
        <v>148</v>
      </c>
      <c r="E169" s="32">
        <f t="shared" si="90"/>
        <v>-1.3333333333333334E-2</v>
      </c>
      <c r="F169" s="18">
        <f>IF(ISNUMBER(D169), $B172 * E169, "")</f>
        <v>-1333.3333333333335</v>
      </c>
      <c r="G169" s="31">
        <v>149</v>
      </c>
      <c r="H169" s="32">
        <f t="shared" si="91"/>
        <v>-6.6666666666666671E-3</v>
      </c>
      <c r="I169" s="101">
        <f>IF(ISNUMBER(G169), $B172 * H169, "")</f>
        <v>-666.66666666666674</v>
      </c>
      <c r="J169" s="15">
        <v>148</v>
      </c>
      <c r="K169" s="32">
        <f t="shared" si="92"/>
        <v>-1.3333333333333334E-2</v>
      </c>
      <c r="L169" s="18">
        <f>IF(ISNUMBER(J169), $B172 * K169, "")</f>
        <v>-1333.3333333333335</v>
      </c>
      <c r="M169" s="31"/>
      <c r="N169" s="32" t="str">
        <f t="shared" si="93"/>
        <v/>
      </c>
      <c r="O169" s="18" t="str">
        <f>IF(ISNUMBER(M169), $B172 * N169, "")</f>
        <v/>
      </c>
      <c r="Q169" s="238"/>
      <c r="R169" s="238"/>
      <c r="S169" s="238"/>
    </row>
    <row r="170" spans="1:19">
      <c r="A170" s="125" t="s">
        <v>230</v>
      </c>
      <c r="B170" s="126">
        <v>217</v>
      </c>
      <c r="C170" s="77">
        <v>-3.9823008799999997E-2</v>
      </c>
      <c r="D170" s="15">
        <v>215</v>
      </c>
      <c r="E170" s="32">
        <f t="shared" si="90"/>
        <v>-9.2165898617511521E-3</v>
      </c>
      <c r="F170" s="18">
        <f>IF(ISNUMBER(D170), $B172 * E170, "")</f>
        <v>-921.65898617511516</v>
      </c>
      <c r="G170" s="31">
        <v>217</v>
      </c>
      <c r="H170" s="32">
        <f t="shared" si="91"/>
        <v>0</v>
      </c>
      <c r="I170" s="101">
        <f>IF(ISNUMBER(G170), $B172 * H170, "")</f>
        <v>0</v>
      </c>
      <c r="J170" s="15">
        <v>218</v>
      </c>
      <c r="K170" s="32">
        <f t="shared" si="92"/>
        <v>4.608294930875576E-3</v>
      </c>
      <c r="L170" s="18">
        <f>IF(ISNUMBER(J170), $B172 * K170, "")</f>
        <v>460.82949308755758</v>
      </c>
      <c r="M170" s="31"/>
      <c r="N170" s="32" t="str">
        <f t="shared" si="93"/>
        <v/>
      </c>
      <c r="O170" s="18" t="str">
        <f>IF(ISNUMBER(M170), $B172 * N170, "")</f>
        <v/>
      </c>
      <c r="Q170" s="227"/>
      <c r="R170" s="228"/>
      <c r="S170" s="229"/>
    </row>
    <row r="171" spans="1:19" ht="17.25" thickBot="1">
      <c r="A171" s="130" t="s">
        <v>266</v>
      </c>
      <c r="B171" s="131">
        <v>381</v>
      </c>
      <c r="C171" s="79">
        <v>-4.0302267000000003E-2</v>
      </c>
      <c r="D171" s="24">
        <v>387</v>
      </c>
      <c r="E171" s="25">
        <f t="shared" si="90"/>
        <v>1.5748031496062992E-2</v>
      </c>
      <c r="F171" s="104">
        <f>IF(ISNUMBER(D171), $B172 * E171, "")</f>
        <v>1574.8031496062993</v>
      </c>
      <c r="G171" s="102">
        <v>390</v>
      </c>
      <c r="H171" s="25">
        <f t="shared" si="91"/>
        <v>2.3622047244094488E-2</v>
      </c>
      <c r="I171" s="103">
        <f>IF(ISNUMBER(G171), $B172 * H171, "")</f>
        <v>2362.2047244094488</v>
      </c>
      <c r="J171" s="24">
        <v>385</v>
      </c>
      <c r="K171" s="25">
        <f t="shared" si="92"/>
        <v>1.0498687664041995E-2</v>
      </c>
      <c r="L171" s="104">
        <f>IF(ISNUMBER(J171), $B172 * K171, "")</f>
        <v>1049.8687664041995</v>
      </c>
      <c r="M171" s="102"/>
      <c r="N171" s="25" t="str">
        <f t="shared" si="93"/>
        <v/>
      </c>
      <c r="O171" s="104" t="str">
        <f>IF(ISNUMBER(M171), $B172 * N171, "")</f>
        <v/>
      </c>
      <c r="Q171" s="230"/>
      <c r="R171" s="231"/>
      <c r="S171" s="232"/>
    </row>
    <row r="172" spans="1:19" ht="17.25" thickBot="1">
      <c r="A172" s="132" t="s">
        <v>270</v>
      </c>
      <c r="B172" s="291">
        <f>$B$37</f>
        <v>100000</v>
      </c>
      <c r="C172" s="292"/>
      <c r="D172" s="26" t="s">
        <v>271</v>
      </c>
      <c r="E172" s="27">
        <f>IF(COUNT(E152:E171), SUM(E152:E171) / COUNT(E152:E171), 0)</f>
        <v>-1.5540616429777415E-2</v>
      </c>
      <c r="F172" s="28">
        <f>SUM(F152:F171)</f>
        <v>-31081.232859554832</v>
      </c>
      <c r="G172" s="26" t="s">
        <v>271</v>
      </c>
      <c r="H172" s="27">
        <f>IF(COUNT(H152:H171), SUM(H152:H171) / COUNT(H152:H171), 0)</f>
        <v>-3.1727558109880482E-3</v>
      </c>
      <c r="I172" s="28">
        <f>SUM(I152:I171)</f>
        <v>-6345.5116219760966</v>
      </c>
      <c r="J172" s="26" t="s">
        <v>271</v>
      </c>
      <c r="K172" s="27">
        <f>IF(COUNT(K152:K171), SUM(K152:K171) / COUNT(K152:K171), 0)</f>
        <v>-1.974946062549254E-3</v>
      </c>
      <c r="L172" s="28">
        <f>SUM(L152:L171)</f>
        <v>-3949.8921250985081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33"/>
      <c r="R172" s="234"/>
      <c r="S172" s="23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48"/>
      <c r="R175" s="248"/>
      <c r="S175" s="248"/>
    </row>
    <row r="176" spans="1:19" ht="17.25" thickBot="1">
      <c r="A176" s="223" t="s">
        <v>267</v>
      </c>
      <c r="B176" s="249" t="s">
        <v>49</v>
      </c>
      <c r="C176" s="251"/>
      <c r="D176" s="249" t="s">
        <v>58</v>
      </c>
      <c r="E176" s="250"/>
      <c r="F176" s="251"/>
      <c r="G176" s="252">
        <f>_xlfn.IFNA(VLOOKUP(B176, 현재가테이블!$B$2:$D$200, 2, FALSE), "-")</f>
        <v>54440000</v>
      </c>
      <c r="H176" s="253"/>
      <c r="I176" s="254"/>
      <c r="J176" s="249" t="s">
        <v>59</v>
      </c>
      <c r="K176" s="250"/>
      <c r="L176" s="251"/>
      <c r="M176" s="255">
        <f>_xlfn.IFNA(VLOOKUP(B176, 현재가테이블!$B$2:$D$200, 3, FALSE), "-")</f>
        <v>1.07123628E-2</v>
      </c>
      <c r="N176" s="256"/>
      <c r="O176" s="257"/>
      <c r="Q176" s="248"/>
      <c r="R176" s="248"/>
      <c r="S176" s="248"/>
    </row>
    <row r="177" spans="1:19" ht="17.25" thickBot="1">
      <c r="A177" s="293" t="s">
        <v>55</v>
      </c>
      <c r="B177" s="289" t="str">
        <f>TEXT($G$1, "[$-ko-KR]yyyy-mm-dd(ddd) ") &amp; "오전 00:00"</f>
        <v>2021-08-17(화) 오전 00:00</v>
      </c>
      <c r="C177" s="290"/>
      <c r="D177" s="262" t="str">
        <f>TEXT($G$1, "[$-ko-KR]yyyy-mm-dd(ddd) ") &amp; "오후 14:00"</f>
        <v>2021-08-17(화) 오후 14:00</v>
      </c>
      <c r="E177" s="263"/>
      <c r="F177" s="264"/>
      <c r="G177" s="262" t="str">
        <f>TEXT($G$1, "[$-ko-KR]yyyy-mm-dd(ddd) ") &amp; "오후 19:00"</f>
        <v>2021-08-17(화) 오후 19:00</v>
      </c>
      <c r="H177" s="263"/>
      <c r="I177" s="264"/>
      <c r="J177" s="262" t="str">
        <f>TEXT($G$1, "[$-ko-KR]yyyy-mm-dd(ddd) ") &amp; "오후 21:00"</f>
        <v>2021-08-17(화) 오후 21:00</v>
      </c>
      <c r="K177" s="263"/>
      <c r="L177" s="264"/>
      <c r="M177" s="262" t="str">
        <f>TEXT($G$1+1, "[$-ko-KR]yyyy-mm-dd(ddd) ") &amp; "오전 00:00"</f>
        <v>2021-08-18(수) 오전 00:00</v>
      </c>
      <c r="N177" s="263"/>
      <c r="O177" s="264"/>
      <c r="Q177" s="248"/>
      <c r="R177" s="248"/>
      <c r="S177" s="248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4" t="s">
        <v>58</v>
      </c>
      <c r="H178" s="225" t="s">
        <v>268</v>
      </c>
      <c r="I178" s="22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8"/>
      <c r="R178" s="238"/>
      <c r="S178" s="238"/>
    </row>
    <row r="179" spans="1:19" ht="17.25" thickBot="1">
      <c r="A179" s="123" t="s">
        <v>72</v>
      </c>
      <c r="B179" s="124">
        <v>24.6</v>
      </c>
      <c r="C179" s="76">
        <v>-3.1496062999999998E-2</v>
      </c>
      <c r="D179" s="13">
        <v>24.6</v>
      </c>
      <c r="E179" s="14">
        <f>IF(ISNUMBER(D179), (D179 - $B179) / $B179, "")</f>
        <v>0</v>
      </c>
      <c r="F179" s="16">
        <f>IF(ISNUMBER(D179), $B199 * E179, "")</f>
        <v>0</v>
      </c>
      <c r="G179" s="29">
        <v>24.6</v>
      </c>
      <c r="H179" s="14">
        <f>IF(ISNUMBER(G179), (G179 - $B179) / $B179, "")</f>
        <v>0</v>
      </c>
      <c r="I179" s="100">
        <f>IF(ISNUMBER(G179), $B199 * H179, "")</f>
        <v>0</v>
      </c>
      <c r="J179" s="13">
        <v>24.7</v>
      </c>
      <c r="K179" s="14">
        <f>IF(ISNUMBER(J179), (J179 - $B179) / $B179, "")</f>
        <v>4.0650406504064169E-3</v>
      </c>
      <c r="L179" s="16">
        <f>IF(ISNUMBER(J179), $B199 * K179, "")</f>
        <v>406.50406504064171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8"/>
      <c r="R179" s="248"/>
      <c r="S179" s="248"/>
    </row>
    <row r="180" spans="1:19" ht="17.25" thickBot="1">
      <c r="A180" s="125" t="s">
        <v>142</v>
      </c>
      <c r="B180" s="126">
        <v>11640</v>
      </c>
      <c r="C180" s="77">
        <v>-3.2418952600000002E-2</v>
      </c>
      <c r="D180" s="15">
        <v>11510</v>
      </c>
      <c r="E180" s="32">
        <f t="shared" ref="E180:E183" si="94">IF(ISNUMBER(D180), (D180 - $B180) / $B180, "")</f>
        <v>-1.1168384879725086E-2</v>
      </c>
      <c r="F180" s="18">
        <f>IF(ISNUMBER(D180), $B199 * E180, "")</f>
        <v>-1116.8384879725086</v>
      </c>
      <c r="G180" s="31">
        <v>11550</v>
      </c>
      <c r="H180" s="32">
        <f t="shared" ref="H180:H183" si="95">IF(ISNUMBER(G180), (G180 - $B180) / $B180, "")</f>
        <v>-7.7319587628865982E-3</v>
      </c>
      <c r="I180" s="101">
        <f>IF(ISNUMBER(G180), $B199 * H180, "")</f>
        <v>-773.19587628865986</v>
      </c>
      <c r="J180" s="15">
        <v>11620</v>
      </c>
      <c r="K180" s="32">
        <f t="shared" ref="K180:K183" si="96">IF(ISNUMBER(J180), (J180 - $B180) / $B180, "")</f>
        <v>-1.718213058419244E-3</v>
      </c>
      <c r="L180" s="18">
        <f>IF(ISNUMBER(J180), $B199 * K180, "")</f>
        <v>-171.82130584192439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8"/>
      <c r="R180" s="248"/>
      <c r="S180" s="248"/>
    </row>
    <row r="181" spans="1:19" ht="17.25" thickBot="1">
      <c r="A181" s="125" t="s">
        <v>216</v>
      </c>
      <c r="B181" s="126">
        <v>11.9</v>
      </c>
      <c r="C181" s="77">
        <v>-3.2520325199999998E-2</v>
      </c>
      <c r="D181" s="15">
        <v>11.5</v>
      </c>
      <c r="E181" s="32">
        <f t="shared" si="94"/>
        <v>-3.3613445378151287E-2</v>
      </c>
      <c r="F181" s="18">
        <f>IF(ISNUMBER(D181), $B199 * E181, "")</f>
        <v>-3361.3445378151287</v>
      </c>
      <c r="G181" s="31">
        <v>11.6</v>
      </c>
      <c r="H181" s="32">
        <f t="shared" si="95"/>
        <v>-2.5210084033613505E-2</v>
      </c>
      <c r="I181" s="101">
        <f>IF(ISNUMBER(G181), $B199 * H181, "")</f>
        <v>-2521.0084033613507</v>
      </c>
      <c r="J181" s="15">
        <v>11.5</v>
      </c>
      <c r="K181" s="32">
        <f t="shared" si="96"/>
        <v>-3.3613445378151287E-2</v>
      </c>
      <c r="L181" s="18">
        <f>IF(ISNUMBER(J181), $B199 * K181, "")</f>
        <v>-3361.3445378151287</v>
      </c>
      <c r="M181" s="31"/>
      <c r="N181" s="32" t="str">
        <f t="shared" si="97"/>
        <v/>
      </c>
      <c r="O181" s="18" t="str">
        <f>IF(ISNUMBER(M181), $B199 * N181, "")</f>
        <v/>
      </c>
      <c r="Q181" s="238"/>
      <c r="R181" s="238"/>
      <c r="S181" s="238"/>
    </row>
    <row r="182" spans="1:19" ht="17.25" thickBot="1">
      <c r="A182" s="125" t="s">
        <v>78</v>
      </c>
      <c r="B182" s="126">
        <v>794200</v>
      </c>
      <c r="C182" s="77">
        <v>-3.25252771E-2</v>
      </c>
      <c r="D182" s="15">
        <v>793800</v>
      </c>
      <c r="E182" s="32">
        <f t="shared" si="94"/>
        <v>-5.03651473180559E-4</v>
      </c>
      <c r="F182" s="18">
        <f>IF(ISNUMBER(D182), $B199 * E182, "")</f>
        <v>-50.365147318055904</v>
      </c>
      <c r="G182" s="31">
        <v>801100</v>
      </c>
      <c r="H182" s="32">
        <f t="shared" si="95"/>
        <v>8.6879879123646434E-3</v>
      </c>
      <c r="I182" s="101">
        <f>IF(ISNUMBER(G182), $B199 * H182, "")</f>
        <v>868.79879123646435</v>
      </c>
      <c r="J182" s="15">
        <v>798200</v>
      </c>
      <c r="K182" s="32">
        <f t="shared" si="96"/>
        <v>5.0365147318055907E-3</v>
      </c>
      <c r="L182" s="18">
        <f>IF(ISNUMBER(J182), $B199 * K182, "")</f>
        <v>503.65147318055909</v>
      </c>
      <c r="M182" s="31"/>
      <c r="N182" s="32" t="str">
        <f t="shared" si="97"/>
        <v/>
      </c>
      <c r="O182" s="18" t="str">
        <f>IF(ISNUMBER(M182), $B199 * N182, "")</f>
        <v/>
      </c>
      <c r="Q182" s="238"/>
      <c r="R182" s="238"/>
      <c r="S182" s="238"/>
    </row>
    <row r="183" spans="1:19" ht="17.25" thickBot="1">
      <c r="A183" s="127" t="s">
        <v>222</v>
      </c>
      <c r="B183" s="128">
        <v>148</v>
      </c>
      <c r="C183" s="78">
        <v>-3.2679738600000001E-2</v>
      </c>
      <c r="D183" s="20">
        <v>145</v>
      </c>
      <c r="E183" s="21">
        <f t="shared" si="94"/>
        <v>-2.0270270270270271E-2</v>
      </c>
      <c r="F183" s="22">
        <f>IF(ISNUMBER(D183), $B199 * E183, "")</f>
        <v>-2027.0270270270271</v>
      </c>
      <c r="G183" s="30">
        <v>147</v>
      </c>
      <c r="H183" s="21">
        <f t="shared" si="95"/>
        <v>-6.7567567567567571E-3</v>
      </c>
      <c r="I183" s="105">
        <f>IF(ISNUMBER(G183), $B199 * H183, "")</f>
        <v>-675.67567567567573</v>
      </c>
      <c r="J183" s="20">
        <v>147</v>
      </c>
      <c r="K183" s="21">
        <f t="shared" si="96"/>
        <v>-6.7567567567567571E-3</v>
      </c>
      <c r="L183" s="22">
        <f>IF(ISNUMBER(J183), $B199 * K183, "")</f>
        <v>-675.67567567567573</v>
      </c>
      <c r="M183" s="30"/>
      <c r="N183" s="21" t="str">
        <f t="shared" si="97"/>
        <v/>
      </c>
      <c r="O183" s="22" t="str">
        <f>IF(ISNUMBER(M183), $B199 * N183, "")</f>
        <v/>
      </c>
      <c r="Q183" s="238"/>
      <c r="R183" s="238"/>
      <c r="S183" s="238"/>
    </row>
    <row r="184" spans="1:19" ht="17.25" thickBot="1">
      <c r="A184" s="125" t="s">
        <v>200</v>
      </c>
      <c r="B184" s="129">
        <v>142</v>
      </c>
      <c r="C184" s="80">
        <v>-3.4013605400000001E-2</v>
      </c>
      <c r="D184" s="106">
        <v>141</v>
      </c>
      <c r="E184" s="107">
        <f>IF(ISNUMBER(D184), (D184 - $B184) / $B184, "")</f>
        <v>-7.0422535211267607E-3</v>
      </c>
      <c r="F184" s="108">
        <f>IF(ISNUMBER(D184), $B199 * E184, "")</f>
        <v>-704.22535211267609</v>
      </c>
      <c r="G184" s="109">
        <v>142</v>
      </c>
      <c r="H184" s="107">
        <f>IF(ISNUMBER(G184), (G184 - $B184) / $B184, "")</f>
        <v>0</v>
      </c>
      <c r="I184" s="110">
        <f>IF(ISNUMBER(G184), $B199 * H184, "")</f>
        <v>0</v>
      </c>
      <c r="J184" s="106">
        <v>143</v>
      </c>
      <c r="K184" s="107">
        <f>IF(ISNUMBER(J184), (J184 - $B184) / $B184, "")</f>
        <v>7.0422535211267607E-3</v>
      </c>
      <c r="L184" s="108">
        <f>IF(ISNUMBER(J184), $B199 * K184, "")</f>
        <v>704.22535211267609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8"/>
      <c r="R184" s="238"/>
      <c r="S184" s="238"/>
    </row>
    <row r="185" spans="1:19" ht="17.25" thickBot="1">
      <c r="A185" s="125" t="s">
        <v>110</v>
      </c>
      <c r="B185" s="126">
        <v>196</v>
      </c>
      <c r="C185" s="77">
        <v>-3.4482758600000003E-2</v>
      </c>
      <c r="D185" s="15">
        <v>192</v>
      </c>
      <c r="E185" s="32">
        <f t="shared" ref="E185:E188" si="98">IF(ISNUMBER(D185), (D185 - $B185) / $B185, "")</f>
        <v>-2.0408163265306121E-2</v>
      </c>
      <c r="F185" s="18">
        <f>IF(ISNUMBER(D185), $B199 * E185, "")</f>
        <v>-2040.8163265306121</v>
      </c>
      <c r="G185" s="31">
        <v>196</v>
      </c>
      <c r="H185" s="32">
        <f t="shared" ref="H185:H188" si="99">IF(ISNUMBER(G185), (G185 - $B185) / $B185, "")</f>
        <v>0</v>
      </c>
      <c r="I185" s="101">
        <f>IF(ISNUMBER(G185), $B199 * H185, "")</f>
        <v>0</v>
      </c>
      <c r="J185" s="15">
        <v>195</v>
      </c>
      <c r="K185" s="32">
        <f t="shared" ref="K185:K188" si="100">IF(ISNUMBER(J185), (J185 - $B185) / $B185, "")</f>
        <v>-5.1020408163265302E-3</v>
      </c>
      <c r="L185" s="18">
        <f>IF(ISNUMBER(J185), $B199 * K185, "")</f>
        <v>-510.20408163265301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8"/>
      <c r="R185" s="238"/>
      <c r="S185" s="238"/>
    </row>
    <row r="186" spans="1:19" ht="17.25" thickBot="1">
      <c r="A186" s="125" t="s">
        <v>190</v>
      </c>
      <c r="B186" s="126">
        <v>19.600000000000001</v>
      </c>
      <c r="C186" s="77">
        <v>-3.4482758600000003E-2</v>
      </c>
      <c r="D186" s="15">
        <v>19.5</v>
      </c>
      <c r="E186" s="32">
        <f t="shared" si="98"/>
        <v>-5.1020408163266031E-3</v>
      </c>
      <c r="F186" s="18">
        <f>IF(ISNUMBER(D186), $B199 * E186, "")</f>
        <v>-510.20408163266029</v>
      </c>
      <c r="G186" s="31">
        <v>19.8</v>
      </c>
      <c r="H186" s="32">
        <f t="shared" si="99"/>
        <v>1.0204081632653024E-2</v>
      </c>
      <c r="I186" s="101">
        <f>IF(ISNUMBER(G186), $B199 * H186, "")</f>
        <v>1020.4081632653024</v>
      </c>
      <c r="J186" s="15">
        <v>19.600000000000001</v>
      </c>
      <c r="K186" s="32">
        <f t="shared" si="100"/>
        <v>0</v>
      </c>
      <c r="L186" s="18">
        <f>IF(ISNUMBER(J186), $B199 * K186, "")</f>
        <v>0</v>
      </c>
      <c r="M186" s="31"/>
      <c r="N186" s="32" t="str">
        <f t="shared" si="101"/>
        <v/>
      </c>
      <c r="O186" s="18" t="str">
        <f>IF(ISNUMBER(M186), $B199 * N186, "")</f>
        <v/>
      </c>
      <c r="Q186" s="238"/>
      <c r="R186" s="238"/>
      <c r="S186" s="238"/>
    </row>
    <row r="187" spans="1:19" ht="17.25" thickBot="1">
      <c r="A187" s="125" t="s">
        <v>150</v>
      </c>
      <c r="B187" s="126">
        <v>13.8</v>
      </c>
      <c r="C187" s="77">
        <v>-3.4965034999999998E-2</v>
      </c>
      <c r="D187" s="15">
        <v>13.2</v>
      </c>
      <c r="E187" s="32">
        <f t="shared" si="98"/>
        <v>-4.347826086956532E-2</v>
      </c>
      <c r="F187" s="18">
        <f>IF(ISNUMBER(D187), $B199 * E187, "")</f>
        <v>-4347.826086956532</v>
      </c>
      <c r="G187" s="31">
        <v>13.4</v>
      </c>
      <c r="H187" s="32">
        <f t="shared" si="99"/>
        <v>-2.8985507246376836E-2</v>
      </c>
      <c r="I187" s="101">
        <f>IF(ISNUMBER(G187), $B199 * H187, "")</f>
        <v>-2898.5507246376837</v>
      </c>
      <c r="J187" s="15">
        <v>13.2</v>
      </c>
      <c r="K187" s="32">
        <f t="shared" si="100"/>
        <v>-4.347826086956532E-2</v>
      </c>
      <c r="L187" s="18">
        <f>IF(ISNUMBER(J187), $B199 * K187, "")</f>
        <v>-4347.826086956532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172</v>
      </c>
      <c r="B188" s="131">
        <v>3525</v>
      </c>
      <c r="C188" s="79">
        <v>-3.6885245900000002E-2</v>
      </c>
      <c r="D188" s="24">
        <v>3420</v>
      </c>
      <c r="E188" s="25">
        <f t="shared" si="98"/>
        <v>-2.9787234042553193E-2</v>
      </c>
      <c r="F188" s="104">
        <f>IF(ISNUMBER(D188), $B199 * E188, "")</f>
        <v>-2978.7234042553191</v>
      </c>
      <c r="G188" s="102">
        <v>3450</v>
      </c>
      <c r="H188" s="25">
        <f t="shared" si="99"/>
        <v>-2.1276595744680851E-2</v>
      </c>
      <c r="I188" s="103">
        <f>IF(ISNUMBER(G188), $B199 * H188, "")</f>
        <v>-2127.6595744680849</v>
      </c>
      <c r="J188" s="24">
        <v>3440</v>
      </c>
      <c r="K188" s="25">
        <f t="shared" si="100"/>
        <v>-2.4113475177304965E-2</v>
      </c>
      <c r="L188" s="104">
        <f>IF(ISNUMBER(J188), $B199 * K188, "")</f>
        <v>-2411.3475177304963</v>
      </c>
      <c r="M188" s="102"/>
      <c r="N188" s="25" t="str">
        <f t="shared" si="101"/>
        <v/>
      </c>
      <c r="O188" s="104" t="str">
        <f>IF(ISNUMBER(M188), $B199 * N188, "")</f>
        <v/>
      </c>
      <c r="Q188" s="239"/>
      <c r="R188" s="240"/>
      <c r="S188" s="241"/>
    </row>
    <row r="189" spans="1:19">
      <c r="A189" s="123" t="s">
        <v>210</v>
      </c>
      <c r="B189" s="124">
        <v>12.8</v>
      </c>
      <c r="C189" s="76">
        <v>-3.7593985000000003E-2</v>
      </c>
      <c r="D189" s="13">
        <v>12.6</v>
      </c>
      <c r="E189" s="14">
        <f>IF(ISNUMBER(D189), (D189 - $B189) / $B189, "")</f>
        <v>-1.5625000000000083E-2</v>
      </c>
      <c r="F189" s="16">
        <f>IF(ISNUMBER(D189), $B199 * E189, "")</f>
        <v>-1562.5000000000084</v>
      </c>
      <c r="G189" s="29">
        <v>12.7</v>
      </c>
      <c r="H189" s="14">
        <f>IF(ISNUMBER(G189), (G189 - $B189) / $B189, "")</f>
        <v>-7.812500000000111E-3</v>
      </c>
      <c r="I189" s="100">
        <f>IF(ISNUMBER(G189), $B199 * H189, "")</f>
        <v>-781.25000000001114</v>
      </c>
      <c r="J189" s="13">
        <v>12.7</v>
      </c>
      <c r="K189" s="14">
        <f>IF(ISNUMBER(J189), (J189 - $B189) / $B189, "")</f>
        <v>-7.812500000000111E-3</v>
      </c>
      <c r="L189" s="16">
        <f>IF(ISNUMBER(J189), $B199 * K189, "")</f>
        <v>-781.25000000001114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2"/>
      <c r="R189" s="243"/>
      <c r="S189" s="244"/>
    </row>
    <row r="190" spans="1:19" ht="17.25" thickBot="1">
      <c r="A190" s="125" t="s">
        <v>194</v>
      </c>
      <c r="B190" s="126">
        <v>150</v>
      </c>
      <c r="C190" s="77">
        <v>-3.8461538500000003E-2</v>
      </c>
      <c r="D190" s="15">
        <v>148</v>
      </c>
      <c r="E190" s="32">
        <f t="shared" ref="E190:E193" si="102">IF(ISNUMBER(D190), (D190 - $B190) / $B190, "")</f>
        <v>-1.3333333333333334E-2</v>
      </c>
      <c r="F190" s="18">
        <f>IF(ISNUMBER(D190), $B199 * E190, "")</f>
        <v>-1333.3333333333335</v>
      </c>
      <c r="G190" s="31">
        <v>149</v>
      </c>
      <c r="H190" s="32">
        <f t="shared" ref="H190:H193" si="103">IF(ISNUMBER(G190), (G190 - $B190) / $B190, "")</f>
        <v>-6.6666666666666671E-3</v>
      </c>
      <c r="I190" s="101">
        <f>IF(ISNUMBER(G190), $B199 * H190, "")</f>
        <v>-666.66666666666674</v>
      </c>
      <c r="J190" s="15">
        <v>148</v>
      </c>
      <c r="K190" s="32">
        <f t="shared" ref="K190:K193" si="104">IF(ISNUMBER(J190), (J190 - $B190) / $B190, "")</f>
        <v>-1.3333333333333334E-2</v>
      </c>
      <c r="L190" s="18">
        <f>IF(ISNUMBER(J190), $B199 * K190, "")</f>
        <v>-1333.3333333333335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5"/>
      <c r="R190" s="246"/>
      <c r="S190" s="247"/>
    </row>
    <row r="191" spans="1:19" ht="17.25" thickBot="1">
      <c r="A191" s="125" t="s">
        <v>92</v>
      </c>
      <c r="B191" s="126">
        <v>78750</v>
      </c>
      <c r="C191" s="77">
        <v>-3.85789281E-2</v>
      </c>
      <c r="D191" s="15">
        <v>78340</v>
      </c>
      <c r="E191" s="32">
        <f t="shared" si="102"/>
        <v>-5.2063492063492067E-3</v>
      </c>
      <c r="F191" s="18">
        <f>IF(ISNUMBER(D191), $B199 * E191, "")</f>
        <v>-520.63492063492072</v>
      </c>
      <c r="G191" s="31">
        <v>79030</v>
      </c>
      <c r="H191" s="32">
        <f t="shared" si="103"/>
        <v>3.5555555555555557E-3</v>
      </c>
      <c r="I191" s="101">
        <f>IF(ISNUMBER(G191), $B199 * H191, "")</f>
        <v>355.5555555555556</v>
      </c>
      <c r="J191" s="15">
        <v>78800</v>
      </c>
      <c r="K191" s="32">
        <f t="shared" si="104"/>
        <v>6.3492063492063492E-4</v>
      </c>
      <c r="L191" s="18">
        <f>IF(ISNUMBER(J191), $B199 * K191, "")</f>
        <v>63.492063492063494</v>
      </c>
      <c r="M191" s="31"/>
      <c r="N191" s="32" t="str">
        <f t="shared" si="105"/>
        <v/>
      </c>
      <c r="O191" s="18" t="str">
        <f>IF(ISNUMBER(M191), $B199 * N191, "")</f>
        <v/>
      </c>
      <c r="Q191" s="238"/>
      <c r="R191" s="238"/>
      <c r="S191" s="238"/>
    </row>
    <row r="192" spans="1:19" ht="17.25" thickBot="1">
      <c r="A192" s="125" t="s">
        <v>230</v>
      </c>
      <c r="B192" s="126">
        <v>217</v>
      </c>
      <c r="C192" s="77">
        <v>-3.9823008799999997E-2</v>
      </c>
      <c r="D192" s="15">
        <v>215</v>
      </c>
      <c r="E192" s="32">
        <f t="shared" si="102"/>
        <v>-9.2165898617511521E-3</v>
      </c>
      <c r="F192" s="18">
        <f>IF(ISNUMBER(D192), $B199 * E192, "")</f>
        <v>-921.65898617511516</v>
      </c>
      <c r="G192" s="31">
        <v>217</v>
      </c>
      <c r="H192" s="32">
        <f t="shared" si="103"/>
        <v>0</v>
      </c>
      <c r="I192" s="101">
        <f>IF(ISNUMBER(G192), $B199 * H192, "")</f>
        <v>0</v>
      </c>
      <c r="J192" s="15">
        <v>218</v>
      </c>
      <c r="K192" s="32">
        <f t="shared" si="104"/>
        <v>4.608294930875576E-3</v>
      </c>
      <c r="L192" s="18">
        <f>IF(ISNUMBER(J192), $B199 * K192, "")</f>
        <v>460.82949308755758</v>
      </c>
      <c r="M192" s="31"/>
      <c r="N192" s="32" t="str">
        <f t="shared" si="105"/>
        <v/>
      </c>
      <c r="O192" s="18" t="str">
        <f>IF(ISNUMBER(M192), $B199 * N192, "")</f>
        <v/>
      </c>
      <c r="Q192" s="248"/>
      <c r="R192" s="248"/>
      <c r="S192" s="248"/>
    </row>
    <row r="193" spans="1:19" ht="17.25" thickBot="1">
      <c r="A193" s="127" t="s">
        <v>266</v>
      </c>
      <c r="B193" s="128">
        <v>381</v>
      </c>
      <c r="C193" s="78">
        <v>-4.0302267000000003E-2</v>
      </c>
      <c r="D193" s="20">
        <v>387</v>
      </c>
      <c r="E193" s="21">
        <f t="shared" si="102"/>
        <v>1.5748031496062992E-2</v>
      </c>
      <c r="F193" s="22">
        <f>IF(ISNUMBER(D193), $B199 * E193, "")</f>
        <v>1574.8031496062993</v>
      </c>
      <c r="G193" s="30">
        <v>390</v>
      </c>
      <c r="H193" s="21">
        <f t="shared" si="103"/>
        <v>2.3622047244094488E-2</v>
      </c>
      <c r="I193" s="105">
        <f>IF(ISNUMBER(G193), $B199 * H193, "")</f>
        <v>2362.2047244094488</v>
      </c>
      <c r="J193" s="20">
        <v>385</v>
      </c>
      <c r="K193" s="21">
        <f t="shared" si="104"/>
        <v>1.0498687664041995E-2</v>
      </c>
      <c r="L193" s="22">
        <f>IF(ISNUMBER(J193), $B199 * K193, "")</f>
        <v>1049.8687664041995</v>
      </c>
      <c r="M193" s="30"/>
      <c r="N193" s="21" t="str">
        <f t="shared" si="105"/>
        <v/>
      </c>
      <c r="O193" s="22" t="str">
        <f>IF(ISNUMBER(M193), $B199 * N193, "")</f>
        <v/>
      </c>
      <c r="Q193" s="248"/>
      <c r="R193" s="248"/>
      <c r="S193" s="248"/>
    </row>
    <row r="194" spans="1:19" ht="17.25" thickBot="1">
      <c r="A194" s="125" t="s">
        <v>186</v>
      </c>
      <c r="B194" s="129">
        <v>10100</v>
      </c>
      <c r="C194" s="80">
        <v>-4.1745730600000003E-2</v>
      </c>
      <c r="D194" s="106">
        <v>10100</v>
      </c>
      <c r="E194" s="107">
        <f>IF(ISNUMBER(D194), (D194 - $B194) / $B194, "")</f>
        <v>0</v>
      </c>
      <c r="F194" s="108">
        <f>IF(ISNUMBER(D194), $B199 * E194, "")</f>
        <v>0</v>
      </c>
      <c r="G194" s="109">
        <v>10060</v>
      </c>
      <c r="H194" s="107">
        <f>IF(ISNUMBER(G194), (G194 - $B194) / $B194, "")</f>
        <v>-3.9603960396039604E-3</v>
      </c>
      <c r="I194" s="110">
        <f>IF(ISNUMBER(G194), $B199 * H194, "")</f>
        <v>-396.03960396039605</v>
      </c>
      <c r="J194" s="106">
        <v>10130</v>
      </c>
      <c r="K194" s="107">
        <f>IF(ISNUMBER(J194), (J194 - $B194) / $B194, "")</f>
        <v>2.9702970297029703E-3</v>
      </c>
      <c r="L194" s="108">
        <f>IF(ISNUMBER(J194), $B199 * K194, "")</f>
        <v>297.02970297029702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8"/>
      <c r="R194" s="238"/>
      <c r="S194" s="238"/>
    </row>
    <row r="195" spans="1:19" ht="17.25" thickBot="1">
      <c r="A195" s="125" t="s">
        <v>158</v>
      </c>
      <c r="B195" s="126">
        <v>27740</v>
      </c>
      <c r="C195" s="77">
        <v>-4.1796200300000003E-2</v>
      </c>
      <c r="D195" s="15">
        <v>27980</v>
      </c>
      <c r="E195" s="32">
        <f t="shared" ref="E195:E198" si="106">IF(ISNUMBER(D195), (D195 - $B195) / $B195, "")</f>
        <v>8.6517664023071372E-3</v>
      </c>
      <c r="F195" s="18">
        <f>IF(ISNUMBER(D195), $B199 * E195, "")</f>
        <v>865.1766402307137</v>
      </c>
      <c r="G195" s="31">
        <v>28060</v>
      </c>
      <c r="H195" s="32">
        <f t="shared" ref="H195:H198" si="107">IF(ISNUMBER(G195), (G195 - $B195) / $B195, "")</f>
        <v>1.1535688536409516E-2</v>
      </c>
      <c r="I195" s="101">
        <f>IF(ISNUMBER(G195), $B199 * H195, "")</f>
        <v>1153.5688536409516</v>
      </c>
      <c r="J195" s="15">
        <v>28120</v>
      </c>
      <c r="K195" s="32">
        <f t="shared" ref="K195:K198" si="108">IF(ISNUMBER(J195), (J195 - $B195) / $B195, "")</f>
        <v>1.3698630136986301E-2</v>
      </c>
      <c r="L195" s="18">
        <f>IF(ISNUMBER(J195), $B199 * K195, "")</f>
        <v>1369.8630136986301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8"/>
      <c r="R195" s="238"/>
      <c r="S195" s="238"/>
    </row>
    <row r="196" spans="1:19" ht="17.25" thickBot="1">
      <c r="A196" s="125" t="s">
        <v>120</v>
      </c>
      <c r="B196" s="126">
        <v>5380</v>
      </c>
      <c r="C196" s="77">
        <v>-4.3555555599999997E-2</v>
      </c>
      <c r="D196" s="15">
        <v>5165</v>
      </c>
      <c r="E196" s="32">
        <f t="shared" si="106"/>
        <v>-3.9962825278810406E-2</v>
      </c>
      <c r="F196" s="18">
        <f>IF(ISNUMBER(D196), $B199 * E196, "")</f>
        <v>-3996.2825278810406</v>
      </c>
      <c r="G196" s="31">
        <v>5195</v>
      </c>
      <c r="H196" s="32">
        <f t="shared" si="107"/>
        <v>-3.4386617100371747E-2</v>
      </c>
      <c r="I196" s="101">
        <f>IF(ISNUMBER(G196), $B199 * H196, "")</f>
        <v>-3438.6617100371745</v>
      </c>
      <c r="J196" s="15">
        <v>5275</v>
      </c>
      <c r="K196" s="32">
        <f t="shared" si="108"/>
        <v>-1.9516728624535316E-2</v>
      </c>
      <c r="L196" s="18">
        <f>IF(ISNUMBER(J196), $B199 * K196, "")</f>
        <v>-1951.6728624535317</v>
      </c>
      <c r="M196" s="31"/>
      <c r="N196" s="32" t="str">
        <f t="shared" si="109"/>
        <v/>
      </c>
      <c r="O196" s="18" t="str">
        <f>IF(ISNUMBER(M196), $B199 * N196, "")</f>
        <v/>
      </c>
      <c r="Q196" s="238"/>
      <c r="R196" s="238"/>
      <c r="S196" s="238"/>
    </row>
    <row r="197" spans="1:19">
      <c r="A197" s="125" t="s">
        <v>90</v>
      </c>
      <c r="B197" s="126">
        <v>1425</v>
      </c>
      <c r="C197" s="77">
        <v>-4.3624161100000003E-2</v>
      </c>
      <c r="D197" s="15">
        <v>1390</v>
      </c>
      <c r="E197" s="32">
        <f t="shared" si="106"/>
        <v>-2.456140350877193E-2</v>
      </c>
      <c r="F197" s="18">
        <f>IF(ISNUMBER(D197), $B199 * E197, "")</f>
        <v>-2456.1403508771928</v>
      </c>
      <c r="G197" s="31">
        <v>1405</v>
      </c>
      <c r="H197" s="32">
        <f t="shared" si="107"/>
        <v>-1.4035087719298246E-2</v>
      </c>
      <c r="I197" s="101">
        <f>IF(ISNUMBER(G197), $B199 * H197, "")</f>
        <v>-1403.5087719298247</v>
      </c>
      <c r="J197" s="15">
        <v>1405</v>
      </c>
      <c r="K197" s="32">
        <f t="shared" si="108"/>
        <v>-1.4035087719298246E-2</v>
      </c>
      <c r="L197" s="18">
        <f>IF(ISNUMBER(J197), $B199 * K197, "")</f>
        <v>-1403.5087719298247</v>
      </c>
      <c r="M197" s="31"/>
      <c r="N197" s="32" t="str">
        <f t="shared" si="109"/>
        <v/>
      </c>
      <c r="O197" s="18" t="str">
        <f>IF(ISNUMBER(M197), $B199 * N197, "")</f>
        <v/>
      </c>
      <c r="Q197" s="227"/>
      <c r="R197" s="228"/>
      <c r="S197" s="229"/>
    </row>
    <row r="198" spans="1:19" ht="17.25" thickBot="1">
      <c r="A198" s="130" t="s">
        <v>100</v>
      </c>
      <c r="B198" s="131">
        <v>83010</v>
      </c>
      <c r="C198" s="79">
        <v>-5.0011444299999999E-2</v>
      </c>
      <c r="D198" s="24">
        <v>81480</v>
      </c>
      <c r="E198" s="25">
        <f t="shared" si="106"/>
        <v>-1.8431514275388507E-2</v>
      </c>
      <c r="F198" s="104">
        <f>IF(ISNUMBER(D198), $B199 * E198, "")</f>
        <v>-1843.1514275388506</v>
      </c>
      <c r="G198" s="102">
        <v>82150</v>
      </c>
      <c r="H198" s="25">
        <f t="shared" si="107"/>
        <v>-1.0360197566558246E-2</v>
      </c>
      <c r="I198" s="103">
        <f>IF(ISNUMBER(G198), $B199 * H198, "")</f>
        <v>-1036.0197566558247</v>
      </c>
      <c r="J198" s="24">
        <v>82070</v>
      </c>
      <c r="K198" s="25">
        <f t="shared" si="108"/>
        <v>-1.1323936875075291E-2</v>
      </c>
      <c r="L198" s="104">
        <f>IF(ISNUMBER(J198), $B199 * K198, "")</f>
        <v>-1132.3936875075292</v>
      </c>
      <c r="M198" s="102"/>
      <c r="N198" s="25" t="str">
        <f t="shared" si="109"/>
        <v/>
      </c>
      <c r="O198" s="104" t="str">
        <f>IF(ISNUMBER(M198), $B199 * N198, "")</f>
        <v/>
      </c>
      <c r="Q198" s="230"/>
      <c r="R198" s="231"/>
      <c r="S198" s="232"/>
    </row>
    <row r="199" spans="1:19" ht="17.25" thickBot="1">
      <c r="A199" s="132" t="s">
        <v>270</v>
      </c>
      <c r="B199" s="291">
        <f>$B$37</f>
        <v>100000</v>
      </c>
      <c r="C199" s="292"/>
      <c r="D199" s="26" t="s">
        <v>271</v>
      </c>
      <c r="E199" s="27">
        <f>IF(COUNT(E179:E198), SUM(E179:E198) / COUNT(E179:E198), 0)</f>
        <v>-1.3665546104111987E-2</v>
      </c>
      <c r="F199" s="28">
        <f>SUM(F179:F198)</f>
        <v>-27331.092208223967</v>
      </c>
      <c r="G199" s="26" t="s">
        <v>271</v>
      </c>
      <c r="H199" s="27">
        <f>IF(COUNT(H179:H198), SUM(H179:H198) / COUNT(H179:H198), 0)</f>
        <v>-5.4788503377868145E-3</v>
      </c>
      <c r="I199" s="28">
        <f>SUM(I179:I198)</f>
        <v>-10957.700675573631</v>
      </c>
      <c r="J199" s="26" t="s">
        <v>271</v>
      </c>
      <c r="K199" s="27">
        <f>IF(COUNT(K179:K198), SUM(K179:K198) / COUNT(K179:K198), 0)</f>
        <v>-6.612456965445007E-3</v>
      </c>
      <c r="L199" s="28">
        <f>SUM(L179:L198)</f>
        <v>-13224.913930890016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33"/>
      <c r="R199" s="234"/>
      <c r="S199" s="23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22</vt:i4>
      </vt:variant>
    </vt:vector>
  </HeadingPairs>
  <TitlesOfParts>
    <vt:vector size="22" baseType="lpstr">
      <vt:lpstr>투자전략(조건부서식초기화)</vt:lpstr>
      <vt:lpstr>투자전략</vt:lpstr>
      <vt:lpstr>현재가테이블</vt:lpstr>
      <vt:lpstr>종목선정</vt:lpstr>
      <vt:lpstr>월말결산</vt:lpstr>
      <vt:lpstr>2021.08.01</vt:lpstr>
      <vt:lpstr>2021.08.02</vt:lpstr>
      <vt:lpstr>2021.08.03</vt:lpstr>
      <vt:lpstr>2021.08.04</vt:lpstr>
      <vt:lpstr>2021.08.05</vt:lpstr>
      <vt:lpstr>2021.08.06</vt:lpstr>
      <vt:lpstr>2021.08.07</vt:lpstr>
      <vt:lpstr>2021.08.08</vt:lpstr>
      <vt:lpstr>2021.08.09</vt:lpstr>
      <vt:lpstr>2021.08.10</vt:lpstr>
      <vt:lpstr>2021.08.11</vt:lpstr>
      <vt:lpstr>2021.08.12</vt:lpstr>
      <vt:lpstr>2021.08.13</vt:lpstr>
      <vt:lpstr>2021.08.14</vt:lpstr>
      <vt:lpstr>2021.08.15</vt:lpstr>
      <vt:lpstr>2021.08.16</vt:lpstr>
      <vt:lpstr>2021.08.17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2021-08-17T12:02:37Z</dcterms:modified>
</cp:coreProperties>
</file>