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D7552DFD-C8D7-48D7-B557-1C31B73B04F9}" xr6:coauthVersionLast="47" xr6:coauthVersionMax="47" xr10:uidLastSave="{00000000-0000-0000-0000-000000000000}"/>
  <bookViews>
    <workbookView xWindow="-120" yWindow="-120" windowWidth="29040" windowHeight="15840" firstSheet="8" activeTab="17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  <sheet name="2021.06.09" sheetId="32" r:id="rId14"/>
    <sheet name="2021.06.10" sheetId="33" r:id="rId15"/>
    <sheet name="2021.06.11" sheetId="34" r:id="rId16"/>
    <sheet name="2021.06.12" sheetId="35" r:id="rId17"/>
    <sheet name="2021.06.13" sheetId="36" r:id="rId18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13" hidden="1">'2021.06.09'!#REF!</definedName>
    <definedName name="_xlnm._FilterDatabase" localSheetId="14" hidden="1">'2021.06.10'!#REF!</definedName>
    <definedName name="_xlnm._FilterDatabase" localSheetId="15" hidden="1">'2021.06.11'!#REF!</definedName>
    <definedName name="_xlnm._FilterDatabase" localSheetId="16" hidden="1">'2021.06.12'!#REF!</definedName>
    <definedName name="_xlnm._FilterDatabase" localSheetId="17" hidden="1">'2021.06.13'!#REF!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6" l="1"/>
  <c r="O198" i="36"/>
  <c r="N198" i="36"/>
  <c r="L198" i="36"/>
  <c r="K198" i="36"/>
  <c r="I198" i="36"/>
  <c r="H198" i="36"/>
  <c r="F198" i="36"/>
  <c r="E198" i="36"/>
  <c r="O197" i="36"/>
  <c r="N197" i="36"/>
  <c r="L197" i="36"/>
  <c r="K197" i="36"/>
  <c r="I197" i="36"/>
  <c r="H197" i="36"/>
  <c r="F197" i="36"/>
  <c r="E197" i="36"/>
  <c r="O196" i="36"/>
  <c r="N196" i="36"/>
  <c r="L196" i="36"/>
  <c r="K196" i="36"/>
  <c r="I196" i="36"/>
  <c r="H196" i="36"/>
  <c r="F196" i="36"/>
  <c r="E196" i="36"/>
  <c r="O195" i="36"/>
  <c r="N195" i="36"/>
  <c r="L195" i="36"/>
  <c r="K195" i="36"/>
  <c r="I195" i="36"/>
  <c r="H195" i="36"/>
  <c r="F195" i="36"/>
  <c r="E195" i="36"/>
  <c r="O194" i="36"/>
  <c r="N194" i="36"/>
  <c r="L194" i="36"/>
  <c r="K194" i="36"/>
  <c r="I194" i="36"/>
  <c r="H194" i="36"/>
  <c r="F194" i="36"/>
  <c r="E194" i="36"/>
  <c r="O193" i="36"/>
  <c r="N193" i="36"/>
  <c r="L193" i="36"/>
  <c r="K193" i="36"/>
  <c r="I193" i="36"/>
  <c r="H193" i="36"/>
  <c r="F193" i="36"/>
  <c r="E193" i="36"/>
  <c r="O192" i="36"/>
  <c r="N192" i="36"/>
  <c r="L192" i="36"/>
  <c r="K192" i="36"/>
  <c r="I192" i="36"/>
  <c r="H192" i="36"/>
  <c r="F192" i="36"/>
  <c r="E192" i="36"/>
  <c r="O191" i="36"/>
  <c r="N191" i="36"/>
  <c r="L191" i="36"/>
  <c r="K191" i="36"/>
  <c r="I191" i="36"/>
  <c r="H191" i="36"/>
  <c r="F191" i="36"/>
  <c r="E191" i="36"/>
  <c r="O190" i="36"/>
  <c r="N190" i="36"/>
  <c r="L190" i="36"/>
  <c r="K190" i="36"/>
  <c r="I190" i="36"/>
  <c r="H190" i="36"/>
  <c r="F190" i="36"/>
  <c r="E190" i="36"/>
  <c r="O189" i="36"/>
  <c r="N189" i="36"/>
  <c r="L189" i="36"/>
  <c r="K189" i="36"/>
  <c r="I189" i="36"/>
  <c r="H189" i="36"/>
  <c r="F189" i="36"/>
  <c r="E189" i="36"/>
  <c r="O188" i="36"/>
  <c r="N188" i="36"/>
  <c r="L188" i="36"/>
  <c r="K188" i="36"/>
  <c r="I188" i="36"/>
  <c r="H188" i="36"/>
  <c r="F188" i="36"/>
  <c r="E188" i="36"/>
  <c r="O187" i="36"/>
  <c r="N187" i="36"/>
  <c r="L187" i="36"/>
  <c r="K187" i="36"/>
  <c r="I187" i="36"/>
  <c r="H187" i="36"/>
  <c r="F187" i="36"/>
  <c r="E187" i="36"/>
  <c r="O186" i="36"/>
  <c r="N186" i="36"/>
  <c r="L186" i="36"/>
  <c r="K186" i="36"/>
  <c r="I186" i="36"/>
  <c r="H186" i="36"/>
  <c r="F186" i="36"/>
  <c r="E186" i="36"/>
  <c r="O185" i="36"/>
  <c r="N185" i="36"/>
  <c r="L185" i="36"/>
  <c r="K185" i="36"/>
  <c r="I185" i="36"/>
  <c r="H185" i="36"/>
  <c r="F185" i="36"/>
  <c r="E185" i="36"/>
  <c r="O184" i="36"/>
  <c r="N184" i="36"/>
  <c r="L184" i="36"/>
  <c r="K184" i="36"/>
  <c r="I184" i="36"/>
  <c r="H184" i="36"/>
  <c r="F184" i="36"/>
  <c r="E184" i="36"/>
  <c r="O183" i="36"/>
  <c r="N183" i="36"/>
  <c r="L183" i="36"/>
  <c r="K183" i="36"/>
  <c r="I183" i="36"/>
  <c r="H183" i="36"/>
  <c r="F183" i="36"/>
  <c r="E183" i="36"/>
  <c r="O182" i="36"/>
  <c r="N182" i="36"/>
  <c r="L182" i="36"/>
  <c r="K182" i="36"/>
  <c r="I182" i="36"/>
  <c r="H182" i="36"/>
  <c r="F182" i="36"/>
  <c r="E182" i="36"/>
  <c r="O181" i="36"/>
  <c r="N181" i="36"/>
  <c r="L181" i="36"/>
  <c r="K181" i="36"/>
  <c r="I181" i="36"/>
  <c r="H181" i="36"/>
  <c r="F181" i="36"/>
  <c r="E181" i="36"/>
  <c r="O180" i="36"/>
  <c r="N180" i="36"/>
  <c r="L180" i="36"/>
  <c r="K180" i="36"/>
  <c r="I180" i="36"/>
  <c r="H180" i="36"/>
  <c r="F180" i="36"/>
  <c r="E180" i="36"/>
  <c r="O179" i="36"/>
  <c r="O199" i="36" s="1"/>
  <c r="N179" i="36"/>
  <c r="N199" i="36" s="1"/>
  <c r="L179" i="36"/>
  <c r="L199" i="36" s="1"/>
  <c r="K179" i="36"/>
  <c r="K199" i="36" s="1"/>
  <c r="I179" i="36"/>
  <c r="I199" i="36" s="1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O171" i="36"/>
  <c r="N171" i="36"/>
  <c r="L171" i="36"/>
  <c r="K171" i="36"/>
  <c r="I171" i="36"/>
  <c r="H171" i="36"/>
  <c r="F171" i="36"/>
  <c r="E171" i="36"/>
  <c r="O170" i="36"/>
  <c r="N170" i="36"/>
  <c r="L170" i="36"/>
  <c r="K170" i="36"/>
  <c r="I170" i="36"/>
  <c r="H170" i="36"/>
  <c r="F170" i="36"/>
  <c r="E170" i="36"/>
  <c r="O169" i="36"/>
  <c r="N169" i="36"/>
  <c r="L169" i="36"/>
  <c r="K169" i="36"/>
  <c r="I169" i="36"/>
  <c r="H169" i="36"/>
  <c r="F169" i="36"/>
  <c r="E169" i="36"/>
  <c r="O168" i="36"/>
  <c r="N168" i="36"/>
  <c r="L168" i="36"/>
  <c r="K168" i="36"/>
  <c r="I168" i="36"/>
  <c r="H168" i="36"/>
  <c r="F168" i="36"/>
  <c r="E168" i="36"/>
  <c r="O167" i="36"/>
  <c r="N167" i="36"/>
  <c r="L167" i="36"/>
  <c r="K167" i="36"/>
  <c r="I167" i="36"/>
  <c r="H167" i="36"/>
  <c r="F167" i="36"/>
  <c r="E167" i="36"/>
  <c r="O166" i="36"/>
  <c r="N166" i="36"/>
  <c r="L166" i="36"/>
  <c r="K166" i="36"/>
  <c r="I166" i="36"/>
  <c r="H166" i="36"/>
  <c r="F166" i="36"/>
  <c r="E166" i="36"/>
  <c r="O165" i="36"/>
  <c r="N165" i="36"/>
  <c r="L165" i="36"/>
  <c r="K165" i="36"/>
  <c r="I165" i="36"/>
  <c r="H165" i="36"/>
  <c r="F165" i="36"/>
  <c r="E165" i="36"/>
  <c r="O164" i="36"/>
  <c r="N164" i="36"/>
  <c r="L164" i="36"/>
  <c r="K164" i="36"/>
  <c r="I164" i="36"/>
  <c r="H164" i="36"/>
  <c r="F164" i="36"/>
  <c r="E164" i="36"/>
  <c r="O163" i="36"/>
  <c r="N163" i="36"/>
  <c r="L163" i="36"/>
  <c r="K163" i="36"/>
  <c r="I163" i="36"/>
  <c r="H163" i="36"/>
  <c r="F163" i="36"/>
  <c r="E163" i="36"/>
  <c r="O162" i="36"/>
  <c r="N162" i="36"/>
  <c r="L162" i="36"/>
  <c r="K162" i="36"/>
  <c r="I162" i="36"/>
  <c r="H162" i="36"/>
  <c r="F162" i="36"/>
  <c r="E162" i="36"/>
  <c r="O161" i="36"/>
  <c r="N161" i="36"/>
  <c r="L161" i="36"/>
  <c r="K161" i="36"/>
  <c r="I161" i="36"/>
  <c r="H161" i="36"/>
  <c r="F161" i="36"/>
  <c r="E161" i="36"/>
  <c r="O160" i="36"/>
  <c r="N160" i="36"/>
  <c r="L160" i="36"/>
  <c r="K160" i="36"/>
  <c r="I160" i="36"/>
  <c r="H160" i="36"/>
  <c r="F160" i="36"/>
  <c r="E160" i="36"/>
  <c r="O159" i="36"/>
  <c r="N159" i="36"/>
  <c r="L159" i="36"/>
  <c r="K159" i="36"/>
  <c r="I159" i="36"/>
  <c r="H159" i="36"/>
  <c r="F159" i="36"/>
  <c r="E159" i="36"/>
  <c r="O158" i="36"/>
  <c r="N158" i="36"/>
  <c r="L158" i="36"/>
  <c r="K158" i="36"/>
  <c r="I158" i="36"/>
  <c r="H158" i="36"/>
  <c r="F158" i="36"/>
  <c r="E158" i="36"/>
  <c r="O157" i="36"/>
  <c r="N157" i="36"/>
  <c r="L157" i="36"/>
  <c r="K157" i="36"/>
  <c r="I157" i="36"/>
  <c r="H157" i="36"/>
  <c r="F157" i="36"/>
  <c r="E157" i="36"/>
  <c r="O156" i="36"/>
  <c r="N156" i="36"/>
  <c r="L156" i="36"/>
  <c r="K156" i="36"/>
  <c r="I156" i="36"/>
  <c r="H156" i="36"/>
  <c r="F156" i="36"/>
  <c r="E156" i="36"/>
  <c r="O155" i="36"/>
  <c r="N155" i="36"/>
  <c r="L155" i="36"/>
  <c r="K155" i="36"/>
  <c r="I155" i="36"/>
  <c r="H155" i="36"/>
  <c r="F155" i="36"/>
  <c r="E155" i="36"/>
  <c r="O154" i="36"/>
  <c r="N154" i="36"/>
  <c r="L154" i="36"/>
  <c r="K154" i="36"/>
  <c r="I154" i="36"/>
  <c r="H154" i="36"/>
  <c r="F154" i="36"/>
  <c r="E154" i="36"/>
  <c r="O153" i="36"/>
  <c r="N153" i="36"/>
  <c r="L153" i="36"/>
  <c r="K153" i="36"/>
  <c r="I153" i="36"/>
  <c r="H153" i="36"/>
  <c r="F153" i="36"/>
  <c r="E153" i="36"/>
  <c r="O152" i="36"/>
  <c r="O172" i="36" s="1"/>
  <c r="N152" i="36"/>
  <c r="N172" i="36" s="1"/>
  <c r="L152" i="36"/>
  <c r="L172" i="36" s="1"/>
  <c r="K152" i="36"/>
  <c r="K172" i="36" s="1"/>
  <c r="I152" i="36"/>
  <c r="I172" i="36" s="1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N145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I140" i="36"/>
  <c r="H140" i="36"/>
  <c r="F140" i="36"/>
  <c r="E140" i="36"/>
  <c r="O139" i="36"/>
  <c r="N139" i="36"/>
  <c r="L139" i="36"/>
  <c r="K139" i="36"/>
  <c r="I139" i="36"/>
  <c r="H139" i="36"/>
  <c r="F139" i="36"/>
  <c r="E139" i="36"/>
  <c r="O138" i="36"/>
  <c r="N138" i="36"/>
  <c r="L138" i="36"/>
  <c r="K138" i="36"/>
  <c r="I138" i="36"/>
  <c r="H138" i="36"/>
  <c r="F138" i="36"/>
  <c r="E138" i="36"/>
  <c r="O137" i="36"/>
  <c r="N137" i="36"/>
  <c r="L137" i="36"/>
  <c r="K137" i="36"/>
  <c r="I137" i="36"/>
  <c r="H137" i="36"/>
  <c r="F137" i="36"/>
  <c r="E137" i="36"/>
  <c r="O136" i="36"/>
  <c r="N136" i="36"/>
  <c r="L136" i="36"/>
  <c r="K136" i="36"/>
  <c r="I136" i="36"/>
  <c r="H136" i="36"/>
  <c r="F136" i="36"/>
  <c r="E136" i="36"/>
  <c r="O135" i="36"/>
  <c r="N135" i="36"/>
  <c r="L135" i="36"/>
  <c r="K135" i="36"/>
  <c r="I135" i="36"/>
  <c r="H135" i="36"/>
  <c r="F135" i="36"/>
  <c r="E135" i="36"/>
  <c r="O134" i="36"/>
  <c r="N134" i="36"/>
  <c r="L134" i="36"/>
  <c r="K134" i="36"/>
  <c r="I134" i="36"/>
  <c r="H134" i="36"/>
  <c r="F134" i="36"/>
  <c r="E134" i="36"/>
  <c r="O133" i="36"/>
  <c r="N133" i="36"/>
  <c r="L133" i="36"/>
  <c r="K133" i="36"/>
  <c r="I133" i="36"/>
  <c r="H133" i="36"/>
  <c r="F133" i="36"/>
  <c r="E133" i="36"/>
  <c r="O132" i="36"/>
  <c r="N132" i="36"/>
  <c r="L132" i="36"/>
  <c r="K132" i="36"/>
  <c r="I132" i="36"/>
  <c r="H132" i="36"/>
  <c r="F132" i="36"/>
  <c r="E132" i="36"/>
  <c r="O131" i="36"/>
  <c r="N131" i="36"/>
  <c r="L131" i="36"/>
  <c r="K131" i="36"/>
  <c r="I131" i="36"/>
  <c r="H131" i="36"/>
  <c r="F131" i="36"/>
  <c r="E131" i="36"/>
  <c r="O130" i="36"/>
  <c r="N130" i="36"/>
  <c r="L130" i="36"/>
  <c r="K130" i="36"/>
  <c r="I130" i="36"/>
  <c r="H130" i="36"/>
  <c r="F130" i="36"/>
  <c r="E130" i="36"/>
  <c r="O129" i="36"/>
  <c r="N129" i="36"/>
  <c r="L129" i="36"/>
  <c r="K129" i="36"/>
  <c r="I129" i="36"/>
  <c r="H129" i="36"/>
  <c r="F129" i="36"/>
  <c r="E129" i="36"/>
  <c r="O128" i="36"/>
  <c r="N128" i="36"/>
  <c r="L128" i="36"/>
  <c r="K128" i="36"/>
  <c r="I128" i="36"/>
  <c r="H128" i="36"/>
  <c r="F128" i="36"/>
  <c r="E128" i="36"/>
  <c r="O127" i="36"/>
  <c r="N127" i="36"/>
  <c r="L127" i="36"/>
  <c r="K127" i="36"/>
  <c r="I127" i="36"/>
  <c r="H127" i="36"/>
  <c r="F127" i="36"/>
  <c r="E127" i="36"/>
  <c r="O126" i="36"/>
  <c r="N126" i="36"/>
  <c r="L126" i="36"/>
  <c r="K126" i="36"/>
  <c r="I126" i="36"/>
  <c r="H126" i="36"/>
  <c r="F126" i="36"/>
  <c r="E126" i="36"/>
  <c r="O125" i="36"/>
  <c r="O145" i="36" s="1"/>
  <c r="N125" i="36"/>
  <c r="L125" i="36"/>
  <c r="L145" i="36" s="1"/>
  <c r="K125" i="36"/>
  <c r="K145" i="36" s="1"/>
  <c r="I125" i="36"/>
  <c r="I145" i="36" s="1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L117" i="36"/>
  <c r="K117" i="36"/>
  <c r="I117" i="36"/>
  <c r="H117" i="36"/>
  <c r="F117" i="36"/>
  <c r="E117" i="36"/>
  <c r="O116" i="36"/>
  <c r="N116" i="36"/>
  <c r="L116" i="36"/>
  <c r="K116" i="36"/>
  <c r="I116" i="36"/>
  <c r="H116" i="36"/>
  <c r="F116" i="36"/>
  <c r="E116" i="36"/>
  <c r="O115" i="36"/>
  <c r="N115" i="36"/>
  <c r="L115" i="36"/>
  <c r="K115" i="36"/>
  <c r="I115" i="36"/>
  <c r="H115" i="36"/>
  <c r="F115" i="36"/>
  <c r="E115" i="36"/>
  <c r="O114" i="36"/>
  <c r="N114" i="36"/>
  <c r="L114" i="36"/>
  <c r="K114" i="36"/>
  <c r="I114" i="36"/>
  <c r="H114" i="36"/>
  <c r="F114" i="36"/>
  <c r="E114" i="36"/>
  <c r="O113" i="36"/>
  <c r="N113" i="36"/>
  <c r="L113" i="36"/>
  <c r="K113" i="36"/>
  <c r="I113" i="36"/>
  <c r="H113" i="36"/>
  <c r="F113" i="36"/>
  <c r="E113" i="36"/>
  <c r="O112" i="36"/>
  <c r="N112" i="36"/>
  <c r="L112" i="36"/>
  <c r="K112" i="36"/>
  <c r="I112" i="36"/>
  <c r="H112" i="36"/>
  <c r="F112" i="36"/>
  <c r="E112" i="36"/>
  <c r="O111" i="36"/>
  <c r="N111" i="36"/>
  <c r="L111" i="36"/>
  <c r="K111" i="36"/>
  <c r="I111" i="36"/>
  <c r="H111" i="36"/>
  <c r="F111" i="36"/>
  <c r="E111" i="36"/>
  <c r="O110" i="36"/>
  <c r="N110" i="36"/>
  <c r="L110" i="36"/>
  <c r="K110" i="36"/>
  <c r="I110" i="36"/>
  <c r="H110" i="36"/>
  <c r="F110" i="36"/>
  <c r="E110" i="36"/>
  <c r="O109" i="36"/>
  <c r="N109" i="36"/>
  <c r="L109" i="36"/>
  <c r="K109" i="36"/>
  <c r="I109" i="36"/>
  <c r="H109" i="36"/>
  <c r="F109" i="36"/>
  <c r="E109" i="36"/>
  <c r="O108" i="36"/>
  <c r="N108" i="36"/>
  <c r="L108" i="36"/>
  <c r="K108" i="36"/>
  <c r="I108" i="36"/>
  <c r="H108" i="36"/>
  <c r="F108" i="36"/>
  <c r="E108" i="36"/>
  <c r="O107" i="36"/>
  <c r="N107" i="36"/>
  <c r="L107" i="36"/>
  <c r="K107" i="36"/>
  <c r="I107" i="36"/>
  <c r="H107" i="36"/>
  <c r="F107" i="36"/>
  <c r="E107" i="36"/>
  <c r="O106" i="36"/>
  <c r="N106" i="36"/>
  <c r="L106" i="36"/>
  <c r="K106" i="36"/>
  <c r="I106" i="36"/>
  <c r="H106" i="36"/>
  <c r="F106" i="36"/>
  <c r="E106" i="36"/>
  <c r="O105" i="36"/>
  <c r="N105" i="36"/>
  <c r="L105" i="36"/>
  <c r="K105" i="36"/>
  <c r="I105" i="36"/>
  <c r="H105" i="36"/>
  <c r="F105" i="36"/>
  <c r="E105" i="36"/>
  <c r="O104" i="36"/>
  <c r="N104" i="36"/>
  <c r="L104" i="36"/>
  <c r="K104" i="36"/>
  <c r="I104" i="36"/>
  <c r="H104" i="36"/>
  <c r="F104" i="36"/>
  <c r="E104" i="36"/>
  <c r="O103" i="36"/>
  <c r="N103" i="36"/>
  <c r="L103" i="36"/>
  <c r="K103" i="36"/>
  <c r="I103" i="36"/>
  <c r="H103" i="36"/>
  <c r="F103" i="36"/>
  <c r="E103" i="36"/>
  <c r="O102" i="36"/>
  <c r="N102" i="36"/>
  <c r="L102" i="36"/>
  <c r="K102" i="36"/>
  <c r="I102" i="36"/>
  <c r="H102" i="36"/>
  <c r="F102" i="36"/>
  <c r="E102" i="36"/>
  <c r="O101" i="36"/>
  <c r="N101" i="36"/>
  <c r="L101" i="36"/>
  <c r="K101" i="36"/>
  <c r="I101" i="36"/>
  <c r="H101" i="36"/>
  <c r="F101" i="36"/>
  <c r="E101" i="36"/>
  <c r="O100" i="36"/>
  <c r="N100" i="36"/>
  <c r="L100" i="36"/>
  <c r="K100" i="36"/>
  <c r="I100" i="36"/>
  <c r="H100" i="36"/>
  <c r="F100" i="36"/>
  <c r="E100" i="36"/>
  <c r="O99" i="36"/>
  <c r="N99" i="36"/>
  <c r="L99" i="36"/>
  <c r="K99" i="36"/>
  <c r="I99" i="36"/>
  <c r="H99" i="36"/>
  <c r="F99" i="36"/>
  <c r="E99" i="36"/>
  <c r="O98" i="36"/>
  <c r="O118" i="36" s="1"/>
  <c r="N98" i="36"/>
  <c r="N118" i="36" s="1"/>
  <c r="L98" i="36"/>
  <c r="L118" i="36" s="1"/>
  <c r="K98" i="36"/>
  <c r="K118" i="36" s="1"/>
  <c r="I98" i="36"/>
  <c r="I118" i="36" s="1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N91" i="36"/>
  <c r="B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O88" i="36"/>
  <c r="N88" i="36"/>
  <c r="L88" i="36"/>
  <c r="K88" i="36"/>
  <c r="I88" i="36"/>
  <c r="H88" i="36"/>
  <c r="F88" i="36"/>
  <c r="E88" i="36"/>
  <c r="O87" i="36"/>
  <c r="N87" i="36"/>
  <c r="L87" i="36"/>
  <c r="K87" i="36"/>
  <c r="I87" i="36"/>
  <c r="H87" i="36"/>
  <c r="F87" i="36"/>
  <c r="E87" i="36"/>
  <c r="O86" i="36"/>
  <c r="N86" i="36"/>
  <c r="L86" i="36"/>
  <c r="K86" i="36"/>
  <c r="I86" i="36"/>
  <c r="H86" i="36"/>
  <c r="F86" i="36"/>
  <c r="E86" i="36"/>
  <c r="O85" i="36"/>
  <c r="N85" i="36"/>
  <c r="L85" i="36"/>
  <c r="K85" i="36"/>
  <c r="I85" i="36"/>
  <c r="H85" i="36"/>
  <c r="F85" i="36"/>
  <c r="E85" i="36"/>
  <c r="O84" i="36"/>
  <c r="N84" i="36"/>
  <c r="L84" i="36"/>
  <c r="K84" i="36"/>
  <c r="I84" i="36"/>
  <c r="H84" i="36"/>
  <c r="F84" i="36"/>
  <c r="E84" i="36"/>
  <c r="O83" i="36"/>
  <c r="N83" i="36"/>
  <c r="L83" i="36"/>
  <c r="K83" i="36"/>
  <c r="I83" i="36"/>
  <c r="H83" i="36"/>
  <c r="F83" i="36"/>
  <c r="E83" i="36"/>
  <c r="O82" i="36"/>
  <c r="N82" i="36"/>
  <c r="L82" i="36"/>
  <c r="K82" i="36"/>
  <c r="I82" i="36"/>
  <c r="H82" i="36"/>
  <c r="F82" i="36"/>
  <c r="E82" i="36"/>
  <c r="O81" i="36"/>
  <c r="N81" i="36"/>
  <c r="L81" i="36"/>
  <c r="K81" i="36"/>
  <c r="I81" i="36"/>
  <c r="H81" i="36"/>
  <c r="F81" i="36"/>
  <c r="E81" i="36"/>
  <c r="O80" i="36"/>
  <c r="N80" i="36"/>
  <c r="L80" i="36"/>
  <c r="K80" i="36"/>
  <c r="I80" i="36"/>
  <c r="H80" i="36"/>
  <c r="F80" i="36"/>
  <c r="E80" i="36"/>
  <c r="O79" i="36"/>
  <c r="N79" i="36"/>
  <c r="L79" i="36"/>
  <c r="K79" i="36"/>
  <c r="I79" i="36"/>
  <c r="H79" i="36"/>
  <c r="F79" i="36"/>
  <c r="E79" i="36"/>
  <c r="O78" i="36"/>
  <c r="N78" i="36"/>
  <c r="L78" i="36"/>
  <c r="K78" i="36"/>
  <c r="I78" i="36"/>
  <c r="H78" i="36"/>
  <c r="F78" i="36"/>
  <c r="E78" i="36"/>
  <c r="O77" i="36"/>
  <c r="N77" i="36"/>
  <c r="L77" i="36"/>
  <c r="K77" i="36"/>
  <c r="I77" i="36"/>
  <c r="H77" i="36"/>
  <c r="F77" i="36"/>
  <c r="E77" i="36"/>
  <c r="O76" i="36"/>
  <c r="N76" i="36"/>
  <c r="L76" i="36"/>
  <c r="K76" i="36"/>
  <c r="I76" i="36"/>
  <c r="H76" i="36"/>
  <c r="F76" i="36"/>
  <c r="E76" i="36"/>
  <c r="O75" i="36"/>
  <c r="N75" i="36"/>
  <c r="L75" i="36"/>
  <c r="K75" i="36"/>
  <c r="I75" i="36"/>
  <c r="H75" i="36"/>
  <c r="F75" i="36"/>
  <c r="E75" i="36"/>
  <c r="O74" i="36"/>
  <c r="N74" i="36"/>
  <c r="L74" i="36"/>
  <c r="K74" i="36"/>
  <c r="I74" i="36"/>
  <c r="H74" i="36"/>
  <c r="F74" i="36"/>
  <c r="E74" i="36"/>
  <c r="O73" i="36"/>
  <c r="N73" i="36"/>
  <c r="L73" i="36"/>
  <c r="K73" i="36"/>
  <c r="I73" i="36"/>
  <c r="H73" i="36"/>
  <c r="F73" i="36"/>
  <c r="E73" i="36"/>
  <c r="O72" i="36"/>
  <c r="N72" i="36"/>
  <c r="L72" i="36"/>
  <c r="K72" i="36"/>
  <c r="I72" i="36"/>
  <c r="H72" i="36"/>
  <c r="F72" i="36"/>
  <c r="E72" i="36"/>
  <c r="O71" i="36"/>
  <c r="O91" i="36" s="1"/>
  <c r="N71" i="36"/>
  <c r="L71" i="36"/>
  <c r="L91" i="36" s="1"/>
  <c r="K71" i="36"/>
  <c r="K91" i="36" s="1"/>
  <c r="I71" i="36"/>
  <c r="I91" i="36" s="1"/>
  <c r="H71" i="36"/>
  <c r="H91" i="36" s="1"/>
  <c r="F71" i="36"/>
  <c r="F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L61" i="36"/>
  <c r="K61" i="36"/>
  <c r="I61" i="36"/>
  <c r="H61" i="36"/>
  <c r="F61" i="36"/>
  <c r="E61" i="36"/>
  <c r="O60" i="36"/>
  <c r="N60" i="36"/>
  <c r="L60" i="36"/>
  <c r="K60" i="36"/>
  <c r="I60" i="36"/>
  <c r="H60" i="36"/>
  <c r="F60" i="36"/>
  <c r="E60" i="36"/>
  <c r="O59" i="36"/>
  <c r="N59" i="36"/>
  <c r="L59" i="36"/>
  <c r="K59" i="36"/>
  <c r="I59" i="36"/>
  <c r="H59" i="36"/>
  <c r="F59" i="36"/>
  <c r="E59" i="36"/>
  <c r="O58" i="36"/>
  <c r="N58" i="36"/>
  <c r="L58" i="36"/>
  <c r="K58" i="36"/>
  <c r="I58" i="36"/>
  <c r="H58" i="36"/>
  <c r="F58" i="36"/>
  <c r="E58" i="36"/>
  <c r="O57" i="36"/>
  <c r="N57" i="36"/>
  <c r="L57" i="36"/>
  <c r="K57" i="36"/>
  <c r="I57" i="36"/>
  <c r="H57" i="36"/>
  <c r="F57" i="36"/>
  <c r="E57" i="36"/>
  <c r="O56" i="36"/>
  <c r="N56" i="36"/>
  <c r="L56" i="36"/>
  <c r="K56" i="36"/>
  <c r="I56" i="36"/>
  <c r="H56" i="36"/>
  <c r="F56" i="36"/>
  <c r="E56" i="36"/>
  <c r="O55" i="36"/>
  <c r="N55" i="36"/>
  <c r="L55" i="36"/>
  <c r="K55" i="36"/>
  <c r="I55" i="36"/>
  <c r="H55" i="36"/>
  <c r="F55" i="36"/>
  <c r="E55" i="36"/>
  <c r="O54" i="36"/>
  <c r="N54" i="36"/>
  <c r="L54" i="36"/>
  <c r="K54" i="36"/>
  <c r="I54" i="36"/>
  <c r="H54" i="36"/>
  <c r="F54" i="36"/>
  <c r="E54" i="36"/>
  <c r="O53" i="36"/>
  <c r="N53" i="36"/>
  <c r="L53" i="36"/>
  <c r="K53" i="36"/>
  <c r="I53" i="36"/>
  <c r="H53" i="36"/>
  <c r="F53" i="36"/>
  <c r="E53" i="36"/>
  <c r="O52" i="36"/>
  <c r="N52" i="36"/>
  <c r="L52" i="36"/>
  <c r="K52" i="36"/>
  <c r="I52" i="36"/>
  <c r="H52" i="36"/>
  <c r="F52" i="36"/>
  <c r="E52" i="36"/>
  <c r="O51" i="36"/>
  <c r="N51" i="36"/>
  <c r="L51" i="36"/>
  <c r="K51" i="36"/>
  <c r="I51" i="36"/>
  <c r="H51" i="36"/>
  <c r="F51" i="36"/>
  <c r="E51" i="36"/>
  <c r="O50" i="36"/>
  <c r="N50" i="36"/>
  <c r="L50" i="36"/>
  <c r="K50" i="36"/>
  <c r="I50" i="36"/>
  <c r="H50" i="36"/>
  <c r="F50" i="36"/>
  <c r="E50" i="36"/>
  <c r="O49" i="36"/>
  <c r="N49" i="36"/>
  <c r="L49" i="36"/>
  <c r="K49" i="36"/>
  <c r="I49" i="36"/>
  <c r="H49" i="36"/>
  <c r="F49" i="36"/>
  <c r="E49" i="36"/>
  <c r="O48" i="36"/>
  <c r="N48" i="36"/>
  <c r="L48" i="36"/>
  <c r="K48" i="36"/>
  <c r="I48" i="36"/>
  <c r="H48" i="36"/>
  <c r="F48" i="36"/>
  <c r="E48" i="36"/>
  <c r="O47" i="36"/>
  <c r="N47" i="36"/>
  <c r="L47" i="36"/>
  <c r="K47" i="36"/>
  <c r="I47" i="36"/>
  <c r="H47" i="36"/>
  <c r="F47" i="36"/>
  <c r="E47" i="36"/>
  <c r="O46" i="36"/>
  <c r="N46" i="36"/>
  <c r="L46" i="36"/>
  <c r="K46" i="36"/>
  <c r="I46" i="36"/>
  <c r="H46" i="36"/>
  <c r="F46" i="36"/>
  <c r="E46" i="36"/>
  <c r="O45" i="36"/>
  <c r="N45" i="36"/>
  <c r="L45" i="36"/>
  <c r="K45" i="36"/>
  <c r="I45" i="36"/>
  <c r="H45" i="36"/>
  <c r="F45" i="36"/>
  <c r="E45" i="36"/>
  <c r="O44" i="36"/>
  <c r="O64" i="36" s="1"/>
  <c r="N44" i="36"/>
  <c r="N64" i="36" s="1"/>
  <c r="L44" i="36"/>
  <c r="L64" i="36" s="1"/>
  <c r="K44" i="36"/>
  <c r="K64" i="36" s="1"/>
  <c r="I44" i="36"/>
  <c r="I64" i="36" s="1"/>
  <c r="H44" i="36"/>
  <c r="H64" i="36" s="1"/>
  <c r="F44" i="36"/>
  <c r="F64" i="36" s="1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O196" i="35"/>
  <c r="N196" i="35"/>
  <c r="L196" i="35"/>
  <c r="K196" i="35"/>
  <c r="H196" i="35"/>
  <c r="I196" i="35" s="1"/>
  <c r="F196" i="35"/>
  <c r="E196" i="35"/>
  <c r="N195" i="35"/>
  <c r="O195" i="35" s="1"/>
  <c r="K195" i="35"/>
  <c r="L195" i="35" s="1"/>
  <c r="H195" i="35"/>
  <c r="I195" i="35" s="1"/>
  <c r="F195" i="35"/>
  <c r="E195" i="35"/>
  <c r="N194" i="35"/>
  <c r="O194" i="35" s="1"/>
  <c r="L194" i="35"/>
  <c r="K194" i="35"/>
  <c r="H194" i="35"/>
  <c r="I194" i="35" s="1"/>
  <c r="F194" i="35"/>
  <c r="E194" i="35"/>
  <c r="O193" i="35"/>
  <c r="N193" i="35"/>
  <c r="K193" i="35"/>
  <c r="L193" i="35" s="1"/>
  <c r="H193" i="35"/>
  <c r="I193" i="35" s="1"/>
  <c r="F193" i="35"/>
  <c r="E193" i="35"/>
  <c r="N192" i="35"/>
  <c r="O192" i="35" s="1"/>
  <c r="L192" i="35"/>
  <c r="K192" i="35"/>
  <c r="H192" i="35"/>
  <c r="I192" i="35" s="1"/>
  <c r="F192" i="35"/>
  <c r="E192" i="35"/>
  <c r="N191" i="35"/>
  <c r="O191" i="35" s="1"/>
  <c r="K191" i="35"/>
  <c r="L191" i="35" s="1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O188" i="35"/>
  <c r="N188" i="35"/>
  <c r="L188" i="35"/>
  <c r="K188" i="35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O185" i="35"/>
  <c r="N185" i="35"/>
  <c r="K185" i="35"/>
  <c r="L185" i="35" s="1"/>
  <c r="H185" i="35"/>
  <c r="I185" i="35" s="1"/>
  <c r="F185" i="35"/>
  <c r="E185" i="35"/>
  <c r="N184" i="35"/>
  <c r="O184" i="35" s="1"/>
  <c r="L184" i="35"/>
  <c r="K184" i="35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N182" i="35"/>
  <c r="O182" i="35" s="1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O180" i="35"/>
  <c r="N180" i="35"/>
  <c r="L180" i="35"/>
  <c r="K180" i="35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I171" i="35"/>
  <c r="H171" i="35"/>
  <c r="F171" i="35"/>
  <c r="E171" i="35"/>
  <c r="N170" i="35"/>
  <c r="O170" i="35" s="1"/>
  <c r="L170" i="35"/>
  <c r="K170" i="35"/>
  <c r="I170" i="35"/>
  <c r="H170" i="35"/>
  <c r="F170" i="35"/>
  <c r="E170" i="35"/>
  <c r="N169" i="35"/>
  <c r="O169" i="35" s="1"/>
  <c r="L169" i="35"/>
  <c r="K169" i="35"/>
  <c r="I169" i="35"/>
  <c r="H169" i="35"/>
  <c r="F169" i="35"/>
  <c r="E169" i="35"/>
  <c r="N168" i="35"/>
  <c r="O168" i="35" s="1"/>
  <c r="L168" i="35"/>
  <c r="K168" i="35"/>
  <c r="I168" i="35"/>
  <c r="H168" i="35"/>
  <c r="F168" i="35"/>
  <c r="E168" i="35"/>
  <c r="N167" i="35"/>
  <c r="O167" i="35" s="1"/>
  <c r="L167" i="35"/>
  <c r="K167" i="35"/>
  <c r="I167" i="35"/>
  <c r="H167" i="35"/>
  <c r="F167" i="35"/>
  <c r="E167" i="35"/>
  <c r="N166" i="35"/>
  <c r="O166" i="35" s="1"/>
  <c r="L166" i="35"/>
  <c r="K166" i="35"/>
  <c r="I166" i="35"/>
  <c r="H166" i="35"/>
  <c r="F166" i="35"/>
  <c r="E166" i="35"/>
  <c r="N165" i="35"/>
  <c r="O165" i="35" s="1"/>
  <c r="L165" i="35"/>
  <c r="K165" i="35"/>
  <c r="I165" i="35"/>
  <c r="H165" i="35"/>
  <c r="F165" i="35"/>
  <c r="E165" i="35"/>
  <c r="N164" i="35"/>
  <c r="O164" i="35" s="1"/>
  <c r="L164" i="35"/>
  <c r="K164" i="35"/>
  <c r="I164" i="35"/>
  <c r="H164" i="35"/>
  <c r="F164" i="35"/>
  <c r="E164" i="35"/>
  <c r="N163" i="35"/>
  <c r="O163" i="35" s="1"/>
  <c r="O21" i="35" s="1"/>
  <c r="L163" i="35"/>
  <c r="L21" i="35" s="1"/>
  <c r="K163" i="35"/>
  <c r="I163" i="35"/>
  <c r="H163" i="35"/>
  <c r="F163" i="35"/>
  <c r="E163" i="35"/>
  <c r="N162" i="35"/>
  <c r="O162" i="35" s="1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N156" i="35"/>
  <c r="O156" i="35" s="1"/>
  <c r="L156" i="35"/>
  <c r="K156" i="35"/>
  <c r="I156" i="35"/>
  <c r="H156" i="35"/>
  <c r="F156" i="35"/>
  <c r="E156" i="35"/>
  <c r="N155" i="35"/>
  <c r="O155" i="35" s="1"/>
  <c r="L155" i="35"/>
  <c r="K155" i="35"/>
  <c r="I155" i="35"/>
  <c r="H155" i="35"/>
  <c r="F155" i="35"/>
  <c r="E155" i="35"/>
  <c r="N154" i="35"/>
  <c r="O154" i="35" s="1"/>
  <c r="O19" i="35" s="1"/>
  <c r="L154" i="35"/>
  <c r="K154" i="35"/>
  <c r="I154" i="35"/>
  <c r="H154" i="35"/>
  <c r="F154" i="35"/>
  <c r="E154" i="35"/>
  <c r="N153" i="35"/>
  <c r="O153" i="35" s="1"/>
  <c r="L153" i="35"/>
  <c r="K153" i="35"/>
  <c r="I153" i="35"/>
  <c r="H153" i="35"/>
  <c r="F153" i="35"/>
  <c r="E153" i="35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N144" i="35"/>
  <c r="O144" i="35" s="1"/>
  <c r="L144" i="35"/>
  <c r="K144" i="35"/>
  <c r="I144" i="35"/>
  <c r="H144" i="35"/>
  <c r="F144" i="35"/>
  <c r="E144" i="35"/>
  <c r="N143" i="35"/>
  <c r="O143" i="35" s="1"/>
  <c r="L143" i="35"/>
  <c r="K143" i="35"/>
  <c r="I143" i="35"/>
  <c r="H143" i="35"/>
  <c r="F143" i="35"/>
  <c r="E143" i="35"/>
  <c r="N142" i="35"/>
  <c r="O142" i="35" s="1"/>
  <c r="L142" i="35"/>
  <c r="K142" i="35"/>
  <c r="I142" i="35"/>
  <c r="H142" i="35"/>
  <c r="F142" i="35"/>
  <c r="E142" i="35"/>
  <c r="N141" i="35"/>
  <c r="O141" i="35" s="1"/>
  <c r="L141" i="35"/>
  <c r="K141" i="35"/>
  <c r="I141" i="35"/>
  <c r="H141" i="35"/>
  <c r="F141" i="35"/>
  <c r="E141" i="35"/>
  <c r="N140" i="35"/>
  <c r="O140" i="35" s="1"/>
  <c r="L140" i="35"/>
  <c r="K140" i="35"/>
  <c r="I140" i="35"/>
  <c r="H140" i="35"/>
  <c r="F140" i="35"/>
  <c r="E140" i="35"/>
  <c r="N139" i="35"/>
  <c r="O139" i="35" s="1"/>
  <c r="L139" i="35"/>
  <c r="K139" i="35"/>
  <c r="I139" i="35"/>
  <c r="H139" i="35"/>
  <c r="F139" i="35"/>
  <c r="E139" i="35"/>
  <c r="N138" i="35"/>
  <c r="O138" i="35" s="1"/>
  <c r="L138" i="35"/>
  <c r="K138" i="35"/>
  <c r="I138" i="35"/>
  <c r="H138" i="35"/>
  <c r="F138" i="35"/>
  <c r="E138" i="35"/>
  <c r="N137" i="35"/>
  <c r="O137" i="35" s="1"/>
  <c r="L137" i="35"/>
  <c r="K137" i="35"/>
  <c r="I137" i="35"/>
  <c r="H137" i="35"/>
  <c r="F137" i="35"/>
  <c r="E137" i="35"/>
  <c r="N136" i="35"/>
  <c r="O136" i="35" s="1"/>
  <c r="L136" i="35"/>
  <c r="K136" i="35"/>
  <c r="I136" i="35"/>
  <c r="H136" i="35"/>
  <c r="F136" i="35"/>
  <c r="E136" i="35"/>
  <c r="N135" i="35"/>
  <c r="O135" i="35" s="1"/>
  <c r="L135" i="35"/>
  <c r="K135" i="35"/>
  <c r="I135" i="35"/>
  <c r="H135" i="35"/>
  <c r="F135" i="35"/>
  <c r="E135" i="35"/>
  <c r="N134" i="35"/>
  <c r="O134" i="35" s="1"/>
  <c r="L134" i="35"/>
  <c r="K134" i="35"/>
  <c r="I134" i="35"/>
  <c r="H134" i="35"/>
  <c r="F134" i="35"/>
  <c r="E134" i="35"/>
  <c r="N133" i="35"/>
  <c r="O133" i="35" s="1"/>
  <c r="L133" i="35"/>
  <c r="K133" i="35"/>
  <c r="I133" i="35"/>
  <c r="H133" i="35"/>
  <c r="F133" i="35"/>
  <c r="E133" i="35"/>
  <c r="N132" i="35"/>
  <c r="O132" i="35" s="1"/>
  <c r="L132" i="35"/>
  <c r="K132" i="35"/>
  <c r="I132" i="35"/>
  <c r="H132" i="35"/>
  <c r="F132" i="35"/>
  <c r="E132" i="35"/>
  <c r="N131" i="35"/>
  <c r="O131" i="35" s="1"/>
  <c r="L131" i="35"/>
  <c r="K131" i="35"/>
  <c r="I131" i="35"/>
  <c r="H131" i="35"/>
  <c r="F131" i="35"/>
  <c r="E131" i="35"/>
  <c r="N130" i="35"/>
  <c r="O130" i="35" s="1"/>
  <c r="L130" i="35"/>
  <c r="K130" i="35"/>
  <c r="I130" i="35"/>
  <c r="H130" i="35"/>
  <c r="F130" i="35"/>
  <c r="E130" i="35"/>
  <c r="N129" i="35"/>
  <c r="O129" i="35" s="1"/>
  <c r="L129" i="35"/>
  <c r="K129" i="35"/>
  <c r="I129" i="35"/>
  <c r="H129" i="35"/>
  <c r="F129" i="35"/>
  <c r="E129" i="35"/>
  <c r="N128" i="35"/>
  <c r="O128" i="35" s="1"/>
  <c r="L128" i="35"/>
  <c r="K128" i="35"/>
  <c r="I128" i="35"/>
  <c r="H128" i="35"/>
  <c r="F128" i="35"/>
  <c r="E128" i="35"/>
  <c r="N127" i="35"/>
  <c r="O127" i="35" s="1"/>
  <c r="L127" i="35"/>
  <c r="K127" i="35"/>
  <c r="I127" i="35"/>
  <c r="H127" i="35"/>
  <c r="F127" i="35"/>
  <c r="E127" i="35"/>
  <c r="N126" i="35"/>
  <c r="O126" i="35" s="1"/>
  <c r="L126" i="35"/>
  <c r="K126" i="35"/>
  <c r="I126" i="35"/>
  <c r="H126" i="35"/>
  <c r="F126" i="35"/>
  <c r="E126" i="35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N117" i="35"/>
  <c r="O117" i="35" s="1"/>
  <c r="L117" i="35"/>
  <c r="K117" i="35"/>
  <c r="H117" i="35"/>
  <c r="I117" i="35" s="1"/>
  <c r="E117" i="35"/>
  <c r="F117" i="35" s="1"/>
  <c r="N116" i="35"/>
  <c r="O116" i="35" s="1"/>
  <c r="K116" i="35"/>
  <c r="L116" i="35" s="1"/>
  <c r="H116" i="35"/>
  <c r="I116" i="35" s="1"/>
  <c r="E116" i="35"/>
  <c r="F116" i="35" s="1"/>
  <c r="O115" i="35"/>
  <c r="N115" i="35"/>
  <c r="L115" i="35"/>
  <c r="K115" i="35"/>
  <c r="I115" i="35"/>
  <c r="H115" i="35"/>
  <c r="E115" i="35"/>
  <c r="F115" i="35" s="1"/>
  <c r="N114" i="35"/>
  <c r="O114" i="35" s="1"/>
  <c r="K114" i="35"/>
  <c r="L114" i="35" s="1"/>
  <c r="H114" i="35"/>
  <c r="I114" i="35" s="1"/>
  <c r="E114" i="35"/>
  <c r="F114" i="35" s="1"/>
  <c r="O113" i="35"/>
  <c r="N113" i="35"/>
  <c r="K113" i="35"/>
  <c r="L113" i="35" s="1"/>
  <c r="H113" i="35"/>
  <c r="I113" i="35" s="1"/>
  <c r="E113" i="35"/>
  <c r="F113" i="35" s="1"/>
  <c r="N112" i="35"/>
  <c r="O112" i="35" s="1"/>
  <c r="K112" i="35"/>
  <c r="L112" i="35" s="1"/>
  <c r="H112" i="35"/>
  <c r="I112" i="35" s="1"/>
  <c r="E112" i="35"/>
  <c r="F112" i="35" s="1"/>
  <c r="N111" i="35"/>
  <c r="O111" i="35" s="1"/>
  <c r="K111" i="35"/>
  <c r="L111" i="35" s="1"/>
  <c r="I111" i="35"/>
  <c r="H111" i="35"/>
  <c r="E111" i="35"/>
  <c r="F111" i="35" s="1"/>
  <c r="O110" i="35"/>
  <c r="N110" i="35"/>
  <c r="L110" i="35"/>
  <c r="K110" i="35"/>
  <c r="H110" i="35"/>
  <c r="I110" i="35" s="1"/>
  <c r="E110" i="35"/>
  <c r="F110" i="35" s="1"/>
  <c r="N109" i="35"/>
  <c r="O109" i="35" s="1"/>
  <c r="K109" i="35"/>
  <c r="L109" i="35" s="1"/>
  <c r="H109" i="35"/>
  <c r="I109" i="35" s="1"/>
  <c r="E109" i="35"/>
  <c r="F109" i="35" s="1"/>
  <c r="N108" i="35"/>
  <c r="O108" i="35" s="1"/>
  <c r="L108" i="35"/>
  <c r="K108" i="35"/>
  <c r="H108" i="35"/>
  <c r="I108" i="35" s="1"/>
  <c r="E108" i="35"/>
  <c r="F108" i="35" s="1"/>
  <c r="N107" i="35"/>
  <c r="O107" i="35" s="1"/>
  <c r="K107" i="35"/>
  <c r="L107" i="35" s="1"/>
  <c r="I107" i="35"/>
  <c r="H107" i="35"/>
  <c r="E107" i="35"/>
  <c r="F107" i="35" s="1"/>
  <c r="N106" i="35"/>
  <c r="O106" i="35" s="1"/>
  <c r="K106" i="35"/>
  <c r="L106" i="35" s="1"/>
  <c r="H106" i="35"/>
  <c r="I106" i="35" s="1"/>
  <c r="E106" i="35"/>
  <c r="F106" i="35" s="1"/>
  <c r="O105" i="35"/>
  <c r="N105" i="35"/>
  <c r="K105" i="35"/>
  <c r="L105" i="35" s="1"/>
  <c r="H105" i="35"/>
  <c r="I105" i="35" s="1"/>
  <c r="E105" i="35"/>
  <c r="F105" i="35" s="1"/>
  <c r="N104" i="35"/>
  <c r="O104" i="35" s="1"/>
  <c r="K104" i="35"/>
  <c r="L104" i="35" s="1"/>
  <c r="H104" i="35"/>
  <c r="I104" i="35" s="1"/>
  <c r="E104" i="35"/>
  <c r="F104" i="35" s="1"/>
  <c r="N103" i="35"/>
  <c r="O103" i="35" s="1"/>
  <c r="K103" i="35"/>
  <c r="L103" i="35" s="1"/>
  <c r="I103" i="35"/>
  <c r="H103" i="35"/>
  <c r="E103" i="35"/>
  <c r="F103" i="35" s="1"/>
  <c r="O102" i="35"/>
  <c r="N102" i="35"/>
  <c r="K102" i="35"/>
  <c r="L102" i="35" s="1"/>
  <c r="H102" i="35"/>
  <c r="I102" i="35" s="1"/>
  <c r="E102" i="35"/>
  <c r="F102" i="35" s="1"/>
  <c r="N101" i="35"/>
  <c r="O101" i="35" s="1"/>
  <c r="L101" i="35"/>
  <c r="K101" i="35"/>
  <c r="H101" i="35"/>
  <c r="I101" i="35" s="1"/>
  <c r="E101" i="35"/>
  <c r="F101" i="35" s="1"/>
  <c r="N100" i="35"/>
  <c r="O100" i="35" s="1"/>
  <c r="K100" i="35"/>
  <c r="L100" i="35" s="1"/>
  <c r="H100" i="35"/>
  <c r="I100" i="35" s="1"/>
  <c r="E100" i="35"/>
  <c r="F100" i="35" s="1"/>
  <c r="O99" i="35"/>
  <c r="N99" i="35"/>
  <c r="L99" i="35"/>
  <c r="K99" i="35"/>
  <c r="I99" i="35"/>
  <c r="H99" i="35"/>
  <c r="E99" i="35"/>
  <c r="F99" i="35" s="1"/>
  <c r="N98" i="35"/>
  <c r="N118" i="35" s="1"/>
  <c r="K98" i="35"/>
  <c r="K118" i="35" s="1"/>
  <c r="H98" i="35"/>
  <c r="H118" i="35" s="1"/>
  <c r="E98" i="35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I90" i="35"/>
  <c r="H90" i="35"/>
  <c r="E90" i="35"/>
  <c r="F90" i="35" s="1"/>
  <c r="N89" i="35"/>
  <c r="O89" i="35" s="1"/>
  <c r="L89" i="35"/>
  <c r="K89" i="35"/>
  <c r="H89" i="35"/>
  <c r="I89" i="35" s="1"/>
  <c r="E89" i="35"/>
  <c r="F89" i="35" s="1"/>
  <c r="O88" i="35"/>
  <c r="N88" i="35"/>
  <c r="L88" i="35"/>
  <c r="K88" i="35"/>
  <c r="I88" i="35"/>
  <c r="H88" i="35"/>
  <c r="E88" i="35"/>
  <c r="F88" i="35" s="1"/>
  <c r="N87" i="35"/>
  <c r="O87" i="35" s="1"/>
  <c r="K87" i="35"/>
  <c r="L87" i="35" s="1"/>
  <c r="H87" i="35"/>
  <c r="I87" i="35" s="1"/>
  <c r="E87" i="35"/>
  <c r="F87" i="35" s="1"/>
  <c r="O86" i="35"/>
  <c r="N86" i="35"/>
  <c r="K86" i="35"/>
  <c r="L86" i="35" s="1"/>
  <c r="I86" i="35"/>
  <c r="H86" i="35"/>
  <c r="E86" i="35"/>
  <c r="F86" i="35" s="1"/>
  <c r="N85" i="35"/>
  <c r="O85" i="35" s="1"/>
  <c r="L85" i="35"/>
  <c r="K85" i="35"/>
  <c r="H85" i="35"/>
  <c r="I85" i="35" s="1"/>
  <c r="E85" i="35"/>
  <c r="F85" i="35" s="1"/>
  <c r="O84" i="35"/>
  <c r="N84" i="35"/>
  <c r="L84" i="35"/>
  <c r="K84" i="35"/>
  <c r="I84" i="35"/>
  <c r="H84" i="35"/>
  <c r="E84" i="35"/>
  <c r="F84" i="35" s="1"/>
  <c r="N83" i="35"/>
  <c r="O83" i="35" s="1"/>
  <c r="K83" i="35"/>
  <c r="L83" i="35" s="1"/>
  <c r="H83" i="35"/>
  <c r="I83" i="35" s="1"/>
  <c r="E83" i="35"/>
  <c r="F83" i="35" s="1"/>
  <c r="O82" i="35"/>
  <c r="N82" i="35"/>
  <c r="K82" i="35"/>
  <c r="L82" i="35" s="1"/>
  <c r="I82" i="35"/>
  <c r="H82" i="35"/>
  <c r="E82" i="35"/>
  <c r="F82" i="35" s="1"/>
  <c r="N81" i="35"/>
  <c r="O81" i="35" s="1"/>
  <c r="L81" i="35"/>
  <c r="K81" i="35"/>
  <c r="H81" i="35"/>
  <c r="I81" i="35" s="1"/>
  <c r="E81" i="35"/>
  <c r="F81" i="35" s="1"/>
  <c r="O80" i="35"/>
  <c r="N80" i="35"/>
  <c r="L80" i="35"/>
  <c r="K80" i="35"/>
  <c r="I80" i="35"/>
  <c r="H80" i="35"/>
  <c r="E80" i="35"/>
  <c r="F80" i="35" s="1"/>
  <c r="N79" i="35"/>
  <c r="O79" i="35" s="1"/>
  <c r="K79" i="35"/>
  <c r="L79" i="35" s="1"/>
  <c r="H79" i="35"/>
  <c r="I79" i="35" s="1"/>
  <c r="E79" i="35"/>
  <c r="F79" i="35" s="1"/>
  <c r="O78" i="35"/>
  <c r="N78" i="35"/>
  <c r="K78" i="35"/>
  <c r="L78" i="35" s="1"/>
  <c r="I78" i="35"/>
  <c r="H78" i="35"/>
  <c r="E78" i="35"/>
  <c r="F78" i="35" s="1"/>
  <c r="N77" i="35"/>
  <c r="O77" i="35" s="1"/>
  <c r="L77" i="35"/>
  <c r="K77" i="35"/>
  <c r="H77" i="35"/>
  <c r="I77" i="35" s="1"/>
  <c r="E77" i="35"/>
  <c r="F77" i="35" s="1"/>
  <c r="O76" i="35"/>
  <c r="N76" i="35"/>
  <c r="L76" i="35"/>
  <c r="K76" i="35"/>
  <c r="I76" i="35"/>
  <c r="I20" i="35" s="1"/>
  <c r="H76" i="35"/>
  <c r="E76" i="35"/>
  <c r="F76" i="35" s="1"/>
  <c r="N75" i="35"/>
  <c r="O75" i="35" s="1"/>
  <c r="K75" i="35"/>
  <c r="L75" i="35" s="1"/>
  <c r="H75" i="35"/>
  <c r="I75" i="35" s="1"/>
  <c r="E75" i="35"/>
  <c r="F75" i="35" s="1"/>
  <c r="O74" i="35"/>
  <c r="N74" i="35"/>
  <c r="K74" i="35"/>
  <c r="L74" i="35" s="1"/>
  <c r="I74" i="35"/>
  <c r="H74" i="35"/>
  <c r="E74" i="35"/>
  <c r="F74" i="35" s="1"/>
  <c r="N73" i="35"/>
  <c r="O73" i="35" s="1"/>
  <c r="L73" i="35"/>
  <c r="K73" i="35"/>
  <c r="H73" i="35"/>
  <c r="I73" i="35" s="1"/>
  <c r="E73" i="35"/>
  <c r="F73" i="35" s="1"/>
  <c r="O72" i="35"/>
  <c r="N72" i="35"/>
  <c r="L72" i="35"/>
  <c r="K72" i="35"/>
  <c r="I72" i="35"/>
  <c r="H72" i="35"/>
  <c r="E72" i="35"/>
  <c r="F72" i="35" s="1"/>
  <c r="N71" i="35"/>
  <c r="N91" i="35" s="1"/>
  <c r="K71" i="35"/>
  <c r="H71" i="35"/>
  <c r="H91" i="35" s="1"/>
  <c r="E71" i="35"/>
  <c r="M69" i="35"/>
  <c r="J69" i="35"/>
  <c r="G69" i="35"/>
  <c r="D69" i="35"/>
  <c r="B69" i="35"/>
  <c r="M68" i="35"/>
  <c r="G68" i="35"/>
  <c r="B64" i="35"/>
  <c r="O63" i="35"/>
  <c r="N63" i="35"/>
  <c r="L63" i="35"/>
  <c r="K63" i="35"/>
  <c r="H63" i="35"/>
  <c r="I63" i="35" s="1"/>
  <c r="E63" i="35"/>
  <c r="F63" i="35" s="1"/>
  <c r="O62" i="35"/>
  <c r="N62" i="35"/>
  <c r="K62" i="35"/>
  <c r="L62" i="35" s="1"/>
  <c r="I62" i="35"/>
  <c r="H62" i="35"/>
  <c r="E62" i="35"/>
  <c r="F62" i="35" s="1"/>
  <c r="O61" i="35"/>
  <c r="N61" i="35"/>
  <c r="L61" i="35"/>
  <c r="K61" i="35"/>
  <c r="H61" i="35"/>
  <c r="I61" i="35" s="1"/>
  <c r="E61" i="35"/>
  <c r="F61" i="35" s="1"/>
  <c r="O60" i="35"/>
  <c r="N60" i="35"/>
  <c r="K60" i="35"/>
  <c r="L60" i="35" s="1"/>
  <c r="I60" i="35"/>
  <c r="H60" i="35"/>
  <c r="E60" i="35"/>
  <c r="F60" i="35" s="1"/>
  <c r="O59" i="35"/>
  <c r="O18" i="35" s="1"/>
  <c r="N59" i="35"/>
  <c r="K59" i="35"/>
  <c r="L59" i="35" s="1"/>
  <c r="L18" i="35" s="1"/>
  <c r="H59" i="35"/>
  <c r="I59" i="35" s="1"/>
  <c r="I18" i="35" s="1"/>
  <c r="E59" i="35"/>
  <c r="F59" i="35" s="1"/>
  <c r="N58" i="35"/>
  <c r="O58" i="35" s="1"/>
  <c r="L58" i="35"/>
  <c r="K58" i="35"/>
  <c r="I58" i="35"/>
  <c r="H58" i="35"/>
  <c r="E58" i="35"/>
  <c r="F58" i="35" s="1"/>
  <c r="O57" i="35"/>
  <c r="N57" i="35"/>
  <c r="K57" i="35"/>
  <c r="L57" i="35" s="1"/>
  <c r="H57" i="35"/>
  <c r="I57" i="35" s="1"/>
  <c r="E57" i="35"/>
  <c r="F57" i="35" s="1"/>
  <c r="N56" i="35"/>
  <c r="O56" i="35" s="1"/>
  <c r="L56" i="35"/>
  <c r="K56" i="35"/>
  <c r="I56" i="35"/>
  <c r="H56" i="35"/>
  <c r="E56" i="35"/>
  <c r="F56" i="35" s="1"/>
  <c r="O55" i="35"/>
  <c r="N55" i="35"/>
  <c r="L55" i="35"/>
  <c r="K55" i="35"/>
  <c r="H55" i="35"/>
  <c r="I55" i="35" s="1"/>
  <c r="E55" i="35"/>
  <c r="F55" i="35" s="1"/>
  <c r="O54" i="35"/>
  <c r="N54" i="35"/>
  <c r="K54" i="35"/>
  <c r="L54" i="35" s="1"/>
  <c r="I54" i="35"/>
  <c r="H54" i="35"/>
  <c r="E54" i="35"/>
  <c r="F54" i="35" s="1"/>
  <c r="O53" i="35"/>
  <c r="N53" i="35"/>
  <c r="L53" i="35"/>
  <c r="K53" i="35"/>
  <c r="H53" i="35"/>
  <c r="I53" i="35" s="1"/>
  <c r="E53" i="35"/>
  <c r="F53" i="35" s="1"/>
  <c r="O52" i="35"/>
  <c r="N52" i="35"/>
  <c r="K52" i="35"/>
  <c r="L52" i="35" s="1"/>
  <c r="I52" i="35"/>
  <c r="H52" i="35"/>
  <c r="E52" i="35"/>
  <c r="F52" i="35" s="1"/>
  <c r="O51" i="35"/>
  <c r="N51" i="35"/>
  <c r="K51" i="35"/>
  <c r="L51" i="35" s="1"/>
  <c r="L17" i="35" s="1"/>
  <c r="H51" i="35"/>
  <c r="I51" i="35" s="1"/>
  <c r="I17" i="35" s="1"/>
  <c r="E51" i="35"/>
  <c r="F51" i="35" s="1"/>
  <c r="N50" i="35"/>
  <c r="O50" i="35" s="1"/>
  <c r="L50" i="35"/>
  <c r="K50" i="35"/>
  <c r="I50" i="35"/>
  <c r="H50" i="35"/>
  <c r="E50" i="35"/>
  <c r="F50" i="35" s="1"/>
  <c r="O49" i="35"/>
  <c r="N49" i="35"/>
  <c r="K49" i="35"/>
  <c r="L49" i="35" s="1"/>
  <c r="H49" i="35"/>
  <c r="I49" i="35" s="1"/>
  <c r="E49" i="35"/>
  <c r="F49" i="35" s="1"/>
  <c r="N48" i="35"/>
  <c r="O48" i="35" s="1"/>
  <c r="L48" i="35"/>
  <c r="K48" i="35"/>
  <c r="I48" i="35"/>
  <c r="H48" i="35"/>
  <c r="E48" i="35"/>
  <c r="F48" i="35" s="1"/>
  <c r="O47" i="35"/>
  <c r="N47" i="35"/>
  <c r="L47" i="35"/>
  <c r="K47" i="35"/>
  <c r="H47" i="35"/>
  <c r="I47" i="35" s="1"/>
  <c r="E47" i="35"/>
  <c r="F47" i="35" s="1"/>
  <c r="O46" i="35"/>
  <c r="N46" i="35"/>
  <c r="K46" i="35"/>
  <c r="L46" i="35" s="1"/>
  <c r="I46" i="35"/>
  <c r="H46" i="35"/>
  <c r="E46" i="35"/>
  <c r="F46" i="35" s="1"/>
  <c r="O45" i="35"/>
  <c r="N45" i="35"/>
  <c r="L45" i="35"/>
  <c r="K45" i="35"/>
  <c r="H45" i="35"/>
  <c r="I45" i="35" s="1"/>
  <c r="E45" i="35"/>
  <c r="F45" i="35" s="1"/>
  <c r="O44" i="35"/>
  <c r="N44" i="35"/>
  <c r="K44" i="35"/>
  <c r="L44" i="35" s="1"/>
  <c r="I44" i="35"/>
  <c r="H44" i="35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H20" i="35"/>
  <c r="G20" i="35"/>
  <c r="F20" i="35"/>
  <c r="E20" i="35"/>
  <c r="D20" i="35"/>
  <c r="C20" i="35"/>
  <c r="B20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N18" i="35"/>
  <c r="M18" i="35"/>
  <c r="J18" i="35"/>
  <c r="H18" i="35"/>
  <c r="G18" i="35"/>
  <c r="F18" i="35"/>
  <c r="E18" i="35"/>
  <c r="D18" i="35"/>
  <c r="C18" i="35"/>
  <c r="B18" i="35"/>
  <c r="O17" i="35"/>
  <c r="N17" i="35"/>
  <c r="M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L194" i="34"/>
  <c r="K194" i="34"/>
  <c r="H194" i="34"/>
  <c r="I194" i="34" s="1"/>
  <c r="F194" i="34"/>
  <c r="E194" i="34"/>
  <c r="N193" i="34"/>
  <c r="O193" i="34" s="1"/>
  <c r="K193" i="34"/>
  <c r="L193" i="34" s="1"/>
  <c r="H193" i="34"/>
  <c r="I193" i="34" s="1"/>
  <c r="F193" i="34"/>
  <c r="E193" i="34"/>
  <c r="O192" i="34"/>
  <c r="N192" i="34"/>
  <c r="L192" i="34"/>
  <c r="K192" i="34"/>
  <c r="H192" i="34"/>
  <c r="I192" i="34" s="1"/>
  <c r="F192" i="34"/>
  <c r="E192" i="34"/>
  <c r="O191" i="34"/>
  <c r="N191" i="34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F190" i="34"/>
  <c r="E190" i="34"/>
  <c r="O189" i="34"/>
  <c r="N189" i="34"/>
  <c r="K189" i="34"/>
  <c r="L189" i="34" s="1"/>
  <c r="H189" i="34"/>
  <c r="I189" i="34" s="1"/>
  <c r="F189" i="34"/>
  <c r="E189" i="34"/>
  <c r="N188" i="34"/>
  <c r="O188" i="34" s="1"/>
  <c r="L188" i="34"/>
  <c r="K188" i="34"/>
  <c r="H188" i="34"/>
  <c r="I188" i="34" s="1"/>
  <c r="F188" i="34"/>
  <c r="E188" i="34"/>
  <c r="N187" i="34"/>
  <c r="O187" i="34" s="1"/>
  <c r="K187" i="34"/>
  <c r="L187" i="34" s="1"/>
  <c r="H187" i="34"/>
  <c r="I187" i="34" s="1"/>
  <c r="F187" i="34"/>
  <c r="E187" i="34"/>
  <c r="O186" i="34"/>
  <c r="N186" i="34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L184" i="34"/>
  <c r="K184" i="34"/>
  <c r="H184" i="34"/>
  <c r="I184" i="34" s="1"/>
  <c r="F184" i="34"/>
  <c r="E184" i="34"/>
  <c r="O183" i="34"/>
  <c r="N183" i="34"/>
  <c r="K183" i="34"/>
  <c r="L183" i="34" s="1"/>
  <c r="H183" i="34"/>
  <c r="I183" i="34" s="1"/>
  <c r="F183" i="34"/>
  <c r="E183" i="34"/>
  <c r="N182" i="34"/>
  <c r="O182" i="34" s="1"/>
  <c r="L182" i="34"/>
  <c r="K182" i="34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N180" i="34"/>
  <c r="O180" i="34" s="1"/>
  <c r="L180" i="34"/>
  <c r="K180" i="34"/>
  <c r="H180" i="34"/>
  <c r="I180" i="34" s="1"/>
  <c r="F180" i="34"/>
  <c r="E180" i="34"/>
  <c r="N179" i="34"/>
  <c r="K179" i="34"/>
  <c r="K199" i="34" s="1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K171" i="34"/>
  <c r="L171" i="34" s="1"/>
  <c r="I171" i="34"/>
  <c r="H171" i="34"/>
  <c r="F171" i="34"/>
  <c r="E171" i="34"/>
  <c r="N170" i="34"/>
  <c r="O170" i="34" s="1"/>
  <c r="K170" i="34"/>
  <c r="L170" i="34" s="1"/>
  <c r="I170" i="34"/>
  <c r="H170" i="34"/>
  <c r="F170" i="34"/>
  <c r="E170" i="34"/>
  <c r="N169" i="34"/>
  <c r="O169" i="34" s="1"/>
  <c r="K169" i="34"/>
  <c r="L169" i="34" s="1"/>
  <c r="I169" i="34"/>
  <c r="H169" i="34"/>
  <c r="F169" i="34"/>
  <c r="E169" i="34"/>
  <c r="O168" i="34"/>
  <c r="N168" i="34"/>
  <c r="K168" i="34"/>
  <c r="L168" i="34" s="1"/>
  <c r="I168" i="34"/>
  <c r="H168" i="34"/>
  <c r="F168" i="34"/>
  <c r="E168" i="34"/>
  <c r="N167" i="34"/>
  <c r="O167" i="34" s="1"/>
  <c r="K167" i="34"/>
  <c r="L167" i="34" s="1"/>
  <c r="I167" i="34"/>
  <c r="H167" i="34"/>
  <c r="F167" i="34"/>
  <c r="E167" i="34"/>
  <c r="N166" i="34"/>
  <c r="O166" i="34" s="1"/>
  <c r="K166" i="34"/>
  <c r="L166" i="34" s="1"/>
  <c r="I166" i="34"/>
  <c r="H166" i="34"/>
  <c r="F166" i="34"/>
  <c r="E166" i="34"/>
  <c r="N165" i="34"/>
  <c r="O165" i="34" s="1"/>
  <c r="K165" i="34"/>
  <c r="L165" i="34" s="1"/>
  <c r="I165" i="34"/>
  <c r="H165" i="34"/>
  <c r="F165" i="34"/>
  <c r="E165" i="34"/>
  <c r="O164" i="34"/>
  <c r="N164" i="34"/>
  <c r="K164" i="34"/>
  <c r="L164" i="34" s="1"/>
  <c r="I164" i="34"/>
  <c r="H164" i="34"/>
  <c r="F164" i="34"/>
  <c r="E164" i="34"/>
  <c r="N163" i="34"/>
  <c r="O163" i="34" s="1"/>
  <c r="K163" i="34"/>
  <c r="L163" i="34" s="1"/>
  <c r="I163" i="34"/>
  <c r="H163" i="34"/>
  <c r="F163" i="34"/>
  <c r="E163" i="34"/>
  <c r="N162" i="34"/>
  <c r="O162" i="34" s="1"/>
  <c r="K162" i="34"/>
  <c r="L162" i="34" s="1"/>
  <c r="I162" i="34"/>
  <c r="H162" i="34"/>
  <c r="F162" i="34"/>
  <c r="E162" i="34"/>
  <c r="N161" i="34"/>
  <c r="O161" i="34" s="1"/>
  <c r="O20" i="34" s="1"/>
  <c r="K161" i="34"/>
  <c r="K20" i="34" s="1"/>
  <c r="I161" i="34"/>
  <c r="H161" i="34"/>
  <c r="F161" i="34"/>
  <c r="F20" i="34" s="1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L152" i="34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H144" i="34"/>
  <c r="I144" i="34" s="1"/>
  <c r="F144" i="34"/>
  <c r="E144" i="34"/>
  <c r="N143" i="34"/>
  <c r="O143" i="34" s="1"/>
  <c r="K143" i="34"/>
  <c r="L143" i="34" s="1"/>
  <c r="H143" i="34"/>
  <c r="I143" i="34" s="1"/>
  <c r="F143" i="34"/>
  <c r="E143" i="34"/>
  <c r="N142" i="34"/>
  <c r="O142" i="34" s="1"/>
  <c r="L142" i="34"/>
  <c r="K142" i="34"/>
  <c r="H142" i="34"/>
  <c r="I142" i="34" s="1"/>
  <c r="F142" i="34"/>
  <c r="E142" i="34"/>
  <c r="O141" i="34"/>
  <c r="N141" i="34"/>
  <c r="K141" i="34"/>
  <c r="L141" i="34" s="1"/>
  <c r="H141" i="34"/>
  <c r="I141" i="34" s="1"/>
  <c r="F141" i="34"/>
  <c r="E141" i="34"/>
  <c r="N140" i="34"/>
  <c r="O140" i="34" s="1"/>
  <c r="L140" i="34"/>
  <c r="K140" i="34"/>
  <c r="H140" i="34"/>
  <c r="I140" i="34" s="1"/>
  <c r="F140" i="34"/>
  <c r="E140" i="34"/>
  <c r="N139" i="34"/>
  <c r="O139" i="34" s="1"/>
  <c r="O17" i="34" s="1"/>
  <c r="K139" i="34"/>
  <c r="L139" i="34" s="1"/>
  <c r="L17" i="34" s="1"/>
  <c r="H139" i="34"/>
  <c r="I139" i="34" s="1"/>
  <c r="I17" i="34" s="1"/>
  <c r="F139" i="34"/>
  <c r="E139" i="34"/>
  <c r="N138" i="34"/>
  <c r="O138" i="34" s="1"/>
  <c r="L138" i="34"/>
  <c r="K138" i="34"/>
  <c r="H138" i="34"/>
  <c r="I138" i="34" s="1"/>
  <c r="F138" i="34"/>
  <c r="E138" i="34"/>
  <c r="N137" i="34"/>
  <c r="O137" i="34" s="1"/>
  <c r="K137" i="34"/>
  <c r="L137" i="34" s="1"/>
  <c r="H137" i="34"/>
  <c r="I137" i="34" s="1"/>
  <c r="F137" i="34"/>
  <c r="E137" i="34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F135" i="34"/>
  <c r="E135" i="34"/>
  <c r="O134" i="34"/>
  <c r="N134" i="34"/>
  <c r="L134" i="34"/>
  <c r="K134" i="34"/>
  <c r="H134" i="34"/>
  <c r="I134" i="34" s="1"/>
  <c r="F134" i="34"/>
  <c r="E134" i="34"/>
  <c r="N133" i="34"/>
  <c r="O133" i="34" s="1"/>
  <c r="K133" i="34"/>
  <c r="L133" i="34" s="1"/>
  <c r="H133" i="34"/>
  <c r="I133" i="34" s="1"/>
  <c r="F133" i="34"/>
  <c r="E133" i="34"/>
  <c r="N132" i="34"/>
  <c r="O132" i="34" s="1"/>
  <c r="K132" i="34"/>
  <c r="L132" i="34" s="1"/>
  <c r="H132" i="34"/>
  <c r="I132" i="34" s="1"/>
  <c r="F132" i="34"/>
  <c r="E132" i="34"/>
  <c r="N131" i="34"/>
  <c r="O131" i="34" s="1"/>
  <c r="K131" i="34"/>
  <c r="L131" i="34" s="1"/>
  <c r="H131" i="34"/>
  <c r="I131" i="34" s="1"/>
  <c r="F131" i="34"/>
  <c r="E131" i="34"/>
  <c r="N130" i="34"/>
  <c r="O130" i="34" s="1"/>
  <c r="L130" i="34"/>
  <c r="K130" i="34"/>
  <c r="H130" i="34"/>
  <c r="I130" i="34" s="1"/>
  <c r="F130" i="34"/>
  <c r="E130" i="34"/>
  <c r="O129" i="34"/>
  <c r="N129" i="34"/>
  <c r="K129" i="34"/>
  <c r="L129" i="34" s="1"/>
  <c r="H129" i="34"/>
  <c r="I129" i="34" s="1"/>
  <c r="F129" i="34"/>
  <c r="E129" i="34"/>
  <c r="N128" i="34"/>
  <c r="O128" i="34" s="1"/>
  <c r="K128" i="34"/>
  <c r="L128" i="34" s="1"/>
  <c r="H128" i="34"/>
  <c r="I128" i="34" s="1"/>
  <c r="F128" i="34"/>
  <c r="E128" i="34"/>
  <c r="O127" i="34"/>
  <c r="N127" i="34"/>
  <c r="K127" i="34"/>
  <c r="L127" i="34" s="1"/>
  <c r="H127" i="34"/>
  <c r="I127" i="34" s="1"/>
  <c r="F127" i="34"/>
  <c r="E127" i="34"/>
  <c r="N126" i="34"/>
  <c r="O126" i="34" s="1"/>
  <c r="L126" i="34"/>
  <c r="K126" i="34"/>
  <c r="H126" i="34"/>
  <c r="I126" i="34" s="1"/>
  <c r="F126" i="34"/>
  <c r="E126" i="34"/>
  <c r="N125" i="34"/>
  <c r="K125" i="34"/>
  <c r="L125" i="34" s="1"/>
  <c r="H125" i="34"/>
  <c r="H145" i="34" s="1"/>
  <c r="F125" i="34"/>
  <c r="F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K117" i="34"/>
  <c r="L117" i="34" s="1"/>
  <c r="H117" i="34"/>
  <c r="I117" i="34" s="1"/>
  <c r="F117" i="34"/>
  <c r="E117" i="34"/>
  <c r="N116" i="34"/>
  <c r="O116" i="34" s="1"/>
  <c r="K116" i="34"/>
  <c r="L116" i="34" s="1"/>
  <c r="H116" i="34"/>
  <c r="I116" i="34" s="1"/>
  <c r="F116" i="34"/>
  <c r="E116" i="34"/>
  <c r="N115" i="34"/>
  <c r="O115" i="34" s="1"/>
  <c r="L115" i="34"/>
  <c r="K115" i="34"/>
  <c r="H115" i="34"/>
  <c r="I115" i="34" s="1"/>
  <c r="F115" i="34"/>
  <c r="E115" i="34"/>
  <c r="N114" i="34"/>
  <c r="O114" i="34" s="1"/>
  <c r="K114" i="34"/>
  <c r="L114" i="34" s="1"/>
  <c r="H114" i="34"/>
  <c r="I114" i="34" s="1"/>
  <c r="F114" i="34"/>
  <c r="E114" i="34"/>
  <c r="O113" i="34"/>
  <c r="N113" i="34"/>
  <c r="K113" i="34"/>
  <c r="L113" i="34" s="1"/>
  <c r="H113" i="34"/>
  <c r="I113" i="34" s="1"/>
  <c r="F113" i="34"/>
  <c r="E113" i="34"/>
  <c r="N112" i="34"/>
  <c r="O112" i="34" s="1"/>
  <c r="K112" i="34"/>
  <c r="L112" i="34" s="1"/>
  <c r="H112" i="34"/>
  <c r="I112" i="34" s="1"/>
  <c r="F112" i="34"/>
  <c r="E112" i="34"/>
  <c r="O111" i="34"/>
  <c r="N111" i="34"/>
  <c r="L111" i="34"/>
  <c r="K111" i="34"/>
  <c r="H111" i="34"/>
  <c r="I111" i="34" s="1"/>
  <c r="F111" i="34"/>
  <c r="E111" i="34"/>
  <c r="N110" i="34"/>
  <c r="O110" i="34" s="1"/>
  <c r="K110" i="34"/>
  <c r="L110" i="34" s="1"/>
  <c r="H110" i="34"/>
  <c r="I110" i="34" s="1"/>
  <c r="F110" i="34"/>
  <c r="E110" i="34"/>
  <c r="N109" i="34"/>
  <c r="O109" i="34" s="1"/>
  <c r="K109" i="34"/>
  <c r="L109" i="34" s="1"/>
  <c r="H109" i="34"/>
  <c r="I109" i="34" s="1"/>
  <c r="F109" i="34"/>
  <c r="E109" i="34"/>
  <c r="N108" i="34"/>
  <c r="O108" i="34" s="1"/>
  <c r="K108" i="34"/>
  <c r="L108" i="34" s="1"/>
  <c r="H108" i="34"/>
  <c r="I108" i="34" s="1"/>
  <c r="F108" i="34"/>
  <c r="E108" i="34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F106" i="34"/>
  <c r="E106" i="34"/>
  <c r="N105" i="34"/>
  <c r="O105" i="34" s="1"/>
  <c r="K105" i="34"/>
  <c r="L105" i="34" s="1"/>
  <c r="H105" i="34"/>
  <c r="I105" i="34" s="1"/>
  <c r="F105" i="34"/>
  <c r="E105" i="34"/>
  <c r="O104" i="34"/>
  <c r="N104" i="34"/>
  <c r="K104" i="34"/>
  <c r="L104" i="34" s="1"/>
  <c r="H104" i="34"/>
  <c r="I104" i="34" s="1"/>
  <c r="F104" i="34"/>
  <c r="E104" i="34"/>
  <c r="N103" i="34"/>
  <c r="O103" i="34" s="1"/>
  <c r="L103" i="34"/>
  <c r="K103" i="34"/>
  <c r="H103" i="34"/>
  <c r="I103" i="34" s="1"/>
  <c r="F103" i="34"/>
  <c r="E103" i="34"/>
  <c r="N102" i="34"/>
  <c r="O102" i="34" s="1"/>
  <c r="K102" i="34"/>
  <c r="L102" i="34" s="1"/>
  <c r="H102" i="34"/>
  <c r="I102" i="34" s="1"/>
  <c r="F102" i="34"/>
  <c r="E102" i="34"/>
  <c r="N101" i="34"/>
  <c r="O101" i="34" s="1"/>
  <c r="K101" i="34"/>
  <c r="L101" i="34" s="1"/>
  <c r="H101" i="34"/>
  <c r="I101" i="34" s="1"/>
  <c r="F101" i="34"/>
  <c r="E101" i="34"/>
  <c r="N100" i="34"/>
  <c r="O100" i="34" s="1"/>
  <c r="K100" i="34"/>
  <c r="L100" i="34" s="1"/>
  <c r="H100" i="34"/>
  <c r="I100" i="34" s="1"/>
  <c r="F100" i="34"/>
  <c r="E100" i="34"/>
  <c r="N99" i="34"/>
  <c r="O99" i="34" s="1"/>
  <c r="L99" i="34"/>
  <c r="K99" i="34"/>
  <c r="H99" i="34"/>
  <c r="I99" i="34" s="1"/>
  <c r="F99" i="34"/>
  <c r="E99" i="34"/>
  <c r="N98" i="34"/>
  <c r="K98" i="34"/>
  <c r="K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K90" i="34"/>
  <c r="L90" i="34" s="1"/>
  <c r="I90" i="34"/>
  <c r="H90" i="34"/>
  <c r="F90" i="34"/>
  <c r="E90" i="34"/>
  <c r="N89" i="34"/>
  <c r="O89" i="34" s="1"/>
  <c r="K89" i="34"/>
  <c r="L89" i="34" s="1"/>
  <c r="I89" i="34"/>
  <c r="H89" i="34"/>
  <c r="F89" i="34"/>
  <c r="E89" i="34"/>
  <c r="N88" i="34"/>
  <c r="O88" i="34" s="1"/>
  <c r="K88" i="34"/>
  <c r="L88" i="34" s="1"/>
  <c r="I88" i="34"/>
  <c r="H88" i="34"/>
  <c r="F88" i="34"/>
  <c r="E88" i="34"/>
  <c r="N87" i="34"/>
  <c r="O87" i="34" s="1"/>
  <c r="K87" i="34"/>
  <c r="L87" i="34" s="1"/>
  <c r="I87" i="34"/>
  <c r="H87" i="34"/>
  <c r="F87" i="34"/>
  <c r="E87" i="34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F85" i="34"/>
  <c r="E85" i="34"/>
  <c r="N84" i="34"/>
  <c r="O84" i="34" s="1"/>
  <c r="K84" i="34"/>
  <c r="L84" i="34" s="1"/>
  <c r="I84" i="34"/>
  <c r="H84" i="34"/>
  <c r="F84" i="34"/>
  <c r="E84" i="34"/>
  <c r="N83" i="34"/>
  <c r="O83" i="34" s="1"/>
  <c r="O21" i="34" s="1"/>
  <c r="K83" i="34"/>
  <c r="L83" i="34" s="1"/>
  <c r="L21" i="34" s="1"/>
  <c r="I83" i="34"/>
  <c r="H83" i="34"/>
  <c r="F83" i="34"/>
  <c r="E83" i="34"/>
  <c r="O82" i="34"/>
  <c r="N82" i="34"/>
  <c r="K82" i="34"/>
  <c r="L82" i="34" s="1"/>
  <c r="I82" i="34"/>
  <c r="H82" i="34"/>
  <c r="F82" i="34"/>
  <c r="E82" i="34"/>
  <c r="N81" i="34"/>
  <c r="O81" i="34" s="1"/>
  <c r="K81" i="34"/>
  <c r="L81" i="34" s="1"/>
  <c r="I81" i="34"/>
  <c r="H81" i="34"/>
  <c r="F81" i="34"/>
  <c r="E81" i="34"/>
  <c r="N80" i="34"/>
  <c r="O80" i="34" s="1"/>
  <c r="K80" i="34"/>
  <c r="L80" i="34" s="1"/>
  <c r="I80" i="34"/>
  <c r="H80" i="34"/>
  <c r="F80" i="34"/>
  <c r="E80" i="34"/>
  <c r="N79" i="34"/>
  <c r="O79" i="34" s="1"/>
  <c r="O19" i="34" s="1"/>
  <c r="K79" i="34"/>
  <c r="L79" i="34" s="1"/>
  <c r="L19" i="34" s="1"/>
  <c r="I79" i="34"/>
  <c r="H79" i="34"/>
  <c r="F79" i="34"/>
  <c r="E79" i="34"/>
  <c r="O78" i="34"/>
  <c r="N78" i="34"/>
  <c r="K78" i="34"/>
  <c r="L78" i="34" s="1"/>
  <c r="I78" i="34"/>
  <c r="H78" i="34"/>
  <c r="F78" i="34"/>
  <c r="E78" i="34"/>
  <c r="N77" i="34"/>
  <c r="O77" i="34" s="1"/>
  <c r="K77" i="34"/>
  <c r="L77" i="34" s="1"/>
  <c r="I77" i="34"/>
  <c r="H77" i="34"/>
  <c r="F77" i="34"/>
  <c r="E77" i="34"/>
  <c r="N76" i="34"/>
  <c r="O76" i="34" s="1"/>
  <c r="K76" i="34"/>
  <c r="L76" i="34" s="1"/>
  <c r="I76" i="34"/>
  <c r="H76" i="34"/>
  <c r="F76" i="34"/>
  <c r="E76" i="34"/>
  <c r="N75" i="34"/>
  <c r="O75" i="34" s="1"/>
  <c r="K75" i="34"/>
  <c r="L75" i="34" s="1"/>
  <c r="I75" i="34"/>
  <c r="H75" i="34"/>
  <c r="F75" i="34"/>
  <c r="E75" i="34"/>
  <c r="O74" i="34"/>
  <c r="N74" i="34"/>
  <c r="K74" i="34"/>
  <c r="L74" i="34" s="1"/>
  <c r="I74" i="34"/>
  <c r="H74" i="34"/>
  <c r="F74" i="34"/>
  <c r="E74" i="34"/>
  <c r="N73" i="34"/>
  <c r="O73" i="34" s="1"/>
  <c r="K73" i="34"/>
  <c r="L73" i="34" s="1"/>
  <c r="I73" i="34"/>
  <c r="H73" i="34"/>
  <c r="F73" i="34"/>
  <c r="E73" i="34"/>
  <c r="N72" i="34"/>
  <c r="O72" i="34" s="1"/>
  <c r="K72" i="34"/>
  <c r="L72" i="34" s="1"/>
  <c r="I72" i="34"/>
  <c r="H72" i="34"/>
  <c r="F72" i="34"/>
  <c r="E72" i="34"/>
  <c r="N71" i="34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K63" i="34"/>
  <c r="L63" i="34" s="1"/>
  <c r="H63" i="34"/>
  <c r="I63" i="34" s="1"/>
  <c r="F63" i="34"/>
  <c r="E63" i="34"/>
  <c r="N62" i="34"/>
  <c r="O62" i="34" s="1"/>
  <c r="K62" i="34"/>
  <c r="L62" i="34" s="1"/>
  <c r="H62" i="34"/>
  <c r="I62" i="34" s="1"/>
  <c r="F62" i="34"/>
  <c r="E62" i="34"/>
  <c r="O61" i="34"/>
  <c r="N61" i="34"/>
  <c r="L61" i="34"/>
  <c r="K61" i="34"/>
  <c r="H61" i="34"/>
  <c r="I61" i="34" s="1"/>
  <c r="F61" i="34"/>
  <c r="E61" i="34"/>
  <c r="N60" i="34"/>
  <c r="O60" i="34" s="1"/>
  <c r="K60" i="34"/>
  <c r="L60" i="34" s="1"/>
  <c r="H60" i="34"/>
  <c r="I60" i="34" s="1"/>
  <c r="F60" i="34"/>
  <c r="E60" i="34"/>
  <c r="N59" i="34"/>
  <c r="O59" i="34" s="1"/>
  <c r="K59" i="34"/>
  <c r="L59" i="34" s="1"/>
  <c r="H59" i="34"/>
  <c r="I59" i="34" s="1"/>
  <c r="F59" i="34"/>
  <c r="E59" i="34"/>
  <c r="N58" i="34"/>
  <c r="O58" i="34" s="1"/>
  <c r="O18" i="34" s="1"/>
  <c r="K58" i="34"/>
  <c r="L58" i="34" s="1"/>
  <c r="L18" i="34" s="1"/>
  <c r="H58" i="34"/>
  <c r="I58" i="34" s="1"/>
  <c r="I18" i="34" s="1"/>
  <c r="F58" i="34"/>
  <c r="E58" i="34"/>
  <c r="N57" i="34"/>
  <c r="O57" i="34" s="1"/>
  <c r="L57" i="34"/>
  <c r="K57" i="34"/>
  <c r="H57" i="34"/>
  <c r="I57" i="34" s="1"/>
  <c r="F57" i="34"/>
  <c r="E57" i="34"/>
  <c r="O56" i="34"/>
  <c r="N56" i="34"/>
  <c r="K56" i="34"/>
  <c r="L56" i="34" s="1"/>
  <c r="H56" i="34"/>
  <c r="I56" i="34" s="1"/>
  <c r="F56" i="34"/>
  <c r="E56" i="34"/>
  <c r="N55" i="34"/>
  <c r="O55" i="34" s="1"/>
  <c r="K55" i="34"/>
  <c r="L55" i="34" s="1"/>
  <c r="H55" i="34"/>
  <c r="I55" i="34" s="1"/>
  <c r="F55" i="34"/>
  <c r="E55" i="34"/>
  <c r="O54" i="34"/>
  <c r="N54" i="34"/>
  <c r="K54" i="34"/>
  <c r="L54" i="34" s="1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N52" i="34"/>
  <c r="O52" i="34" s="1"/>
  <c r="K52" i="34"/>
  <c r="L52" i="34" s="1"/>
  <c r="H52" i="34"/>
  <c r="I52" i="34" s="1"/>
  <c r="F52" i="34"/>
  <c r="E52" i="34"/>
  <c r="N51" i="34"/>
  <c r="O51" i="34" s="1"/>
  <c r="K51" i="34"/>
  <c r="L51" i="34" s="1"/>
  <c r="H51" i="34"/>
  <c r="I51" i="34" s="1"/>
  <c r="F51" i="34"/>
  <c r="E51" i="34"/>
  <c r="N50" i="34"/>
  <c r="O50" i="34" s="1"/>
  <c r="L50" i="34"/>
  <c r="K50" i="34"/>
  <c r="H50" i="34"/>
  <c r="I50" i="34" s="1"/>
  <c r="F50" i="34"/>
  <c r="E50" i="34"/>
  <c r="N49" i="34"/>
  <c r="O49" i="34" s="1"/>
  <c r="K49" i="34"/>
  <c r="L49" i="34" s="1"/>
  <c r="H49" i="34"/>
  <c r="I49" i="34" s="1"/>
  <c r="F49" i="34"/>
  <c r="E49" i="34"/>
  <c r="O48" i="34"/>
  <c r="N48" i="34"/>
  <c r="K48" i="34"/>
  <c r="L48" i="34" s="1"/>
  <c r="H48" i="34"/>
  <c r="I48" i="34" s="1"/>
  <c r="F48" i="34"/>
  <c r="E48" i="34"/>
  <c r="N47" i="34"/>
  <c r="O47" i="34" s="1"/>
  <c r="K47" i="34"/>
  <c r="L47" i="34" s="1"/>
  <c r="H47" i="34"/>
  <c r="I47" i="34" s="1"/>
  <c r="F47" i="34"/>
  <c r="E47" i="34"/>
  <c r="O46" i="34"/>
  <c r="N46" i="34"/>
  <c r="L46" i="34"/>
  <c r="K46" i="34"/>
  <c r="H46" i="34"/>
  <c r="I46" i="34" s="1"/>
  <c r="F46" i="34"/>
  <c r="E46" i="34"/>
  <c r="N45" i="34"/>
  <c r="O45" i="34" s="1"/>
  <c r="K45" i="34"/>
  <c r="L45" i="34" s="1"/>
  <c r="H45" i="34"/>
  <c r="I45" i="34" s="1"/>
  <c r="F45" i="34"/>
  <c r="E45" i="34"/>
  <c r="N44" i="34"/>
  <c r="K44" i="34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N21" i="34"/>
  <c r="M21" i="34"/>
  <c r="K21" i="34"/>
  <c r="J21" i="34"/>
  <c r="I21" i="34"/>
  <c r="H21" i="34"/>
  <c r="G21" i="34"/>
  <c r="F21" i="34"/>
  <c r="E21" i="34"/>
  <c r="D21" i="34"/>
  <c r="C21" i="34"/>
  <c r="B21" i="34"/>
  <c r="N20" i="34"/>
  <c r="M20" i="34"/>
  <c r="J20" i="34"/>
  <c r="I20" i="34"/>
  <c r="H20" i="34"/>
  <c r="G20" i="34"/>
  <c r="E20" i="34"/>
  <c r="D20" i="34"/>
  <c r="C20" i="34"/>
  <c r="B20" i="34"/>
  <c r="N19" i="34"/>
  <c r="M19" i="34"/>
  <c r="K19" i="34"/>
  <c r="J19" i="34"/>
  <c r="I19" i="34"/>
  <c r="H19" i="34"/>
  <c r="G19" i="34"/>
  <c r="F19" i="34"/>
  <c r="E19" i="34"/>
  <c r="D19" i="34"/>
  <c r="C19" i="34"/>
  <c r="B19" i="34"/>
  <c r="N18" i="34"/>
  <c r="M18" i="34"/>
  <c r="K18" i="34"/>
  <c r="J18" i="34"/>
  <c r="H18" i="34"/>
  <c r="G18" i="34"/>
  <c r="F18" i="34"/>
  <c r="E18" i="34"/>
  <c r="D18" i="34"/>
  <c r="C18" i="34"/>
  <c r="B18" i="34"/>
  <c r="N17" i="34"/>
  <c r="M17" i="34"/>
  <c r="K17" i="34"/>
  <c r="J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L195" i="33"/>
  <c r="K195" i="33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N179" i="33"/>
  <c r="O179" i="33" s="1"/>
  <c r="O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O171" i="33"/>
  <c r="N171" i="33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O166" i="33"/>
  <c r="N166" i="33"/>
  <c r="K166" i="33"/>
  <c r="L166" i="33" s="1"/>
  <c r="H166" i="33"/>
  <c r="I166" i="33" s="1"/>
  <c r="F166" i="33"/>
  <c r="E166" i="33"/>
  <c r="N165" i="33"/>
  <c r="O165" i="33" s="1"/>
  <c r="K165" i="33"/>
  <c r="L165" i="33" s="1"/>
  <c r="H165" i="33"/>
  <c r="I165" i="33" s="1"/>
  <c r="F165" i="33"/>
  <c r="E165" i="33"/>
  <c r="O164" i="33"/>
  <c r="N164" i="33"/>
  <c r="K164" i="33"/>
  <c r="L164" i="33" s="1"/>
  <c r="H164" i="33"/>
  <c r="I164" i="33" s="1"/>
  <c r="F164" i="33"/>
  <c r="E164" i="33"/>
  <c r="N163" i="33"/>
  <c r="O163" i="33" s="1"/>
  <c r="L163" i="33"/>
  <c r="K163" i="33"/>
  <c r="H163" i="33"/>
  <c r="I163" i="33" s="1"/>
  <c r="F163" i="33"/>
  <c r="E163" i="33"/>
  <c r="N162" i="33"/>
  <c r="O162" i="33" s="1"/>
  <c r="O19" i="33" s="1"/>
  <c r="K162" i="33"/>
  <c r="L162" i="33" s="1"/>
  <c r="L19" i="33" s="1"/>
  <c r="H162" i="33"/>
  <c r="I162" i="33" s="1"/>
  <c r="I19" i="33" s="1"/>
  <c r="F162" i="33"/>
  <c r="E162" i="33"/>
  <c r="N161" i="33"/>
  <c r="O161" i="33" s="1"/>
  <c r="K161" i="33"/>
  <c r="L161" i="33" s="1"/>
  <c r="H161" i="33"/>
  <c r="I161" i="33" s="1"/>
  <c r="F161" i="33"/>
  <c r="E161" i="33"/>
  <c r="N160" i="33"/>
  <c r="O160" i="33" s="1"/>
  <c r="L160" i="33"/>
  <c r="K160" i="33"/>
  <c r="H160" i="33"/>
  <c r="I160" i="33" s="1"/>
  <c r="F160" i="33"/>
  <c r="E160" i="33"/>
  <c r="O159" i="33"/>
  <c r="N159" i="33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H144" i="33"/>
  <c r="I144" i="33" s="1"/>
  <c r="F144" i="33"/>
  <c r="E144" i="33"/>
  <c r="N143" i="33"/>
  <c r="O143" i="33" s="1"/>
  <c r="K143" i="33"/>
  <c r="L143" i="33" s="1"/>
  <c r="H143" i="33"/>
  <c r="I143" i="33" s="1"/>
  <c r="F143" i="33"/>
  <c r="E143" i="33"/>
  <c r="O142" i="33"/>
  <c r="N142" i="33"/>
  <c r="K142" i="33"/>
  <c r="L142" i="33" s="1"/>
  <c r="H142" i="33"/>
  <c r="I142" i="33" s="1"/>
  <c r="F142" i="33"/>
  <c r="E142" i="33"/>
  <c r="N141" i="33"/>
  <c r="O141" i="33" s="1"/>
  <c r="L141" i="33"/>
  <c r="K141" i="33"/>
  <c r="H141" i="33"/>
  <c r="I141" i="33" s="1"/>
  <c r="F141" i="33"/>
  <c r="E141" i="33"/>
  <c r="N140" i="33"/>
  <c r="O140" i="33" s="1"/>
  <c r="O18" i="33" s="1"/>
  <c r="L140" i="33"/>
  <c r="K140" i="33"/>
  <c r="H140" i="33"/>
  <c r="I140" i="33" s="1"/>
  <c r="I18" i="33" s="1"/>
  <c r="F140" i="33"/>
  <c r="E140" i="33"/>
  <c r="N139" i="33"/>
  <c r="O139" i="33" s="1"/>
  <c r="K139" i="33"/>
  <c r="L139" i="33" s="1"/>
  <c r="H139" i="33"/>
  <c r="I139" i="33" s="1"/>
  <c r="F139" i="33"/>
  <c r="E139" i="33"/>
  <c r="N138" i="33"/>
  <c r="O138" i="33" s="1"/>
  <c r="L138" i="33"/>
  <c r="K138" i="33"/>
  <c r="H138" i="33"/>
  <c r="I138" i="33" s="1"/>
  <c r="F138" i="33"/>
  <c r="E138" i="33"/>
  <c r="N137" i="33"/>
  <c r="O137" i="33" s="1"/>
  <c r="L137" i="33"/>
  <c r="K137" i="33"/>
  <c r="H137" i="33"/>
  <c r="I137" i="33" s="1"/>
  <c r="F137" i="33"/>
  <c r="E137" i="33"/>
  <c r="N136" i="33"/>
  <c r="O136" i="33" s="1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L134" i="33"/>
  <c r="K134" i="33"/>
  <c r="H134" i="33"/>
  <c r="I134" i="33" s="1"/>
  <c r="F134" i="33"/>
  <c r="E134" i="33"/>
  <c r="N133" i="33"/>
  <c r="O133" i="33" s="1"/>
  <c r="L133" i="33"/>
  <c r="K133" i="33"/>
  <c r="H133" i="33"/>
  <c r="I133" i="33" s="1"/>
  <c r="F133" i="33"/>
  <c r="E133" i="33"/>
  <c r="O132" i="33"/>
  <c r="N132" i="33"/>
  <c r="L132" i="33"/>
  <c r="K132" i="33"/>
  <c r="H132" i="33"/>
  <c r="I132" i="33" s="1"/>
  <c r="F132" i="33"/>
  <c r="E132" i="33"/>
  <c r="N131" i="33"/>
  <c r="O131" i="33" s="1"/>
  <c r="K131" i="33"/>
  <c r="L131" i="33" s="1"/>
  <c r="H131" i="33"/>
  <c r="I131" i="33" s="1"/>
  <c r="F131" i="33"/>
  <c r="E131" i="33"/>
  <c r="N130" i="33"/>
  <c r="O130" i="33" s="1"/>
  <c r="L130" i="33"/>
  <c r="K130" i="33"/>
  <c r="H130" i="33"/>
  <c r="I130" i="33" s="1"/>
  <c r="F130" i="33"/>
  <c r="E130" i="33"/>
  <c r="O129" i="33"/>
  <c r="N129" i="33"/>
  <c r="L129" i="33"/>
  <c r="K129" i="33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L126" i="33"/>
  <c r="K126" i="33"/>
  <c r="H126" i="33"/>
  <c r="I126" i="33" s="1"/>
  <c r="F126" i="33"/>
  <c r="E126" i="33"/>
  <c r="N125" i="33"/>
  <c r="N145" i="33" s="1"/>
  <c r="L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N117" i="33"/>
  <c r="O117" i="33" s="1"/>
  <c r="L117" i="33"/>
  <c r="K117" i="33"/>
  <c r="I117" i="33"/>
  <c r="H117" i="33"/>
  <c r="F117" i="33"/>
  <c r="E117" i="33"/>
  <c r="N116" i="33"/>
  <c r="O116" i="33" s="1"/>
  <c r="L116" i="33"/>
  <c r="K116" i="33"/>
  <c r="I116" i="33"/>
  <c r="H116" i="33"/>
  <c r="F116" i="33"/>
  <c r="E116" i="33"/>
  <c r="N115" i="33"/>
  <c r="O115" i="33" s="1"/>
  <c r="L115" i="33"/>
  <c r="K115" i="33"/>
  <c r="I115" i="33"/>
  <c r="H115" i="33"/>
  <c r="F115" i="33"/>
  <c r="E115" i="33"/>
  <c r="N114" i="33"/>
  <c r="O114" i="33" s="1"/>
  <c r="L114" i="33"/>
  <c r="K114" i="33"/>
  <c r="I114" i="33"/>
  <c r="H114" i="33"/>
  <c r="F114" i="33"/>
  <c r="E114" i="33"/>
  <c r="N113" i="33"/>
  <c r="O113" i="33" s="1"/>
  <c r="L113" i="33"/>
  <c r="K113" i="33"/>
  <c r="I113" i="33"/>
  <c r="H113" i="33"/>
  <c r="F113" i="33"/>
  <c r="E113" i="33"/>
  <c r="N112" i="33"/>
  <c r="O112" i="33" s="1"/>
  <c r="O31" i="33" s="1"/>
  <c r="L112" i="33"/>
  <c r="L31" i="33" s="1"/>
  <c r="K112" i="33"/>
  <c r="I112" i="33"/>
  <c r="H112" i="33"/>
  <c r="F112" i="33"/>
  <c r="E112" i="33"/>
  <c r="N111" i="33"/>
  <c r="O111" i="33" s="1"/>
  <c r="L111" i="33"/>
  <c r="K111" i="33"/>
  <c r="I111" i="33"/>
  <c r="H111" i="33"/>
  <c r="F111" i="33"/>
  <c r="E111" i="33"/>
  <c r="N110" i="33"/>
  <c r="O110" i="33" s="1"/>
  <c r="O29" i="33" s="1"/>
  <c r="L110" i="33"/>
  <c r="L29" i="33" s="1"/>
  <c r="K110" i="33"/>
  <c r="I110" i="33"/>
  <c r="H110" i="33"/>
  <c r="F110" i="33"/>
  <c r="F29" i="33" s="1"/>
  <c r="E110" i="33"/>
  <c r="N109" i="33"/>
  <c r="O109" i="33" s="1"/>
  <c r="L109" i="33"/>
  <c r="K109" i="33"/>
  <c r="I109" i="33"/>
  <c r="H109" i="33"/>
  <c r="F109" i="33"/>
  <c r="E109" i="33"/>
  <c r="N108" i="33"/>
  <c r="O108" i="33" s="1"/>
  <c r="O27" i="33" s="1"/>
  <c r="L108" i="33"/>
  <c r="K108" i="33"/>
  <c r="I108" i="33"/>
  <c r="H108" i="33"/>
  <c r="F108" i="33"/>
  <c r="E108" i="33"/>
  <c r="N107" i="33"/>
  <c r="O107" i="33" s="1"/>
  <c r="O26" i="33" s="1"/>
  <c r="L107" i="33"/>
  <c r="L26" i="33" s="1"/>
  <c r="K107" i="33"/>
  <c r="I107" i="33"/>
  <c r="H107" i="33"/>
  <c r="F107" i="33"/>
  <c r="E107" i="33"/>
  <c r="N106" i="33"/>
  <c r="O106" i="33" s="1"/>
  <c r="O25" i="33" s="1"/>
  <c r="L106" i="33"/>
  <c r="K106" i="33"/>
  <c r="I106" i="33"/>
  <c r="H106" i="33"/>
  <c r="F106" i="33"/>
  <c r="E106" i="33"/>
  <c r="N105" i="33"/>
  <c r="O105" i="33" s="1"/>
  <c r="L105" i="33"/>
  <c r="K105" i="33"/>
  <c r="I105" i="33"/>
  <c r="H105" i="33"/>
  <c r="F105" i="33"/>
  <c r="E105" i="33"/>
  <c r="N104" i="33"/>
  <c r="O104" i="33" s="1"/>
  <c r="L104" i="33"/>
  <c r="K104" i="33"/>
  <c r="I104" i="33"/>
  <c r="H104" i="33"/>
  <c r="F104" i="33"/>
  <c r="E104" i="33"/>
  <c r="N103" i="33"/>
  <c r="O103" i="33" s="1"/>
  <c r="O22" i="33" s="1"/>
  <c r="L103" i="33"/>
  <c r="K103" i="33"/>
  <c r="I103" i="33"/>
  <c r="H103" i="33"/>
  <c r="F103" i="33"/>
  <c r="E103" i="33"/>
  <c r="N102" i="33"/>
  <c r="O102" i="33" s="1"/>
  <c r="L102" i="33"/>
  <c r="K102" i="33"/>
  <c r="I102" i="33"/>
  <c r="H102" i="33"/>
  <c r="F102" i="33"/>
  <c r="E102" i="33"/>
  <c r="N101" i="33"/>
  <c r="O101" i="33" s="1"/>
  <c r="L101" i="33"/>
  <c r="K101" i="33"/>
  <c r="I101" i="33"/>
  <c r="H101" i="33"/>
  <c r="F101" i="33"/>
  <c r="E101" i="33"/>
  <c r="N100" i="33"/>
  <c r="O100" i="33" s="1"/>
  <c r="L100" i="33"/>
  <c r="K100" i="33"/>
  <c r="I100" i="33"/>
  <c r="H100" i="33"/>
  <c r="F100" i="33"/>
  <c r="E100" i="33"/>
  <c r="N99" i="33"/>
  <c r="O99" i="33" s="1"/>
  <c r="L99" i="33"/>
  <c r="K99" i="33"/>
  <c r="I99" i="33"/>
  <c r="H99" i="33"/>
  <c r="F99" i="33"/>
  <c r="E99" i="33"/>
  <c r="N98" i="33"/>
  <c r="N118" i="33" s="1"/>
  <c r="L98" i="33"/>
  <c r="L118" i="33" s="1"/>
  <c r="K98" i="33"/>
  <c r="K118" i="33" s="1"/>
  <c r="I98" i="33"/>
  <c r="I118" i="33" s="1"/>
  <c r="H98" i="33"/>
  <c r="H118" i="33" s="1"/>
  <c r="F98" i="33"/>
  <c r="F118" i="33" s="1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L90" i="33"/>
  <c r="K90" i="33"/>
  <c r="I90" i="33"/>
  <c r="H90" i="33"/>
  <c r="F90" i="33"/>
  <c r="E90" i="33"/>
  <c r="N89" i="33"/>
  <c r="O89" i="33" s="1"/>
  <c r="L89" i="33"/>
  <c r="K89" i="33"/>
  <c r="I89" i="33"/>
  <c r="H89" i="33"/>
  <c r="F89" i="33"/>
  <c r="E89" i="33"/>
  <c r="N88" i="33"/>
  <c r="O88" i="33" s="1"/>
  <c r="O21" i="33" s="1"/>
  <c r="L88" i="33"/>
  <c r="K88" i="33"/>
  <c r="I88" i="33"/>
  <c r="H88" i="33"/>
  <c r="F88" i="33"/>
  <c r="E88" i="33"/>
  <c r="N87" i="33"/>
  <c r="O87" i="33" s="1"/>
  <c r="L87" i="33"/>
  <c r="K87" i="33"/>
  <c r="I87" i="33"/>
  <c r="H87" i="33"/>
  <c r="F87" i="33"/>
  <c r="E87" i="33"/>
  <c r="N86" i="33"/>
  <c r="O86" i="33" s="1"/>
  <c r="L86" i="33"/>
  <c r="K86" i="33"/>
  <c r="I86" i="33"/>
  <c r="H86" i="33"/>
  <c r="F86" i="33"/>
  <c r="E86" i="33"/>
  <c r="N85" i="33"/>
  <c r="O85" i="33" s="1"/>
  <c r="L85" i="33"/>
  <c r="K85" i="33"/>
  <c r="I85" i="33"/>
  <c r="H85" i="33"/>
  <c r="F85" i="33"/>
  <c r="E85" i="33"/>
  <c r="N84" i="33"/>
  <c r="O84" i="33" s="1"/>
  <c r="L84" i="33"/>
  <c r="K84" i="33"/>
  <c r="I84" i="33"/>
  <c r="H84" i="33"/>
  <c r="F84" i="33"/>
  <c r="E84" i="33"/>
  <c r="N83" i="33"/>
  <c r="O83" i="33" s="1"/>
  <c r="L83" i="33"/>
  <c r="K83" i="33"/>
  <c r="I83" i="33"/>
  <c r="H83" i="33"/>
  <c r="F83" i="33"/>
  <c r="E83" i="33"/>
  <c r="N82" i="33"/>
  <c r="O82" i="33" s="1"/>
  <c r="L82" i="33"/>
  <c r="K82" i="33"/>
  <c r="I82" i="33"/>
  <c r="H82" i="33"/>
  <c r="F82" i="33"/>
  <c r="E82" i="33"/>
  <c r="N81" i="33"/>
  <c r="O81" i="33" s="1"/>
  <c r="L81" i="33"/>
  <c r="K81" i="33"/>
  <c r="I81" i="33"/>
  <c r="H81" i="33"/>
  <c r="F81" i="33"/>
  <c r="E81" i="33"/>
  <c r="N80" i="33"/>
  <c r="O80" i="33" s="1"/>
  <c r="L80" i="33"/>
  <c r="K80" i="33"/>
  <c r="I80" i="33"/>
  <c r="H80" i="33"/>
  <c r="F80" i="33"/>
  <c r="E80" i="33"/>
  <c r="N79" i="33"/>
  <c r="O79" i="33" s="1"/>
  <c r="L79" i="33"/>
  <c r="K79" i="33"/>
  <c r="I79" i="33"/>
  <c r="H79" i="33"/>
  <c r="F79" i="33"/>
  <c r="E79" i="33"/>
  <c r="N78" i="33"/>
  <c r="O78" i="33" s="1"/>
  <c r="L78" i="33"/>
  <c r="K78" i="33"/>
  <c r="I78" i="33"/>
  <c r="H78" i="33"/>
  <c r="F78" i="33"/>
  <c r="E78" i="33"/>
  <c r="N77" i="33"/>
  <c r="O77" i="33" s="1"/>
  <c r="L77" i="33"/>
  <c r="K77" i="33"/>
  <c r="I77" i="33"/>
  <c r="H77" i="33"/>
  <c r="F77" i="33"/>
  <c r="E77" i="33"/>
  <c r="N76" i="33"/>
  <c r="O76" i="33" s="1"/>
  <c r="O20" i="33" s="1"/>
  <c r="L76" i="33"/>
  <c r="K76" i="33"/>
  <c r="I76" i="33"/>
  <c r="H76" i="33"/>
  <c r="F76" i="33"/>
  <c r="E76" i="33"/>
  <c r="N75" i="33"/>
  <c r="O75" i="33" s="1"/>
  <c r="O30" i="33" s="1"/>
  <c r="L75" i="33"/>
  <c r="L30" i="33" s="1"/>
  <c r="K75" i="33"/>
  <c r="I75" i="33"/>
  <c r="H75" i="33"/>
  <c r="F75" i="33"/>
  <c r="F30" i="33" s="1"/>
  <c r="E75" i="33"/>
  <c r="N74" i="33"/>
  <c r="O74" i="33" s="1"/>
  <c r="O28" i="33" s="1"/>
  <c r="L74" i="33"/>
  <c r="L28" i="33" s="1"/>
  <c r="K74" i="33"/>
  <c r="I74" i="33"/>
  <c r="H74" i="33"/>
  <c r="F74" i="33"/>
  <c r="F28" i="33" s="1"/>
  <c r="E74" i="33"/>
  <c r="N73" i="33"/>
  <c r="O73" i="33" s="1"/>
  <c r="O24" i="33" s="1"/>
  <c r="L73" i="33"/>
  <c r="K73" i="33"/>
  <c r="I73" i="33"/>
  <c r="H73" i="33"/>
  <c r="F73" i="33"/>
  <c r="E73" i="33"/>
  <c r="N72" i="33"/>
  <c r="O72" i="33" s="1"/>
  <c r="L72" i="33"/>
  <c r="K72" i="33"/>
  <c r="I72" i="33"/>
  <c r="H72" i="33"/>
  <c r="F72" i="33"/>
  <c r="E72" i="33"/>
  <c r="N71" i="33"/>
  <c r="N91" i="33" s="1"/>
  <c r="L71" i="33"/>
  <c r="L91" i="33" s="1"/>
  <c r="K71" i="33"/>
  <c r="K91" i="33" s="1"/>
  <c r="I71" i="33"/>
  <c r="I91" i="33" s="1"/>
  <c r="H71" i="33"/>
  <c r="H91" i="33" s="1"/>
  <c r="F71" i="33"/>
  <c r="F91" i="33" s="1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L63" i="33"/>
  <c r="K63" i="33"/>
  <c r="H63" i="33"/>
  <c r="I63" i="33" s="1"/>
  <c r="F63" i="33"/>
  <c r="E63" i="33"/>
  <c r="N62" i="33"/>
  <c r="O62" i="33" s="1"/>
  <c r="K62" i="33"/>
  <c r="L62" i="33" s="1"/>
  <c r="H62" i="33"/>
  <c r="I62" i="33" s="1"/>
  <c r="F62" i="33"/>
  <c r="E62" i="33"/>
  <c r="N61" i="33"/>
  <c r="O61" i="33" s="1"/>
  <c r="L61" i="33"/>
  <c r="K61" i="33"/>
  <c r="H61" i="33"/>
  <c r="I61" i="33" s="1"/>
  <c r="F61" i="33"/>
  <c r="E61" i="33"/>
  <c r="N60" i="33"/>
  <c r="O60" i="33" s="1"/>
  <c r="L60" i="33"/>
  <c r="K60" i="33"/>
  <c r="H60" i="33"/>
  <c r="I60" i="33" s="1"/>
  <c r="F60" i="33"/>
  <c r="E60" i="33"/>
  <c r="N59" i="33"/>
  <c r="O59" i="33" s="1"/>
  <c r="L59" i="33"/>
  <c r="K59" i="33"/>
  <c r="H59" i="33"/>
  <c r="I59" i="33" s="1"/>
  <c r="F59" i="33"/>
  <c r="E59" i="33"/>
  <c r="O58" i="33"/>
  <c r="N58" i="33"/>
  <c r="K58" i="33"/>
  <c r="L58" i="33" s="1"/>
  <c r="H58" i="33"/>
  <c r="I58" i="33" s="1"/>
  <c r="F58" i="33"/>
  <c r="E58" i="33"/>
  <c r="N57" i="33"/>
  <c r="O57" i="33" s="1"/>
  <c r="L57" i="33"/>
  <c r="K57" i="33"/>
  <c r="H57" i="33"/>
  <c r="I57" i="33" s="1"/>
  <c r="F57" i="33"/>
  <c r="E57" i="33"/>
  <c r="N56" i="33"/>
  <c r="O56" i="33" s="1"/>
  <c r="L56" i="33"/>
  <c r="K56" i="33"/>
  <c r="H56" i="33"/>
  <c r="I56" i="33" s="1"/>
  <c r="F56" i="33"/>
  <c r="E56" i="33"/>
  <c r="O55" i="33"/>
  <c r="N55" i="33"/>
  <c r="L55" i="33"/>
  <c r="K55" i="33"/>
  <c r="H55" i="33"/>
  <c r="I55" i="33" s="1"/>
  <c r="F55" i="33"/>
  <c r="E55" i="33"/>
  <c r="N54" i="33"/>
  <c r="O54" i="33" s="1"/>
  <c r="O17" i="33" s="1"/>
  <c r="K54" i="33"/>
  <c r="L54" i="33" s="1"/>
  <c r="L17" i="33" s="1"/>
  <c r="H54" i="33"/>
  <c r="I54" i="33" s="1"/>
  <c r="I17" i="33" s="1"/>
  <c r="F54" i="33"/>
  <c r="E54" i="33"/>
  <c r="O53" i="33"/>
  <c r="N53" i="33"/>
  <c r="L53" i="33"/>
  <c r="K53" i="33"/>
  <c r="H53" i="33"/>
  <c r="I53" i="33" s="1"/>
  <c r="F53" i="33"/>
  <c r="E53" i="33"/>
  <c r="O52" i="33"/>
  <c r="N52" i="33"/>
  <c r="L52" i="33"/>
  <c r="K52" i="33"/>
  <c r="H52" i="33"/>
  <c r="I52" i="33" s="1"/>
  <c r="F52" i="33"/>
  <c r="E52" i="33"/>
  <c r="N51" i="33"/>
  <c r="O51" i="33" s="1"/>
  <c r="L51" i="33"/>
  <c r="K51" i="33"/>
  <c r="H51" i="33"/>
  <c r="I51" i="33" s="1"/>
  <c r="F51" i="33"/>
  <c r="E51" i="33"/>
  <c r="N50" i="33"/>
  <c r="O50" i="33" s="1"/>
  <c r="K50" i="33"/>
  <c r="L50" i="33" s="1"/>
  <c r="H50" i="33"/>
  <c r="I50" i="33" s="1"/>
  <c r="F50" i="33"/>
  <c r="E50" i="33"/>
  <c r="O49" i="33"/>
  <c r="N49" i="33"/>
  <c r="L49" i="33"/>
  <c r="K49" i="33"/>
  <c r="H49" i="33"/>
  <c r="I49" i="33" s="1"/>
  <c r="F49" i="33"/>
  <c r="E49" i="33"/>
  <c r="N48" i="33"/>
  <c r="O48" i="33" s="1"/>
  <c r="L48" i="33"/>
  <c r="K48" i="33"/>
  <c r="H48" i="33"/>
  <c r="I48" i="33" s="1"/>
  <c r="F48" i="33"/>
  <c r="E48" i="33"/>
  <c r="N47" i="33"/>
  <c r="O47" i="33" s="1"/>
  <c r="L47" i="33"/>
  <c r="K47" i="33"/>
  <c r="H47" i="33"/>
  <c r="I47" i="33" s="1"/>
  <c r="F47" i="33"/>
  <c r="E47" i="33"/>
  <c r="O46" i="33"/>
  <c r="N46" i="33"/>
  <c r="K46" i="33"/>
  <c r="L46" i="33" s="1"/>
  <c r="H46" i="33"/>
  <c r="I46" i="33" s="1"/>
  <c r="F46" i="33"/>
  <c r="E46" i="33"/>
  <c r="N45" i="33"/>
  <c r="O45" i="33" s="1"/>
  <c r="L45" i="33"/>
  <c r="K45" i="33"/>
  <c r="H45" i="33"/>
  <c r="I45" i="33" s="1"/>
  <c r="F45" i="33"/>
  <c r="E45" i="33"/>
  <c r="N44" i="33"/>
  <c r="L44" i="33"/>
  <c r="K44" i="33"/>
  <c r="H44" i="33"/>
  <c r="H64" i="33" s="1"/>
  <c r="F44" i="33"/>
  <c r="F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N31" i="33"/>
  <c r="M31" i="33"/>
  <c r="K31" i="33"/>
  <c r="J31" i="33"/>
  <c r="I31" i="33"/>
  <c r="H31" i="33"/>
  <c r="G31" i="33"/>
  <c r="F31" i="33"/>
  <c r="E31" i="33"/>
  <c r="D31" i="33"/>
  <c r="C31" i="33"/>
  <c r="B31" i="33"/>
  <c r="N30" i="33"/>
  <c r="M30" i="33"/>
  <c r="K30" i="33"/>
  <c r="J30" i="33"/>
  <c r="I30" i="33"/>
  <c r="H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N28" i="33"/>
  <c r="M28" i="33"/>
  <c r="K28" i="33"/>
  <c r="J28" i="33"/>
  <c r="I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N26" i="33"/>
  <c r="M26" i="33"/>
  <c r="K26" i="33"/>
  <c r="J26" i="33"/>
  <c r="I26" i="33"/>
  <c r="H26" i="33"/>
  <c r="G26" i="33"/>
  <c r="F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N23" i="33"/>
  <c r="M23" i="33"/>
  <c r="L23" i="33"/>
  <c r="K23" i="33"/>
  <c r="J23" i="33"/>
  <c r="H23" i="33"/>
  <c r="G23" i="33"/>
  <c r="F23" i="33"/>
  <c r="E23" i="33"/>
  <c r="D23" i="33"/>
  <c r="C23" i="33"/>
  <c r="B23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N19" i="33"/>
  <c r="M19" i="33"/>
  <c r="K19" i="33"/>
  <c r="J19" i="33"/>
  <c r="H19" i="33"/>
  <c r="G19" i="33"/>
  <c r="F19" i="33"/>
  <c r="E19" i="33"/>
  <c r="D19" i="33"/>
  <c r="C19" i="33"/>
  <c r="B19" i="33"/>
  <c r="N18" i="33"/>
  <c r="M18" i="33"/>
  <c r="L18" i="33"/>
  <c r="K18" i="33"/>
  <c r="J18" i="33"/>
  <c r="H18" i="33"/>
  <c r="G18" i="33"/>
  <c r="F18" i="33"/>
  <c r="E18" i="33"/>
  <c r="D18" i="33"/>
  <c r="C18" i="33"/>
  <c r="B18" i="33"/>
  <c r="N17" i="33"/>
  <c r="M17" i="33"/>
  <c r="K17" i="33"/>
  <c r="J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E198" i="32"/>
  <c r="F198" i="32" s="1"/>
  <c r="N197" i="32"/>
  <c r="O197" i="32" s="1"/>
  <c r="K197" i="32"/>
  <c r="L197" i="32" s="1"/>
  <c r="H197" i="32"/>
  <c r="I197" i="32" s="1"/>
  <c r="E197" i="32"/>
  <c r="F197" i="32" s="1"/>
  <c r="O196" i="32"/>
  <c r="N196" i="32"/>
  <c r="L196" i="32"/>
  <c r="K196" i="32"/>
  <c r="I196" i="32"/>
  <c r="H196" i="32"/>
  <c r="E196" i="32"/>
  <c r="F196" i="32" s="1"/>
  <c r="N195" i="32"/>
  <c r="O195" i="32" s="1"/>
  <c r="K195" i="32"/>
  <c r="L195" i="32" s="1"/>
  <c r="H195" i="32"/>
  <c r="I195" i="32" s="1"/>
  <c r="E195" i="32"/>
  <c r="F195" i="32" s="1"/>
  <c r="O194" i="32"/>
  <c r="N194" i="32"/>
  <c r="L194" i="32"/>
  <c r="K194" i="32"/>
  <c r="H194" i="32"/>
  <c r="I194" i="32" s="1"/>
  <c r="E194" i="32"/>
  <c r="F194" i="32" s="1"/>
  <c r="O193" i="32"/>
  <c r="N193" i="32"/>
  <c r="K193" i="32"/>
  <c r="L193" i="32" s="1"/>
  <c r="H193" i="32"/>
  <c r="I193" i="32" s="1"/>
  <c r="E193" i="32"/>
  <c r="F193" i="32" s="1"/>
  <c r="N192" i="32"/>
  <c r="O192" i="32" s="1"/>
  <c r="L192" i="32"/>
  <c r="K192" i="32"/>
  <c r="I192" i="32"/>
  <c r="H192" i="32"/>
  <c r="E192" i="32"/>
  <c r="F192" i="32" s="1"/>
  <c r="O191" i="32"/>
  <c r="N191" i="32"/>
  <c r="L191" i="32"/>
  <c r="K191" i="32"/>
  <c r="H191" i="32"/>
  <c r="I191" i="32" s="1"/>
  <c r="E191" i="32"/>
  <c r="F191" i="32" s="1"/>
  <c r="O190" i="32"/>
  <c r="N190" i="32"/>
  <c r="K190" i="32"/>
  <c r="L190" i="32" s="1"/>
  <c r="H190" i="32"/>
  <c r="I190" i="32" s="1"/>
  <c r="E190" i="32"/>
  <c r="F190" i="32" s="1"/>
  <c r="N189" i="32"/>
  <c r="O189" i="32" s="1"/>
  <c r="L189" i="32"/>
  <c r="K189" i="32"/>
  <c r="H189" i="32"/>
  <c r="I189" i="32" s="1"/>
  <c r="E189" i="32"/>
  <c r="F189" i="32" s="1"/>
  <c r="N188" i="32"/>
  <c r="O188" i="32" s="1"/>
  <c r="K188" i="32"/>
  <c r="L188" i="32" s="1"/>
  <c r="I188" i="32"/>
  <c r="H188" i="32"/>
  <c r="E188" i="32"/>
  <c r="F188" i="32" s="1"/>
  <c r="N187" i="32"/>
  <c r="O187" i="32" s="1"/>
  <c r="L187" i="32"/>
  <c r="K187" i="32"/>
  <c r="H187" i="32"/>
  <c r="I187" i="32" s="1"/>
  <c r="E187" i="32"/>
  <c r="F187" i="32" s="1"/>
  <c r="N186" i="32"/>
  <c r="O186" i="32" s="1"/>
  <c r="K186" i="32"/>
  <c r="L186" i="32" s="1"/>
  <c r="H186" i="32"/>
  <c r="I186" i="32" s="1"/>
  <c r="E186" i="32"/>
  <c r="F186" i="32" s="1"/>
  <c r="O185" i="32"/>
  <c r="N185" i="32"/>
  <c r="L185" i="32"/>
  <c r="K185" i="32"/>
  <c r="H185" i="32"/>
  <c r="I185" i="32" s="1"/>
  <c r="E185" i="32"/>
  <c r="F185" i="32" s="1"/>
  <c r="O184" i="32"/>
  <c r="N184" i="32"/>
  <c r="K184" i="32"/>
  <c r="L184" i="32" s="1"/>
  <c r="I184" i="32"/>
  <c r="H184" i="32"/>
  <c r="E184" i="32"/>
  <c r="F184" i="32" s="1"/>
  <c r="O183" i="32"/>
  <c r="N183" i="32"/>
  <c r="K183" i="32"/>
  <c r="L183" i="32" s="1"/>
  <c r="H183" i="32"/>
  <c r="I183" i="32" s="1"/>
  <c r="E183" i="32"/>
  <c r="F183" i="32" s="1"/>
  <c r="N182" i="32"/>
  <c r="O182" i="32" s="1"/>
  <c r="L182" i="32"/>
  <c r="K182" i="32"/>
  <c r="H182" i="32"/>
  <c r="I182" i="32" s="1"/>
  <c r="E182" i="32"/>
  <c r="F182" i="32" s="1"/>
  <c r="N181" i="32"/>
  <c r="O181" i="32" s="1"/>
  <c r="K181" i="32"/>
  <c r="L181" i="32" s="1"/>
  <c r="H181" i="32"/>
  <c r="I181" i="32" s="1"/>
  <c r="E181" i="32"/>
  <c r="F181" i="32" s="1"/>
  <c r="O180" i="32"/>
  <c r="N180" i="32"/>
  <c r="L180" i="32"/>
  <c r="K180" i="32"/>
  <c r="I180" i="32"/>
  <c r="H180" i="32"/>
  <c r="E180" i="32"/>
  <c r="F180" i="32" s="1"/>
  <c r="N179" i="32"/>
  <c r="N199" i="32" s="1"/>
  <c r="K179" i="32"/>
  <c r="K199" i="32" s="1"/>
  <c r="H179" i="32"/>
  <c r="H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K171" i="32"/>
  <c r="L171" i="32" s="1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N169" i="32"/>
  <c r="O169" i="32" s="1"/>
  <c r="K169" i="32"/>
  <c r="L169" i="32" s="1"/>
  <c r="I169" i="32"/>
  <c r="H169" i="32"/>
  <c r="E169" i="32"/>
  <c r="F169" i="32" s="1"/>
  <c r="O168" i="32"/>
  <c r="N168" i="32"/>
  <c r="L168" i="32"/>
  <c r="K168" i="32"/>
  <c r="H168" i="32"/>
  <c r="I168" i="32" s="1"/>
  <c r="E168" i="32"/>
  <c r="F168" i="32" s="1"/>
  <c r="N167" i="32"/>
  <c r="O167" i="32" s="1"/>
  <c r="O21" i="32" s="1"/>
  <c r="K167" i="32"/>
  <c r="K21" i="32" s="1"/>
  <c r="H167" i="32"/>
  <c r="I167" i="32" s="1"/>
  <c r="I21" i="32" s="1"/>
  <c r="E167" i="32"/>
  <c r="F167" i="32" s="1"/>
  <c r="F21" i="32" s="1"/>
  <c r="N166" i="32"/>
  <c r="O166" i="32" s="1"/>
  <c r="L166" i="32"/>
  <c r="K166" i="32"/>
  <c r="H166" i="32"/>
  <c r="I166" i="32" s="1"/>
  <c r="E166" i="32"/>
  <c r="F166" i="32" s="1"/>
  <c r="N165" i="32"/>
  <c r="O165" i="32" s="1"/>
  <c r="K165" i="32"/>
  <c r="L165" i="32" s="1"/>
  <c r="I165" i="32"/>
  <c r="H165" i="32"/>
  <c r="E165" i="32"/>
  <c r="F165" i="32" s="1"/>
  <c r="N164" i="32"/>
  <c r="O164" i="32" s="1"/>
  <c r="L164" i="32"/>
  <c r="K164" i="32"/>
  <c r="H164" i="32"/>
  <c r="I164" i="32" s="1"/>
  <c r="E164" i="32"/>
  <c r="F164" i="32" s="1"/>
  <c r="N163" i="32"/>
  <c r="O163" i="32" s="1"/>
  <c r="K163" i="32"/>
  <c r="L163" i="32" s="1"/>
  <c r="H163" i="32"/>
  <c r="I163" i="32" s="1"/>
  <c r="E163" i="32"/>
  <c r="F163" i="32" s="1"/>
  <c r="O162" i="32"/>
  <c r="N162" i="32"/>
  <c r="L162" i="32"/>
  <c r="K162" i="32"/>
  <c r="H162" i="32"/>
  <c r="I162" i="32" s="1"/>
  <c r="E162" i="32"/>
  <c r="F162" i="32" s="1"/>
  <c r="O161" i="32"/>
  <c r="N161" i="32"/>
  <c r="K161" i="32"/>
  <c r="L161" i="32" s="1"/>
  <c r="I161" i="32"/>
  <c r="H161" i="32"/>
  <c r="E161" i="32"/>
  <c r="F161" i="32" s="1"/>
  <c r="O160" i="32"/>
  <c r="N160" i="32"/>
  <c r="K160" i="32"/>
  <c r="L160" i="32" s="1"/>
  <c r="H160" i="32"/>
  <c r="I160" i="32" s="1"/>
  <c r="E160" i="32"/>
  <c r="F160" i="32" s="1"/>
  <c r="N159" i="32"/>
  <c r="O159" i="32" s="1"/>
  <c r="L159" i="32"/>
  <c r="K159" i="32"/>
  <c r="H159" i="32"/>
  <c r="I159" i="32" s="1"/>
  <c r="E159" i="32"/>
  <c r="F159" i="32" s="1"/>
  <c r="N158" i="32"/>
  <c r="O158" i="32" s="1"/>
  <c r="K158" i="32"/>
  <c r="L158" i="32" s="1"/>
  <c r="H158" i="32"/>
  <c r="I158" i="32" s="1"/>
  <c r="E158" i="32"/>
  <c r="F158" i="32" s="1"/>
  <c r="O157" i="32"/>
  <c r="N157" i="32"/>
  <c r="L157" i="32"/>
  <c r="K157" i="32"/>
  <c r="I157" i="32"/>
  <c r="H157" i="32"/>
  <c r="E157" i="32"/>
  <c r="F157" i="32" s="1"/>
  <c r="N156" i="32"/>
  <c r="O156" i="32" s="1"/>
  <c r="K156" i="32"/>
  <c r="L156" i="32" s="1"/>
  <c r="H156" i="32"/>
  <c r="I156" i="32" s="1"/>
  <c r="E156" i="32"/>
  <c r="F156" i="32" s="1"/>
  <c r="O155" i="32"/>
  <c r="N155" i="32"/>
  <c r="L155" i="32"/>
  <c r="K155" i="32"/>
  <c r="H155" i="32"/>
  <c r="I155" i="32" s="1"/>
  <c r="E155" i="32"/>
  <c r="F155" i="32" s="1"/>
  <c r="O154" i="32"/>
  <c r="N154" i="32"/>
  <c r="K154" i="32"/>
  <c r="L154" i="32" s="1"/>
  <c r="I154" i="32"/>
  <c r="H154" i="32"/>
  <c r="E154" i="32"/>
  <c r="F154" i="32" s="1"/>
  <c r="O153" i="32"/>
  <c r="N153" i="32"/>
  <c r="K153" i="32"/>
  <c r="L153" i="32" s="1"/>
  <c r="L19" i="32" s="1"/>
  <c r="I153" i="32"/>
  <c r="I19" i="32" s="1"/>
  <c r="H153" i="32"/>
  <c r="E153" i="32"/>
  <c r="F153" i="32" s="1"/>
  <c r="F19" i="32" s="1"/>
  <c r="O152" i="32"/>
  <c r="N152" i="32"/>
  <c r="K152" i="32"/>
  <c r="H152" i="32"/>
  <c r="H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K144" i="32"/>
  <c r="L144" i="32" s="1"/>
  <c r="I144" i="32"/>
  <c r="H144" i="32"/>
  <c r="E144" i="32"/>
  <c r="F144" i="32" s="1"/>
  <c r="N143" i="32"/>
  <c r="O143" i="32" s="1"/>
  <c r="K143" i="32"/>
  <c r="L143" i="32" s="1"/>
  <c r="H143" i="32"/>
  <c r="I143" i="32" s="1"/>
  <c r="E143" i="32"/>
  <c r="F143" i="32" s="1"/>
  <c r="O142" i="32"/>
  <c r="N142" i="32"/>
  <c r="L142" i="32"/>
  <c r="K142" i="32"/>
  <c r="I142" i="32"/>
  <c r="H142" i="32"/>
  <c r="E142" i="32"/>
  <c r="F142" i="32" s="1"/>
  <c r="N141" i="32"/>
  <c r="O141" i="32" s="1"/>
  <c r="O18" i="32" s="1"/>
  <c r="K141" i="32"/>
  <c r="K18" i="32" s="1"/>
  <c r="H141" i="32"/>
  <c r="H18" i="32" s="1"/>
  <c r="E141" i="32"/>
  <c r="F141" i="32" s="1"/>
  <c r="F18" i="32" s="1"/>
  <c r="O140" i="32"/>
  <c r="N140" i="32"/>
  <c r="L140" i="32"/>
  <c r="K140" i="32"/>
  <c r="I140" i="32"/>
  <c r="H140" i="32"/>
  <c r="E140" i="32"/>
  <c r="F140" i="32" s="1"/>
  <c r="N139" i="32"/>
  <c r="O139" i="32" s="1"/>
  <c r="L139" i="32"/>
  <c r="K139" i="32"/>
  <c r="H139" i="32"/>
  <c r="I139" i="32" s="1"/>
  <c r="E139" i="32"/>
  <c r="F139" i="32" s="1"/>
  <c r="N138" i="32"/>
  <c r="O138" i="32" s="1"/>
  <c r="K138" i="32"/>
  <c r="L138" i="32" s="1"/>
  <c r="I138" i="32"/>
  <c r="H138" i="32"/>
  <c r="E138" i="32"/>
  <c r="F138" i="32" s="1"/>
  <c r="N137" i="32"/>
  <c r="O137" i="32" s="1"/>
  <c r="L137" i="32"/>
  <c r="K137" i="32"/>
  <c r="H137" i="32"/>
  <c r="I137" i="32" s="1"/>
  <c r="E137" i="32"/>
  <c r="F137" i="32" s="1"/>
  <c r="N136" i="32"/>
  <c r="O136" i="32" s="1"/>
  <c r="K136" i="32"/>
  <c r="L136" i="32" s="1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O134" i="32"/>
  <c r="N134" i="32"/>
  <c r="L134" i="32"/>
  <c r="K134" i="32"/>
  <c r="I134" i="32"/>
  <c r="H134" i="32"/>
  <c r="E134" i="32"/>
  <c r="F134" i="32" s="1"/>
  <c r="N133" i="32"/>
  <c r="O133" i="32" s="1"/>
  <c r="K133" i="32"/>
  <c r="L133" i="32" s="1"/>
  <c r="H133" i="32"/>
  <c r="I133" i="32" s="1"/>
  <c r="E133" i="32"/>
  <c r="F133" i="32" s="1"/>
  <c r="O132" i="32"/>
  <c r="N132" i="32"/>
  <c r="L132" i="32"/>
  <c r="K132" i="32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I130" i="32"/>
  <c r="H130" i="32"/>
  <c r="E130" i="32"/>
  <c r="F130" i="32" s="1"/>
  <c r="N129" i="32"/>
  <c r="O129" i="32" s="1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I126" i="32"/>
  <c r="H126" i="32"/>
  <c r="E126" i="32"/>
  <c r="F126" i="32" s="1"/>
  <c r="N125" i="32"/>
  <c r="N145" i="32" s="1"/>
  <c r="K125" i="32"/>
  <c r="K145" i="32" s="1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E117" i="32"/>
  <c r="F117" i="32" s="1"/>
  <c r="O116" i="32"/>
  <c r="N116" i="32"/>
  <c r="L116" i="32"/>
  <c r="K116" i="32"/>
  <c r="I116" i="32"/>
  <c r="H116" i="32"/>
  <c r="E116" i="32"/>
  <c r="F116" i="32" s="1"/>
  <c r="O115" i="32"/>
  <c r="N115" i="32"/>
  <c r="K115" i="32"/>
  <c r="L115" i="32" s="1"/>
  <c r="H115" i="32"/>
  <c r="I115" i="32" s="1"/>
  <c r="E115" i="32"/>
  <c r="F115" i="32" s="1"/>
  <c r="O114" i="32"/>
  <c r="N114" i="32"/>
  <c r="L114" i="32"/>
  <c r="K114" i="32"/>
  <c r="I114" i="32"/>
  <c r="H114" i="32"/>
  <c r="E114" i="32"/>
  <c r="F114" i="32" s="1"/>
  <c r="O113" i="32"/>
  <c r="N113" i="32"/>
  <c r="L113" i="32"/>
  <c r="K113" i="32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O111" i="32"/>
  <c r="N111" i="32"/>
  <c r="L111" i="32"/>
  <c r="K111" i="32"/>
  <c r="H111" i="32"/>
  <c r="I111" i="32" s="1"/>
  <c r="E111" i="32"/>
  <c r="F111" i="32" s="1"/>
  <c r="O110" i="32"/>
  <c r="N110" i="32"/>
  <c r="K110" i="32"/>
  <c r="L110" i="32" s="1"/>
  <c r="I110" i="32"/>
  <c r="H110" i="32"/>
  <c r="E110" i="32"/>
  <c r="F110" i="32" s="1"/>
  <c r="O109" i="32"/>
  <c r="N109" i="32"/>
  <c r="L109" i="32"/>
  <c r="K109" i="32"/>
  <c r="H109" i="32"/>
  <c r="I109" i="32" s="1"/>
  <c r="E109" i="32"/>
  <c r="F109" i="32" s="1"/>
  <c r="O108" i="32"/>
  <c r="N108" i="32"/>
  <c r="L108" i="32"/>
  <c r="K108" i="32"/>
  <c r="I108" i="32"/>
  <c r="H108" i="32"/>
  <c r="E108" i="32"/>
  <c r="F108" i="32" s="1"/>
  <c r="N107" i="32"/>
  <c r="O107" i="32" s="1"/>
  <c r="K107" i="32"/>
  <c r="L107" i="32" s="1"/>
  <c r="H107" i="32"/>
  <c r="I107" i="32" s="1"/>
  <c r="E107" i="32"/>
  <c r="F107" i="32" s="1"/>
  <c r="O106" i="32"/>
  <c r="N106" i="32"/>
  <c r="L106" i="32"/>
  <c r="K106" i="32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O104" i="32"/>
  <c r="N104" i="32"/>
  <c r="L104" i="32"/>
  <c r="K104" i="32"/>
  <c r="I104" i="32"/>
  <c r="H104" i="32"/>
  <c r="E104" i="32"/>
  <c r="F104" i="32" s="1"/>
  <c r="O103" i="32"/>
  <c r="N103" i="32"/>
  <c r="L103" i="32"/>
  <c r="K103" i="32"/>
  <c r="H103" i="32"/>
  <c r="I103" i="32" s="1"/>
  <c r="E103" i="32"/>
  <c r="F103" i="32" s="1"/>
  <c r="O102" i="32"/>
  <c r="N102" i="32"/>
  <c r="K102" i="32"/>
  <c r="L102" i="32" s="1"/>
  <c r="I102" i="32"/>
  <c r="H102" i="32"/>
  <c r="E102" i="32"/>
  <c r="F102" i="32" s="1"/>
  <c r="O101" i="32"/>
  <c r="N101" i="32"/>
  <c r="L101" i="32"/>
  <c r="K101" i="32"/>
  <c r="H101" i="32"/>
  <c r="I101" i="32" s="1"/>
  <c r="E101" i="32"/>
  <c r="F101" i="32" s="1"/>
  <c r="O100" i="32"/>
  <c r="N100" i="32"/>
  <c r="L100" i="32"/>
  <c r="K100" i="32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K118" i="32" s="1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I90" i="32"/>
  <c r="H90" i="32"/>
  <c r="F90" i="32"/>
  <c r="E90" i="32"/>
  <c r="O89" i="32"/>
  <c r="N89" i="32"/>
  <c r="L89" i="32"/>
  <c r="K89" i="32"/>
  <c r="I89" i="32"/>
  <c r="H89" i="32"/>
  <c r="F89" i="32"/>
  <c r="E89" i="32"/>
  <c r="O88" i="32"/>
  <c r="N88" i="32"/>
  <c r="L88" i="32"/>
  <c r="K88" i="32"/>
  <c r="I88" i="32"/>
  <c r="H88" i="32"/>
  <c r="F88" i="32"/>
  <c r="E88" i="32"/>
  <c r="O87" i="32"/>
  <c r="N87" i="32"/>
  <c r="L87" i="32"/>
  <c r="K87" i="32"/>
  <c r="I87" i="32"/>
  <c r="H87" i="32"/>
  <c r="F87" i="32"/>
  <c r="E87" i="32"/>
  <c r="O86" i="32"/>
  <c r="N86" i="32"/>
  <c r="L86" i="32"/>
  <c r="K86" i="32"/>
  <c r="I86" i="32"/>
  <c r="H86" i="32"/>
  <c r="F86" i="32"/>
  <c r="E86" i="32"/>
  <c r="O85" i="32"/>
  <c r="N85" i="32"/>
  <c r="L85" i="32"/>
  <c r="K85" i="32"/>
  <c r="I85" i="32"/>
  <c r="H85" i="32"/>
  <c r="F85" i="32"/>
  <c r="E85" i="32"/>
  <c r="O84" i="32"/>
  <c r="N84" i="32"/>
  <c r="L84" i="32"/>
  <c r="K84" i="32"/>
  <c r="I84" i="32"/>
  <c r="H84" i="32"/>
  <c r="F84" i="32"/>
  <c r="E84" i="32"/>
  <c r="O83" i="32"/>
  <c r="N83" i="32"/>
  <c r="L83" i="32"/>
  <c r="K83" i="32"/>
  <c r="I83" i="32"/>
  <c r="H83" i="32"/>
  <c r="F83" i="32"/>
  <c r="E83" i="32"/>
  <c r="O82" i="32"/>
  <c r="N82" i="32"/>
  <c r="L82" i="32"/>
  <c r="K82" i="32"/>
  <c r="I82" i="32"/>
  <c r="H82" i="32"/>
  <c r="F82" i="32"/>
  <c r="E82" i="32"/>
  <c r="O81" i="32"/>
  <c r="N81" i="32"/>
  <c r="L81" i="32"/>
  <c r="K81" i="32"/>
  <c r="I81" i="32"/>
  <c r="H81" i="32"/>
  <c r="F81" i="32"/>
  <c r="E81" i="32"/>
  <c r="O80" i="32"/>
  <c r="N80" i="32"/>
  <c r="L80" i="32"/>
  <c r="K80" i="32"/>
  <c r="I80" i="32"/>
  <c r="H80" i="32"/>
  <c r="F80" i="32"/>
  <c r="E80" i="32"/>
  <c r="O79" i="32"/>
  <c r="N79" i="32"/>
  <c r="L79" i="32"/>
  <c r="K79" i="32"/>
  <c r="I79" i="32"/>
  <c r="H79" i="32"/>
  <c r="F79" i="32"/>
  <c r="E79" i="32"/>
  <c r="O78" i="32"/>
  <c r="N78" i="32"/>
  <c r="L78" i="32"/>
  <c r="K78" i="32"/>
  <c r="I78" i="32"/>
  <c r="H78" i="32"/>
  <c r="F78" i="32"/>
  <c r="E78" i="32"/>
  <c r="O77" i="32"/>
  <c r="N77" i="32"/>
  <c r="L77" i="32"/>
  <c r="K77" i="32"/>
  <c r="I77" i="32"/>
  <c r="H77" i="32"/>
  <c r="F77" i="32"/>
  <c r="E77" i="32"/>
  <c r="O76" i="32"/>
  <c r="N76" i="32"/>
  <c r="L76" i="32"/>
  <c r="K76" i="32"/>
  <c r="I76" i="32"/>
  <c r="H76" i="32"/>
  <c r="F76" i="32"/>
  <c r="E76" i="32"/>
  <c r="O75" i="32"/>
  <c r="N75" i="32"/>
  <c r="L75" i="32"/>
  <c r="K75" i="32"/>
  <c r="I75" i="32"/>
  <c r="H75" i="32"/>
  <c r="F75" i="32"/>
  <c r="E75" i="32"/>
  <c r="O74" i="32"/>
  <c r="N74" i="32"/>
  <c r="L74" i="32"/>
  <c r="K74" i="32"/>
  <c r="I74" i="32"/>
  <c r="H74" i="32"/>
  <c r="F74" i="32"/>
  <c r="E74" i="32"/>
  <c r="O73" i="32"/>
  <c r="N73" i="32"/>
  <c r="L73" i="32"/>
  <c r="K73" i="32"/>
  <c r="I73" i="32"/>
  <c r="H73" i="32"/>
  <c r="F73" i="32"/>
  <c r="E73" i="32"/>
  <c r="O72" i="32"/>
  <c r="N72" i="32"/>
  <c r="L72" i="32"/>
  <c r="K72" i="32"/>
  <c r="I72" i="32"/>
  <c r="H72" i="32"/>
  <c r="F72" i="32"/>
  <c r="E72" i="32"/>
  <c r="O71" i="32"/>
  <c r="O91" i="32" s="1"/>
  <c r="N71" i="32"/>
  <c r="N91" i="32" s="1"/>
  <c r="L71" i="32"/>
  <c r="L91" i="32" s="1"/>
  <c r="K71" i="32"/>
  <c r="K91" i="32" s="1"/>
  <c r="I71" i="32"/>
  <c r="I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K63" i="32"/>
  <c r="L63" i="32" s="1"/>
  <c r="H63" i="32"/>
  <c r="I63" i="32" s="1"/>
  <c r="E63" i="32"/>
  <c r="F63" i="32" s="1"/>
  <c r="O62" i="32"/>
  <c r="N62" i="32"/>
  <c r="L62" i="32"/>
  <c r="K62" i="32"/>
  <c r="H62" i="32"/>
  <c r="I62" i="32" s="1"/>
  <c r="E62" i="32"/>
  <c r="F62" i="32" s="1"/>
  <c r="O61" i="32"/>
  <c r="N61" i="32"/>
  <c r="K61" i="32"/>
  <c r="L61" i="32" s="1"/>
  <c r="I61" i="32"/>
  <c r="H61" i="32"/>
  <c r="E61" i="32"/>
  <c r="F61" i="32" s="1"/>
  <c r="O60" i="32"/>
  <c r="N60" i="32"/>
  <c r="L60" i="32"/>
  <c r="K60" i="32"/>
  <c r="H60" i="32"/>
  <c r="I60" i="32" s="1"/>
  <c r="E60" i="32"/>
  <c r="F60" i="32" s="1"/>
  <c r="O59" i="32"/>
  <c r="N59" i="32"/>
  <c r="L59" i="32"/>
  <c r="K59" i="32"/>
  <c r="H59" i="32"/>
  <c r="I59" i="32" s="1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L57" i="32"/>
  <c r="K57" i="32"/>
  <c r="I57" i="32"/>
  <c r="H57" i="32"/>
  <c r="E57" i="32"/>
  <c r="F57" i="32" s="1"/>
  <c r="N56" i="32"/>
  <c r="O56" i="32" s="1"/>
  <c r="O17" i="32" s="1"/>
  <c r="K56" i="32"/>
  <c r="L56" i="32" s="1"/>
  <c r="L17" i="32" s="1"/>
  <c r="H56" i="32"/>
  <c r="I56" i="32" s="1"/>
  <c r="I17" i="32" s="1"/>
  <c r="E56" i="32"/>
  <c r="F56" i="32" s="1"/>
  <c r="F17" i="32" s="1"/>
  <c r="O55" i="32"/>
  <c r="N55" i="32"/>
  <c r="L55" i="32"/>
  <c r="K55" i="32"/>
  <c r="H55" i="32"/>
  <c r="I55" i="32" s="1"/>
  <c r="E55" i="32"/>
  <c r="F55" i="32" s="1"/>
  <c r="O54" i="32"/>
  <c r="N54" i="32"/>
  <c r="K54" i="32"/>
  <c r="L54" i="32" s="1"/>
  <c r="H54" i="32"/>
  <c r="I54" i="32" s="1"/>
  <c r="E54" i="32"/>
  <c r="F54" i="32" s="1"/>
  <c r="N53" i="32"/>
  <c r="O53" i="32" s="1"/>
  <c r="L53" i="32"/>
  <c r="K53" i="32"/>
  <c r="I53" i="32"/>
  <c r="H53" i="32"/>
  <c r="E53" i="32"/>
  <c r="F53" i="32" s="1"/>
  <c r="O52" i="32"/>
  <c r="N52" i="32"/>
  <c r="L52" i="32"/>
  <c r="K52" i="32"/>
  <c r="H52" i="32"/>
  <c r="I52" i="32" s="1"/>
  <c r="E52" i="32"/>
  <c r="F52" i="32" s="1"/>
  <c r="O51" i="32"/>
  <c r="N51" i="32"/>
  <c r="L51" i="32"/>
  <c r="K51" i="32"/>
  <c r="H51" i="32"/>
  <c r="I51" i="32" s="1"/>
  <c r="E51" i="32"/>
  <c r="F51" i="32" s="1"/>
  <c r="O50" i="32"/>
  <c r="N50" i="32"/>
  <c r="L50" i="32"/>
  <c r="K50" i="32"/>
  <c r="H50" i="32"/>
  <c r="I50" i="32" s="1"/>
  <c r="E50" i="32"/>
  <c r="F50" i="32" s="1"/>
  <c r="O49" i="32"/>
  <c r="N49" i="32"/>
  <c r="L49" i="32"/>
  <c r="K49" i="32"/>
  <c r="I49" i="32"/>
  <c r="H49" i="32"/>
  <c r="E49" i="32"/>
  <c r="F49" i="32" s="1"/>
  <c r="N48" i="32"/>
  <c r="O48" i="32" s="1"/>
  <c r="L48" i="32"/>
  <c r="K48" i="32"/>
  <c r="H48" i="32"/>
  <c r="I48" i="32" s="1"/>
  <c r="E48" i="32"/>
  <c r="F48" i="32" s="1"/>
  <c r="O47" i="32"/>
  <c r="N47" i="32"/>
  <c r="K47" i="32"/>
  <c r="L47" i="32" s="1"/>
  <c r="H47" i="32"/>
  <c r="I47" i="32" s="1"/>
  <c r="E47" i="32"/>
  <c r="F47" i="32" s="1"/>
  <c r="O46" i="32"/>
  <c r="N46" i="32"/>
  <c r="L46" i="32"/>
  <c r="K46" i="32"/>
  <c r="H46" i="32"/>
  <c r="I46" i="32" s="1"/>
  <c r="E46" i="32"/>
  <c r="F46" i="32" s="1"/>
  <c r="O45" i="32"/>
  <c r="N45" i="32"/>
  <c r="K45" i="32"/>
  <c r="L45" i="32" s="1"/>
  <c r="I45" i="32"/>
  <c r="H45" i="32"/>
  <c r="E45" i="32"/>
  <c r="F45" i="32" s="1"/>
  <c r="O44" i="32"/>
  <c r="N44" i="32"/>
  <c r="L44" i="32"/>
  <c r="L64" i="32" s="1"/>
  <c r="K44" i="32"/>
  <c r="K64" i="32" s="1"/>
  <c r="H44" i="32"/>
  <c r="H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N21" i="32"/>
  <c r="M21" i="32"/>
  <c r="J21" i="32"/>
  <c r="H21" i="32"/>
  <c r="G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K19" i="32"/>
  <c r="J19" i="32"/>
  <c r="H19" i="32"/>
  <c r="G19" i="32"/>
  <c r="E19" i="32"/>
  <c r="D19" i="32"/>
  <c r="C19" i="32"/>
  <c r="B19" i="32"/>
  <c r="N18" i="32"/>
  <c r="M18" i="32"/>
  <c r="J18" i="32"/>
  <c r="G18" i="32"/>
  <c r="E18" i="32"/>
  <c r="D18" i="32"/>
  <c r="C18" i="32"/>
  <c r="B18" i="32"/>
  <c r="N17" i="32"/>
  <c r="M17" i="32"/>
  <c r="K17" i="32"/>
  <c r="J17" i="32"/>
  <c r="H17" i="32"/>
  <c r="G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O194" i="31"/>
  <c r="N194" i="31"/>
  <c r="L194" i="31"/>
  <c r="K194" i="31"/>
  <c r="H194" i="31"/>
  <c r="I194" i="31" s="1"/>
  <c r="F194" i="31"/>
  <c r="E194" i="31"/>
  <c r="N193" i="31"/>
  <c r="O193" i="31" s="1"/>
  <c r="K193" i="31"/>
  <c r="L193" i="31" s="1"/>
  <c r="H193" i="31"/>
  <c r="I193" i="31" s="1"/>
  <c r="F193" i="31"/>
  <c r="E193" i="31"/>
  <c r="N192" i="31"/>
  <c r="O192" i="31" s="1"/>
  <c r="K192" i="31"/>
  <c r="L192" i="31" s="1"/>
  <c r="H192" i="31"/>
  <c r="I192" i="31" s="1"/>
  <c r="F192" i="31"/>
  <c r="E192" i="31"/>
  <c r="N191" i="31"/>
  <c r="O191" i="31" s="1"/>
  <c r="K191" i="31"/>
  <c r="L191" i="31" s="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O187" i="31"/>
  <c r="N187" i="3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N185" i="31"/>
  <c r="O185" i="31" s="1"/>
  <c r="K185" i="31"/>
  <c r="L185" i="31" s="1"/>
  <c r="H185" i="31"/>
  <c r="I185" i="31" s="1"/>
  <c r="F185" i="31"/>
  <c r="E185" i="31"/>
  <c r="N184" i="31"/>
  <c r="O184" i="31" s="1"/>
  <c r="K184" i="31"/>
  <c r="L184" i="31" s="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N170" i="31"/>
  <c r="O170" i="31" s="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N168" i="31"/>
  <c r="O168" i="31" s="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O164" i="31"/>
  <c r="N164" i="31"/>
  <c r="L164" i="31"/>
  <c r="K164" i="3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O21" i="31" s="1"/>
  <c r="L156" i="31"/>
  <c r="K156" i="31"/>
  <c r="H156" i="31"/>
  <c r="I156" i="31" s="1"/>
  <c r="I21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N152" i="31"/>
  <c r="N172" i="31" s="1"/>
  <c r="L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N144" i="31"/>
  <c r="O144" i="31" s="1"/>
  <c r="L144" i="31"/>
  <c r="K144" i="31"/>
  <c r="H144" i="31"/>
  <c r="I144" i="31" s="1"/>
  <c r="F144" i="31"/>
  <c r="E144" i="31"/>
  <c r="O143" i="31"/>
  <c r="N143" i="31"/>
  <c r="K143" i="31"/>
  <c r="L143" i="31" s="1"/>
  <c r="L17" i="31" s="1"/>
  <c r="H143" i="31"/>
  <c r="I143" i="31" s="1"/>
  <c r="I17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L141" i="31"/>
  <c r="K141" i="31"/>
  <c r="H141" i="31"/>
  <c r="I141" i="31" s="1"/>
  <c r="F141" i="31"/>
  <c r="E141" i="31"/>
  <c r="O140" i="31"/>
  <c r="N140" i="31"/>
  <c r="L140" i="31"/>
  <c r="K140" i="31"/>
  <c r="H140" i="31"/>
  <c r="I140" i="31" s="1"/>
  <c r="F140" i="31"/>
  <c r="E140" i="31"/>
  <c r="N139" i="31"/>
  <c r="O139" i="31" s="1"/>
  <c r="K139" i="31"/>
  <c r="L139" i="31" s="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L137" i="31"/>
  <c r="K137" i="31"/>
  <c r="H137" i="31"/>
  <c r="I137" i="31" s="1"/>
  <c r="F137" i="31"/>
  <c r="E137" i="31"/>
  <c r="N136" i="31"/>
  <c r="O136" i="31" s="1"/>
  <c r="L136" i="31"/>
  <c r="K136" i="31"/>
  <c r="H136" i="31"/>
  <c r="I136" i="31" s="1"/>
  <c r="F136" i="31"/>
  <c r="E136" i="31"/>
  <c r="O135" i="31"/>
  <c r="N135" i="3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L133" i="31"/>
  <c r="K133" i="31"/>
  <c r="H133" i="31"/>
  <c r="I133" i="31" s="1"/>
  <c r="F133" i="31"/>
  <c r="E133" i="31"/>
  <c r="O132" i="31"/>
  <c r="N132" i="31"/>
  <c r="L132" i="31"/>
  <c r="K132" i="31"/>
  <c r="H132" i="31"/>
  <c r="I132" i="31" s="1"/>
  <c r="F132" i="31"/>
  <c r="E132" i="31"/>
  <c r="N131" i="31"/>
  <c r="O131" i="31" s="1"/>
  <c r="K131" i="31"/>
  <c r="L131" i="31" s="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L129" i="31"/>
  <c r="K129" i="31"/>
  <c r="H129" i="31"/>
  <c r="I129" i="31" s="1"/>
  <c r="F129" i="31"/>
  <c r="E129" i="31"/>
  <c r="N128" i="31"/>
  <c r="O128" i="31" s="1"/>
  <c r="L128" i="31"/>
  <c r="K128" i="31"/>
  <c r="H128" i="31"/>
  <c r="I128" i="31" s="1"/>
  <c r="F128" i="31"/>
  <c r="E128" i="3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O125" i="31"/>
  <c r="N125" i="31"/>
  <c r="L125" i="31"/>
  <c r="K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N114" i="31"/>
  <c r="O114" i="31" s="1"/>
  <c r="L114" i="31"/>
  <c r="K114" i="3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O109" i="31"/>
  <c r="N109" i="31"/>
  <c r="L109" i="31"/>
  <c r="K109" i="31"/>
  <c r="H109" i="31"/>
  <c r="I109" i="31" s="1"/>
  <c r="F109" i="31"/>
  <c r="E109" i="31"/>
  <c r="N108" i="31"/>
  <c r="O108" i="31" s="1"/>
  <c r="K108" i="31"/>
  <c r="L108" i="31" s="1"/>
  <c r="H108" i="31"/>
  <c r="I108" i="31" s="1"/>
  <c r="F108" i="31"/>
  <c r="E108" i="31"/>
  <c r="O107" i="31"/>
  <c r="N107" i="31"/>
  <c r="K107" i="31"/>
  <c r="L107" i="31" s="1"/>
  <c r="H107" i="31"/>
  <c r="I107" i="31" s="1"/>
  <c r="F107" i="31"/>
  <c r="E107" i="31"/>
  <c r="N106" i="31"/>
  <c r="O106" i="31" s="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E102" i="31"/>
  <c r="F102" i="31" s="1"/>
  <c r="N101" i="31"/>
  <c r="O101" i="31" s="1"/>
  <c r="K101" i="31"/>
  <c r="L101" i="31" s="1"/>
  <c r="H101" i="31"/>
  <c r="I101" i="31" s="1"/>
  <c r="F101" i="31"/>
  <c r="E101" i="31"/>
  <c r="O100" i="31"/>
  <c r="N100" i="31"/>
  <c r="K100" i="31"/>
  <c r="L100" i="31" s="1"/>
  <c r="H100" i="31"/>
  <c r="I100" i="31" s="1"/>
  <c r="F100" i="31"/>
  <c r="E100" i="31"/>
  <c r="N99" i="31"/>
  <c r="O99" i="31" s="1"/>
  <c r="L99" i="31"/>
  <c r="K99" i="31"/>
  <c r="H99" i="31"/>
  <c r="I99" i="31" s="1"/>
  <c r="F99" i="31"/>
  <c r="E99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O90" i="31"/>
  <c r="N90" i="31"/>
  <c r="K90" i="31"/>
  <c r="L90" i="31" s="1"/>
  <c r="H90" i="31"/>
  <c r="I90" i="31" s="1"/>
  <c r="F90" i="31"/>
  <c r="E90" i="31"/>
  <c r="N89" i="31"/>
  <c r="O89" i="31" s="1"/>
  <c r="K89" i="31"/>
  <c r="L89" i="31" s="1"/>
  <c r="H89" i="31"/>
  <c r="I89" i="31" s="1"/>
  <c r="F89" i="31"/>
  <c r="E89" i="31"/>
  <c r="O88" i="31"/>
  <c r="N88" i="31"/>
  <c r="L88" i="31"/>
  <c r="K88" i="31"/>
  <c r="H88" i="31"/>
  <c r="I88" i="31" s="1"/>
  <c r="F88" i="31"/>
  <c r="E88" i="31"/>
  <c r="O87" i="31"/>
  <c r="N87" i="31"/>
  <c r="L87" i="31"/>
  <c r="K87" i="31"/>
  <c r="H87" i="31"/>
  <c r="I87" i="31" s="1"/>
  <c r="F87" i="31"/>
  <c r="E87" i="31"/>
  <c r="N86" i="31"/>
  <c r="O86" i="31" s="1"/>
  <c r="O20" i="31" s="1"/>
  <c r="K86" i="31"/>
  <c r="L86" i="31" s="1"/>
  <c r="L20" i="31" s="1"/>
  <c r="H86" i="31"/>
  <c r="I86" i="31" s="1"/>
  <c r="I20" i="31" s="1"/>
  <c r="F86" i="31"/>
  <c r="E86" i="31"/>
  <c r="O85" i="31"/>
  <c r="N85" i="31"/>
  <c r="K85" i="31"/>
  <c r="L85" i="31" s="1"/>
  <c r="L19" i="31" s="1"/>
  <c r="H85" i="31"/>
  <c r="I85" i="31" s="1"/>
  <c r="I19" i="31" s="1"/>
  <c r="F85" i="31"/>
  <c r="E85" i="31"/>
  <c r="N84" i="31"/>
  <c r="O84" i="31" s="1"/>
  <c r="L84" i="31"/>
  <c r="K84" i="31"/>
  <c r="H84" i="31"/>
  <c r="I84" i="31" s="1"/>
  <c r="F84" i="31"/>
  <c r="E84" i="31"/>
  <c r="N83" i="31"/>
  <c r="O83" i="31" s="1"/>
  <c r="L83" i="31"/>
  <c r="K83" i="31"/>
  <c r="H83" i="31"/>
  <c r="I83" i="31" s="1"/>
  <c r="F83" i="31"/>
  <c r="E83" i="31"/>
  <c r="O82" i="31"/>
  <c r="N82" i="31"/>
  <c r="K82" i="31"/>
  <c r="L82" i="31" s="1"/>
  <c r="H82" i="31"/>
  <c r="I82" i="31" s="1"/>
  <c r="F82" i="31"/>
  <c r="E82" i="31"/>
  <c r="N81" i="31"/>
  <c r="O81" i="31" s="1"/>
  <c r="K81" i="31"/>
  <c r="L81" i="31" s="1"/>
  <c r="H81" i="31"/>
  <c r="I81" i="31" s="1"/>
  <c r="F81" i="31"/>
  <c r="E81" i="31"/>
  <c r="O80" i="31"/>
  <c r="N80" i="31"/>
  <c r="L80" i="31"/>
  <c r="K80" i="31"/>
  <c r="H80" i="31"/>
  <c r="I80" i="31" s="1"/>
  <c r="F80" i="31"/>
  <c r="E80" i="31"/>
  <c r="O79" i="31"/>
  <c r="N79" i="31"/>
  <c r="L79" i="31"/>
  <c r="K79" i="31"/>
  <c r="H79" i="31"/>
  <c r="I79" i="31" s="1"/>
  <c r="F79" i="31"/>
  <c r="E79" i="31"/>
  <c r="N78" i="31"/>
  <c r="O78" i="31" s="1"/>
  <c r="K78" i="31"/>
  <c r="L78" i="31" s="1"/>
  <c r="H78" i="31"/>
  <c r="I78" i="31" s="1"/>
  <c r="F78" i="31"/>
  <c r="E78" i="31"/>
  <c r="O77" i="31"/>
  <c r="N77" i="31"/>
  <c r="K77" i="31"/>
  <c r="L77" i="31" s="1"/>
  <c r="H77" i="31"/>
  <c r="I77" i="31" s="1"/>
  <c r="F77" i="31"/>
  <c r="E77" i="31"/>
  <c r="N76" i="31"/>
  <c r="O76" i="31" s="1"/>
  <c r="L76" i="31"/>
  <c r="K76" i="31"/>
  <c r="H76" i="31"/>
  <c r="I76" i="31" s="1"/>
  <c r="F76" i="31"/>
  <c r="E76" i="31"/>
  <c r="N75" i="31"/>
  <c r="O75" i="31" s="1"/>
  <c r="L75" i="31"/>
  <c r="K75" i="31"/>
  <c r="H75" i="31"/>
  <c r="I75" i="31" s="1"/>
  <c r="F75" i="31"/>
  <c r="E75" i="31"/>
  <c r="O74" i="31"/>
  <c r="N74" i="3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O72" i="31"/>
  <c r="N72" i="31"/>
  <c r="L72" i="31"/>
  <c r="K72" i="31"/>
  <c r="H72" i="31"/>
  <c r="I72" i="31" s="1"/>
  <c r="F72" i="31"/>
  <c r="E72" i="31"/>
  <c r="O71" i="31"/>
  <c r="N71" i="31"/>
  <c r="L71" i="31"/>
  <c r="K71" i="31"/>
  <c r="H71" i="31"/>
  <c r="H91" i="31" s="1"/>
  <c r="F71" i="31"/>
  <c r="F91" i="31" s="1"/>
  <c r="E71" i="31"/>
  <c r="E91" i="31" s="1"/>
  <c r="M69" i="31"/>
  <c r="J69" i="31"/>
  <c r="G69" i="31"/>
  <c r="D69" i="31"/>
  <c r="B69" i="31"/>
  <c r="M68" i="31"/>
  <c r="G68" i="31"/>
  <c r="B64" i="31"/>
  <c r="N63" i="31"/>
  <c r="O63" i="31" s="1"/>
  <c r="L63" i="31"/>
  <c r="K63" i="31"/>
  <c r="H63" i="31"/>
  <c r="I63" i="31" s="1"/>
  <c r="E63" i="31"/>
  <c r="F63" i="31" s="1"/>
  <c r="O62" i="31"/>
  <c r="N62" i="31"/>
  <c r="L62" i="31"/>
  <c r="K62" i="31"/>
  <c r="I62" i="31"/>
  <c r="H62" i="31"/>
  <c r="E62" i="31"/>
  <c r="F62" i="31" s="1"/>
  <c r="O61" i="31"/>
  <c r="N61" i="31"/>
  <c r="K61" i="31"/>
  <c r="L61" i="31" s="1"/>
  <c r="H61" i="31"/>
  <c r="I61" i="31" s="1"/>
  <c r="E61" i="31"/>
  <c r="F61" i="31" s="1"/>
  <c r="O60" i="31"/>
  <c r="N60" i="31"/>
  <c r="K60" i="31"/>
  <c r="L60" i="31" s="1"/>
  <c r="I60" i="31"/>
  <c r="H60" i="31"/>
  <c r="E60" i="31"/>
  <c r="F60" i="31" s="1"/>
  <c r="N59" i="31"/>
  <c r="N18" i="31" s="1"/>
  <c r="L59" i="31"/>
  <c r="K59" i="31"/>
  <c r="H59" i="31"/>
  <c r="I59" i="31" s="1"/>
  <c r="I18" i="31" s="1"/>
  <c r="E59" i="31"/>
  <c r="F59" i="31" s="1"/>
  <c r="F18" i="31" s="1"/>
  <c r="O58" i="31"/>
  <c r="N58" i="31"/>
  <c r="L58" i="31"/>
  <c r="K58" i="31"/>
  <c r="I58" i="31"/>
  <c r="H58" i="31"/>
  <c r="E58" i="31"/>
  <c r="F58" i="31" s="1"/>
  <c r="O57" i="31"/>
  <c r="N57" i="31"/>
  <c r="K57" i="31"/>
  <c r="L57" i="31" s="1"/>
  <c r="H57" i="31"/>
  <c r="I57" i="31" s="1"/>
  <c r="E57" i="31"/>
  <c r="F57" i="31" s="1"/>
  <c r="O56" i="31"/>
  <c r="N56" i="31"/>
  <c r="K56" i="31"/>
  <c r="L56" i="31" s="1"/>
  <c r="H56" i="31"/>
  <c r="I56" i="31" s="1"/>
  <c r="E56" i="31"/>
  <c r="F56" i="31" s="1"/>
  <c r="N55" i="31"/>
  <c r="O55" i="31" s="1"/>
  <c r="K55" i="31"/>
  <c r="L55" i="31" s="1"/>
  <c r="H55" i="31"/>
  <c r="I55" i="31" s="1"/>
  <c r="E55" i="31"/>
  <c r="F55" i="31" s="1"/>
  <c r="N54" i="31"/>
  <c r="O54" i="31" s="1"/>
  <c r="K54" i="31"/>
  <c r="L54" i="31" s="1"/>
  <c r="I54" i="31"/>
  <c r="H54" i="31"/>
  <c r="E54" i="31"/>
  <c r="F54" i="31" s="1"/>
  <c r="O53" i="31"/>
  <c r="N53" i="31"/>
  <c r="L53" i="31"/>
  <c r="K53" i="31"/>
  <c r="H53" i="31"/>
  <c r="I53" i="31" s="1"/>
  <c r="E53" i="31"/>
  <c r="F53" i="31" s="1"/>
  <c r="N52" i="31"/>
  <c r="O52" i="31" s="1"/>
  <c r="L52" i="31"/>
  <c r="K52" i="31"/>
  <c r="H52" i="31"/>
  <c r="I52" i="31" s="1"/>
  <c r="E52" i="31"/>
  <c r="F52" i="31" s="1"/>
  <c r="O51" i="31"/>
  <c r="N51" i="31"/>
  <c r="L51" i="31"/>
  <c r="K51" i="31"/>
  <c r="H51" i="31"/>
  <c r="I51" i="31" s="1"/>
  <c r="E51" i="31"/>
  <c r="F51" i="31" s="1"/>
  <c r="N50" i="31"/>
  <c r="O50" i="31" s="1"/>
  <c r="L50" i="31"/>
  <c r="K50" i="31"/>
  <c r="I50" i="31"/>
  <c r="H50" i="31"/>
  <c r="E50" i="31"/>
  <c r="F50" i="31" s="1"/>
  <c r="N49" i="31"/>
  <c r="O49" i="31" s="1"/>
  <c r="K49" i="31"/>
  <c r="L49" i="31" s="1"/>
  <c r="H49" i="31"/>
  <c r="I49" i="31" s="1"/>
  <c r="E49" i="31"/>
  <c r="F49" i="31" s="1"/>
  <c r="N48" i="31"/>
  <c r="O48" i="31" s="1"/>
  <c r="K48" i="31"/>
  <c r="L48" i="31" s="1"/>
  <c r="H48" i="31"/>
  <c r="I48" i="31" s="1"/>
  <c r="E48" i="31"/>
  <c r="F48" i="31" s="1"/>
  <c r="O47" i="31"/>
  <c r="N47" i="31"/>
  <c r="K47" i="31"/>
  <c r="L47" i="31" s="1"/>
  <c r="H47" i="31"/>
  <c r="I47" i="31" s="1"/>
  <c r="E47" i="31"/>
  <c r="F47" i="31" s="1"/>
  <c r="O46" i="31"/>
  <c r="N46" i="31"/>
  <c r="K46" i="31"/>
  <c r="L46" i="31" s="1"/>
  <c r="I46" i="31"/>
  <c r="H46" i="31"/>
  <c r="E46" i="31"/>
  <c r="F46" i="31" s="1"/>
  <c r="N45" i="31"/>
  <c r="O45" i="31" s="1"/>
  <c r="L45" i="31"/>
  <c r="K45" i="31"/>
  <c r="H45" i="31"/>
  <c r="I45" i="31" s="1"/>
  <c r="E45" i="31"/>
  <c r="F45" i="31" s="1"/>
  <c r="O44" i="31"/>
  <c r="N44" i="31"/>
  <c r="L44" i="31"/>
  <c r="K44" i="3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N21" i="31"/>
  <c r="M21" i="31"/>
  <c r="L21" i="31"/>
  <c r="K21" i="31"/>
  <c r="J21" i="31"/>
  <c r="H21" i="31"/>
  <c r="G21" i="31"/>
  <c r="F21" i="31"/>
  <c r="E21" i="31"/>
  <c r="D21" i="31"/>
  <c r="C21" i="31"/>
  <c r="B21" i="31"/>
  <c r="N20" i="31"/>
  <c r="M20" i="31"/>
  <c r="J20" i="31"/>
  <c r="H20" i="31"/>
  <c r="G20" i="31"/>
  <c r="F20" i="31"/>
  <c r="E20" i="31"/>
  <c r="D20" i="31"/>
  <c r="C20" i="31"/>
  <c r="B20" i="31"/>
  <c r="O19" i="31"/>
  <c r="N19" i="31"/>
  <c r="M19" i="31"/>
  <c r="K19" i="31"/>
  <c r="J19" i="31"/>
  <c r="H19" i="31"/>
  <c r="G19" i="31"/>
  <c r="F19" i="31"/>
  <c r="E19" i="31"/>
  <c r="D19" i="31"/>
  <c r="C19" i="31"/>
  <c r="B19" i="31"/>
  <c r="M18" i="31"/>
  <c r="L18" i="31"/>
  <c r="K18" i="31"/>
  <c r="J18" i="31"/>
  <c r="H18" i="31"/>
  <c r="G18" i="31"/>
  <c r="E18" i="31"/>
  <c r="D18" i="31"/>
  <c r="C18" i="31"/>
  <c r="B18" i="31"/>
  <c r="O17" i="31"/>
  <c r="N17" i="31"/>
  <c r="M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K179" i="30"/>
  <c r="L179" i="30" s="1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K169" i="30"/>
  <c r="L169" i="30" s="1"/>
  <c r="L17" i="30" s="1"/>
  <c r="H169" i="30"/>
  <c r="I169" i="30" s="1"/>
  <c r="I17" i="30" s="1"/>
  <c r="F169" i="30"/>
  <c r="E169" i="30"/>
  <c r="N168" i="30"/>
  <c r="O168" i="30" s="1"/>
  <c r="K168" i="30"/>
  <c r="L168" i="30" s="1"/>
  <c r="H168" i="30"/>
  <c r="I168" i="30" s="1"/>
  <c r="F168" i="30"/>
  <c r="E168" i="30"/>
  <c r="O167" i="30"/>
  <c r="N167" i="30"/>
  <c r="L167" i="30"/>
  <c r="K167" i="30"/>
  <c r="H167" i="30"/>
  <c r="I167" i="30" s="1"/>
  <c r="F167" i="30"/>
  <c r="E167" i="30"/>
  <c r="O166" i="30"/>
  <c r="N166" i="30"/>
  <c r="K166" i="30"/>
  <c r="L166" i="30" s="1"/>
  <c r="H166" i="30"/>
  <c r="I166" i="30" s="1"/>
  <c r="F166" i="30"/>
  <c r="E166" i="30"/>
  <c r="N165" i="30"/>
  <c r="O165" i="30" s="1"/>
  <c r="K165" i="30"/>
  <c r="L165" i="30" s="1"/>
  <c r="H165" i="30"/>
  <c r="I165" i="30" s="1"/>
  <c r="F165" i="30"/>
  <c r="E165" i="30"/>
  <c r="O164" i="30"/>
  <c r="N164" i="30"/>
  <c r="K164" i="30"/>
  <c r="L164" i="30" s="1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O21" i="30" s="1"/>
  <c r="L161" i="30"/>
  <c r="K161" i="30"/>
  <c r="H161" i="30"/>
  <c r="I161" i="30" s="1"/>
  <c r="I21" i="30" s="1"/>
  <c r="F161" i="30"/>
  <c r="E161" i="30"/>
  <c r="N160" i="30"/>
  <c r="O160" i="30" s="1"/>
  <c r="K160" i="30"/>
  <c r="L160" i="30" s="1"/>
  <c r="H160" i="30"/>
  <c r="I160" i="30" s="1"/>
  <c r="F160" i="30"/>
  <c r="E160" i="30"/>
  <c r="O159" i="30"/>
  <c r="N159" i="30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O154" i="30"/>
  <c r="N154" i="30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O152" i="30"/>
  <c r="N152" i="30"/>
  <c r="K152" i="30"/>
  <c r="L152" i="30" s="1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L142" i="30"/>
  <c r="K142" i="30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L140" i="30"/>
  <c r="K140" i="30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O138" i="30"/>
  <c r="N138" i="30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O136" i="30"/>
  <c r="N136" i="30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I134" i="30"/>
  <c r="H134" i="30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I128" i="30"/>
  <c r="H128" i="30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L126" i="30"/>
  <c r="K126" i="30"/>
  <c r="I126" i="30"/>
  <c r="H126" i="30"/>
  <c r="E126" i="30"/>
  <c r="F126" i="30" s="1"/>
  <c r="N125" i="30"/>
  <c r="L125" i="30"/>
  <c r="K125" i="30"/>
  <c r="H125" i="30"/>
  <c r="H145" i="30" s="1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K117" i="30"/>
  <c r="L117" i="30" s="1"/>
  <c r="H117" i="30"/>
  <c r="I117" i="30" s="1"/>
  <c r="E117" i="30"/>
  <c r="F117" i="30" s="1"/>
  <c r="O116" i="30"/>
  <c r="N116" i="30"/>
  <c r="L116" i="30"/>
  <c r="K116" i="30"/>
  <c r="H116" i="30"/>
  <c r="I116" i="30" s="1"/>
  <c r="E116" i="30"/>
  <c r="F116" i="30" s="1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L114" i="30" s="1"/>
  <c r="H114" i="30"/>
  <c r="I114" i="30" s="1"/>
  <c r="E114" i="30"/>
  <c r="F114" i="30" s="1"/>
  <c r="N113" i="30"/>
  <c r="O113" i="30" s="1"/>
  <c r="K113" i="30"/>
  <c r="L113" i="30" s="1"/>
  <c r="H113" i="30"/>
  <c r="I113" i="30" s="1"/>
  <c r="E113" i="30"/>
  <c r="F113" i="30" s="1"/>
  <c r="N112" i="30"/>
  <c r="O112" i="30" s="1"/>
  <c r="K112" i="30"/>
  <c r="L112" i="30" s="1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F111" i="30" s="1"/>
  <c r="F30" i="30" s="1"/>
  <c r="N110" i="30"/>
  <c r="O110" i="30" s="1"/>
  <c r="K110" i="30"/>
  <c r="L110" i="30" s="1"/>
  <c r="H110" i="30"/>
  <c r="I110" i="30" s="1"/>
  <c r="E110" i="30"/>
  <c r="F110" i="30" s="1"/>
  <c r="N109" i="30"/>
  <c r="O109" i="30" s="1"/>
  <c r="O28" i="30" s="1"/>
  <c r="L109" i="30"/>
  <c r="L28" i="30" s="1"/>
  <c r="K109" i="30"/>
  <c r="I109" i="30"/>
  <c r="H109" i="30"/>
  <c r="E109" i="30"/>
  <c r="F109" i="30" s="1"/>
  <c r="F28" i="30" s="1"/>
  <c r="N108" i="30"/>
  <c r="O108" i="30" s="1"/>
  <c r="K108" i="30"/>
  <c r="L108" i="30" s="1"/>
  <c r="H108" i="30"/>
  <c r="I108" i="30" s="1"/>
  <c r="E108" i="30"/>
  <c r="F108" i="30" s="1"/>
  <c r="N107" i="30"/>
  <c r="O107" i="30" s="1"/>
  <c r="L107" i="30"/>
  <c r="K107" i="30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O24" i="30" s="1"/>
  <c r="N105" i="30"/>
  <c r="K105" i="30"/>
  <c r="L105" i="30" s="1"/>
  <c r="L24" i="30" s="1"/>
  <c r="I105" i="30"/>
  <c r="H105" i="30"/>
  <c r="E105" i="30"/>
  <c r="F105" i="30" s="1"/>
  <c r="F24" i="30" s="1"/>
  <c r="N104" i="30"/>
  <c r="O104" i="30" s="1"/>
  <c r="L104" i="30"/>
  <c r="K104" i="30"/>
  <c r="H104" i="30"/>
  <c r="I104" i="30" s="1"/>
  <c r="E104" i="30"/>
  <c r="F104" i="30" s="1"/>
  <c r="O103" i="30"/>
  <c r="N103" i="30"/>
  <c r="K103" i="30"/>
  <c r="L103" i="30" s="1"/>
  <c r="L22" i="30" s="1"/>
  <c r="I103" i="30"/>
  <c r="H103" i="30"/>
  <c r="E103" i="30"/>
  <c r="F103" i="30" s="1"/>
  <c r="F22" i="30" s="1"/>
  <c r="N102" i="30"/>
  <c r="O102" i="30" s="1"/>
  <c r="K102" i="30"/>
  <c r="L102" i="30" s="1"/>
  <c r="H102" i="30"/>
  <c r="I102" i="30" s="1"/>
  <c r="E102" i="30"/>
  <c r="F102" i="30" s="1"/>
  <c r="N101" i="30"/>
  <c r="O101" i="30" s="1"/>
  <c r="L101" i="30"/>
  <c r="K101" i="30"/>
  <c r="I101" i="30"/>
  <c r="H101" i="30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L99" i="30"/>
  <c r="K99" i="30"/>
  <c r="I99" i="30"/>
  <c r="H99" i="30"/>
  <c r="E99" i="30"/>
  <c r="F99" i="30" s="1"/>
  <c r="N98" i="30"/>
  <c r="L98" i="30"/>
  <c r="K98" i="30"/>
  <c r="H98" i="30"/>
  <c r="H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L89" i="30"/>
  <c r="K89" i="30"/>
  <c r="H89" i="30"/>
  <c r="I89" i="30" s="1"/>
  <c r="E89" i="30"/>
  <c r="F89" i="30" s="1"/>
  <c r="N88" i="30"/>
  <c r="O88" i="30" s="1"/>
  <c r="K88" i="30"/>
  <c r="L88" i="30" s="1"/>
  <c r="H88" i="30"/>
  <c r="I88" i="30" s="1"/>
  <c r="E88" i="30"/>
  <c r="F88" i="30" s="1"/>
  <c r="O87" i="30"/>
  <c r="N87" i="30"/>
  <c r="L87" i="30"/>
  <c r="K87" i="30"/>
  <c r="I87" i="30"/>
  <c r="H87" i="30"/>
  <c r="E87" i="30"/>
  <c r="F87" i="30" s="1"/>
  <c r="N86" i="30"/>
  <c r="O86" i="30" s="1"/>
  <c r="O20" i="30" s="1"/>
  <c r="K86" i="30"/>
  <c r="L86" i="30" s="1"/>
  <c r="L20" i="30" s="1"/>
  <c r="H86" i="30"/>
  <c r="H20" i="30" s="1"/>
  <c r="E86" i="30"/>
  <c r="F86" i="30" s="1"/>
  <c r="F20" i="30" s="1"/>
  <c r="O85" i="30"/>
  <c r="N85" i="30"/>
  <c r="K85" i="30"/>
  <c r="L85" i="30" s="1"/>
  <c r="H85" i="30"/>
  <c r="I85" i="30" s="1"/>
  <c r="E85" i="30"/>
  <c r="F85" i="30" s="1"/>
  <c r="O84" i="30"/>
  <c r="N84" i="30"/>
  <c r="K84" i="30"/>
  <c r="L84" i="30" s="1"/>
  <c r="H84" i="30"/>
  <c r="I84" i="30" s="1"/>
  <c r="E84" i="30"/>
  <c r="F84" i="30" s="1"/>
  <c r="N83" i="30"/>
  <c r="O83" i="30" s="1"/>
  <c r="K83" i="30"/>
  <c r="L83" i="30" s="1"/>
  <c r="I83" i="30"/>
  <c r="H83" i="30"/>
  <c r="E83" i="30"/>
  <c r="F83" i="30" s="1"/>
  <c r="O82" i="30"/>
  <c r="N82" i="30"/>
  <c r="L82" i="30"/>
  <c r="K82" i="30"/>
  <c r="H82" i="30"/>
  <c r="I82" i="30" s="1"/>
  <c r="E82" i="30"/>
  <c r="F82" i="30" s="1"/>
  <c r="N81" i="30"/>
  <c r="O81" i="30" s="1"/>
  <c r="K81" i="30"/>
  <c r="L81" i="30" s="1"/>
  <c r="H81" i="30"/>
  <c r="I81" i="30" s="1"/>
  <c r="E81" i="30"/>
  <c r="F81" i="30" s="1"/>
  <c r="N80" i="30"/>
  <c r="O80" i="30" s="1"/>
  <c r="L80" i="30"/>
  <c r="K80" i="30"/>
  <c r="H80" i="30"/>
  <c r="I80" i="30" s="1"/>
  <c r="E80" i="30"/>
  <c r="F80" i="30" s="1"/>
  <c r="O79" i="30"/>
  <c r="N79" i="30"/>
  <c r="K79" i="30"/>
  <c r="L79" i="30" s="1"/>
  <c r="I79" i="30"/>
  <c r="H79" i="30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K77" i="30"/>
  <c r="L77" i="30" s="1"/>
  <c r="H77" i="30"/>
  <c r="I77" i="30" s="1"/>
  <c r="E77" i="30"/>
  <c r="F77" i="30" s="1"/>
  <c r="O76" i="30"/>
  <c r="N76" i="30"/>
  <c r="K76" i="30"/>
  <c r="L76" i="30" s="1"/>
  <c r="H76" i="30"/>
  <c r="I76" i="30" s="1"/>
  <c r="E76" i="30"/>
  <c r="F76" i="30" s="1"/>
  <c r="N75" i="30"/>
  <c r="O75" i="30" s="1"/>
  <c r="K75" i="30"/>
  <c r="L75" i="30" s="1"/>
  <c r="I75" i="30"/>
  <c r="H75" i="30"/>
  <c r="E75" i="30"/>
  <c r="F75" i="30" s="1"/>
  <c r="O74" i="30"/>
  <c r="N74" i="30"/>
  <c r="K74" i="30"/>
  <c r="L74" i="30" s="1"/>
  <c r="H74" i="30"/>
  <c r="I74" i="30" s="1"/>
  <c r="E74" i="30"/>
  <c r="F74" i="30" s="1"/>
  <c r="O73" i="30"/>
  <c r="N73" i="30"/>
  <c r="L73" i="30"/>
  <c r="L29" i="30" s="1"/>
  <c r="K73" i="30"/>
  <c r="H73" i="30"/>
  <c r="I73" i="30" s="1"/>
  <c r="E73" i="30"/>
  <c r="F73" i="30" s="1"/>
  <c r="N72" i="30"/>
  <c r="O72" i="30" s="1"/>
  <c r="O26" i="30" s="1"/>
  <c r="K72" i="30"/>
  <c r="K26" i="30" s="1"/>
  <c r="H72" i="30"/>
  <c r="I72" i="30" s="1"/>
  <c r="I26" i="30" s="1"/>
  <c r="E72" i="30"/>
  <c r="F72" i="30" s="1"/>
  <c r="F26" i="30" s="1"/>
  <c r="O71" i="30"/>
  <c r="N71" i="30"/>
  <c r="L71" i="30"/>
  <c r="K71" i="30"/>
  <c r="I71" i="30"/>
  <c r="H71" i="30"/>
  <c r="E71" i="30"/>
  <c r="E91" i="30" s="1"/>
  <c r="M69" i="30"/>
  <c r="J69" i="30"/>
  <c r="G69" i="30"/>
  <c r="D69" i="30"/>
  <c r="B69" i="30"/>
  <c r="M68" i="30"/>
  <c r="G68" i="30"/>
  <c r="B64" i="30"/>
  <c r="N63" i="30"/>
  <c r="O63" i="30" s="1"/>
  <c r="K63" i="30"/>
  <c r="L63" i="30" s="1"/>
  <c r="H63" i="30"/>
  <c r="I63" i="30" s="1"/>
  <c r="E63" i="30"/>
  <c r="F63" i="30" s="1"/>
  <c r="O62" i="30"/>
  <c r="N62" i="30"/>
  <c r="L62" i="30"/>
  <c r="K62" i="30"/>
  <c r="H62" i="30"/>
  <c r="I62" i="30" s="1"/>
  <c r="E62" i="30"/>
  <c r="F62" i="30" s="1"/>
  <c r="N61" i="30"/>
  <c r="O61" i="30" s="1"/>
  <c r="K61" i="30"/>
  <c r="L61" i="30" s="1"/>
  <c r="H61" i="30"/>
  <c r="I61" i="30" s="1"/>
  <c r="E61" i="30"/>
  <c r="F61" i="30" s="1"/>
  <c r="N60" i="30"/>
  <c r="O60" i="30" s="1"/>
  <c r="L60" i="30"/>
  <c r="K60" i="30"/>
  <c r="I60" i="30"/>
  <c r="H60" i="30"/>
  <c r="E60" i="30"/>
  <c r="F60" i="30" s="1"/>
  <c r="N59" i="30"/>
  <c r="O59" i="30" s="1"/>
  <c r="L59" i="30"/>
  <c r="K59" i="30"/>
  <c r="H59" i="30"/>
  <c r="I59" i="30" s="1"/>
  <c r="E59" i="30"/>
  <c r="F59" i="30" s="1"/>
  <c r="O58" i="30"/>
  <c r="N58" i="30"/>
  <c r="K58" i="30"/>
  <c r="L58" i="30" s="1"/>
  <c r="I58" i="30"/>
  <c r="H58" i="30"/>
  <c r="E58" i="30"/>
  <c r="F58" i="30" s="1"/>
  <c r="N57" i="30"/>
  <c r="O57" i="30" s="1"/>
  <c r="L57" i="30"/>
  <c r="K57" i="30"/>
  <c r="H57" i="30"/>
  <c r="I57" i="30" s="1"/>
  <c r="E57" i="30"/>
  <c r="F57" i="30" s="1"/>
  <c r="O56" i="30"/>
  <c r="N56" i="30"/>
  <c r="K56" i="30"/>
  <c r="L56" i="30" s="1"/>
  <c r="I56" i="30"/>
  <c r="H56" i="30"/>
  <c r="E56" i="30"/>
  <c r="F56" i="30" s="1"/>
  <c r="N55" i="30"/>
  <c r="O55" i="30" s="1"/>
  <c r="K55" i="30"/>
  <c r="L55" i="30" s="1"/>
  <c r="H55" i="30"/>
  <c r="I55" i="30" s="1"/>
  <c r="E55" i="30"/>
  <c r="F55" i="30" s="1"/>
  <c r="N54" i="30"/>
  <c r="O54" i="30" s="1"/>
  <c r="L54" i="30"/>
  <c r="K54" i="30"/>
  <c r="I54" i="30"/>
  <c r="H54" i="30"/>
  <c r="E54" i="30"/>
  <c r="F54" i="30" s="1"/>
  <c r="N53" i="30"/>
  <c r="O53" i="30" s="1"/>
  <c r="K53" i="30"/>
  <c r="L53" i="30" s="1"/>
  <c r="H53" i="30"/>
  <c r="I53" i="30" s="1"/>
  <c r="E53" i="30"/>
  <c r="F53" i="30" s="1"/>
  <c r="N52" i="30"/>
  <c r="O52" i="30" s="1"/>
  <c r="L52" i="30"/>
  <c r="K52" i="30"/>
  <c r="I52" i="30"/>
  <c r="H52" i="30"/>
  <c r="E52" i="30"/>
  <c r="F52" i="30" s="1"/>
  <c r="N51" i="30"/>
  <c r="O51" i="30" s="1"/>
  <c r="L51" i="30"/>
  <c r="K51" i="30"/>
  <c r="H51" i="30"/>
  <c r="I51" i="30" s="1"/>
  <c r="E51" i="30"/>
  <c r="F51" i="30" s="1"/>
  <c r="O50" i="30"/>
  <c r="N50" i="30"/>
  <c r="K50" i="30"/>
  <c r="L50" i="30" s="1"/>
  <c r="I50" i="30"/>
  <c r="H50" i="30"/>
  <c r="E50" i="30"/>
  <c r="F50" i="30" s="1"/>
  <c r="N49" i="30"/>
  <c r="O49" i="30" s="1"/>
  <c r="L49" i="30"/>
  <c r="K49" i="30"/>
  <c r="H49" i="30"/>
  <c r="I49" i="30" s="1"/>
  <c r="E49" i="30"/>
  <c r="F49" i="30" s="1"/>
  <c r="O48" i="30"/>
  <c r="N48" i="30"/>
  <c r="K48" i="30"/>
  <c r="L48" i="30" s="1"/>
  <c r="I48" i="30"/>
  <c r="H48" i="30"/>
  <c r="E48" i="30"/>
  <c r="F48" i="30" s="1"/>
  <c r="N47" i="30"/>
  <c r="O47" i="30" s="1"/>
  <c r="O31" i="30" s="1"/>
  <c r="K47" i="30"/>
  <c r="L47" i="30" s="1"/>
  <c r="L31" i="30" s="1"/>
  <c r="H47" i="30"/>
  <c r="I47" i="30" s="1"/>
  <c r="I31" i="30" s="1"/>
  <c r="E47" i="30"/>
  <c r="F47" i="30" s="1"/>
  <c r="F31" i="30" s="1"/>
  <c r="N46" i="30"/>
  <c r="O46" i="30" s="1"/>
  <c r="O27" i="30" s="1"/>
  <c r="L46" i="30"/>
  <c r="K46" i="30"/>
  <c r="I46" i="30"/>
  <c r="H46" i="30"/>
  <c r="E46" i="30"/>
  <c r="F46" i="30" s="1"/>
  <c r="F27" i="30" s="1"/>
  <c r="N45" i="30"/>
  <c r="O45" i="30" s="1"/>
  <c r="O25" i="30" s="1"/>
  <c r="K45" i="30"/>
  <c r="K25" i="30" s="1"/>
  <c r="H45" i="30"/>
  <c r="I45" i="30" s="1"/>
  <c r="I25" i="30" s="1"/>
  <c r="E45" i="30"/>
  <c r="F45" i="30" s="1"/>
  <c r="F25" i="30" s="1"/>
  <c r="N44" i="30"/>
  <c r="N64" i="30" s="1"/>
  <c r="L44" i="30"/>
  <c r="K44" i="30"/>
  <c r="I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N31" i="30"/>
  <c r="M31" i="30"/>
  <c r="K31" i="30"/>
  <c r="J31" i="30"/>
  <c r="G31" i="30"/>
  <c r="E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I28" i="30"/>
  <c r="H28" i="30"/>
  <c r="G28" i="30"/>
  <c r="E28" i="30"/>
  <c r="D28" i="30"/>
  <c r="C28" i="30"/>
  <c r="B28" i="30"/>
  <c r="N27" i="30"/>
  <c r="M27" i="30"/>
  <c r="L27" i="30"/>
  <c r="K27" i="30"/>
  <c r="J27" i="30"/>
  <c r="I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I24" i="30"/>
  <c r="H24" i="30"/>
  <c r="G24" i="30"/>
  <c r="E24" i="30"/>
  <c r="D24" i="30"/>
  <c r="C24" i="30"/>
  <c r="B24" i="30"/>
  <c r="N23" i="30"/>
  <c r="M23" i="30"/>
  <c r="L23" i="30"/>
  <c r="K23" i="30"/>
  <c r="J23" i="30"/>
  <c r="I23" i="30"/>
  <c r="H23" i="30"/>
  <c r="G23" i="30"/>
  <c r="E23" i="30"/>
  <c r="D23" i="30"/>
  <c r="C23" i="30"/>
  <c r="B23" i="30"/>
  <c r="O22" i="30"/>
  <c r="N22" i="30"/>
  <c r="M22" i="30"/>
  <c r="J22" i="30"/>
  <c r="I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F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E18" i="30"/>
  <c r="D18" i="30"/>
  <c r="C18" i="30"/>
  <c r="B18" i="30"/>
  <c r="O17" i="30"/>
  <c r="N17" i="30"/>
  <c r="M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L199" i="29" s="1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O153" i="29"/>
  <c r="N153" i="29"/>
  <c r="L153" i="29"/>
  <c r="K153" i="29"/>
  <c r="H153" i="29"/>
  <c r="I153" i="29" s="1"/>
  <c r="F153" i="29"/>
  <c r="E153" i="29"/>
  <c r="N152" i="29"/>
  <c r="N172" i="29" s="1"/>
  <c r="K152" i="29"/>
  <c r="H152" i="29"/>
  <c r="H172" i="29" s="1"/>
  <c r="F152" i="29"/>
  <c r="E152" i="29"/>
  <c r="E172" i="29" s="1"/>
  <c r="M150" i="29"/>
  <c r="J150" i="29"/>
  <c r="G150" i="29"/>
  <c r="D150" i="29"/>
  <c r="B150" i="29"/>
  <c r="M149" i="29"/>
  <c r="G149" i="29"/>
  <c r="B145" i="29"/>
  <c r="N144" i="29"/>
  <c r="O144" i="29" s="1"/>
  <c r="O18" i="29" s="1"/>
  <c r="L144" i="29"/>
  <c r="L18" i="29" s="1"/>
  <c r="K144" i="29"/>
  <c r="I144" i="29"/>
  <c r="H144" i="29"/>
  <c r="F144" i="29"/>
  <c r="F18" i="29" s="1"/>
  <c r="E144" i="29"/>
  <c r="N143" i="29"/>
  <c r="O143" i="29" s="1"/>
  <c r="L143" i="29"/>
  <c r="K143" i="29"/>
  <c r="I143" i="29"/>
  <c r="H143" i="29"/>
  <c r="F143" i="29"/>
  <c r="E143" i="29"/>
  <c r="N142" i="29"/>
  <c r="O142" i="29" s="1"/>
  <c r="L142" i="29"/>
  <c r="K142" i="29"/>
  <c r="I142" i="29"/>
  <c r="H142" i="29"/>
  <c r="F142" i="29"/>
  <c r="E142" i="29"/>
  <c r="N141" i="29"/>
  <c r="O141" i="29" s="1"/>
  <c r="L141" i="29"/>
  <c r="K141" i="29"/>
  <c r="I141" i="29"/>
  <c r="H141" i="29"/>
  <c r="F141" i="29"/>
  <c r="E141" i="29"/>
  <c r="N140" i="29"/>
  <c r="O140" i="29" s="1"/>
  <c r="L140" i="29"/>
  <c r="K140" i="29"/>
  <c r="I140" i="29"/>
  <c r="H140" i="29"/>
  <c r="F140" i="29"/>
  <c r="E140" i="29"/>
  <c r="N139" i="29"/>
  <c r="O139" i="29" s="1"/>
  <c r="L139" i="29"/>
  <c r="K139" i="29"/>
  <c r="I139" i="29"/>
  <c r="H139" i="29"/>
  <c r="F139" i="29"/>
  <c r="E139" i="29"/>
  <c r="N138" i="29"/>
  <c r="O138" i="29" s="1"/>
  <c r="L138" i="29"/>
  <c r="K138" i="29"/>
  <c r="I138" i="29"/>
  <c r="H138" i="29"/>
  <c r="F138" i="29"/>
  <c r="E138" i="29"/>
  <c r="N137" i="29"/>
  <c r="O137" i="29" s="1"/>
  <c r="L137" i="29"/>
  <c r="K137" i="29"/>
  <c r="I137" i="29"/>
  <c r="H137" i="29"/>
  <c r="F137" i="29"/>
  <c r="E137" i="29"/>
  <c r="N136" i="29"/>
  <c r="O136" i="29" s="1"/>
  <c r="L136" i="29"/>
  <c r="K136" i="29"/>
  <c r="I136" i="29"/>
  <c r="H136" i="29"/>
  <c r="F136" i="29"/>
  <c r="E136" i="29"/>
  <c r="N135" i="29"/>
  <c r="O135" i="29" s="1"/>
  <c r="L135" i="29"/>
  <c r="K135" i="29"/>
  <c r="I135" i="29"/>
  <c r="H135" i="29"/>
  <c r="E135" i="29"/>
  <c r="F135" i="29" s="1"/>
  <c r="O134" i="29"/>
  <c r="N134" i="29"/>
  <c r="K134" i="29"/>
  <c r="L134" i="29" s="1"/>
  <c r="H134" i="29"/>
  <c r="I134" i="29" s="1"/>
  <c r="E134" i="29"/>
  <c r="F134" i="29" s="1"/>
  <c r="N133" i="29"/>
  <c r="O133" i="29" s="1"/>
  <c r="K133" i="29"/>
  <c r="L133" i="29" s="1"/>
  <c r="I133" i="29"/>
  <c r="H133" i="29"/>
  <c r="E133" i="29"/>
  <c r="F133" i="29" s="1"/>
  <c r="N132" i="29"/>
  <c r="O132" i="29" s="1"/>
  <c r="L132" i="29"/>
  <c r="K132" i="29"/>
  <c r="H132" i="29"/>
  <c r="I132" i="29" s="1"/>
  <c r="E132" i="29"/>
  <c r="F132" i="29" s="1"/>
  <c r="N131" i="29"/>
  <c r="O131" i="29" s="1"/>
  <c r="K131" i="29"/>
  <c r="L131" i="29" s="1"/>
  <c r="I131" i="29"/>
  <c r="H131" i="29"/>
  <c r="E131" i="29"/>
  <c r="F131" i="29" s="1"/>
  <c r="N130" i="29"/>
  <c r="O130" i="29" s="1"/>
  <c r="K130" i="29"/>
  <c r="L130" i="29" s="1"/>
  <c r="H130" i="29"/>
  <c r="I130" i="29" s="1"/>
  <c r="E130" i="29"/>
  <c r="F130" i="29" s="1"/>
  <c r="O129" i="29"/>
  <c r="N129" i="29"/>
  <c r="K129" i="29"/>
  <c r="L129" i="29" s="1"/>
  <c r="I129" i="29"/>
  <c r="H129" i="29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L127" i="29"/>
  <c r="K127" i="29"/>
  <c r="I127" i="29"/>
  <c r="H127" i="29"/>
  <c r="F127" i="29"/>
  <c r="E127" i="29"/>
  <c r="N126" i="29"/>
  <c r="O126" i="29" s="1"/>
  <c r="L126" i="29"/>
  <c r="K126" i="29"/>
  <c r="I126" i="29"/>
  <c r="H126" i="29"/>
  <c r="F126" i="29"/>
  <c r="E126" i="29"/>
  <c r="N125" i="29"/>
  <c r="N145" i="29" s="1"/>
  <c r="L125" i="29"/>
  <c r="K125" i="29"/>
  <c r="I125" i="29"/>
  <c r="H125" i="29"/>
  <c r="F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E117" i="29"/>
  <c r="F117" i="29" s="1"/>
  <c r="N116" i="29"/>
  <c r="O116" i="29" s="1"/>
  <c r="L116" i="29"/>
  <c r="K116" i="29"/>
  <c r="H116" i="29"/>
  <c r="I116" i="29" s="1"/>
  <c r="E116" i="29"/>
  <c r="F116" i="29" s="1"/>
  <c r="N115" i="29"/>
  <c r="O115" i="29" s="1"/>
  <c r="L115" i="29"/>
  <c r="K115" i="29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O112" i="29"/>
  <c r="N112" i="29"/>
  <c r="K112" i="29"/>
  <c r="L112" i="29" s="1"/>
  <c r="H112" i="29"/>
  <c r="I112" i="29" s="1"/>
  <c r="E112" i="29"/>
  <c r="F112" i="29" s="1"/>
  <c r="N111" i="29"/>
  <c r="O111" i="29" s="1"/>
  <c r="K111" i="29"/>
  <c r="L111" i="29" s="1"/>
  <c r="I111" i="29"/>
  <c r="H111" i="29"/>
  <c r="E111" i="29"/>
  <c r="F111" i="29" s="1"/>
  <c r="N110" i="29"/>
  <c r="O110" i="29" s="1"/>
  <c r="L110" i="29"/>
  <c r="K110" i="29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L108" i="29"/>
  <c r="K108" i="29"/>
  <c r="H108" i="29"/>
  <c r="I108" i="29" s="1"/>
  <c r="E108" i="29"/>
  <c r="F108" i="29" s="1"/>
  <c r="N107" i="29"/>
  <c r="O107" i="29" s="1"/>
  <c r="L107" i="29"/>
  <c r="K107" i="29"/>
  <c r="I107" i="29"/>
  <c r="H107" i="29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H105" i="29"/>
  <c r="I105" i="29" s="1"/>
  <c r="E105" i="29"/>
  <c r="F105" i="29" s="1"/>
  <c r="N104" i="29"/>
  <c r="O104" i="29" s="1"/>
  <c r="K104" i="29"/>
  <c r="L104" i="29" s="1"/>
  <c r="H104" i="29"/>
  <c r="I104" i="29" s="1"/>
  <c r="E104" i="29"/>
  <c r="F104" i="29" s="1"/>
  <c r="N103" i="29"/>
  <c r="O103" i="29" s="1"/>
  <c r="K103" i="29"/>
  <c r="L103" i="29" s="1"/>
  <c r="I103" i="29"/>
  <c r="H103" i="29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L101" i="29"/>
  <c r="K101" i="29"/>
  <c r="H101" i="29"/>
  <c r="I101" i="29" s="1"/>
  <c r="E101" i="29"/>
  <c r="F101" i="29" s="1"/>
  <c r="N100" i="29"/>
  <c r="O100" i="29" s="1"/>
  <c r="L100" i="29"/>
  <c r="K100" i="29"/>
  <c r="H100" i="29"/>
  <c r="I100" i="29" s="1"/>
  <c r="E100" i="29"/>
  <c r="F100" i="29" s="1"/>
  <c r="N99" i="29"/>
  <c r="O99" i="29" s="1"/>
  <c r="L99" i="29"/>
  <c r="K99" i="29"/>
  <c r="I99" i="29"/>
  <c r="H99" i="29"/>
  <c r="E99" i="29"/>
  <c r="F99" i="29" s="1"/>
  <c r="N98" i="29"/>
  <c r="K98" i="29"/>
  <c r="K118" i="29" s="1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K89" i="29"/>
  <c r="L89" i="29" s="1"/>
  <c r="H89" i="29"/>
  <c r="I89" i="29" s="1"/>
  <c r="E89" i="29"/>
  <c r="F89" i="29" s="1"/>
  <c r="O88" i="29"/>
  <c r="N88" i="29"/>
  <c r="K88" i="29"/>
  <c r="L88" i="29" s="1"/>
  <c r="I88" i="29"/>
  <c r="H88" i="29"/>
  <c r="E88" i="29"/>
  <c r="F88" i="29" s="1"/>
  <c r="N87" i="29"/>
  <c r="O87" i="29" s="1"/>
  <c r="L87" i="29"/>
  <c r="K87" i="29"/>
  <c r="H87" i="29"/>
  <c r="I87" i="29" s="1"/>
  <c r="E87" i="29"/>
  <c r="F87" i="29" s="1"/>
  <c r="O86" i="29"/>
  <c r="N86" i="29"/>
  <c r="L86" i="29"/>
  <c r="K86" i="29"/>
  <c r="H86" i="29"/>
  <c r="I86" i="29" s="1"/>
  <c r="E86" i="29"/>
  <c r="F86" i="29" s="1"/>
  <c r="N85" i="29"/>
  <c r="N19" i="29" s="1"/>
  <c r="L85" i="29"/>
  <c r="K85" i="29"/>
  <c r="H85" i="29"/>
  <c r="I85" i="29" s="1"/>
  <c r="I19" i="29" s="1"/>
  <c r="E85" i="29"/>
  <c r="F85" i="29" s="1"/>
  <c r="O84" i="29"/>
  <c r="N84" i="29"/>
  <c r="L84" i="29"/>
  <c r="K84" i="29"/>
  <c r="I84" i="29"/>
  <c r="H84" i="29"/>
  <c r="E84" i="29"/>
  <c r="F84" i="29" s="1"/>
  <c r="O83" i="29"/>
  <c r="N83" i="29"/>
  <c r="K83" i="29"/>
  <c r="L83" i="29" s="1"/>
  <c r="H83" i="29"/>
  <c r="I83" i="29" s="1"/>
  <c r="E83" i="29"/>
  <c r="F83" i="29" s="1"/>
  <c r="O82" i="29"/>
  <c r="N82" i="29"/>
  <c r="K82" i="29"/>
  <c r="K21" i="29" s="1"/>
  <c r="H82" i="29"/>
  <c r="I82" i="29" s="1"/>
  <c r="I21" i="29" s="1"/>
  <c r="E82" i="29"/>
  <c r="F82" i="29" s="1"/>
  <c r="N81" i="29"/>
  <c r="O81" i="29" s="1"/>
  <c r="K81" i="29"/>
  <c r="L81" i="29" s="1"/>
  <c r="H81" i="29"/>
  <c r="I81" i="29" s="1"/>
  <c r="E81" i="29"/>
  <c r="F81" i="29" s="1"/>
  <c r="N80" i="29"/>
  <c r="N20" i="29" s="1"/>
  <c r="K80" i="29"/>
  <c r="L80" i="29" s="1"/>
  <c r="L20" i="29" s="1"/>
  <c r="I80" i="29"/>
  <c r="H80" i="29"/>
  <c r="E80" i="29"/>
  <c r="F80" i="29" s="1"/>
  <c r="O79" i="29"/>
  <c r="N79" i="29"/>
  <c r="L79" i="29"/>
  <c r="K79" i="29"/>
  <c r="H79" i="29"/>
  <c r="I79" i="29" s="1"/>
  <c r="E79" i="29"/>
  <c r="F79" i="29" s="1"/>
  <c r="N78" i="29"/>
  <c r="O78" i="29" s="1"/>
  <c r="L78" i="29"/>
  <c r="K78" i="29"/>
  <c r="H78" i="29"/>
  <c r="I78" i="29" s="1"/>
  <c r="E78" i="29"/>
  <c r="F78" i="29" s="1"/>
  <c r="O77" i="29"/>
  <c r="N77" i="29"/>
  <c r="L77" i="29"/>
  <c r="K77" i="29"/>
  <c r="H77" i="29"/>
  <c r="I77" i="29" s="1"/>
  <c r="E77" i="29"/>
  <c r="F77" i="29" s="1"/>
  <c r="N76" i="29"/>
  <c r="O76" i="29" s="1"/>
  <c r="L76" i="29"/>
  <c r="K76" i="29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K74" i="29"/>
  <c r="L74" i="29" s="1"/>
  <c r="H74" i="29"/>
  <c r="I74" i="29" s="1"/>
  <c r="E74" i="29"/>
  <c r="F74" i="29" s="1"/>
  <c r="O73" i="29"/>
  <c r="N73" i="29"/>
  <c r="K73" i="29"/>
  <c r="L73" i="29" s="1"/>
  <c r="H73" i="29"/>
  <c r="I73" i="29" s="1"/>
  <c r="E73" i="29"/>
  <c r="F73" i="29" s="1"/>
  <c r="O72" i="29"/>
  <c r="N72" i="29"/>
  <c r="K72" i="29"/>
  <c r="L72" i="29" s="1"/>
  <c r="L17" i="29" s="1"/>
  <c r="I72" i="29"/>
  <c r="H72" i="29"/>
  <c r="E72" i="29"/>
  <c r="F72" i="29" s="1"/>
  <c r="N71" i="29"/>
  <c r="N91" i="29" s="1"/>
  <c r="L71" i="29"/>
  <c r="K71" i="29"/>
  <c r="H71" i="29"/>
  <c r="H91" i="29" s="1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H63" i="29"/>
  <c r="I63" i="29" s="1"/>
  <c r="E63" i="29"/>
  <c r="F63" i="29" s="1"/>
  <c r="N62" i="29"/>
  <c r="O62" i="29" s="1"/>
  <c r="L62" i="29"/>
  <c r="K62" i="29"/>
  <c r="H62" i="29"/>
  <c r="I62" i="29" s="1"/>
  <c r="E62" i="29"/>
  <c r="F62" i="29" s="1"/>
  <c r="O61" i="29"/>
  <c r="N61" i="29"/>
  <c r="L61" i="29"/>
  <c r="K61" i="29"/>
  <c r="I61" i="29"/>
  <c r="H61" i="29"/>
  <c r="E61" i="29"/>
  <c r="F61" i="29" s="1"/>
  <c r="O60" i="29"/>
  <c r="N60" i="29"/>
  <c r="K60" i="29"/>
  <c r="L60" i="29" s="1"/>
  <c r="H60" i="29"/>
  <c r="I60" i="29" s="1"/>
  <c r="E60" i="29"/>
  <c r="F60" i="29" s="1"/>
  <c r="O59" i="29"/>
  <c r="N59" i="29"/>
  <c r="K59" i="29"/>
  <c r="L59" i="29" s="1"/>
  <c r="H59" i="29"/>
  <c r="I59" i="29" s="1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K57" i="29"/>
  <c r="L57" i="29" s="1"/>
  <c r="I57" i="29"/>
  <c r="H57" i="29"/>
  <c r="E57" i="29"/>
  <c r="F57" i="29" s="1"/>
  <c r="O56" i="29"/>
  <c r="N56" i="29"/>
  <c r="L56" i="29"/>
  <c r="K56" i="29"/>
  <c r="H56" i="29"/>
  <c r="I56" i="29" s="1"/>
  <c r="E56" i="29"/>
  <c r="F56" i="29" s="1"/>
  <c r="N55" i="29"/>
  <c r="O55" i="29" s="1"/>
  <c r="L55" i="29"/>
  <c r="K55" i="29"/>
  <c r="H55" i="29"/>
  <c r="I55" i="29" s="1"/>
  <c r="E55" i="29"/>
  <c r="F55" i="29" s="1"/>
  <c r="O54" i="29"/>
  <c r="N54" i="29"/>
  <c r="L54" i="29"/>
  <c r="K54" i="29"/>
  <c r="H54" i="29"/>
  <c r="I54" i="29" s="1"/>
  <c r="E54" i="29"/>
  <c r="F54" i="29" s="1"/>
  <c r="N53" i="29"/>
  <c r="O53" i="29" s="1"/>
  <c r="L53" i="29"/>
  <c r="K53" i="29"/>
  <c r="I53" i="29"/>
  <c r="H53" i="29"/>
  <c r="E53" i="29"/>
  <c r="F53" i="29" s="1"/>
  <c r="N52" i="29"/>
  <c r="O52" i="29" s="1"/>
  <c r="K52" i="29"/>
  <c r="L52" i="29" s="1"/>
  <c r="H52" i="29"/>
  <c r="I52" i="29" s="1"/>
  <c r="E52" i="29"/>
  <c r="F52" i="29" s="1"/>
  <c r="N51" i="29"/>
  <c r="O51" i="29" s="1"/>
  <c r="K51" i="29"/>
  <c r="L51" i="29" s="1"/>
  <c r="H51" i="29"/>
  <c r="I51" i="29" s="1"/>
  <c r="E51" i="29"/>
  <c r="F51" i="29" s="1"/>
  <c r="O50" i="29"/>
  <c r="N50" i="29"/>
  <c r="K50" i="29"/>
  <c r="L50" i="29" s="1"/>
  <c r="H50" i="29"/>
  <c r="I50" i="29" s="1"/>
  <c r="E50" i="29"/>
  <c r="F50" i="29" s="1"/>
  <c r="O49" i="29"/>
  <c r="N49" i="29"/>
  <c r="K49" i="29"/>
  <c r="L49" i="29" s="1"/>
  <c r="I49" i="29"/>
  <c r="H49" i="29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L47" i="29"/>
  <c r="K47" i="29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L45" i="29"/>
  <c r="K45" i="29"/>
  <c r="I45" i="29"/>
  <c r="H45" i="29"/>
  <c r="E45" i="29"/>
  <c r="F45" i="29" s="1"/>
  <c r="O44" i="29"/>
  <c r="N44" i="29"/>
  <c r="K44" i="29"/>
  <c r="H44" i="29"/>
  <c r="H64" i="29" s="1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I20" i="29"/>
  <c r="H20" i="29"/>
  <c r="G20" i="29"/>
  <c r="F20" i="29"/>
  <c r="E20" i="29"/>
  <c r="D20" i="29"/>
  <c r="C20" i="29"/>
  <c r="B20" i="29"/>
  <c r="M19" i="29"/>
  <c r="L19" i="29"/>
  <c r="K19" i="29"/>
  <c r="J19" i="29"/>
  <c r="H19" i="29"/>
  <c r="G19" i="29"/>
  <c r="F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O17" i="29"/>
  <c r="N17" i="29"/>
  <c r="M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O171" i="28"/>
  <c r="N171" i="28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K166" i="28"/>
  <c r="L166" i="28" s="1"/>
  <c r="H166" i="28"/>
  <c r="I166" i="28" s="1"/>
  <c r="F166" i="28"/>
  <c r="E166" i="28"/>
  <c r="O165" i="28"/>
  <c r="N165" i="28"/>
  <c r="K165" i="28"/>
  <c r="L165" i="28" s="1"/>
  <c r="H165" i="28"/>
  <c r="I165" i="28" s="1"/>
  <c r="F165" i="28"/>
  <c r="E165" i="28"/>
  <c r="O164" i="28"/>
  <c r="N164" i="28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O157" i="28"/>
  <c r="N157" i="28"/>
  <c r="K157" i="28"/>
  <c r="L157" i="28" s="1"/>
  <c r="H157" i="28"/>
  <c r="I157" i="28" s="1"/>
  <c r="F157" i="28"/>
  <c r="E157" i="28"/>
  <c r="O156" i="28"/>
  <c r="N156" i="28"/>
  <c r="K156" i="28"/>
  <c r="L156" i="28" s="1"/>
  <c r="H156" i="28"/>
  <c r="I156" i="28" s="1"/>
  <c r="F156" i="28"/>
  <c r="E156" i="28"/>
  <c r="O155" i="28"/>
  <c r="N155" i="28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O143" i="28"/>
  <c r="N143" i="28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O139" i="28"/>
  <c r="N139" i="28"/>
  <c r="K139" i="28"/>
  <c r="L139" i="28" s="1"/>
  <c r="H139" i="28"/>
  <c r="I139" i="28" s="1"/>
  <c r="F139" i="28"/>
  <c r="E139" i="28"/>
  <c r="O138" i="28"/>
  <c r="N138" i="28"/>
  <c r="K138" i="28"/>
  <c r="L138" i="28" s="1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N135" i="28"/>
  <c r="O135" i="28" s="1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N133" i="28"/>
  <c r="O133" i="28" s="1"/>
  <c r="L133" i="28"/>
  <c r="K133" i="28"/>
  <c r="H133" i="28"/>
  <c r="I133" i="28" s="1"/>
  <c r="F133" i="28"/>
  <c r="E133" i="28"/>
  <c r="O132" i="28"/>
  <c r="N132" i="28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O127" i="28"/>
  <c r="N127" i="28"/>
  <c r="K127" i="28"/>
  <c r="L127" i="28" s="1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O125" i="28"/>
  <c r="N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N115" i="28"/>
  <c r="O115" i="28" s="1"/>
  <c r="K115" i="28"/>
  <c r="L115" i="28" s="1"/>
  <c r="H115" i="28"/>
  <c r="I115" i="28" s="1"/>
  <c r="F115" i="28"/>
  <c r="E115" i="28"/>
  <c r="N114" i="28"/>
  <c r="O114" i="28" s="1"/>
  <c r="L114" i="28"/>
  <c r="K114" i="28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N112" i="28"/>
  <c r="O112" i="28" s="1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N110" i="28"/>
  <c r="O110" i="28" s="1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O108" i="28"/>
  <c r="N108" i="28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O106" i="28"/>
  <c r="N106" i="28"/>
  <c r="L106" i="28"/>
  <c r="K106" i="28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O19" i="28" s="1"/>
  <c r="K85" i="28"/>
  <c r="L85" i="28" s="1"/>
  <c r="L19" i="28" s="1"/>
  <c r="H85" i="28"/>
  <c r="I85" i="28" s="1"/>
  <c r="I19" i="28" s="1"/>
  <c r="F85" i="28"/>
  <c r="F19" i="28" s="1"/>
  <c r="E85" i="28"/>
  <c r="O84" i="28"/>
  <c r="N84" i="28"/>
  <c r="L84" i="28"/>
  <c r="K84" i="28"/>
  <c r="H84" i="28"/>
  <c r="I84" i="28" s="1"/>
  <c r="F84" i="28"/>
  <c r="E84" i="28"/>
  <c r="N83" i="28"/>
  <c r="O83" i="28" s="1"/>
  <c r="K83" i="28"/>
  <c r="L83" i="28" s="1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O80" i="28"/>
  <c r="N80" i="28"/>
  <c r="L80" i="28"/>
  <c r="K80" i="28"/>
  <c r="H80" i="28"/>
  <c r="I80" i="28" s="1"/>
  <c r="F80" i="28"/>
  <c r="E80" i="28"/>
  <c r="O79" i="28"/>
  <c r="N79" i="28"/>
  <c r="K79" i="28"/>
  <c r="L79" i="28" s="1"/>
  <c r="L20" i="28" s="1"/>
  <c r="H79" i="28"/>
  <c r="I79" i="28" s="1"/>
  <c r="I20" i="28" s="1"/>
  <c r="F79" i="28"/>
  <c r="F20" i="28" s="1"/>
  <c r="E79" i="28"/>
  <c r="N78" i="28"/>
  <c r="O78" i="28" s="1"/>
  <c r="L78" i="28"/>
  <c r="K78" i="28"/>
  <c r="H78" i="28"/>
  <c r="I78" i="28" s="1"/>
  <c r="F78" i="28"/>
  <c r="E78" i="28"/>
  <c r="O77" i="28"/>
  <c r="N77" i="28"/>
  <c r="K77" i="28"/>
  <c r="L77" i="28" s="1"/>
  <c r="H77" i="28"/>
  <c r="I77" i="28" s="1"/>
  <c r="F77" i="28"/>
  <c r="E77" i="28"/>
  <c r="O76" i="28"/>
  <c r="O21" i="28" s="1"/>
  <c r="N76" i="28"/>
  <c r="L76" i="28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L72" i="28"/>
  <c r="K72" i="28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L63" i="28"/>
  <c r="K63" i="28"/>
  <c r="H63" i="28"/>
  <c r="I63" i="28" s="1"/>
  <c r="F63" i="28"/>
  <c r="E63" i="28"/>
  <c r="O62" i="28"/>
  <c r="N62" i="28"/>
  <c r="K62" i="28"/>
  <c r="L62" i="28" s="1"/>
  <c r="H62" i="28"/>
  <c r="I62" i="28" s="1"/>
  <c r="F62" i="28"/>
  <c r="E62" i="28"/>
  <c r="O61" i="28"/>
  <c r="N61" i="28"/>
  <c r="K61" i="28"/>
  <c r="L61" i="28" s="1"/>
  <c r="H61" i="28"/>
  <c r="I61" i="28" s="1"/>
  <c r="F61" i="28"/>
  <c r="E61" i="28"/>
  <c r="O60" i="28"/>
  <c r="N60" i="28"/>
  <c r="K60" i="28"/>
  <c r="L60" i="28" s="1"/>
  <c r="H60" i="28"/>
  <c r="I60" i="28" s="1"/>
  <c r="F60" i="28"/>
  <c r="E60" i="28"/>
  <c r="O59" i="28"/>
  <c r="N59" i="28"/>
  <c r="L59" i="28"/>
  <c r="K59" i="28"/>
  <c r="H59" i="28"/>
  <c r="I59" i="28" s="1"/>
  <c r="F59" i="28"/>
  <c r="E59" i="28"/>
  <c r="N58" i="28"/>
  <c r="O58" i="28" s="1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O56" i="28"/>
  <c r="N56" i="28"/>
  <c r="L56" i="28"/>
  <c r="K56" i="28"/>
  <c r="H56" i="28"/>
  <c r="I56" i="28" s="1"/>
  <c r="F56" i="28"/>
  <c r="E56" i="28"/>
  <c r="N55" i="28"/>
  <c r="O55" i="28" s="1"/>
  <c r="L55" i="28"/>
  <c r="K55" i="28"/>
  <c r="H55" i="28"/>
  <c r="I55" i="28" s="1"/>
  <c r="F55" i="28"/>
  <c r="E55" i="28"/>
  <c r="O54" i="28"/>
  <c r="N54" i="28"/>
  <c r="K54" i="28"/>
  <c r="L54" i="28" s="1"/>
  <c r="H54" i="28"/>
  <c r="I54" i="28" s="1"/>
  <c r="F54" i="28"/>
  <c r="E54" i="28"/>
  <c r="O53" i="28"/>
  <c r="O17" i="28" s="1"/>
  <c r="N53" i="28"/>
  <c r="K53" i="28"/>
  <c r="L53" i="28" s="1"/>
  <c r="L17" i="28" s="1"/>
  <c r="H53" i="28"/>
  <c r="I53" i="28" s="1"/>
  <c r="I17" i="28" s="1"/>
  <c r="F53" i="28"/>
  <c r="F17" i="28" s="1"/>
  <c r="E53" i="28"/>
  <c r="O52" i="28"/>
  <c r="N52" i="28"/>
  <c r="L52" i="28"/>
  <c r="K52" i="28"/>
  <c r="H52" i="28"/>
  <c r="I52" i="28" s="1"/>
  <c r="F52" i="28"/>
  <c r="E52" i="28"/>
  <c r="N51" i="28"/>
  <c r="O51" i="28" s="1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F50" i="28"/>
  <c r="E50" i="28"/>
  <c r="O49" i="28"/>
  <c r="N49" i="28"/>
  <c r="K49" i="28"/>
  <c r="L49" i="28" s="1"/>
  <c r="H49" i="28"/>
  <c r="I49" i="28" s="1"/>
  <c r="F49" i="28"/>
  <c r="E49" i="28"/>
  <c r="O48" i="28"/>
  <c r="N48" i="28"/>
  <c r="L48" i="28"/>
  <c r="K48" i="28"/>
  <c r="H48" i="28"/>
  <c r="I48" i="28" s="1"/>
  <c r="F48" i="28"/>
  <c r="E48" i="28"/>
  <c r="N47" i="28"/>
  <c r="O47" i="28" s="1"/>
  <c r="L47" i="28"/>
  <c r="K47" i="28"/>
  <c r="H47" i="28"/>
  <c r="I47" i="28" s="1"/>
  <c r="F47" i="28"/>
  <c r="E47" i="28"/>
  <c r="N46" i="28"/>
  <c r="O46" i="28" s="1"/>
  <c r="K46" i="28"/>
  <c r="L46" i="28" s="1"/>
  <c r="H46" i="28"/>
  <c r="I46" i="28" s="1"/>
  <c r="F46" i="28"/>
  <c r="E46" i="28"/>
  <c r="O45" i="28"/>
  <c r="N45" i="28"/>
  <c r="K45" i="28"/>
  <c r="L45" i="28" s="1"/>
  <c r="L18" i="28" s="1"/>
  <c r="H45" i="28"/>
  <c r="I45" i="28" s="1"/>
  <c r="I18" i="28" s="1"/>
  <c r="F45" i="28"/>
  <c r="F18" i="28" s="1"/>
  <c r="E45" i="28"/>
  <c r="N44" i="28"/>
  <c r="L44" i="28"/>
  <c r="K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O20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I181" i="27"/>
  <c r="H181" i="27"/>
  <c r="F181" i="27"/>
  <c r="E181" i="27"/>
  <c r="N180" i="27"/>
  <c r="O180" i="27" s="1"/>
  <c r="K180" i="27"/>
  <c r="L180" i="27" s="1"/>
  <c r="I180" i="27"/>
  <c r="H180" i="27"/>
  <c r="F180" i="27"/>
  <c r="E180" i="27"/>
  <c r="N179" i="27"/>
  <c r="K179" i="27"/>
  <c r="K199" i="27" s="1"/>
  <c r="I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K171" i="27"/>
  <c r="L171" i="27" s="1"/>
  <c r="H171" i="27"/>
  <c r="I171" i="27" s="1"/>
  <c r="F171" i="27"/>
  <c r="E171" i="27"/>
  <c r="N170" i="27"/>
  <c r="O170" i="27" s="1"/>
  <c r="O21" i="27" s="1"/>
  <c r="K170" i="27"/>
  <c r="L170" i="27" s="1"/>
  <c r="L21" i="27" s="1"/>
  <c r="H170" i="27"/>
  <c r="I170" i="27" s="1"/>
  <c r="I21" i="27" s="1"/>
  <c r="F170" i="27"/>
  <c r="F21" i="27" s="1"/>
  <c r="E170" i="27"/>
  <c r="N169" i="27"/>
  <c r="O169" i="27" s="1"/>
  <c r="L169" i="27"/>
  <c r="K169" i="27"/>
  <c r="H169" i="27"/>
  <c r="I169" i="27" s="1"/>
  <c r="F169" i="27"/>
  <c r="E169" i="27"/>
  <c r="O168" i="27"/>
  <c r="N168" i="27"/>
  <c r="L168" i="27"/>
  <c r="K168" i="27"/>
  <c r="H168" i="27"/>
  <c r="I168" i="27" s="1"/>
  <c r="F168" i="27"/>
  <c r="E168" i="27"/>
  <c r="N167" i="27"/>
  <c r="O167" i="27" s="1"/>
  <c r="K167" i="27"/>
  <c r="L167" i="27" s="1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O164" i="27"/>
  <c r="N164" i="27"/>
  <c r="L164" i="27"/>
  <c r="K164" i="27"/>
  <c r="H164" i="27"/>
  <c r="I164" i="27" s="1"/>
  <c r="F164" i="27"/>
  <c r="E164" i="27"/>
  <c r="N163" i="27"/>
  <c r="O163" i="27" s="1"/>
  <c r="K163" i="27"/>
  <c r="L163" i="27" s="1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K159" i="27"/>
  <c r="L159" i="27" s="1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O156" i="27"/>
  <c r="N156" i="27"/>
  <c r="L156" i="27"/>
  <c r="K156" i="27"/>
  <c r="H156" i="27"/>
  <c r="I156" i="27" s="1"/>
  <c r="F156" i="27"/>
  <c r="E156" i="27"/>
  <c r="N155" i="27"/>
  <c r="O155" i="27" s="1"/>
  <c r="K155" i="27"/>
  <c r="L155" i="27" s="1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L153" i="27"/>
  <c r="K153" i="27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K144" i="27"/>
  <c r="L144" i="27" s="1"/>
  <c r="H144" i="27"/>
  <c r="I144" i="27" s="1"/>
  <c r="E144" i="27"/>
  <c r="F144" i="27" s="1"/>
  <c r="O143" i="27"/>
  <c r="N143" i="27"/>
  <c r="L143" i="27"/>
  <c r="K143" i="27"/>
  <c r="H143" i="27"/>
  <c r="I143" i="27" s="1"/>
  <c r="E143" i="27"/>
  <c r="F143" i="27" s="1"/>
  <c r="N142" i="27"/>
  <c r="O142" i="27" s="1"/>
  <c r="K142" i="27"/>
  <c r="L142" i="27" s="1"/>
  <c r="I142" i="27"/>
  <c r="H142" i="27"/>
  <c r="E142" i="27"/>
  <c r="F142" i="27" s="1"/>
  <c r="O141" i="27"/>
  <c r="N141" i="27"/>
  <c r="K141" i="27"/>
  <c r="L141" i="27" s="1"/>
  <c r="H141" i="27"/>
  <c r="I141" i="27" s="1"/>
  <c r="E141" i="27"/>
  <c r="F141" i="27" s="1"/>
  <c r="O140" i="27"/>
  <c r="N140" i="27"/>
  <c r="L140" i="27"/>
  <c r="K140" i="27"/>
  <c r="H140" i="27"/>
  <c r="I140" i="27" s="1"/>
  <c r="E140" i="27"/>
  <c r="F140" i="27" s="1"/>
  <c r="N139" i="27"/>
  <c r="O139" i="27" s="1"/>
  <c r="K139" i="27"/>
  <c r="L139" i="27" s="1"/>
  <c r="H139" i="27"/>
  <c r="I139" i="27" s="1"/>
  <c r="E139" i="27"/>
  <c r="F139" i="27" s="1"/>
  <c r="O138" i="27"/>
  <c r="N138" i="27"/>
  <c r="L138" i="27"/>
  <c r="K138" i="27"/>
  <c r="I138" i="27"/>
  <c r="H138" i="27"/>
  <c r="E138" i="27"/>
  <c r="F138" i="27" s="1"/>
  <c r="N137" i="27"/>
  <c r="O137" i="27" s="1"/>
  <c r="K137" i="27"/>
  <c r="L137" i="27" s="1"/>
  <c r="H137" i="27"/>
  <c r="I137" i="27" s="1"/>
  <c r="E137" i="27"/>
  <c r="F137" i="27" s="1"/>
  <c r="O136" i="27"/>
  <c r="N136" i="27"/>
  <c r="L136" i="27"/>
  <c r="K136" i="27"/>
  <c r="H136" i="27"/>
  <c r="I136" i="27" s="1"/>
  <c r="E136" i="27"/>
  <c r="F136" i="27" s="1"/>
  <c r="N135" i="27"/>
  <c r="O135" i="27" s="1"/>
  <c r="K135" i="27"/>
  <c r="L135" i="27" s="1"/>
  <c r="H135" i="27"/>
  <c r="I135" i="27" s="1"/>
  <c r="E135" i="27"/>
  <c r="F135" i="27" s="1"/>
  <c r="N134" i="27"/>
  <c r="O134" i="27" s="1"/>
  <c r="L134" i="27"/>
  <c r="K134" i="27"/>
  <c r="I134" i="27"/>
  <c r="H134" i="27"/>
  <c r="E134" i="27"/>
  <c r="F134" i="27" s="1"/>
  <c r="N133" i="27"/>
  <c r="O133" i="27" s="1"/>
  <c r="L133" i="27"/>
  <c r="K133" i="27"/>
  <c r="H133" i="27"/>
  <c r="I133" i="27" s="1"/>
  <c r="E133" i="27"/>
  <c r="F133" i="27" s="1"/>
  <c r="O132" i="27"/>
  <c r="N132" i="27"/>
  <c r="K132" i="27"/>
  <c r="L132" i="27" s="1"/>
  <c r="H132" i="27"/>
  <c r="I132" i="27" s="1"/>
  <c r="E132" i="27"/>
  <c r="F132" i="27" s="1"/>
  <c r="O131" i="27"/>
  <c r="N131" i="27"/>
  <c r="L131" i="27"/>
  <c r="K131" i="27"/>
  <c r="H131" i="27"/>
  <c r="I131" i="27" s="1"/>
  <c r="E131" i="27"/>
  <c r="F131" i="27" s="1"/>
  <c r="N130" i="27"/>
  <c r="O130" i="27" s="1"/>
  <c r="K130" i="27"/>
  <c r="L130" i="27" s="1"/>
  <c r="I130" i="27"/>
  <c r="H130" i="27"/>
  <c r="E130" i="27"/>
  <c r="F130" i="27" s="1"/>
  <c r="O129" i="27"/>
  <c r="N129" i="27"/>
  <c r="L129" i="27"/>
  <c r="K129" i="27"/>
  <c r="H129" i="27"/>
  <c r="I129" i="27" s="1"/>
  <c r="E129" i="27"/>
  <c r="F129" i="27" s="1"/>
  <c r="N128" i="27"/>
  <c r="O128" i="27" s="1"/>
  <c r="K128" i="27"/>
  <c r="L128" i="27" s="1"/>
  <c r="H128" i="27"/>
  <c r="I128" i="27" s="1"/>
  <c r="E128" i="27"/>
  <c r="F128" i="27" s="1"/>
  <c r="O127" i="27"/>
  <c r="N127" i="27"/>
  <c r="L127" i="27"/>
  <c r="K127" i="27"/>
  <c r="H127" i="27"/>
  <c r="I127" i="27" s="1"/>
  <c r="E127" i="27"/>
  <c r="F127" i="27" s="1"/>
  <c r="N126" i="27"/>
  <c r="O126" i="27" s="1"/>
  <c r="K126" i="27"/>
  <c r="L126" i="27" s="1"/>
  <c r="I126" i="27"/>
  <c r="H126" i="27"/>
  <c r="E126" i="27"/>
  <c r="F126" i="27" s="1"/>
  <c r="O125" i="27"/>
  <c r="N125" i="27"/>
  <c r="K125" i="27"/>
  <c r="H125" i="27"/>
  <c r="H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F114" i="27"/>
  <c r="E114" i="27"/>
  <c r="N113" i="27"/>
  <c r="O113" i="27" s="1"/>
  <c r="L113" i="27"/>
  <c r="K113" i="27"/>
  <c r="H113" i="27"/>
  <c r="I113" i="27" s="1"/>
  <c r="F113" i="27"/>
  <c r="E113" i="27"/>
  <c r="O112" i="27"/>
  <c r="N112" i="27"/>
  <c r="K112" i="27"/>
  <c r="L112" i="27" s="1"/>
  <c r="H112" i="27"/>
  <c r="I112" i="27" s="1"/>
  <c r="F112" i="27"/>
  <c r="E112" i="27"/>
  <c r="O111" i="27"/>
  <c r="N111" i="27"/>
  <c r="K111" i="27"/>
  <c r="L111" i="27" s="1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I107" i="27" s="1"/>
  <c r="F107" i="27"/>
  <c r="E107" i="27"/>
  <c r="O106" i="27"/>
  <c r="N106" i="27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O104" i="27"/>
  <c r="N104" i="27"/>
  <c r="K104" i="27"/>
  <c r="L104" i="27" s="1"/>
  <c r="H104" i="27"/>
  <c r="I104" i="27" s="1"/>
  <c r="F104" i="27"/>
  <c r="E104" i="27"/>
  <c r="O103" i="27"/>
  <c r="N103" i="27"/>
  <c r="K103" i="27"/>
  <c r="L103" i="27" s="1"/>
  <c r="H103" i="27"/>
  <c r="I103" i="27" s="1"/>
  <c r="F103" i="27"/>
  <c r="E103" i="27"/>
  <c r="O102" i="27"/>
  <c r="N102" i="27"/>
  <c r="L102" i="27"/>
  <c r="K102" i="27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H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H90" i="27"/>
  <c r="I90" i="27" s="1"/>
  <c r="E90" i="27"/>
  <c r="F90" i="27" s="1"/>
  <c r="N89" i="27"/>
  <c r="O89" i="27" s="1"/>
  <c r="L89" i="27"/>
  <c r="K89" i="27"/>
  <c r="I89" i="27"/>
  <c r="H89" i="27"/>
  <c r="E89" i="27"/>
  <c r="F89" i="27" s="1"/>
  <c r="N88" i="27"/>
  <c r="O88" i="27" s="1"/>
  <c r="L88" i="27"/>
  <c r="K88" i="27"/>
  <c r="H88" i="27"/>
  <c r="I88" i="27" s="1"/>
  <c r="E88" i="27"/>
  <c r="F88" i="27" s="1"/>
  <c r="O87" i="27"/>
  <c r="N87" i="27"/>
  <c r="K87" i="27"/>
  <c r="L87" i="27" s="1"/>
  <c r="L20" i="27" s="1"/>
  <c r="I87" i="27"/>
  <c r="H87" i="27"/>
  <c r="E87" i="27"/>
  <c r="F87" i="27" s="1"/>
  <c r="F20" i="27" s="1"/>
  <c r="O86" i="27"/>
  <c r="N86" i="27"/>
  <c r="L86" i="27"/>
  <c r="K86" i="27"/>
  <c r="H86" i="27"/>
  <c r="I86" i="27" s="1"/>
  <c r="E86" i="27"/>
  <c r="F86" i="27" s="1"/>
  <c r="O85" i="27"/>
  <c r="N85" i="27"/>
  <c r="K85" i="27"/>
  <c r="L85" i="27" s="1"/>
  <c r="I85" i="27"/>
  <c r="H85" i="27"/>
  <c r="E85" i="27"/>
  <c r="F85" i="27" s="1"/>
  <c r="O84" i="27"/>
  <c r="N84" i="27"/>
  <c r="L84" i="27"/>
  <c r="K84" i="27"/>
  <c r="H84" i="27"/>
  <c r="I84" i="27" s="1"/>
  <c r="E84" i="27"/>
  <c r="F84" i="27" s="1"/>
  <c r="O83" i="27"/>
  <c r="N83" i="27"/>
  <c r="L83" i="27"/>
  <c r="K83" i="27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I81" i="27"/>
  <c r="H81" i="27"/>
  <c r="E81" i="27"/>
  <c r="F81" i="27" s="1"/>
  <c r="N80" i="27"/>
  <c r="O80" i="27" s="1"/>
  <c r="O19" i="27" s="1"/>
  <c r="L80" i="27"/>
  <c r="K80" i="27"/>
  <c r="H80" i="27"/>
  <c r="I80" i="27" s="1"/>
  <c r="I19" i="27" s="1"/>
  <c r="E80" i="27"/>
  <c r="F80" i="27" s="1"/>
  <c r="F19" i="27" s="1"/>
  <c r="O79" i="27"/>
  <c r="N79" i="27"/>
  <c r="K79" i="27"/>
  <c r="L79" i="27" s="1"/>
  <c r="H79" i="27"/>
  <c r="I79" i="27" s="1"/>
  <c r="E79" i="27"/>
  <c r="F79" i="27" s="1"/>
  <c r="N78" i="27"/>
  <c r="O78" i="27" s="1"/>
  <c r="L78" i="27"/>
  <c r="K78" i="27"/>
  <c r="I78" i="27"/>
  <c r="H78" i="27"/>
  <c r="E78" i="27"/>
  <c r="F78" i="27" s="1"/>
  <c r="O77" i="27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I76" i="27" s="1"/>
  <c r="E76" i="27"/>
  <c r="F76" i="27" s="1"/>
  <c r="O75" i="27"/>
  <c r="N75" i="27"/>
  <c r="L75" i="27"/>
  <c r="K75" i="27"/>
  <c r="H75" i="27"/>
  <c r="I75" i="27" s="1"/>
  <c r="E75" i="27"/>
  <c r="F75" i="27" s="1"/>
  <c r="N74" i="27"/>
  <c r="O74" i="27" s="1"/>
  <c r="K74" i="27"/>
  <c r="L74" i="27" s="1"/>
  <c r="I74" i="27"/>
  <c r="H74" i="27"/>
  <c r="E74" i="27"/>
  <c r="F74" i="27" s="1"/>
  <c r="O73" i="27"/>
  <c r="N73" i="27"/>
  <c r="L73" i="27"/>
  <c r="K73" i="27"/>
  <c r="I73" i="27"/>
  <c r="H73" i="27"/>
  <c r="E73" i="27"/>
  <c r="F73" i="27" s="1"/>
  <c r="N72" i="27"/>
  <c r="O72" i="27" s="1"/>
  <c r="L72" i="27"/>
  <c r="K72" i="27"/>
  <c r="H72" i="27"/>
  <c r="I72" i="27" s="1"/>
  <c r="E72" i="27"/>
  <c r="F72" i="27" s="1"/>
  <c r="O71" i="27"/>
  <c r="N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I63" i="27"/>
  <c r="H63" i="27"/>
  <c r="E63" i="27"/>
  <c r="F63" i="27" s="1"/>
  <c r="N62" i="27"/>
  <c r="O62" i="27" s="1"/>
  <c r="K62" i="27"/>
  <c r="L62" i="27" s="1"/>
  <c r="I62" i="27"/>
  <c r="H62" i="27"/>
  <c r="E62" i="27"/>
  <c r="F62" i="27" s="1"/>
  <c r="N61" i="27"/>
  <c r="N18" i="27" s="1"/>
  <c r="L61" i="27"/>
  <c r="K61" i="27"/>
  <c r="H61" i="27"/>
  <c r="I61" i="27" s="1"/>
  <c r="I18" i="27" s="1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L59" i="27"/>
  <c r="K59" i="27"/>
  <c r="I59" i="27"/>
  <c r="H59" i="27"/>
  <c r="E59" i="27"/>
  <c r="F59" i="27" s="1"/>
  <c r="N58" i="27"/>
  <c r="O58" i="27" s="1"/>
  <c r="L58" i="27"/>
  <c r="K58" i="27"/>
  <c r="I58" i="27"/>
  <c r="H58" i="27"/>
  <c r="E58" i="27"/>
  <c r="F58" i="27" s="1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H56" i="27"/>
  <c r="I56" i="27" s="1"/>
  <c r="E56" i="27"/>
  <c r="F56" i="27" s="1"/>
  <c r="N55" i="27"/>
  <c r="O55" i="27" s="1"/>
  <c r="L55" i="27"/>
  <c r="K55" i="27"/>
  <c r="I55" i="27"/>
  <c r="H55" i="27"/>
  <c r="E55" i="27"/>
  <c r="F55" i="27" s="1"/>
  <c r="O54" i="27"/>
  <c r="N54" i="27"/>
  <c r="K54" i="27"/>
  <c r="L54" i="27" s="1"/>
  <c r="I54" i="27"/>
  <c r="H54" i="27"/>
  <c r="E54" i="27"/>
  <c r="F54" i="27" s="1"/>
  <c r="N53" i="27"/>
  <c r="O53" i="27" s="1"/>
  <c r="L53" i="27"/>
  <c r="K53" i="27"/>
  <c r="H53" i="27"/>
  <c r="I53" i="27" s="1"/>
  <c r="E53" i="27"/>
  <c r="F53" i="27" s="1"/>
  <c r="O52" i="27"/>
  <c r="N52" i="27"/>
  <c r="L52" i="27"/>
  <c r="K52" i="27"/>
  <c r="H52" i="27"/>
  <c r="I52" i="27" s="1"/>
  <c r="E52" i="27"/>
  <c r="F52" i="27" s="1"/>
  <c r="N51" i="27"/>
  <c r="O51" i="27" s="1"/>
  <c r="L51" i="27"/>
  <c r="K51" i="27"/>
  <c r="I51" i="27"/>
  <c r="H51" i="27"/>
  <c r="E51" i="27"/>
  <c r="F51" i="27" s="1"/>
  <c r="N50" i="27"/>
  <c r="O50" i="27" s="1"/>
  <c r="O17" i="27" s="1"/>
  <c r="L50" i="27"/>
  <c r="K50" i="27"/>
  <c r="I50" i="27"/>
  <c r="H50" i="27"/>
  <c r="E50" i="27"/>
  <c r="F50" i="27" s="1"/>
  <c r="F17" i="27" s="1"/>
  <c r="O49" i="27"/>
  <c r="N49" i="27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N47" i="27"/>
  <c r="O47" i="27" s="1"/>
  <c r="L47" i="27"/>
  <c r="K47" i="27"/>
  <c r="I47" i="27"/>
  <c r="H47" i="27"/>
  <c r="E47" i="27"/>
  <c r="F47" i="27" s="1"/>
  <c r="O46" i="27"/>
  <c r="N46" i="27"/>
  <c r="L46" i="27"/>
  <c r="K46" i="27"/>
  <c r="I46" i="27"/>
  <c r="H46" i="27"/>
  <c r="E46" i="27"/>
  <c r="F46" i="27" s="1"/>
  <c r="N45" i="27"/>
  <c r="O45" i="27" s="1"/>
  <c r="K45" i="27"/>
  <c r="L45" i="27" s="1"/>
  <c r="H45" i="27"/>
  <c r="I45" i="27" s="1"/>
  <c r="E45" i="27"/>
  <c r="F45" i="27" s="1"/>
  <c r="O44" i="27"/>
  <c r="N44" i="27"/>
  <c r="L44" i="27"/>
  <c r="K44" i="27"/>
  <c r="I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O20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L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F195" i="26"/>
  <c r="E195" i="26"/>
  <c r="N194" i="26"/>
  <c r="O194" i="26" s="1"/>
  <c r="L194" i="26"/>
  <c r="K194" i="26"/>
  <c r="I194" i="26"/>
  <c r="H194" i="26"/>
  <c r="F194" i="26"/>
  <c r="E194" i="26"/>
  <c r="N193" i="26"/>
  <c r="O193" i="26" s="1"/>
  <c r="L193" i="26"/>
  <c r="K193" i="26"/>
  <c r="I193" i="26"/>
  <c r="H193" i="26"/>
  <c r="F193" i="26"/>
  <c r="E193" i="26"/>
  <c r="N192" i="26"/>
  <c r="O192" i="26" s="1"/>
  <c r="L192" i="26"/>
  <c r="K192" i="26"/>
  <c r="I192" i="26"/>
  <c r="H192" i="26"/>
  <c r="F192" i="26"/>
  <c r="E192" i="26"/>
  <c r="N191" i="26"/>
  <c r="O191" i="26" s="1"/>
  <c r="L191" i="26"/>
  <c r="K191" i="26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F189" i="26"/>
  <c r="E189" i="26"/>
  <c r="N188" i="26"/>
  <c r="O188" i="26" s="1"/>
  <c r="L188" i="26"/>
  <c r="K188" i="26"/>
  <c r="I188" i="26"/>
  <c r="H188" i="26"/>
  <c r="F188" i="26"/>
  <c r="E188" i="26"/>
  <c r="N187" i="26"/>
  <c r="O187" i="26" s="1"/>
  <c r="L187" i="26"/>
  <c r="K187" i="26"/>
  <c r="I187" i="26"/>
  <c r="H187" i="26"/>
  <c r="F187" i="26"/>
  <c r="E187" i="26"/>
  <c r="N186" i="26"/>
  <c r="O186" i="26" s="1"/>
  <c r="L186" i="26"/>
  <c r="K186" i="26"/>
  <c r="I186" i="26"/>
  <c r="H186" i="26"/>
  <c r="F186" i="26"/>
  <c r="E186" i="26"/>
  <c r="N185" i="26"/>
  <c r="O185" i="26" s="1"/>
  <c r="L185" i="26"/>
  <c r="K185" i="26"/>
  <c r="I185" i="26"/>
  <c r="H185" i="26"/>
  <c r="F185" i="26"/>
  <c r="E185" i="26"/>
  <c r="N184" i="26"/>
  <c r="O184" i="26" s="1"/>
  <c r="L184" i="26"/>
  <c r="K184" i="26"/>
  <c r="I184" i="26"/>
  <c r="H184" i="26"/>
  <c r="F184" i="26"/>
  <c r="E184" i="26"/>
  <c r="N183" i="26"/>
  <c r="O183" i="26" s="1"/>
  <c r="L183" i="26"/>
  <c r="K183" i="26"/>
  <c r="I183" i="26"/>
  <c r="H183" i="26"/>
  <c r="F183" i="26"/>
  <c r="E183" i="26"/>
  <c r="N182" i="26"/>
  <c r="O182" i="26" s="1"/>
  <c r="L182" i="26"/>
  <c r="K182" i="26"/>
  <c r="I182" i="26"/>
  <c r="H182" i="26"/>
  <c r="F182" i="26"/>
  <c r="E182" i="26"/>
  <c r="N181" i="26"/>
  <c r="O181" i="26" s="1"/>
  <c r="L181" i="26"/>
  <c r="K181" i="26"/>
  <c r="I181" i="26"/>
  <c r="H181" i="26"/>
  <c r="F181" i="26"/>
  <c r="E181" i="26"/>
  <c r="N180" i="26"/>
  <c r="O180" i="26" s="1"/>
  <c r="L180" i="26"/>
  <c r="K180" i="26"/>
  <c r="I180" i="26"/>
  <c r="H180" i="26"/>
  <c r="F180" i="26"/>
  <c r="E180" i="26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O19" i="26" s="1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F164" i="26"/>
  <c r="E164" i="26"/>
  <c r="O163" i="26"/>
  <c r="N163" i="26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O155" i="26"/>
  <c r="N155" i="26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F142" i="26"/>
  <c r="E142" i="26"/>
  <c r="N141" i="26"/>
  <c r="O141" i="26" s="1"/>
  <c r="K141" i="26"/>
  <c r="L141" i="26" s="1"/>
  <c r="H141" i="26"/>
  <c r="I141" i="26" s="1"/>
  <c r="F141" i="26"/>
  <c r="E141" i="26"/>
  <c r="O140" i="26"/>
  <c r="N140" i="26"/>
  <c r="K140" i="26"/>
  <c r="L140" i="26" s="1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O138" i="26"/>
  <c r="N138" i="26"/>
  <c r="L138" i="26"/>
  <c r="K138" i="26"/>
  <c r="H138" i="26"/>
  <c r="I138" i="26" s="1"/>
  <c r="F138" i="26"/>
  <c r="E138" i="26"/>
  <c r="N137" i="26"/>
  <c r="O137" i="26" s="1"/>
  <c r="K137" i="26"/>
  <c r="L137" i="26" s="1"/>
  <c r="H137" i="26"/>
  <c r="I137" i="26" s="1"/>
  <c r="F137" i="26"/>
  <c r="E137" i="26"/>
  <c r="N136" i="26"/>
  <c r="O136" i="26" s="1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O127" i="26"/>
  <c r="N127" i="26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O125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O114" i="26"/>
  <c r="N114" i="26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N31" i="26" s="1"/>
  <c r="K111" i="26"/>
  <c r="L111" i="26" s="1"/>
  <c r="L31" i="26" s="1"/>
  <c r="H111" i="26"/>
  <c r="I111" i="26" s="1"/>
  <c r="I31" i="26" s="1"/>
  <c r="F111" i="26"/>
  <c r="F31" i="26" s="1"/>
  <c r="E111" i="26"/>
  <c r="O110" i="26"/>
  <c r="N110" i="26"/>
  <c r="K110" i="26"/>
  <c r="L110" i="26" s="1"/>
  <c r="L30" i="26" s="1"/>
  <c r="H110" i="26"/>
  <c r="I110" i="26" s="1"/>
  <c r="I30" i="26" s="1"/>
  <c r="F110" i="26"/>
  <c r="F30" i="26" s="1"/>
  <c r="E110" i="26"/>
  <c r="N109" i="26"/>
  <c r="O109" i="26" s="1"/>
  <c r="O29" i="26" s="1"/>
  <c r="K109" i="26"/>
  <c r="L109" i="26" s="1"/>
  <c r="L29" i="26" s="1"/>
  <c r="H109" i="26"/>
  <c r="I109" i="26" s="1"/>
  <c r="I29" i="26" s="1"/>
  <c r="F109" i="26"/>
  <c r="F29" i="26" s="1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O27" i="26" s="1"/>
  <c r="K107" i="26"/>
  <c r="L107" i="26" s="1"/>
  <c r="L27" i="26" s="1"/>
  <c r="H107" i="26"/>
  <c r="I107" i="26" s="1"/>
  <c r="I2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O25" i="26" s="1"/>
  <c r="K105" i="26"/>
  <c r="L105" i="26" s="1"/>
  <c r="L25" i="26" s="1"/>
  <c r="H105" i="26"/>
  <c r="I105" i="26" s="1"/>
  <c r="I25" i="26" s="1"/>
  <c r="F105" i="26"/>
  <c r="E105" i="26"/>
  <c r="O104" i="26"/>
  <c r="N104" i="26"/>
  <c r="K104" i="26"/>
  <c r="K24" i="26" s="1"/>
  <c r="H104" i="26"/>
  <c r="I104" i="26" s="1"/>
  <c r="I24" i="26" s="1"/>
  <c r="F104" i="26"/>
  <c r="E104" i="26"/>
  <c r="N103" i="26"/>
  <c r="O103" i="26" s="1"/>
  <c r="O23" i="26" s="1"/>
  <c r="K103" i="26"/>
  <c r="L103" i="26" s="1"/>
  <c r="L23" i="26" s="1"/>
  <c r="H103" i="26"/>
  <c r="I103" i="26" s="1"/>
  <c r="I23" i="26" s="1"/>
  <c r="F103" i="26"/>
  <c r="E103" i="26"/>
  <c r="O102" i="26"/>
  <c r="N102" i="26"/>
  <c r="K102" i="26"/>
  <c r="L102" i="26" s="1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O98" i="26"/>
  <c r="N98" i="26"/>
  <c r="L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L18" i="26" s="1"/>
  <c r="H86" i="26"/>
  <c r="I86" i="26" s="1"/>
  <c r="I18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K84" i="26"/>
  <c r="L84" i="26" s="1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N77" i="26"/>
  <c r="N21" i="26" s="1"/>
  <c r="K77" i="26"/>
  <c r="L77" i="26" s="1"/>
  <c r="L21" i="26" s="1"/>
  <c r="H77" i="26"/>
  <c r="I77" i="26" s="1"/>
  <c r="I21" i="26" s="1"/>
  <c r="F77" i="26"/>
  <c r="E77" i="26"/>
  <c r="O76" i="26"/>
  <c r="N76" i="26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K74" i="26"/>
  <c r="L74" i="26" s="1"/>
  <c r="H74" i="26"/>
  <c r="I74" i="26" s="1"/>
  <c r="F74" i="26"/>
  <c r="E74" i="26"/>
  <c r="O73" i="26"/>
  <c r="N73" i="26"/>
  <c r="K73" i="26"/>
  <c r="L73" i="26" s="1"/>
  <c r="L32" i="26" s="1"/>
  <c r="H73" i="26"/>
  <c r="I73" i="26" s="1"/>
  <c r="I32" i="26" s="1"/>
  <c r="F73" i="26"/>
  <c r="F32" i="26" s="1"/>
  <c r="E73" i="26"/>
  <c r="N72" i="26"/>
  <c r="O72" i="26" s="1"/>
  <c r="O26" i="26" s="1"/>
  <c r="L72" i="26"/>
  <c r="K72" i="26"/>
  <c r="H72" i="26"/>
  <c r="I72" i="26" s="1"/>
  <c r="I26" i="26" s="1"/>
  <c r="F72" i="26"/>
  <c r="E72" i="26"/>
  <c r="N71" i="26"/>
  <c r="K71" i="26"/>
  <c r="L7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E63" i="26"/>
  <c r="F63" i="26" s="1"/>
  <c r="O62" i="26"/>
  <c r="N62" i="26"/>
  <c r="K62" i="26"/>
  <c r="L62" i="26" s="1"/>
  <c r="H62" i="26"/>
  <c r="I62" i="26" s="1"/>
  <c r="E62" i="26"/>
  <c r="F62" i="26" s="1"/>
  <c r="N61" i="26"/>
  <c r="O61" i="26" s="1"/>
  <c r="K61" i="26"/>
  <c r="L61" i="26" s="1"/>
  <c r="I61" i="26"/>
  <c r="H61" i="26"/>
  <c r="E61" i="26"/>
  <c r="F61" i="26" s="1"/>
  <c r="N60" i="26"/>
  <c r="O60" i="26" s="1"/>
  <c r="O17" i="26" s="1"/>
  <c r="K60" i="26"/>
  <c r="L60" i="26" s="1"/>
  <c r="L17" i="26" s="1"/>
  <c r="H60" i="26"/>
  <c r="I60" i="26" s="1"/>
  <c r="I17" i="26" s="1"/>
  <c r="E60" i="26"/>
  <c r="F60" i="26" s="1"/>
  <c r="F17" i="26" s="1"/>
  <c r="O59" i="26"/>
  <c r="N59" i="26"/>
  <c r="K59" i="26"/>
  <c r="L59" i="26" s="1"/>
  <c r="H59" i="26"/>
  <c r="I59" i="26" s="1"/>
  <c r="E59" i="26"/>
  <c r="F59" i="26" s="1"/>
  <c r="N58" i="26"/>
  <c r="O58" i="26" s="1"/>
  <c r="O22" i="26" s="1"/>
  <c r="K58" i="26"/>
  <c r="L58" i="26" s="1"/>
  <c r="L22" i="26" s="1"/>
  <c r="I58" i="26"/>
  <c r="H58" i="26"/>
  <c r="E58" i="26"/>
  <c r="F58" i="26" s="1"/>
  <c r="F22" i="26" s="1"/>
  <c r="N57" i="26"/>
  <c r="O57" i="26" s="1"/>
  <c r="K57" i="26"/>
  <c r="L57" i="26" s="1"/>
  <c r="I57" i="26"/>
  <c r="H57" i="26"/>
  <c r="E57" i="26"/>
  <c r="F57" i="26" s="1"/>
  <c r="N56" i="26"/>
  <c r="O56" i="26" s="1"/>
  <c r="K56" i="26"/>
  <c r="L56" i="26" s="1"/>
  <c r="H56" i="26"/>
  <c r="I56" i="26" s="1"/>
  <c r="E56" i="26"/>
  <c r="F56" i="26" s="1"/>
  <c r="O55" i="26"/>
  <c r="N55" i="26"/>
  <c r="K55" i="26"/>
  <c r="L55" i="26" s="1"/>
  <c r="H55" i="26"/>
  <c r="I55" i="26" s="1"/>
  <c r="E55" i="26"/>
  <c r="F55" i="26" s="1"/>
  <c r="N54" i="26"/>
  <c r="O54" i="26" s="1"/>
  <c r="K54" i="26"/>
  <c r="L54" i="26" s="1"/>
  <c r="I54" i="26"/>
  <c r="H54" i="26"/>
  <c r="E54" i="26"/>
  <c r="F54" i="26" s="1"/>
  <c r="N53" i="26"/>
  <c r="O53" i="26" s="1"/>
  <c r="K53" i="26"/>
  <c r="L53" i="26" s="1"/>
  <c r="I53" i="26"/>
  <c r="H53" i="26"/>
  <c r="E53" i="26"/>
  <c r="F53" i="26" s="1"/>
  <c r="N52" i="26"/>
  <c r="O52" i="26" s="1"/>
  <c r="K52" i="26"/>
  <c r="L52" i="26" s="1"/>
  <c r="H52" i="26"/>
  <c r="I52" i="26" s="1"/>
  <c r="E52" i="26"/>
  <c r="F52" i="26" s="1"/>
  <c r="O51" i="26"/>
  <c r="N51" i="26"/>
  <c r="K51" i="26"/>
  <c r="L51" i="26" s="1"/>
  <c r="H51" i="26"/>
  <c r="I51" i="26" s="1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H48" i="26"/>
  <c r="I48" i="26" s="1"/>
  <c r="E48" i="26"/>
  <c r="F48" i="26" s="1"/>
  <c r="O47" i="26"/>
  <c r="N47" i="26"/>
  <c r="K47" i="26"/>
  <c r="L47" i="26" s="1"/>
  <c r="H47" i="26"/>
  <c r="I47" i="26" s="1"/>
  <c r="E47" i="26"/>
  <c r="F47" i="26" s="1"/>
  <c r="N46" i="26"/>
  <c r="O46" i="26" s="1"/>
  <c r="K46" i="26"/>
  <c r="L46" i="26" s="1"/>
  <c r="I46" i="26"/>
  <c r="H46" i="26"/>
  <c r="E46" i="26"/>
  <c r="F46" i="26" s="1"/>
  <c r="N45" i="26"/>
  <c r="O45" i="26" s="1"/>
  <c r="K45" i="26"/>
  <c r="L45" i="26" s="1"/>
  <c r="I45" i="26"/>
  <c r="H45" i="26"/>
  <c r="E45" i="26"/>
  <c r="F45" i="26" s="1"/>
  <c r="N44" i="26"/>
  <c r="N64" i="26" s="1"/>
  <c r="K44" i="26"/>
  <c r="H44" i="26"/>
  <c r="H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L26" i="26"/>
  <c r="K26" i="26"/>
  <c r="J26" i="26"/>
  <c r="H26" i="26"/>
  <c r="G26" i="26"/>
  <c r="F26" i="26"/>
  <c r="E26" i="26"/>
  <c r="D26" i="26"/>
  <c r="C26" i="26"/>
  <c r="B26" i="26"/>
  <c r="N25" i="26"/>
  <c r="M25" i="26"/>
  <c r="K25" i="26"/>
  <c r="J25" i="26"/>
  <c r="H25" i="26"/>
  <c r="G25" i="26"/>
  <c r="F25" i="26"/>
  <c r="E25" i="26"/>
  <c r="D25" i="26"/>
  <c r="C25" i="26"/>
  <c r="B25" i="26"/>
  <c r="O24" i="26"/>
  <c r="N24" i="26"/>
  <c r="M24" i="26"/>
  <c r="J24" i="26"/>
  <c r="H24" i="26"/>
  <c r="G24" i="26"/>
  <c r="F24" i="26"/>
  <c r="E24" i="26"/>
  <c r="D24" i="26"/>
  <c r="C24" i="26"/>
  <c r="B24" i="26"/>
  <c r="N23" i="26"/>
  <c r="M23" i="26"/>
  <c r="K23" i="26"/>
  <c r="J23" i="26"/>
  <c r="H23" i="26"/>
  <c r="G23" i="26"/>
  <c r="F23" i="26"/>
  <c r="E23" i="26"/>
  <c r="D23" i="26"/>
  <c r="C23" i="26"/>
  <c r="B23" i="26"/>
  <c r="N22" i="26"/>
  <c r="M22" i="26"/>
  <c r="K22" i="26"/>
  <c r="J22" i="26"/>
  <c r="I22" i="26"/>
  <c r="H22" i="26"/>
  <c r="G22" i="26"/>
  <c r="E22" i="26"/>
  <c r="D22" i="26"/>
  <c r="C22" i="26"/>
  <c r="B22" i="26"/>
  <c r="M21" i="26"/>
  <c r="K21" i="26"/>
  <c r="J21" i="26"/>
  <c r="H21" i="26"/>
  <c r="G21" i="26"/>
  <c r="F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L197" i="25"/>
  <c r="K197" i="25"/>
  <c r="I197" i="25"/>
  <c r="H197" i="25"/>
  <c r="F197" i="25"/>
  <c r="E197" i="25"/>
  <c r="N196" i="25"/>
  <c r="O196" i="25" s="1"/>
  <c r="L196" i="25"/>
  <c r="K196" i="25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N193" i="25"/>
  <c r="O193" i="25" s="1"/>
  <c r="L193" i="25"/>
  <c r="K193" i="25"/>
  <c r="H193" i="25"/>
  <c r="I193" i="25" s="1"/>
  <c r="F193" i="25"/>
  <c r="E193" i="25"/>
  <c r="N192" i="25"/>
  <c r="O192" i="25" s="1"/>
  <c r="L192" i="25"/>
  <c r="K192" i="25"/>
  <c r="H192" i="25"/>
  <c r="I192" i="25" s="1"/>
  <c r="F192" i="25"/>
  <c r="E192" i="25"/>
  <c r="N191" i="25"/>
  <c r="O191" i="25" s="1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L189" i="25"/>
  <c r="K189" i="25"/>
  <c r="I189" i="25"/>
  <c r="H189" i="25"/>
  <c r="F189" i="25"/>
  <c r="E189" i="25"/>
  <c r="N188" i="25"/>
  <c r="O188" i="25" s="1"/>
  <c r="L188" i="25"/>
  <c r="K188" i="25"/>
  <c r="I188" i="25"/>
  <c r="H188" i="25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L185" i="25"/>
  <c r="K185" i="25"/>
  <c r="H185" i="25"/>
  <c r="I185" i="25" s="1"/>
  <c r="F185" i="25"/>
  <c r="E185" i="25"/>
  <c r="N184" i="25"/>
  <c r="O184" i="25" s="1"/>
  <c r="L184" i="25"/>
  <c r="K184" i="25"/>
  <c r="H184" i="25"/>
  <c r="I184" i="25" s="1"/>
  <c r="F184" i="25"/>
  <c r="E184" i="25"/>
  <c r="N183" i="25"/>
  <c r="O183" i="25" s="1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N199" i="25" s="1"/>
  <c r="L179" i="25"/>
  <c r="L199" i="25" s="1"/>
  <c r="K179" i="25"/>
  <c r="K199" i="25" s="1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N170" i="25"/>
  <c r="O170" i="25" s="1"/>
  <c r="O19" i="25" s="1"/>
  <c r="L170" i="25"/>
  <c r="K170" i="25"/>
  <c r="H170" i="25"/>
  <c r="I170" i="25" s="1"/>
  <c r="I19" i="25" s="1"/>
  <c r="F170" i="25"/>
  <c r="E170" i="25"/>
  <c r="N169" i="25"/>
  <c r="O169" i="25" s="1"/>
  <c r="L169" i="25"/>
  <c r="K169" i="25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H166" i="25"/>
  <c r="I166" i="25" s="1"/>
  <c r="F166" i="25"/>
  <c r="E166" i="25"/>
  <c r="N165" i="25"/>
  <c r="O165" i="25" s="1"/>
  <c r="L165" i="25"/>
  <c r="K165" i="25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H162" i="25"/>
  <c r="I162" i="25" s="1"/>
  <c r="F162" i="25"/>
  <c r="E162" i="25"/>
  <c r="N161" i="25"/>
  <c r="O161" i="25" s="1"/>
  <c r="L161" i="25"/>
  <c r="K161" i="25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H158" i="25"/>
  <c r="I158" i="25" s="1"/>
  <c r="F158" i="25"/>
  <c r="E158" i="25"/>
  <c r="N157" i="25"/>
  <c r="O157" i="25" s="1"/>
  <c r="O21" i="25" s="1"/>
  <c r="L157" i="25"/>
  <c r="L21" i="25" s="1"/>
  <c r="K157" i="25"/>
  <c r="H157" i="25"/>
  <c r="I157" i="25" s="1"/>
  <c r="I21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H154" i="25"/>
  <c r="I154" i="25" s="1"/>
  <c r="F154" i="25"/>
  <c r="E154" i="25"/>
  <c r="N153" i="25"/>
  <c r="O153" i="25" s="1"/>
  <c r="L153" i="25"/>
  <c r="K153" i="25"/>
  <c r="H153" i="25"/>
  <c r="I153" i="25" s="1"/>
  <c r="F153" i="25"/>
  <c r="E153" i="25"/>
  <c r="N152" i="25"/>
  <c r="N172" i="25" s="1"/>
  <c r="L152" i="25"/>
  <c r="L172" i="25" s="1"/>
  <c r="K152" i="25"/>
  <c r="K172" i="25" s="1"/>
  <c r="H152" i="25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O143" i="25"/>
  <c r="N143" i="25"/>
  <c r="L143" i="25"/>
  <c r="K143" i="25"/>
  <c r="H143" i="25"/>
  <c r="I143" i="25" s="1"/>
  <c r="F143" i="25"/>
  <c r="E143" i="25"/>
  <c r="O142" i="25"/>
  <c r="N142" i="25"/>
  <c r="L142" i="25"/>
  <c r="K142" i="25"/>
  <c r="H142" i="25"/>
  <c r="I142" i="25" s="1"/>
  <c r="F142" i="25"/>
  <c r="E142" i="25"/>
  <c r="O141" i="25"/>
  <c r="N141" i="25"/>
  <c r="L141" i="25"/>
  <c r="K141" i="25"/>
  <c r="H141" i="25"/>
  <c r="I141" i="25" s="1"/>
  <c r="I22" i="25" s="1"/>
  <c r="F141" i="25"/>
  <c r="F22" i="25" s="1"/>
  <c r="E141" i="25"/>
  <c r="O140" i="25"/>
  <c r="N140" i="25"/>
  <c r="L140" i="25"/>
  <c r="K140" i="25"/>
  <c r="H140" i="25"/>
  <c r="I140" i="25" s="1"/>
  <c r="F140" i="25"/>
  <c r="E140" i="25"/>
  <c r="O139" i="25"/>
  <c r="N139" i="25"/>
  <c r="L139" i="25"/>
  <c r="K139" i="25"/>
  <c r="H139" i="25"/>
  <c r="I139" i="25" s="1"/>
  <c r="F139" i="25"/>
  <c r="E139" i="25"/>
  <c r="O138" i="25"/>
  <c r="N138" i="25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O136" i="25"/>
  <c r="N136" i="25"/>
  <c r="L136" i="25"/>
  <c r="K136" i="25"/>
  <c r="H136" i="25"/>
  <c r="I136" i="25" s="1"/>
  <c r="F136" i="25"/>
  <c r="E136" i="25"/>
  <c r="O135" i="25"/>
  <c r="N135" i="25"/>
  <c r="L135" i="25"/>
  <c r="K135" i="25"/>
  <c r="H135" i="25"/>
  <c r="I135" i="25" s="1"/>
  <c r="F135" i="25"/>
  <c r="E135" i="25"/>
  <c r="O134" i="25"/>
  <c r="N134" i="25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O132" i="25"/>
  <c r="N132" i="25"/>
  <c r="L132" i="25"/>
  <c r="K132" i="25"/>
  <c r="H132" i="25"/>
  <c r="I132" i="25" s="1"/>
  <c r="F132" i="25"/>
  <c r="E132" i="25"/>
  <c r="O131" i="25"/>
  <c r="N131" i="25"/>
  <c r="L131" i="25"/>
  <c r="K131" i="25"/>
  <c r="H131" i="25"/>
  <c r="I131" i="25" s="1"/>
  <c r="F131" i="25"/>
  <c r="E131" i="25"/>
  <c r="O130" i="25"/>
  <c r="N130" i="25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O128" i="25"/>
  <c r="N128" i="25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O126" i="25"/>
  <c r="N126" i="25"/>
  <c r="L126" i="25"/>
  <c r="K126" i="25"/>
  <c r="H126" i="25"/>
  <c r="I126" i="25" s="1"/>
  <c r="F126" i="25"/>
  <c r="E126" i="25"/>
  <c r="O125" i="25"/>
  <c r="O145" i="25" s="1"/>
  <c r="N125" i="25"/>
  <c r="N145" i="25" s="1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H117" i="25"/>
  <c r="I117" i="25" s="1"/>
  <c r="F117" i="25"/>
  <c r="E117" i="25"/>
  <c r="O116" i="25"/>
  <c r="N116" i="25"/>
  <c r="L116" i="25"/>
  <c r="K116" i="25"/>
  <c r="H116" i="25"/>
  <c r="I116" i="25" s="1"/>
  <c r="F116" i="25"/>
  <c r="E116" i="25"/>
  <c r="O115" i="25"/>
  <c r="N115" i="25"/>
  <c r="L115" i="25"/>
  <c r="K115" i="25"/>
  <c r="H115" i="25"/>
  <c r="I115" i="25" s="1"/>
  <c r="F115" i="25"/>
  <c r="E115" i="25"/>
  <c r="O114" i="25"/>
  <c r="N114" i="25"/>
  <c r="L114" i="25"/>
  <c r="K114" i="25"/>
  <c r="H114" i="25"/>
  <c r="I114" i="25" s="1"/>
  <c r="F114" i="25"/>
  <c r="E114" i="25"/>
  <c r="O113" i="25"/>
  <c r="N113" i="25"/>
  <c r="L113" i="25"/>
  <c r="K113" i="25"/>
  <c r="I113" i="25"/>
  <c r="H113" i="25"/>
  <c r="F113" i="25"/>
  <c r="E113" i="25"/>
  <c r="O112" i="25"/>
  <c r="N112" i="25"/>
  <c r="L112" i="25"/>
  <c r="K112" i="25"/>
  <c r="I112" i="25"/>
  <c r="H112" i="25"/>
  <c r="F112" i="25"/>
  <c r="E112" i="25"/>
  <c r="O111" i="25"/>
  <c r="N111" i="25"/>
  <c r="L111" i="25"/>
  <c r="K111" i="25"/>
  <c r="I111" i="25"/>
  <c r="H111" i="25"/>
  <c r="F111" i="25"/>
  <c r="E111" i="25"/>
  <c r="O110" i="25"/>
  <c r="N110" i="25"/>
  <c r="L110" i="25"/>
  <c r="K110" i="25"/>
  <c r="I110" i="25"/>
  <c r="H110" i="25"/>
  <c r="F110" i="25"/>
  <c r="E110" i="25"/>
  <c r="O109" i="25"/>
  <c r="N109" i="25"/>
  <c r="L109" i="25"/>
  <c r="K109" i="25"/>
  <c r="I109" i="25"/>
  <c r="H109" i="25"/>
  <c r="F109" i="25"/>
  <c r="E109" i="25"/>
  <c r="O108" i="25"/>
  <c r="N108" i="25"/>
  <c r="L108" i="25"/>
  <c r="K108" i="25"/>
  <c r="I108" i="25"/>
  <c r="H108" i="25"/>
  <c r="F108" i="25"/>
  <c r="E108" i="25"/>
  <c r="O107" i="25"/>
  <c r="N107" i="25"/>
  <c r="L107" i="25"/>
  <c r="K107" i="25"/>
  <c r="I107" i="25"/>
  <c r="H107" i="25"/>
  <c r="F107" i="25"/>
  <c r="E107" i="25"/>
  <c r="O106" i="25"/>
  <c r="N106" i="25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L104" i="25"/>
  <c r="K104" i="25"/>
  <c r="H104" i="25"/>
  <c r="I104" i="25" s="1"/>
  <c r="F104" i="25"/>
  <c r="E104" i="25"/>
  <c r="O103" i="25"/>
  <c r="N103" i="25"/>
  <c r="L103" i="25"/>
  <c r="K103" i="25"/>
  <c r="H103" i="25"/>
  <c r="I103" i="25" s="1"/>
  <c r="F103" i="25"/>
  <c r="E103" i="25"/>
  <c r="O102" i="25"/>
  <c r="N102" i="25"/>
  <c r="L102" i="25"/>
  <c r="K102" i="25"/>
  <c r="I102" i="25"/>
  <c r="H102" i="25"/>
  <c r="F102" i="25"/>
  <c r="E102" i="25"/>
  <c r="O101" i="25"/>
  <c r="N101" i="25"/>
  <c r="L101" i="25"/>
  <c r="K101" i="25"/>
  <c r="I101" i="25"/>
  <c r="H101" i="25"/>
  <c r="F101" i="25"/>
  <c r="E101" i="25"/>
  <c r="O100" i="25"/>
  <c r="N100" i="25"/>
  <c r="L100" i="25"/>
  <c r="K100" i="25"/>
  <c r="H100" i="25"/>
  <c r="I100" i="25" s="1"/>
  <c r="F100" i="25"/>
  <c r="E100" i="25"/>
  <c r="O99" i="25"/>
  <c r="N99" i="25"/>
  <c r="L99" i="25"/>
  <c r="K99" i="25"/>
  <c r="H99" i="25"/>
  <c r="I99" i="25" s="1"/>
  <c r="F99" i="25"/>
  <c r="E99" i="25"/>
  <c r="O98" i="25"/>
  <c r="O118" i="25" s="1"/>
  <c r="N98" i="25"/>
  <c r="N118" i="25" s="1"/>
  <c r="L98" i="25"/>
  <c r="L118" i="25" s="1"/>
  <c r="K98" i="25"/>
  <c r="K118" i="25" s="1"/>
  <c r="H98" i="25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I90" i="25"/>
  <c r="H90" i="25"/>
  <c r="F90" i="25"/>
  <c r="E90" i="25"/>
  <c r="N89" i="25"/>
  <c r="O89" i="25" s="1"/>
  <c r="L89" i="25"/>
  <c r="K89" i="25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L86" i="25"/>
  <c r="K86" i="25"/>
  <c r="I86" i="25"/>
  <c r="H86" i="25"/>
  <c r="F86" i="25"/>
  <c r="E86" i="25"/>
  <c r="N85" i="25"/>
  <c r="O85" i="25" s="1"/>
  <c r="O20" i="25" s="1"/>
  <c r="L85" i="25"/>
  <c r="K85" i="25"/>
  <c r="H85" i="25"/>
  <c r="I85" i="25" s="1"/>
  <c r="I20" i="25" s="1"/>
  <c r="F85" i="25"/>
  <c r="F20" i="25" s="1"/>
  <c r="E85" i="25"/>
  <c r="N84" i="25"/>
  <c r="O84" i="25" s="1"/>
  <c r="L84" i="25"/>
  <c r="K84" i="25"/>
  <c r="H84" i="25"/>
  <c r="I84" i="25" s="1"/>
  <c r="F84" i="25"/>
  <c r="E84" i="25"/>
  <c r="N83" i="25"/>
  <c r="O83" i="25" s="1"/>
  <c r="O18" i="25" s="1"/>
  <c r="L83" i="25"/>
  <c r="K83" i="25"/>
  <c r="H83" i="25"/>
  <c r="I83" i="25" s="1"/>
  <c r="I18" i="25" s="1"/>
  <c r="F83" i="25"/>
  <c r="E83" i="25"/>
  <c r="N82" i="25"/>
  <c r="O82" i="25" s="1"/>
  <c r="L82" i="25"/>
  <c r="K82" i="25"/>
  <c r="I82" i="25"/>
  <c r="H82" i="25"/>
  <c r="F82" i="25"/>
  <c r="E82" i="25"/>
  <c r="N81" i="25"/>
  <c r="O81" i="25" s="1"/>
  <c r="L81" i="25"/>
  <c r="K81" i="25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N79" i="25"/>
  <c r="O79" i="25" s="1"/>
  <c r="L79" i="25"/>
  <c r="K79" i="25"/>
  <c r="H79" i="25"/>
  <c r="I79" i="25" s="1"/>
  <c r="F79" i="25"/>
  <c r="E79" i="25"/>
  <c r="N78" i="25"/>
  <c r="O78" i="25" s="1"/>
  <c r="L78" i="25"/>
  <c r="K78" i="25"/>
  <c r="I78" i="25"/>
  <c r="H78" i="25"/>
  <c r="F78" i="25"/>
  <c r="E78" i="25"/>
  <c r="N77" i="25"/>
  <c r="O77" i="25" s="1"/>
  <c r="L77" i="25"/>
  <c r="K77" i="25"/>
  <c r="H77" i="25"/>
  <c r="I77" i="25" s="1"/>
  <c r="F77" i="25"/>
  <c r="E77" i="25"/>
  <c r="N76" i="25"/>
  <c r="O76" i="25" s="1"/>
  <c r="L76" i="25"/>
  <c r="K76" i="25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N74" i="25"/>
  <c r="O74" i="25" s="1"/>
  <c r="L74" i="25"/>
  <c r="K74" i="25"/>
  <c r="I74" i="25"/>
  <c r="H74" i="25"/>
  <c r="F74" i="25"/>
  <c r="E74" i="25"/>
  <c r="N73" i="25"/>
  <c r="O73" i="25" s="1"/>
  <c r="L73" i="25"/>
  <c r="K73" i="25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N91" i="25" s="1"/>
  <c r="L71" i="25"/>
  <c r="L91" i="25" s="1"/>
  <c r="K71" i="25"/>
  <c r="K91" i="25" s="1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N61" i="25"/>
  <c r="O61" i="25" s="1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N59" i="25"/>
  <c r="O59" i="25" s="1"/>
  <c r="L59" i="25"/>
  <c r="K59" i="25"/>
  <c r="I59" i="25"/>
  <c r="H59" i="25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L57" i="25"/>
  <c r="K57" i="25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O17" i="25" s="1"/>
  <c r="L55" i="25"/>
  <c r="K55" i="25"/>
  <c r="I55" i="25"/>
  <c r="H55" i="25"/>
  <c r="F55" i="25"/>
  <c r="E55" i="25"/>
  <c r="N54" i="25"/>
  <c r="O54" i="25" s="1"/>
  <c r="L54" i="25"/>
  <c r="K54" i="25"/>
  <c r="H54" i="25"/>
  <c r="I54" i="25" s="1"/>
  <c r="F54" i="25"/>
  <c r="E54" i="25"/>
  <c r="N53" i="25"/>
  <c r="O53" i="25" s="1"/>
  <c r="L53" i="25"/>
  <c r="K53" i="25"/>
  <c r="H53" i="25"/>
  <c r="I53" i="25" s="1"/>
  <c r="F53" i="25"/>
  <c r="E53" i="25"/>
  <c r="N52" i="25"/>
  <c r="O52" i="25" s="1"/>
  <c r="L52" i="25"/>
  <c r="K52" i="25"/>
  <c r="I52" i="25"/>
  <c r="H52" i="25"/>
  <c r="F52" i="25"/>
  <c r="E52" i="25"/>
  <c r="N51" i="25"/>
  <c r="O51" i="25" s="1"/>
  <c r="L51" i="25"/>
  <c r="K51" i="25"/>
  <c r="I51" i="25"/>
  <c r="H51" i="25"/>
  <c r="F51" i="25"/>
  <c r="E51" i="25"/>
  <c r="N50" i="25"/>
  <c r="O50" i="25" s="1"/>
  <c r="L50" i="25"/>
  <c r="K50" i="25"/>
  <c r="H50" i="25"/>
  <c r="I50" i="25" s="1"/>
  <c r="F50" i="25"/>
  <c r="E50" i="25"/>
  <c r="N49" i="25"/>
  <c r="O49" i="25" s="1"/>
  <c r="L49" i="25"/>
  <c r="K49" i="25"/>
  <c r="H49" i="25"/>
  <c r="I49" i="25" s="1"/>
  <c r="F49" i="25"/>
  <c r="E49" i="25"/>
  <c r="N48" i="25"/>
  <c r="O48" i="25" s="1"/>
  <c r="L48" i="25"/>
  <c r="K48" i="25"/>
  <c r="I48" i="25"/>
  <c r="H48" i="25"/>
  <c r="F48" i="25"/>
  <c r="E48" i="25"/>
  <c r="N47" i="25"/>
  <c r="O47" i="25" s="1"/>
  <c r="L47" i="25"/>
  <c r="K47" i="25"/>
  <c r="I47" i="25"/>
  <c r="H47" i="25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L45" i="25"/>
  <c r="K45" i="25"/>
  <c r="H45" i="25"/>
  <c r="I45" i="25" s="1"/>
  <c r="F45" i="25"/>
  <c r="E45" i="25"/>
  <c r="N44" i="25"/>
  <c r="N64" i="25" s="1"/>
  <c r="L44" i="25"/>
  <c r="L64" i="25" s="1"/>
  <c r="K44" i="25"/>
  <c r="K64" i="25" s="1"/>
  <c r="I44" i="25"/>
  <c r="H44" i="25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H22" i="25"/>
  <c r="G22" i="25"/>
  <c r="E22" i="25"/>
  <c r="D22" i="25"/>
  <c r="C22" i="25"/>
  <c r="B22" i="25"/>
  <c r="N21" i="25"/>
  <c r="M21" i="25"/>
  <c r="K21" i="25"/>
  <c r="J21" i="25"/>
  <c r="H21" i="25"/>
  <c r="G21" i="25"/>
  <c r="F21" i="25"/>
  <c r="E21" i="25"/>
  <c r="D21" i="25"/>
  <c r="C21" i="25"/>
  <c r="B21" i="25"/>
  <c r="N20" i="25"/>
  <c r="M20" i="25"/>
  <c r="L20" i="25"/>
  <c r="K20" i="25"/>
  <c r="J20" i="25"/>
  <c r="H20" i="25"/>
  <c r="G20" i="25"/>
  <c r="E20" i="25"/>
  <c r="D20" i="25"/>
  <c r="C20" i="25"/>
  <c r="B20" i="25"/>
  <c r="N19" i="25"/>
  <c r="M19" i="25"/>
  <c r="L19" i="25"/>
  <c r="K19" i="25"/>
  <c r="J19" i="25"/>
  <c r="H19" i="25"/>
  <c r="G19" i="25"/>
  <c r="F19" i="25"/>
  <c r="E19" i="25"/>
  <c r="D19" i="25"/>
  <c r="C19" i="25"/>
  <c r="B19" i="25"/>
  <c r="N18" i="25"/>
  <c r="M18" i="25"/>
  <c r="L18" i="25"/>
  <c r="K18" i="25"/>
  <c r="J18" i="25"/>
  <c r="H18" i="25"/>
  <c r="G18" i="25"/>
  <c r="F18" i="25"/>
  <c r="E18" i="25"/>
  <c r="D18" i="25"/>
  <c r="C18" i="25"/>
  <c r="B18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K198" i="24"/>
  <c r="H198" i="24"/>
  <c r="I198" i="24" s="1"/>
  <c r="E198" i="24"/>
  <c r="N197" i="24"/>
  <c r="O197" i="24" s="1"/>
  <c r="K197" i="24"/>
  <c r="H197" i="24"/>
  <c r="F197" i="24"/>
  <c r="E197" i="24"/>
  <c r="O196" i="24"/>
  <c r="N196" i="24"/>
  <c r="K196" i="24"/>
  <c r="L196" i="24" s="1"/>
  <c r="H196" i="24"/>
  <c r="I196" i="24" s="1"/>
  <c r="E196" i="24"/>
  <c r="N195" i="24"/>
  <c r="O195" i="24" s="1"/>
  <c r="K195" i="24"/>
  <c r="H195" i="24"/>
  <c r="F195" i="24"/>
  <c r="E195" i="24"/>
  <c r="N194" i="24"/>
  <c r="O194" i="24" s="1"/>
  <c r="L194" i="24"/>
  <c r="K194" i="24"/>
  <c r="H194" i="24"/>
  <c r="E194" i="24"/>
  <c r="N193" i="24"/>
  <c r="O193" i="24" s="1"/>
  <c r="K193" i="24"/>
  <c r="H193" i="24"/>
  <c r="I193" i="24" s="1"/>
  <c r="F193" i="24"/>
  <c r="E193" i="24"/>
  <c r="N192" i="24"/>
  <c r="O192" i="24" s="1"/>
  <c r="K192" i="24"/>
  <c r="L192" i="24" s="1"/>
  <c r="H192" i="24"/>
  <c r="E192" i="24"/>
  <c r="O191" i="24"/>
  <c r="N191" i="24"/>
  <c r="K191" i="24"/>
  <c r="H191" i="24"/>
  <c r="I191" i="24" s="1"/>
  <c r="F191" i="24"/>
  <c r="E191" i="24"/>
  <c r="N190" i="24"/>
  <c r="O190" i="24" s="1"/>
  <c r="L190" i="24"/>
  <c r="K190" i="24"/>
  <c r="H190" i="24"/>
  <c r="F190" i="24"/>
  <c r="E190" i="24"/>
  <c r="N189" i="24"/>
  <c r="O189" i="24" s="1"/>
  <c r="K189" i="24"/>
  <c r="L189" i="24" s="1"/>
  <c r="H189" i="24"/>
  <c r="I189" i="24" s="1"/>
  <c r="E189" i="24"/>
  <c r="N188" i="24"/>
  <c r="O188" i="24" s="1"/>
  <c r="K188" i="24"/>
  <c r="H188" i="24"/>
  <c r="F188" i="24"/>
  <c r="E188" i="24"/>
  <c r="O187" i="24"/>
  <c r="N187" i="24"/>
  <c r="K187" i="24"/>
  <c r="L187" i="24" s="1"/>
  <c r="H187" i="24"/>
  <c r="I187" i="24" s="1"/>
  <c r="E187" i="24"/>
  <c r="N186" i="24"/>
  <c r="O186" i="24" s="1"/>
  <c r="K186" i="24"/>
  <c r="H186" i="24"/>
  <c r="I186" i="24" s="1"/>
  <c r="F186" i="24"/>
  <c r="E186" i="24"/>
  <c r="N185" i="24"/>
  <c r="O185" i="24" s="1"/>
  <c r="K185" i="24"/>
  <c r="L185" i="24" s="1"/>
  <c r="H185" i="24"/>
  <c r="E185" i="24"/>
  <c r="O184" i="24"/>
  <c r="N184" i="24"/>
  <c r="K184" i="24"/>
  <c r="H184" i="24"/>
  <c r="I184" i="24" s="1"/>
  <c r="F184" i="24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I182" i="24" s="1"/>
  <c r="E182" i="24"/>
  <c r="O181" i="24"/>
  <c r="N181" i="24"/>
  <c r="K181" i="24"/>
  <c r="H181" i="24"/>
  <c r="F181" i="24"/>
  <c r="E181" i="24"/>
  <c r="N180" i="24"/>
  <c r="O180" i="24" s="1"/>
  <c r="K180" i="24"/>
  <c r="L180" i="24" s="1"/>
  <c r="H180" i="24"/>
  <c r="I180" i="24" s="1"/>
  <c r="E180" i="24"/>
  <c r="N179" i="24"/>
  <c r="N199" i="24" s="1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66" i="24" s="1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F170" i="24"/>
  <c r="E170" i="24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O167" i="24"/>
  <c r="N167" i="24"/>
  <c r="L167" i="24"/>
  <c r="K167" i="24"/>
  <c r="H167" i="24"/>
  <c r="F167" i="24"/>
  <c r="E167" i="24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F163" i="24"/>
  <c r="E163" i="24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O160" i="24"/>
  <c r="N160" i="24"/>
  <c r="K160" i="24"/>
  <c r="L160" i="24" s="1"/>
  <c r="H160" i="24"/>
  <c r="E160" i="24"/>
  <c r="O159" i="24"/>
  <c r="N159" i="24"/>
  <c r="K159" i="24"/>
  <c r="H159" i="24"/>
  <c r="I159" i="24" s="1"/>
  <c r="E159" i="24"/>
  <c r="N158" i="24"/>
  <c r="O158" i="24" s="1"/>
  <c r="K158" i="24"/>
  <c r="H158" i="24"/>
  <c r="F158" i="24"/>
  <c r="E158" i="24"/>
  <c r="O157" i="24"/>
  <c r="N157" i="24"/>
  <c r="K157" i="24"/>
  <c r="L157" i="24" s="1"/>
  <c r="H157" i="24"/>
  <c r="I157" i="24" s="1"/>
  <c r="E157" i="24"/>
  <c r="O156" i="24"/>
  <c r="N156" i="24"/>
  <c r="K156" i="24"/>
  <c r="H156" i="24"/>
  <c r="F156" i="24"/>
  <c r="E156" i="24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L144" i="24"/>
  <c r="K144" i="24"/>
  <c r="H144" i="24"/>
  <c r="I144" i="24" s="1"/>
  <c r="F144" i="24"/>
  <c r="E144" i="24"/>
  <c r="O143" i="24"/>
  <c r="N143" i="24"/>
  <c r="K143" i="24"/>
  <c r="L143" i="24" s="1"/>
  <c r="H143" i="24"/>
  <c r="I143" i="24" s="1"/>
  <c r="F143" i="24"/>
  <c r="E143" i="24"/>
  <c r="N142" i="24"/>
  <c r="O142" i="24" s="1"/>
  <c r="K142" i="24"/>
  <c r="L142" i="24" s="1"/>
  <c r="H142" i="24"/>
  <c r="I142" i="24" s="1"/>
  <c r="F142" i="24"/>
  <c r="E142" i="24"/>
  <c r="O141" i="24"/>
  <c r="N141" i="24"/>
  <c r="K141" i="24"/>
  <c r="L141" i="24" s="1"/>
  <c r="H141" i="24"/>
  <c r="I141" i="24" s="1"/>
  <c r="F141" i="24"/>
  <c r="E141" i="24"/>
  <c r="N140" i="24"/>
  <c r="O140" i="24" s="1"/>
  <c r="L140" i="24"/>
  <c r="K140" i="24"/>
  <c r="H140" i="24"/>
  <c r="I140" i="24" s="1"/>
  <c r="F140" i="24"/>
  <c r="E140" i="24"/>
  <c r="N139" i="24"/>
  <c r="O139" i="24" s="1"/>
  <c r="K139" i="24"/>
  <c r="L139" i="24" s="1"/>
  <c r="H139" i="24"/>
  <c r="I139" i="24" s="1"/>
  <c r="F139" i="24"/>
  <c r="E139" i="24"/>
  <c r="O138" i="24"/>
  <c r="N138" i="24"/>
  <c r="K138" i="24"/>
  <c r="L138" i="24" s="1"/>
  <c r="H138" i="24"/>
  <c r="I138" i="24" s="1"/>
  <c r="F138" i="24"/>
  <c r="E138" i="24"/>
  <c r="N137" i="24"/>
  <c r="O137" i="24" s="1"/>
  <c r="K137" i="24"/>
  <c r="L137" i="24" s="1"/>
  <c r="H137" i="24"/>
  <c r="I137" i="24" s="1"/>
  <c r="F137" i="24"/>
  <c r="E137" i="24"/>
  <c r="O136" i="24"/>
  <c r="N136" i="24"/>
  <c r="L136" i="24"/>
  <c r="K136" i="24"/>
  <c r="H136" i="24"/>
  <c r="I136" i="24" s="1"/>
  <c r="F136" i="24"/>
  <c r="E136" i="24"/>
  <c r="N135" i="24"/>
  <c r="O135" i="24" s="1"/>
  <c r="K135" i="24"/>
  <c r="L135" i="24" s="1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L132" i="24"/>
  <c r="K132" i="24"/>
  <c r="H132" i="24"/>
  <c r="I132" i="24" s="1"/>
  <c r="F132" i="24"/>
  <c r="E132" i="24"/>
  <c r="O131" i="24"/>
  <c r="N131" i="24"/>
  <c r="K131" i="24"/>
  <c r="L131" i="24" s="1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O129" i="24"/>
  <c r="N129" i="24"/>
  <c r="K129" i="24"/>
  <c r="L129" i="24" s="1"/>
  <c r="H129" i="24"/>
  <c r="I129" i="24" s="1"/>
  <c r="F129" i="24"/>
  <c r="E129" i="24"/>
  <c r="N128" i="24"/>
  <c r="O128" i="24" s="1"/>
  <c r="L128" i="24"/>
  <c r="K128" i="24"/>
  <c r="H128" i="24"/>
  <c r="I128" i="24" s="1"/>
  <c r="F128" i="24"/>
  <c r="E128" i="24"/>
  <c r="O127" i="24"/>
  <c r="N127" i="24"/>
  <c r="K127" i="24"/>
  <c r="L127" i="24" s="1"/>
  <c r="H127" i="24"/>
  <c r="I127" i="24" s="1"/>
  <c r="F127" i="24"/>
  <c r="E127" i="24"/>
  <c r="N126" i="24"/>
  <c r="O126" i="24" s="1"/>
  <c r="K126" i="24"/>
  <c r="L126" i="24" s="1"/>
  <c r="H126" i="24"/>
  <c r="I126" i="24" s="1"/>
  <c r="F126" i="24"/>
  <c r="E126" i="24"/>
  <c r="O125" i="24"/>
  <c r="N125" i="24"/>
  <c r="K125" i="24"/>
  <c r="H125" i="24"/>
  <c r="H145" i="24" s="1"/>
  <c r="F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H117" i="24"/>
  <c r="I117" i="24" s="1"/>
  <c r="F117" i="24"/>
  <c r="E117" i="24"/>
  <c r="N116" i="24"/>
  <c r="O116" i="24" s="1"/>
  <c r="K116" i="24"/>
  <c r="L116" i="24" s="1"/>
  <c r="H116" i="24"/>
  <c r="I116" i="24" s="1"/>
  <c r="F116" i="24"/>
  <c r="E116" i="24"/>
  <c r="O115" i="24"/>
  <c r="N115" i="24"/>
  <c r="K115" i="24"/>
  <c r="L115" i="24" s="1"/>
  <c r="H115" i="24"/>
  <c r="I115" i="24" s="1"/>
  <c r="F115" i="24"/>
  <c r="E115" i="24"/>
  <c r="N114" i="24"/>
  <c r="O114" i="24" s="1"/>
  <c r="K114" i="24"/>
  <c r="L114" i="24" s="1"/>
  <c r="I114" i="24"/>
  <c r="H114" i="24"/>
  <c r="F114" i="24"/>
  <c r="E114" i="24"/>
  <c r="O113" i="24"/>
  <c r="N113" i="24"/>
  <c r="K113" i="24"/>
  <c r="L113" i="24" s="1"/>
  <c r="I113" i="24"/>
  <c r="H113" i="24"/>
  <c r="F113" i="24"/>
  <c r="E113" i="24"/>
  <c r="O112" i="24"/>
  <c r="N112" i="24"/>
  <c r="K112" i="24"/>
  <c r="L112" i="24" s="1"/>
  <c r="I112" i="24"/>
  <c r="H112" i="24"/>
  <c r="F112" i="24"/>
  <c r="E112" i="24"/>
  <c r="N111" i="24"/>
  <c r="O111" i="24" s="1"/>
  <c r="K111" i="24"/>
  <c r="L111" i="24" s="1"/>
  <c r="I111" i="24"/>
  <c r="H111" i="24"/>
  <c r="F111" i="24"/>
  <c r="E111" i="24"/>
  <c r="N110" i="24"/>
  <c r="O110" i="24" s="1"/>
  <c r="K110" i="24"/>
  <c r="L110" i="24" s="1"/>
  <c r="I110" i="24"/>
  <c r="H110" i="24"/>
  <c r="F110" i="24"/>
  <c r="E110" i="24"/>
  <c r="O109" i="24"/>
  <c r="N109" i="24"/>
  <c r="K109" i="24"/>
  <c r="L109" i="24" s="1"/>
  <c r="I109" i="24"/>
  <c r="H109" i="24"/>
  <c r="F109" i="24"/>
  <c r="E109" i="24"/>
  <c r="O108" i="24"/>
  <c r="N108" i="24"/>
  <c r="K108" i="24"/>
  <c r="L108" i="24" s="1"/>
  <c r="I108" i="24"/>
  <c r="H108" i="24"/>
  <c r="F108" i="24"/>
  <c r="E108" i="24"/>
  <c r="N107" i="24"/>
  <c r="O107" i="24" s="1"/>
  <c r="K107" i="24"/>
  <c r="L107" i="24" s="1"/>
  <c r="I107" i="24"/>
  <c r="H107" i="24"/>
  <c r="F107" i="24"/>
  <c r="E107" i="24"/>
  <c r="N106" i="24"/>
  <c r="O106" i="24" s="1"/>
  <c r="K106" i="24"/>
  <c r="L106" i="24" s="1"/>
  <c r="I106" i="24"/>
  <c r="H106" i="24"/>
  <c r="F106" i="24"/>
  <c r="E106" i="24"/>
  <c r="O105" i="24"/>
  <c r="N105" i="24"/>
  <c r="K105" i="24"/>
  <c r="L105" i="24" s="1"/>
  <c r="H105" i="24"/>
  <c r="I105" i="24" s="1"/>
  <c r="F105" i="24"/>
  <c r="E105" i="24"/>
  <c r="N104" i="24"/>
  <c r="O104" i="24" s="1"/>
  <c r="L104" i="24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K101" i="24"/>
  <c r="L101" i="24" s="1"/>
  <c r="H101" i="24"/>
  <c r="I101" i="24" s="1"/>
  <c r="F101" i="24"/>
  <c r="E101" i="24"/>
  <c r="O100" i="24"/>
  <c r="N100" i="24"/>
  <c r="L100" i="24"/>
  <c r="K100" i="24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O86" i="24"/>
  <c r="N86" i="24"/>
  <c r="K86" i="24"/>
  <c r="L86" i="24" s="1"/>
  <c r="H86" i="24"/>
  <c r="I86" i="24" s="1"/>
  <c r="E86" i="24"/>
  <c r="F86" i="24" s="1"/>
  <c r="N85" i="24"/>
  <c r="O85" i="24" s="1"/>
  <c r="L85" i="24"/>
  <c r="K85" i="24"/>
  <c r="H85" i="24"/>
  <c r="I85" i="24" s="1"/>
  <c r="E85" i="24"/>
  <c r="F85" i="24" s="1"/>
  <c r="O84" i="24"/>
  <c r="N84" i="24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O78" i="24"/>
  <c r="N78" i="24"/>
  <c r="L78" i="24"/>
  <c r="K78" i="24"/>
  <c r="H78" i="24"/>
  <c r="I78" i="24" s="1"/>
  <c r="E78" i="24"/>
  <c r="F78" i="24" s="1"/>
  <c r="N77" i="24"/>
  <c r="O77" i="24" s="1"/>
  <c r="K77" i="24"/>
  <c r="L77" i="24" s="1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I72" i="24"/>
  <c r="H72" i="24"/>
  <c r="E72" i="24"/>
  <c r="F72" i="24" s="1"/>
  <c r="N71" i="24"/>
  <c r="N91" i="24" s="1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I58" i="24" s="1"/>
  <c r="I22" i="24" s="1"/>
  <c r="O63" i="24"/>
  <c r="N63" i="24"/>
  <c r="K63" i="24"/>
  <c r="H63" i="24"/>
  <c r="I63" i="24" s="1"/>
  <c r="E63" i="24"/>
  <c r="O62" i="24"/>
  <c r="N62" i="24"/>
  <c r="L62" i="24"/>
  <c r="K62" i="24"/>
  <c r="H62" i="24"/>
  <c r="E62" i="24"/>
  <c r="F62" i="24" s="1"/>
  <c r="O61" i="24"/>
  <c r="N61" i="24"/>
  <c r="K61" i="24"/>
  <c r="I61" i="24"/>
  <c r="H61" i="24"/>
  <c r="E61" i="24"/>
  <c r="O60" i="24"/>
  <c r="N60" i="24"/>
  <c r="K60" i="24"/>
  <c r="H60" i="24"/>
  <c r="E60" i="24"/>
  <c r="F60" i="24" s="1"/>
  <c r="N59" i="24"/>
  <c r="O59" i="24" s="1"/>
  <c r="K59" i="24"/>
  <c r="H59" i="24"/>
  <c r="I59" i="24" s="1"/>
  <c r="E59" i="24"/>
  <c r="O58" i="24"/>
  <c r="O22" i="24" s="1"/>
  <c r="N58" i="24"/>
  <c r="K58" i="24"/>
  <c r="L58" i="24" s="1"/>
  <c r="L22" i="24" s="1"/>
  <c r="H58" i="24"/>
  <c r="E58" i="24"/>
  <c r="F58" i="24" s="1"/>
  <c r="F22" i="24" s="1"/>
  <c r="O57" i="24"/>
  <c r="N57" i="24"/>
  <c r="K57" i="24"/>
  <c r="I57" i="24"/>
  <c r="H57" i="24"/>
  <c r="E57" i="24"/>
  <c r="N56" i="24"/>
  <c r="N17" i="24" s="1"/>
  <c r="L56" i="24"/>
  <c r="K56" i="24"/>
  <c r="H56" i="24"/>
  <c r="E56" i="24"/>
  <c r="F56" i="24" s="1"/>
  <c r="F17" i="24" s="1"/>
  <c r="O55" i="24"/>
  <c r="N55" i="24"/>
  <c r="K55" i="24"/>
  <c r="H55" i="24"/>
  <c r="I55" i="24" s="1"/>
  <c r="E55" i="24"/>
  <c r="F55" i="24" s="1"/>
  <c r="O54" i="24"/>
  <c r="N54" i="24"/>
  <c r="L54" i="24"/>
  <c r="K54" i="24"/>
  <c r="H54" i="24"/>
  <c r="E54" i="24"/>
  <c r="F54" i="24" s="1"/>
  <c r="O53" i="24"/>
  <c r="N53" i="24"/>
  <c r="K53" i="24"/>
  <c r="I53" i="24"/>
  <c r="H53" i="24"/>
  <c r="E53" i="24"/>
  <c r="O52" i="24"/>
  <c r="N52" i="24"/>
  <c r="K52" i="24"/>
  <c r="L52" i="24" s="1"/>
  <c r="H52" i="24"/>
  <c r="E52" i="24"/>
  <c r="N51" i="24"/>
  <c r="O51" i="24" s="1"/>
  <c r="K51" i="24"/>
  <c r="H51" i="24"/>
  <c r="I51" i="24" s="1"/>
  <c r="E51" i="24"/>
  <c r="F51" i="24" s="1"/>
  <c r="O50" i="24"/>
  <c r="N50" i="24"/>
  <c r="K50" i="24"/>
  <c r="L50" i="24" s="1"/>
  <c r="I50" i="24"/>
  <c r="H50" i="24"/>
  <c r="E50" i="24"/>
  <c r="O49" i="24"/>
  <c r="N49" i="24"/>
  <c r="K49" i="24"/>
  <c r="H49" i="24"/>
  <c r="E49" i="24"/>
  <c r="F49" i="24" s="1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O45" i="24"/>
  <c r="N45" i="24"/>
  <c r="K45" i="24"/>
  <c r="H45" i="24"/>
  <c r="E45" i="24"/>
  <c r="F45" i="24" s="1"/>
  <c r="O44" i="24"/>
  <c r="N44" i="24"/>
  <c r="K44" i="24"/>
  <c r="H44" i="24"/>
  <c r="H64" i="24" s="1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K22" i="24"/>
  <c r="J22" i="24"/>
  <c r="H22" i="24"/>
  <c r="G22" i="24"/>
  <c r="D22" i="24"/>
  <c r="C22" i="24"/>
  <c r="B22" i="24"/>
  <c r="N21" i="24"/>
  <c r="M21" i="24"/>
  <c r="K21" i="24"/>
  <c r="J21" i="24"/>
  <c r="H21" i="24"/>
  <c r="G21" i="24"/>
  <c r="E21" i="24"/>
  <c r="D21" i="24"/>
  <c r="C21" i="24"/>
  <c r="B21" i="24"/>
  <c r="N20" i="24"/>
  <c r="M20" i="24"/>
  <c r="K20" i="24"/>
  <c r="J20" i="24"/>
  <c r="H20" i="24"/>
  <c r="G20" i="24"/>
  <c r="F20" i="24"/>
  <c r="E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K18" i="24"/>
  <c r="J18" i="24"/>
  <c r="G18" i="24"/>
  <c r="E18" i="24"/>
  <c r="D18" i="24"/>
  <c r="C18" i="24"/>
  <c r="B18" i="24"/>
  <c r="M17" i="24"/>
  <c r="L17" i="24"/>
  <c r="K17" i="24"/>
  <c r="J17" i="24"/>
  <c r="H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E37" i="36" l="1"/>
  <c r="I37" i="36"/>
  <c r="O179" i="35"/>
  <c r="O199" i="35" s="1"/>
  <c r="O152" i="35"/>
  <c r="O172" i="35" s="1"/>
  <c r="O125" i="35"/>
  <c r="O145" i="35" s="1"/>
  <c r="O98" i="35"/>
  <c r="O118" i="35" s="1"/>
  <c r="O71" i="35"/>
  <c r="O91" i="35" s="1"/>
  <c r="N64" i="35"/>
  <c r="O64" i="35"/>
  <c r="H37" i="36"/>
  <c r="L37" i="36"/>
  <c r="K37" i="36"/>
  <c r="O37" i="36"/>
  <c r="F37" i="36"/>
  <c r="N37" i="36"/>
  <c r="G9" i="36"/>
  <c r="G5" i="36"/>
  <c r="G7" i="36"/>
  <c r="G3" i="36"/>
  <c r="K199" i="35"/>
  <c r="L179" i="35"/>
  <c r="L199" i="35" s="1"/>
  <c r="L98" i="35"/>
  <c r="L118" i="35" s="1"/>
  <c r="K91" i="35"/>
  <c r="L71" i="35"/>
  <c r="L91" i="35" s="1"/>
  <c r="L64" i="35"/>
  <c r="K64" i="35"/>
  <c r="K18" i="35"/>
  <c r="K37" i="35" s="1"/>
  <c r="I179" i="35"/>
  <c r="I199" i="35" s="1"/>
  <c r="I98" i="35"/>
  <c r="I118" i="35" s="1"/>
  <c r="I71" i="35"/>
  <c r="I91" i="35" s="1"/>
  <c r="G7" i="35" s="1"/>
  <c r="I64" i="35"/>
  <c r="H64" i="35"/>
  <c r="E118" i="35"/>
  <c r="E64" i="35"/>
  <c r="N199" i="34"/>
  <c r="O179" i="34"/>
  <c r="O199" i="34" s="1"/>
  <c r="O172" i="34"/>
  <c r="N172" i="34"/>
  <c r="N145" i="34"/>
  <c r="O125" i="34"/>
  <c r="O145" i="34" s="1"/>
  <c r="N118" i="34"/>
  <c r="O98" i="34"/>
  <c r="O118" i="34" s="1"/>
  <c r="N91" i="34"/>
  <c r="O71" i="34"/>
  <c r="O91" i="34" s="1"/>
  <c r="N64" i="34"/>
  <c r="O44" i="34"/>
  <c r="O64" i="34" s="1"/>
  <c r="E91" i="35"/>
  <c r="F98" i="35"/>
  <c r="F118" i="35" s="1"/>
  <c r="F71" i="35"/>
  <c r="F91" i="35" s="1"/>
  <c r="F44" i="35"/>
  <c r="F64" i="35" s="1"/>
  <c r="O37" i="35"/>
  <c r="H37" i="35"/>
  <c r="L37" i="35"/>
  <c r="F37" i="35"/>
  <c r="E37" i="35"/>
  <c r="I37" i="35"/>
  <c r="N37" i="35"/>
  <c r="G3" i="35"/>
  <c r="G9" i="35"/>
  <c r="L179" i="34"/>
  <c r="L161" i="34"/>
  <c r="L20" i="34" s="1"/>
  <c r="L37" i="34" s="1"/>
  <c r="L145" i="34"/>
  <c r="L98" i="34"/>
  <c r="L71" i="34"/>
  <c r="L91" i="34" s="1"/>
  <c r="K64" i="34"/>
  <c r="L44" i="34"/>
  <c r="L199" i="34"/>
  <c r="K145" i="34"/>
  <c r="L118" i="34"/>
  <c r="L64" i="34"/>
  <c r="I179" i="34"/>
  <c r="I199" i="34" s="1"/>
  <c r="I125" i="34"/>
  <c r="I145" i="34" s="1"/>
  <c r="I98" i="34"/>
  <c r="I118" i="34" s="1"/>
  <c r="I44" i="34"/>
  <c r="I64" i="34" s="1"/>
  <c r="F64" i="34"/>
  <c r="N172" i="33"/>
  <c r="O152" i="33"/>
  <c r="O172" i="33" s="1"/>
  <c r="O125" i="33"/>
  <c r="O145" i="33" s="1"/>
  <c r="O98" i="33"/>
  <c r="O118" i="33" s="1"/>
  <c r="O71" i="33"/>
  <c r="O91" i="33" s="1"/>
  <c r="G7" i="33" s="1"/>
  <c r="N64" i="33"/>
  <c r="O44" i="33"/>
  <c r="F37" i="34"/>
  <c r="N37" i="34"/>
  <c r="K37" i="34"/>
  <c r="O37" i="34"/>
  <c r="E37" i="34"/>
  <c r="I37" i="34"/>
  <c r="H37" i="34"/>
  <c r="G5" i="34"/>
  <c r="G7" i="34"/>
  <c r="G3" i="34"/>
  <c r="G9" i="34"/>
  <c r="K199" i="33"/>
  <c r="L179" i="33"/>
  <c r="L199" i="33" s="1"/>
  <c r="K172" i="33"/>
  <c r="L172" i="33"/>
  <c r="K145" i="33"/>
  <c r="L145" i="33"/>
  <c r="K64" i="33"/>
  <c r="L64" i="33"/>
  <c r="I179" i="33"/>
  <c r="I199" i="33" s="1"/>
  <c r="I152" i="33"/>
  <c r="I172" i="33" s="1"/>
  <c r="I125" i="33"/>
  <c r="I145" i="33" s="1"/>
  <c r="I44" i="33"/>
  <c r="O179" i="32"/>
  <c r="O199" i="32" s="1"/>
  <c r="O172" i="32"/>
  <c r="N172" i="32"/>
  <c r="O125" i="32"/>
  <c r="O145" i="32" s="1"/>
  <c r="N118" i="32"/>
  <c r="O118" i="32"/>
  <c r="N64" i="32"/>
  <c r="O64" i="32"/>
  <c r="G5" i="32" s="1"/>
  <c r="N199" i="33"/>
  <c r="K37" i="33"/>
  <c r="E37" i="33"/>
  <c r="F37" i="33"/>
  <c r="N37" i="33"/>
  <c r="H37" i="33"/>
  <c r="L37" i="33"/>
  <c r="G3" i="33"/>
  <c r="G9" i="33"/>
  <c r="L179" i="32"/>
  <c r="L199" i="32" s="1"/>
  <c r="K172" i="32"/>
  <c r="L167" i="32"/>
  <c r="L21" i="32" s="1"/>
  <c r="L152" i="32"/>
  <c r="L172" i="32" s="1"/>
  <c r="L125" i="32"/>
  <c r="L145" i="32" s="1"/>
  <c r="L141" i="32"/>
  <c r="L18" i="32" s="1"/>
  <c r="L118" i="32"/>
  <c r="I179" i="32"/>
  <c r="I199" i="32" s="1"/>
  <c r="I152" i="32"/>
  <c r="I172" i="32" s="1"/>
  <c r="I125" i="32"/>
  <c r="I145" i="32" s="1"/>
  <c r="I141" i="32"/>
  <c r="I18" i="32" s="1"/>
  <c r="I37" i="32" s="1"/>
  <c r="I118" i="32"/>
  <c r="H118" i="32"/>
  <c r="I44" i="32"/>
  <c r="I64" i="32" s="1"/>
  <c r="F179" i="32"/>
  <c r="F199" i="32" s="1"/>
  <c r="G9" i="32" s="1"/>
  <c r="F152" i="32"/>
  <c r="F172" i="32" s="1"/>
  <c r="F125" i="32"/>
  <c r="F145" i="32" s="1"/>
  <c r="F98" i="32"/>
  <c r="F118" i="32" s="1"/>
  <c r="F44" i="32"/>
  <c r="F64" i="32" s="1"/>
  <c r="N199" i="31"/>
  <c r="O179" i="31"/>
  <c r="O199" i="31" s="1"/>
  <c r="O152" i="31"/>
  <c r="O172" i="31" s="1"/>
  <c r="N145" i="31"/>
  <c r="O145" i="31"/>
  <c r="N118" i="31"/>
  <c r="O98" i="31"/>
  <c r="O118" i="31" s="1"/>
  <c r="O91" i="31"/>
  <c r="N91" i="31"/>
  <c r="O59" i="31"/>
  <c r="O18" i="31" s="1"/>
  <c r="O37" i="31" s="1"/>
  <c r="N64" i="31"/>
  <c r="F37" i="32"/>
  <c r="H37" i="32"/>
  <c r="E37" i="32"/>
  <c r="N37" i="32"/>
  <c r="K37" i="32"/>
  <c r="O37" i="32"/>
  <c r="G7" i="32"/>
  <c r="K199" i="31"/>
  <c r="L179" i="31"/>
  <c r="L199" i="31" s="1"/>
  <c r="K172" i="31"/>
  <c r="L172" i="31"/>
  <c r="K145" i="31"/>
  <c r="L145" i="31"/>
  <c r="L118" i="31"/>
  <c r="K118" i="31"/>
  <c r="L91" i="31"/>
  <c r="K20" i="31"/>
  <c r="K37" i="31" s="1"/>
  <c r="K91" i="31"/>
  <c r="K64" i="31"/>
  <c r="L64" i="3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118" i="31"/>
  <c r="F44" i="31"/>
  <c r="F64" i="31" s="1"/>
  <c r="N199" i="30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O37" i="30" s="1"/>
  <c r="N91" i="30"/>
  <c r="O44" i="30"/>
  <c r="O64" i="30" s="1"/>
  <c r="G9" i="31"/>
  <c r="H37" i="31"/>
  <c r="E37" i="31"/>
  <c r="I37" i="31"/>
  <c r="F37" i="31"/>
  <c r="N37" i="31"/>
  <c r="L37" i="31"/>
  <c r="G7" i="31"/>
  <c r="G3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L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E37" i="30"/>
  <c r="G5" i="30"/>
  <c r="K172" i="29"/>
  <c r="L152" i="29"/>
  <c r="L172" i="29" s="1"/>
  <c r="L145" i="29"/>
  <c r="K145" i="29"/>
  <c r="L98" i="29"/>
  <c r="L118" i="29" s="1"/>
  <c r="L91" i="29"/>
  <c r="L82" i="29"/>
  <c r="L21" i="29" s="1"/>
  <c r="L37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N64" i="28"/>
  <c r="O44" i="28"/>
  <c r="O64" i="28" s="1"/>
  <c r="G5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I37" i="29"/>
  <c r="F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G3" i="27" s="1"/>
  <c r="N118" i="27"/>
  <c r="N91" i="27"/>
  <c r="O91" i="27"/>
  <c r="O61" i="27"/>
  <c r="O18" i="27" s="1"/>
  <c r="O37" i="27" s="1"/>
  <c r="O64" i="27"/>
  <c r="N64" i="27"/>
  <c r="K37" i="28"/>
  <c r="O37" i="28"/>
  <c r="E37" i="28"/>
  <c r="F37" i="28"/>
  <c r="N37" i="28"/>
  <c r="L37" i="28"/>
  <c r="I37" i="28"/>
  <c r="G9" i="28"/>
  <c r="G7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N172" i="26"/>
  <c r="O152" i="26"/>
  <c r="O172" i="26" s="1"/>
  <c r="O145" i="26"/>
  <c r="N145" i="26"/>
  <c r="O111" i="26"/>
  <c r="O31" i="26" s="1"/>
  <c r="N118" i="26"/>
  <c r="O118" i="26"/>
  <c r="O77" i="26"/>
  <c r="O21" i="26" s="1"/>
  <c r="N91" i="26"/>
  <c r="O71" i="26"/>
  <c r="N28" i="26"/>
  <c r="N37" i="26" s="1"/>
  <c r="O44" i="26"/>
  <c r="F37" i="27"/>
  <c r="N37" i="27"/>
  <c r="E37" i="27"/>
  <c r="L37" i="27"/>
  <c r="I37" i="27"/>
  <c r="G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L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O152" i="25"/>
  <c r="O172" i="25" s="1"/>
  <c r="O71" i="25"/>
  <c r="O91" i="25" s="1"/>
  <c r="O44" i="25"/>
  <c r="O64" i="25" s="1"/>
  <c r="G3" i="26"/>
  <c r="G9" i="26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L37" i="25"/>
  <c r="F37" i="25"/>
  <c r="K37" i="25"/>
  <c r="O37" i="25"/>
  <c r="H37" i="25"/>
  <c r="N37" i="25"/>
  <c r="E37" i="25"/>
  <c r="I37" i="25"/>
  <c r="G5" i="25"/>
  <c r="G7" i="25"/>
  <c r="G3" i="25"/>
  <c r="G9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F172" i="24" s="1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F199" i="24" s="1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O91" i="24"/>
  <c r="K199" i="24"/>
  <c r="L179" i="24"/>
  <c r="L199" i="24" s="1"/>
  <c r="G9" i="24" s="1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99" i="24" s="1"/>
  <c r="I152" i="24"/>
  <c r="I125" i="24"/>
  <c r="I145" i="24" s="1"/>
  <c r="I98" i="24"/>
  <c r="I118" i="24" s="1"/>
  <c r="I71" i="24"/>
  <c r="H18" i="24"/>
  <c r="H37" i="24" s="1"/>
  <c r="I44" i="24"/>
  <c r="F71" i="24"/>
  <c r="E22" i="24"/>
  <c r="E37" i="24" s="1"/>
  <c r="E64" i="24"/>
  <c r="F44" i="24"/>
  <c r="K37" i="24"/>
  <c r="N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6" l="1"/>
  <c r="G5" i="35"/>
  <c r="G11" i="35"/>
  <c r="L172" i="34"/>
  <c r="O64" i="33"/>
  <c r="O23" i="33"/>
  <c r="O37" i="33" s="1"/>
  <c r="G11" i="34"/>
  <c r="I64" i="33"/>
  <c r="G5" i="33" s="1"/>
  <c r="I23" i="33"/>
  <c r="I37" i="33" s="1"/>
  <c r="L37" i="32"/>
  <c r="G11" i="32" s="1"/>
  <c r="G3" i="32"/>
  <c r="O64" i="31"/>
  <c r="G5" i="31" s="1"/>
  <c r="N37" i="30"/>
  <c r="G11" i="31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G11" i="27"/>
  <c r="K37" i="26"/>
  <c r="G7" i="26"/>
  <c r="L64" i="26"/>
  <c r="L28" i="26"/>
  <c r="L37" i="26" s="1"/>
  <c r="I64" i="26"/>
  <c r="I28" i="26"/>
  <c r="I37" i="26" s="1"/>
  <c r="F64" i="26"/>
  <c r="G5" i="26" s="1"/>
  <c r="F28" i="26"/>
  <c r="F37" i="26" s="1"/>
  <c r="O37" i="24"/>
  <c r="G11" i="25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33" l="1"/>
  <c r="G11" i="30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O31" i="3"/>
  <c r="H237" i="9"/>
  <c r="F178" i="9"/>
  <c r="C242" i="9"/>
  <c r="K106" i="9"/>
  <c r="O106" i="9"/>
  <c r="K32" i="9"/>
  <c r="E252" i="9"/>
  <c r="G47" i="3"/>
  <c r="C280" i="9"/>
  <c r="F142" i="9"/>
  <c r="C141" i="9"/>
  <c r="C52" i="9"/>
  <c r="I139" i="9"/>
  <c r="C226" i="9"/>
  <c r="N72" i="9"/>
  <c r="I251" i="9"/>
  <c r="C177" i="9"/>
  <c r="F230" i="9"/>
  <c r="N217" i="9"/>
  <c r="I231" i="9"/>
  <c r="K72" i="9"/>
  <c r="O49" i="9"/>
  <c r="F73" i="9"/>
  <c r="F106" i="9"/>
  <c r="H157" i="9"/>
  <c r="K155" i="9"/>
  <c r="O241" i="9"/>
  <c r="N70" i="9"/>
  <c r="C184" i="9"/>
  <c r="E30" i="9"/>
  <c r="N65" i="9"/>
  <c r="H160" i="9"/>
  <c r="K18" i="3"/>
  <c r="O202" i="9"/>
  <c r="O199" i="9"/>
  <c r="L116" i="9"/>
  <c r="O252" i="9"/>
  <c r="L259" i="9"/>
  <c r="O71" i="3"/>
  <c r="L143" i="9"/>
  <c r="K59" i="3"/>
  <c r="N32" i="9"/>
  <c r="O176" i="9"/>
  <c r="H200" i="9"/>
  <c r="F155" i="9"/>
  <c r="E107" i="9"/>
  <c r="C234" i="9"/>
  <c r="F274" i="9"/>
  <c r="I64" i="9"/>
  <c r="C140" i="9"/>
  <c r="F80" i="9"/>
  <c r="O235" i="9"/>
  <c r="K67" i="3"/>
  <c r="E64" i="9"/>
  <c r="K268" i="9"/>
  <c r="I88" i="9"/>
  <c r="K9" i="3"/>
  <c r="K69" i="3"/>
  <c r="K215" i="9"/>
  <c r="K185" i="9"/>
  <c r="E263" i="9"/>
  <c r="E108" i="9"/>
  <c r="K22" i="5"/>
  <c r="H106" i="9"/>
  <c r="H193" i="9"/>
  <c r="O69" i="9"/>
  <c r="I28" i="9"/>
  <c r="O41" i="9"/>
  <c r="N117" i="9"/>
  <c r="O36" i="9"/>
  <c r="E189" i="9"/>
  <c r="N238" i="9"/>
  <c r="L187" i="9"/>
  <c r="N219" i="9"/>
  <c r="K166" i="9"/>
  <c r="F242" i="9"/>
  <c r="I101" i="9"/>
  <c r="O114" i="9"/>
  <c r="I39" i="9"/>
  <c r="N100" i="9"/>
  <c r="E276" i="9"/>
  <c r="H76" i="9"/>
  <c r="E182" i="9"/>
  <c r="K90" i="9"/>
  <c r="C22" i="9"/>
  <c r="E155" i="9"/>
  <c r="N76" i="9"/>
  <c r="E139" i="9"/>
  <c r="K199" i="9"/>
  <c r="G65" i="3"/>
  <c r="H233" i="9"/>
  <c r="F26" i="9"/>
  <c r="F261" i="9"/>
  <c r="C147" i="9"/>
  <c r="H73" i="9"/>
  <c r="L159" i="9"/>
  <c r="N63" i="9"/>
  <c r="E237" i="9"/>
  <c r="C124" i="9"/>
  <c r="L166" i="9"/>
  <c r="F89" i="9"/>
  <c r="I226" i="9"/>
  <c r="L64" i="9"/>
  <c r="K250" i="9"/>
  <c r="C38" i="9"/>
  <c r="O79" i="9"/>
  <c r="K80" i="9"/>
  <c r="K30" i="9"/>
  <c r="N181" i="9"/>
  <c r="L105" i="9"/>
  <c r="H107" i="9"/>
  <c r="I98" i="9"/>
  <c r="L196" i="9"/>
  <c r="C278" i="9"/>
  <c r="C264" i="9"/>
  <c r="K229" i="9"/>
  <c r="K174" i="9"/>
  <c r="O236" i="9"/>
  <c r="F231" i="9"/>
  <c r="O66" i="3"/>
  <c r="N202" i="9"/>
  <c r="E165" i="9"/>
  <c r="E102" i="9"/>
  <c r="I146" i="9"/>
  <c r="I127" i="9"/>
  <c r="O137" i="9"/>
  <c r="L213" i="9"/>
  <c r="F87" i="9"/>
  <c r="F28" i="9"/>
  <c r="C123" i="9"/>
  <c r="F221" i="9"/>
  <c r="N191" i="9"/>
  <c r="C254" i="9"/>
  <c r="L251" i="9"/>
  <c r="N49" i="9"/>
  <c r="L49" i="9"/>
  <c r="K274" i="9"/>
  <c r="I255" i="9"/>
  <c r="K26" i="9"/>
  <c r="G62" i="3"/>
  <c r="L151" i="9"/>
  <c r="O226" i="9"/>
  <c r="O86" i="9"/>
  <c r="N123" i="9"/>
  <c r="K27" i="9"/>
  <c r="E258" i="9"/>
  <c r="N242" i="9"/>
  <c r="E196" i="9"/>
  <c r="E106" i="9"/>
  <c r="L268" i="9"/>
  <c r="O191" i="9"/>
  <c r="E31" i="9"/>
  <c r="K269" i="9"/>
  <c r="O81" i="9"/>
  <c r="C255" i="9"/>
  <c r="O261" i="9"/>
  <c r="O217" i="9"/>
  <c r="E24" i="9"/>
  <c r="K270" i="9"/>
  <c r="H26" i="9"/>
  <c r="C263" i="9"/>
  <c r="O24" i="9"/>
  <c r="L39" i="9"/>
  <c r="K56" i="3"/>
  <c r="N68" i="9"/>
  <c r="H47" i="9"/>
  <c r="L225" i="9"/>
  <c r="E221" i="9"/>
  <c r="E215" i="9"/>
  <c r="O255" i="9"/>
  <c r="H122" i="9"/>
  <c r="E269" i="9"/>
  <c r="N33" i="9"/>
  <c r="O72" i="9"/>
  <c r="F120" i="9"/>
  <c r="N179" i="9"/>
  <c r="K28" i="9"/>
  <c r="O228" i="9"/>
  <c r="H90" i="9"/>
  <c r="O112" i="9"/>
  <c r="H25" i="9"/>
  <c r="H29" i="9"/>
  <c r="H199" i="9"/>
  <c r="O147" i="9"/>
  <c r="F84" i="9"/>
  <c r="O73" i="3"/>
  <c r="I104" i="9"/>
  <c r="F141" i="9"/>
  <c r="E164" i="9"/>
  <c r="I160" i="9"/>
  <c r="E32" i="9"/>
  <c r="K277" i="9"/>
  <c r="K22" i="9"/>
  <c r="H186" i="9"/>
  <c r="C63" i="9"/>
  <c r="I174" i="9"/>
  <c r="E90" i="9"/>
  <c r="F179" i="9"/>
  <c r="N88" i="9"/>
  <c r="N82" i="9"/>
  <c r="O200" i="9"/>
  <c r="O72" i="3"/>
  <c r="I220" i="9"/>
  <c r="C237" i="9"/>
  <c r="N254" i="9"/>
  <c r="K240" i="9"/>
  <c r="I198" i="9"/>
  <c r="G41" i="3"/>
  <c r="K100" i="9"/>
  <c r="O144" i="9"/>
  <c r="F266" i="9"/>
  <c r="C175" i="9"/>
  <c r="O82" i="9"/>
  <c r="I179" i="9"/>
  <c r="E119" i="9"/>
  <c r="K265" i="9"/>
  <c r="O256" i="9"/>
  <c r="L67" i="9"/>
  <c r="K214" i="9"/>
  <c r="H142" i="9"/>
  <c r="F27" i="9"/>
  <c r="I40" i="9"/>
  <c r="F143" i="9"/>
  <c r="K275" i="9"/>
  <c r="O119" i="9"/>
  <c r="C192" i="9"/>
  <c r="K37" i="9"/>
  <c r="H22" i="9"/>
  <c r="I125" i="9"/>
  <c r="I110" i="9"/>
  <c r="I189" i="9"/>
  <c r="E141" i="9"/>
  <c r="O223" i="9"/>
  <c r="E270" i="9"/>
  <c r="L275" i="9"/>
  <c r="K235" i="9"/>
  <c r="K74" i="3"/>
  <c r="C258" i="9"/>
  <c r="K99" i="9"/>
  <c r="L176" i="9"/>
  <c r="N47" i="9"/>
  <c r="E116" i="9"/>
  <c r="L81" i="9"/>
  <c r="L215" i="9"/>
  <c r="L231" i="9"/>
  <c r="E143" i="9"/>
  <c r="O64" i="3"/>
  <c r="F215" i="9"/>
  <c r="C194" i="9"/>
  <c r="O271" i="9"/>
  <c r="O57" i="3"/>
  <c r="N278" i="9"/>
  <c r="O190" i="9"/>
  <c r="K122" i="9"/>
  <c r="C178" i="9"/>
  <c r="K236" i="9"/>
  <c r="E251" i="9"/>
  <c r="I175" i="9"/>
  <c r="O213" i="9"/>
  <c r="I77" i="9"/>
  <c r="F159" i="9"/>
  <c r="I165" i="9"/>
  <c r="O234" i="9"/>
  <c r="L88" i="9"/>
  <c r="I163" i="9"/>
  <c r="I123" i="9"/>
  <c r="I47" i="9"/>
  <c r="C196" i="9"/>
  <c r="I32" i="9"/>
  <c r="G68" i="3"/>
  <c r="K142" i="9"/>
  <c r="E191" i="9"/>
  <c r="F99" i="9"/>
  <c r="C128" i="9"/>
  <c r="C231" i="9"/>
  <c r="K161" i="9"/>
  <c r="O180" i="9"/>
  <c r="O198" i="9"/>
  <c r="F212" i="9"/>
  <c r="H267" i="9"/>
  <c r="E46" i="9"/>
  <c r="C32" i="9"/>
  <c r="I65" i="9"/>
  <c r="I181" i="9"/>
  <c r="O125" i="9"/>
  <c r="L65" i="9"/>
  <c r="L115" i="9"/>
  <c r="C232" i="9"/>
  <c r="I100" i="9"/>
  <c r="N267" i="9"/>
  <c r="H121" i="9"/>
  <c r="L240" i="9"/>
  <c r="I197" i="9"/>
  <c r="F136" i="9"/>
  <c r="F186" i="9"/>
  <c r="I25" i="9"/>
  <c r="F265" i="9"/>
  <c r="E26" i="9"/>
  <c r="F79" i="9"/>
  <c r="N103" i="9"/>
  <c r="E42" i="9"/>
  <c r="N199" i="9"/>
  <c r="C165" i="9"/>
  <c r="O70" i="9"/>
  <c r="I44" i="9"/>
  <c r="F250" i="9"/>
  <c r="O50" i="9"/>
  <c r="K62" i="9"/>
  <c r="F149" i="9"/>
  <c r="I124" i="9"/>
  <c r="K157" i="9"/>
  <c r="I263" i="9"/>
  <c r="K31" i="3"/>
  <c r="K198" i="9"/>
  <c r="L114" i="9"/>
  <c r="I271" i="9"/>
  <c r="H217" i="9"/>
  <c r="K176" i="9"/>
  <c r="K23" i="5"/>
  <c r="L193" i="9"/>
  <c r="C77" i="9"/>
  <c r="K85" i="9"/>
  <c r="H277" i="9"/>
  <c r="H231" i="9"/>
  <c r="O253" i="9"/>
  <c r="L175" i="9"/>
  <c r="L216" i="9"/>
  <c r="H77" i="9"/>
  <c r="H272" i="9"/>
  <c r="L144" i="9"/>
  <c r="N187" i="9"/>
  <c r="E242" i="9"/>
  <c r="O37" i="9"/>
  <c r="K225" i="9"/>
  <c r="O68" i="3"/>
  <c r="E239" i="9"/>
  <c r="L232" i="9"/>
  <c r="K204" i="9"/>
  <c r="E63" i="9"/>
  <c r="E44" i="9"/>
  <c r="O111" i="9"/>
  <c r="H202" i="9"/>
  <c r="E277" i="9"/>
  <c r="H145" i="9"/>
  <c r="C190" i="9"/>
  <c r="O149" i="9"/>
  <c r="K69" i="9"/>
  <c r="E253" i="9"/>
  <c r="K38" i="9"/>
  <c r="I242" i="9"/>
  <c r="O165" i="9"/>
  <c r="E65" i="9"/>
  <c r="F36" i="9"/>
  <c r="C252" i="9"/>
  <c r="I71" i="9"/>
  <c r="H82" i="9"/>
  <c r="I268" i="9"/>
  <c r="C25" i="9"/>
  <c r="C122" i="9"/>
  <c r="F156" i="9"/>
  <c r="F200" i="9"/>
  <c r="C51" i="9"/>
  <c r="O127" i="9"/>
  <c r="N269" i="9"/>
  <c r="I67" i="9"/>
  <c r="L140" i="9"/>
  <c r="N153" i="9"/>
  <c r="L254" i="9"/>
  <c r="K192" i="9"/>
  <c r="O62" i="3"/>
  <c r="L33" i="9"/>
  <c r="N115" i="9"/>
  <c r="O100" i="9"/>
  <c r="N260" i="9"/>
  <c r="O67" i="9"/>
  <c r="K50" i="3"/>
  <c r="H218" i="9"/>
  <c r="L32" i="9"/>
  <c r="C48" i="9"/>
  <c r="E27" i="9"/>
  <c r="L29" i="9"/>
  <c r="L261" i="9"/>
  <c r="K127" i="9"/>
  <c r="I61" i="9"/>
  <c r="L178" i="9"/>
  <c r="C161" i="9"/>
  <c r="F102" i="9"/>
  <c r="F62" i="9"/>
  <c r="C42" i="9"/>
  <c r="H154" i="9"/>
  <c r="O46" i="9"/>
  <c r="O204" i="9"/>
  <c r="N218" i="9"/>
  <c r="N161" i="9"/>
  <c r="O39" i="3"/>
  <c r="I51" i="9"/>
  <c r="K145" i="9"/>
  <c r="C229" i="9"/>
  <c r="O37" i="3"/>
  <c r="L179" i="9"/>
  <c r="O264" i="9"/>
  <c r="C180" i="9"/>
  <c r="C28" i="9"/>
  <c r="H221" i="9"/>
  <c r="H136" i="9"/>
  <c r="C139" i="9"/>
  <c r="O219" i="9"/>
  <c r="F184" i="9"/>
  <c r="N114" i="9"/>
  <c r="G74" i="3"/>
  <c r="C198" i="9"/>
  <c r="O183" i="9"/>
  <c r="F227" i="9"/>
  <c r="L262" i="9"/>
  <c r="N155" i="9"/>
  <c r="H257" i="9"/>
  <c r="L220" i="9"/>
  <c r="L280" i="9"/>
  <c r="O196" i="9"/>
  <c r="F160" i="9"/>
  <c r="L102" i="9"/>
  <c r="N154" i="9"/>
  <c r="E177" i="9"/>
  <c r="L273" i="9"/>
  <c r="L203" i="9"/>
  <c r="C158" i="9"/>
  <c r="N26" i="9"/>
  <c r="I184" i="9"/>
  <c r="K280" i="9"/>
  <c r="N253" i="9"/>
  <c r="F147" i="9"/>
  <c r="L263" i="9"/>
  <c r="O279" i="9"/>
  <c r="H185" i="9"/>
  <c r="O64" i="9"/>
  <c r="L204" i="9"/>
  <c r="K71" i="9"/>
  <c r="H40" i="9"/>
  <c r="L117" i="9"/>
  <c r="L152" i="9"/>
  <c r="N237" i="9"/>
  <c r="O101" i="9"/>
  <c r="L72" i="9"/>
  <c r="C174" i="9"/>
  <c r="N50" i="9"/>
  <c r="K60" i="9"/>
  <c r="F60" i="9"/>
  <c r="O216" i="9"/>
  <c r="N214" i="9"/>
  <c r="N141" i="9"/>
  <c r="L256" i="9"/>
  <c r="H255" i="9"/>
  <c r="I270" i="9"/>
  <c r="E265" i="9"/>
  <c r="E228" i="9"/>
  <c r="O151" i="9"/>
  <c r="O69" i="3"/>
  <c r="C216" i="9"/>
  <c r="C154" i="9"/>
  <c r="K188" i="9"/>
  <c r="N198" i="9"/>
  <c r="K202" i="9"/>
  <c r="C179" i="9"/>
  <c r="I108" i="9"/>
  <c r="C33" i="9"/>
  <c r="K44" i="9"/>
  <c r="C152" i="9"/>
  <c r="O27" i="9"/>
  <c r="L224" i="9"/>
  <c r="K144" i="9"/>
  <c r="L78" i="9"/>
  <c r="N272" i="9"/>
  <c r="K149" i="9"/>
  <c r="N239" i="9"/>
  <c r="E22" i="9"/>
  <c r="H225" i="9"/>
  <c r="O194" i="9"/>
  <c r="I149" i="9"/>
  <c r="N85" i="9"/>
  <c r="H68" i="9"/>
  <c r="L181" i="9"/>
  <c r="K232" i="9"/>
  <c r="L252" i="9"/>
  <c r="O259" i="9"/>
  <c r="H111" i="9"/>
  <c r="E47" i="9"/>
  <c r="E127" i="9"/>
  <c r="H151" i="9"/>
  <c r="C223" i="9"/>
  <c r="I259" i="9"/>
  <c r="O45" i="9"/>
  <c r="O193" i="9"/>
  <c r="K68" i="9"/>
  <c r="K83" i="9"/>
  <c r="E72" i="9"/>
  <c r="F66" i="9"/>
  <c r="N186" i="9"/>
  <c r="F74" i="9"/>
  <c r="O88" i="9"/>
  <c r="C90" i="9"/>
  <c r="F51" i="9"/>
  <c r="K221" i="9"/>
  <c r="K73" i="3"/>
  <c r="L228" i="9"/>
  <c r="H137" i="9"/>
  <c r="O35" i="3"/>
  <c r="E83" i="9"/>
  <c r="O254" i="9"/>
  <c r="O70" i="3"/>
  <c r="O33" i="3"/>
  <c r="L38" i="9"/>
  <c r="I27" i="9"/>
  <c r="N90" i="9"/>
  <c r="F161" i="9"/>
  <c r="C268" i="9"/>
  <c r="N147" i="9"/>
  <c r="O126" i="9"/>
  <c r="I274" i="9"/>
  <c r="N108" i="9"/>
  <c r="L118" i="9"/>
  <c r="N276" i="9"/>
  <c r="K46" i="3"/>
  <c r="O239" i="9"/>
  <c r="K118" i="9"/>
  <c r="C110" i="9"/>
  <c r="O233" i="9"/>
  <c r="H128" i="9"/>
  <c r="E197" i="9"/>
  <c r="L142" i="9"/>
  <c r="E123" i="9"/>
  <c r="N51" i="9"/>
  <c r="E86" i="9"/>
  <c r="F113" i="9"/>
  <c r="C235" i="9"/>
  <c r="I52" i="9"/>
  <c r="C73" i="9"/>
  <c r="I225" i="9"/>
  <c r="N280" i="9"/>
  <c r="E233" i="9"/>
  <c r="C69" i="9"/>
  <c r="F202" i="9"/>
  <c r="L241" i="9"/>
  <c r="I87" i="9"/>
  <c r="N44" i="9"/>
  <c r="N150" i="9"/>
  <c r="F239" i="9"/>
  <c r="F154" i="9"/>
  <c r="N30" i="9"/>
  <c r="O68" i="9"/>
  <c r="N48" i="9"/>
  <c r="L85" i="9"/>
  <c r="C67" i="9"/>
  <c r="F180" i="9"/>
  <c r="N190" i="9"/>
  <c r="F148" i="9"/>
  <c r="N184" i="9"/>
  <c r="L223" i="9"/>
  <c r="E202" i="9"/>
  <c r="H194" i="9"/>
  <c r="E229" i="9"/>
  <c r="L61" i="9"/>
  <c r="O71" i="9"/>
  <c r="O43" i="9"/>
  <c r="C109" i="9"/>
  <c r="E120" i="9"/>
  <c r="O212" i="9"/>
  <c r="K14" i="3"/>
  <c r="F75" i="9"/>
  <c r="O23" i="9"/>
  <c r="I234" i="9"/>
  <c r="L126" i="9"/>
  <c r="K165" i="9"/>
  <c r="C221" i="9"/>
  <c r="C195" i="9"/>
  <c r="C260" i="9"/>
  <c r="C162" i="9"/>
  <c r="H254" i="9"/>
  <c r="C31" i="9"/>
  <c r="O197" i="9"/>
  <c r="H108" i="9"/>
  <c r="F241" i="9"/>
  <c r="N213" i="9"/>
  <c r="L90" i="9"/>
  <c r="K70" i="3"/>
  <c r="O203" i="9"/>
  <c r="F280" i="9"/>
  <c r="I49" i="9"/>
  <c r="I222" i="9"/>
  <c r="F86" i="9"/>
  <c r="C70" i="9"/>
  <c r="H180" i="9"/>
  <c r="E261" i="9"/>
  <c r="F114" i="9"/>
  <c r="K251" i="9"/>
  <c r="K217" i="9"/>
  <c r="C119" i="9"/>
  <c r="N41" i="9"/>
  <c r="L113" i="9"/>
  <c r="O58" i="3"/>
  <c r="H164" i="9"/>
  <c r="I85" i="9"/>
  <c r="E99" i="9"/>
  <c r="F110" i="9"/>
  <c r="K66" i="9"/>
  <c r="K10" i="3"/>
  <c r="C113" i="9"/>
  <c r="H183" i="9"/>
  <c r="C62" i="9"/>
  <c r="N216" i="9"/>
  <c r="L145" i="9"/>
  <c r="C107" i="9"/>
  <c r="O122" i="9"/>
  <c r="H220" i="9"/>
  <c r="E230" i="9"/>
  <c r="F192" i="9"/>
  <c r="F25" i="9"/>
  <c r="N22" i="9"/>
  <c r="I194" i="9"/>
  <c r="K16" i="3"/>
  <c r="L62" i="9"/>
  <c r="H60" i="9"/>
  <c r="I150" i="9"/>
  <c r="F117" i="9"/>
  <c r="F162" i="9"/>
  <c r="N24" i="9"/>
  <c r="G63" i="3"/>
  <c r="H198" i="9"/>
  <c r="K220" i="9"/>
  <c r="E69" i="9"/>
  <c r="C213" i="9"/>
  <c r="H147" i="9"/>
  <c r="C137" i="9"/>
  <c r="O78" i="9"/>
  <c r="H99" i="9"/>
  <c r="F71" i="9"/>
  <c r="L40" i="9"/>
  <c r="E192" i="9"/>
  <c r="C270" i="9"/>
  <c r="O188" i="9"/>
  <c r="O104" i="9"/>
  <c r="O87" i="9"/>
  <c r="E183" i="9"/>
  <c r="E274" i="9"/>
  <c r="C228" i="9"/>
  <c r="L182" i="9"/>
  <c r="I193" i="9"/>
  <c r="F275" i="9"/>
  <c r="I253" i="9"/>
  <c r="H273" i="9"/>
  <c r="F183" i="9"/>
  <c r="E113" i="9"/>
  <c r="H196" i="9"/>
  <c r="O174" i="9"/>
  <c r="H126" i="9"/>
  <c r="N177" i="9"/>
  <c r="C136" i="9"/>
  <c r="N255" i="9"/>
  <c r="C199" i="9"/>
  <c r="N256" i="9"/>
  <c r="K121" i="9"/>
  <c r="H101" i="9"/>
  <c r="H201" i="9"/>
  <c r="L99" i="9"/>
  <c r="E162" i="9"/>
  <c r="N251" i="9"/>
  <c r="G36" i="3"/>
  <c r="H222" i="9"/>
  <c r="H212" i="9"/>
  <c r="I221" i="9"/>
  <c r="H146" i="9"/>
  <c r="C181" i="9"/>
  <c r="O83" i="9"/>
  <c r="I237" i="9"/>
  <c r="I216" i="9"/>
  <c r="E213" i="9"/>
  <c r="K186" i="9"/>
  <c r="N185" i="9"/>
  <c r="E179" i="9"/>
  <c r="N232" i="9"/>
  <c r="K66" i="3"/>
  <c r="N212" i="9"/>
  <c r="F118" i="9"/>
  <c r="E40" i="9"/>
  <c r="K261" i="9"/>
  <c r="E161" i="9"/>
  <c r="N120" i="9"/>
  <c r="F112" i="9"/>
  <c r="H230" i="9"/>
  <c r="C39" i="9"/>
  <c r="E142" i="9"/>
  <c r="H124" i="9"/>
  <c r="K222" i="9"/>
  <c r="L47" i="9"/>
  <c r="H65" i="9"/>
  <c r="F176" i="9"/>
  <c r="C188" i="9"/>
  <c r="N262" i="9"/>
  <c r="F165" i="9"/>
  <c r="N265" i="9"/>
  <c r="F185" i="9"/>
  <c r="K62" i="3"/>
  <c r="I145" i="9"/>
  <c r="C61" i="9"/>
  <c r="C108" i="9"/>
  <c r="E111" i="9"/>
  <c r="C99" i="9"/>
  <c r="L163" i="9"/>
  <c r="F197" i="9"/>
  <c r="N176" i="9"/>
  <c r="L212" i="9"/>
  <c r="N106" i="9"/>
  <c r="N25" i="9"/>
  <c r="C46" i="9"/>
  <c r="C146" i="9"/>
  <c r="K46" i="9"/>
  <c r="I22" i="9"/>
  <c r="I252" i="9"/>
  <c r="N271" i="9"/>
  <c r="G43" i="3"/>
  <c r="E68" i="9"/>
  <c r="C24" i="9"/>
  <c r="L160" i="9"/>
  <c r="K271" i="9"/>
  <c r="H258" i="9"/>
  <c r="I43" i="9"/>
  <c r="N113" i="9"/>
  <c r="H278" i="9"/>
  <c r="E101" i="9"/>
  <c r="H123" i="9"/>
  <c r="L27" i="9"/>
  <c r="K216" i="9"/>
  <c r="H162" i="9"/>
  <c r="I272" i="9"/>
  <c r="H33" i="9"/>
  <c r="L158" i="9"/>
  <c r="C219" i="9"/>
  <c r="K200" i="9"/>
  <c r="E262" i="9"/>
  <c r="O124" i="9"/>
  <c r="F151" i="9"/>
  <c r="K6" i="5"/>
  <c r="K110" i="9"/>
  <c r="C145" i="9"/>
  <c r="I34" i="9"/>
  <c r="C89" i="9"/>
  <c r="O142" i="9"/>
  <c r="F182" i="9"/>
  <c r="E198" i="9"/>
  <c r="L202" i="9"/>
  <c r="E259" i="9"/>
  <c r="E188" i="9"/>
  <c r="I120" i="9"/>
  <c r="K72" i="3"/>
  <c r="H38" i="9"/>
  <c r="K112" i="9"/>
  <c r="C105" i="9"/>
  <c r="I178" i="9"/>
  <c r="N52" i="9"/>
  <c r="E100" i="9"/>
  <c r="H149" i="9"/>
  <c r="I162" i="9"/>
  <c r="K111" i="9"/>
  <c r="N227" i="9"/>
  <c r="F33" i="9"/>
  <c r="N89" i="9"/>
  <c r="O162" i="9"/>
  <c r="E255" i="9"/>
  <c r="H203" i="9"/>
  <c r="C266" i="9"/>
  <c r="L52" i="9"/>
  <c r="I70" i="9"/>
  <c r="F229" i="9"/>
  <c r="N112" i="9"/>
  <c r="K184" i="9"/>
  <c r="I82" i="9"/>
  <c r="H190" i="9"/>
  <c r="G56" i="3"/>
  <c r="K57" i="3"/>
  <c r="E224" i="9"/>
  <c r="O221" i="9"/>
  <c r="K18" i="5"/>
  <c r="E75" i="9"/>
  <c r="N229" i="9"/>
  <c r="F64" i="9"/>
  <c r="K254" i="9"/>
  <c r="H148" i="9"/>
  <c r="O230" i="9"/>
  <c r="F69" i="9"/>
  <c r="E35" i="9"/>
  <c r="K109" i="9"/>
  <c r="K86" i="9"/>
  <c r="G58" i="3"/>
  <c r="K197" i="9"/>
  <c r="H224" i="9"/>
  <c r="G38" i="3"/>
  <c r="I186" i="9"/>
  <c r="H37" i="9"/>
  <c r="L201" i="9"/>
  <c r="H32" i="9"/>
  <c r="O218" i="9"/>
  <c r="E187" i="9"/>
  <c r="I176" i="9"/>
  <c r="K49" i="3"/>
  <c r="N159" i="9"/>
  <c r="N23" i="9"/>
  <c r="K14" i="5"/>
  <c r="K115" i="9"/>
  <c r="I107" i="9"/>
  <c r="K255" i="9"/>
  <c r="N80" i="9"/>
  <c r="I115" i="9"/>
  <c r="F181" i="9"/>
  <c r="E33" i="9"/>
  <c r="L30" i="9"/>
  <c r="L86" i="9"/>
  <c r="K87" i="9"/>
  <c r="K103" i="9"/>
  <c r="K24" i="5"/>
  <c r="O80" i="9"/>
  <c r="E36" i="9"/>
  <c r="I212" i="9"/>
  <c r="I60" i="9"/>
  <c r="K33" i="3"/>
  <c r="L75" i="9"/>
  <c r="I200" i="9"/>
  <c r="L84" i="9"/>
  <c r="K218" i="9"/>
  <c r="L192" i="9"/>
  <c r="C265" i="9"/>
  <c r="I238" i="9"/>
  <c r="C112" i="9"/>
  <c r="F108" i="9"/>
  <c r="N273" i="9"/>
  <c r="K264" i="9"/>
  <c r="H79" i="9"/>
  <c r="L146" i="9"/>
  <c r="C102" i="9"/>
  <c r="H204" i="9"/>
  <c r="F216" i="9"/>
  <c r="E23" i="9"/>
  <c r="F22" i="9"/>
  <c r="N98" i="9"/>
  <c r="K120" i="9"/>
  <c r="O229" i="9"/>
  <c r="I199" i="9"/>
  <c r="N75" i="9"/>
  <c r="L119" i="9"/>
  <c r="L222" i="9"/>
  <c r="C88" i="9"/>
  <c r="L265" i="9"/>
  <c r="L272" i="9"/>
  <c r="N234" i="9"/>
  <c r="F42" i="9"/>
  <c r="K230" i="9"/>
  <c r="E234" i="9"/>
  <c r="K10" i="5"/>
  <c r="K107" i="9"/>
  <c r="H165" i="9"/>
  <c r="I257" i="9"/>
  <c r="K226" i="9"/>
  <c r="L218" i="9"/>
  <c r="L51" i="9"/>
  <c r="N266" i="9"/>
  <c r="L25" i="9"/>
  <c r="H62" i="9"/>
  <c r="N124" i="9"/>
  <c r="C126" i="9"/>
  <c r="L189" i="9"/>
  <c r="H87" i="9"/>
  <c r="L137" i="9"/>
  <c r="K181" i="9"/>
  <c r="E256" i="9"/>
  <c r="K39" i="3"/>
  <c r="I151" i="9"/>
  <c r="I188" i="9"/>
  <c r="O182" i="9"/>
  <c r="I279" i="9"/>
  <c r="O44" i="9"/>
  <c r="H232" i="9"/>
  <c r="H268" i="9"/>
  <c r="N35" i="9"/>
  <c r="K43" i="3"/>
  <c r="H88" i="9"/>
  <c r="C86" i="9"/>
  <c r="F45" i="9"/>
  <c r="O152" i="9"/>
  <c r="O99" i="9"/>
  <c r="I201" i="9"/>
  <c r="E117" i="9"/>
  <c r="E49" i="9"/>
  <c r="N220" i="9"/>
  <c r="C101" i="9"/>
  <c r="K24" i="9"/>
  <c r="O158" i="9"/>
  <c r="H256" i="9"/>
  <c r="G64" i="3"/>
  <c r="K136" i="9"/>
  <c r="F153" i="9"/>
  <c r="I204" i="9"/>
  <c r="K256" i="9"/>
  <c r="N233" i="9"/>
  <c r="F223" i="9"/>
  <c r="N226" i="9"/>
  <c r="K252" i="9"/>
  <c r="N77" i="9"/>
  <c r="K25" i="3"/>
  <c r="H103" i="9"/>
  <c r="C163" i="9"/>
  <c r="K140" i="9"/>
  <c r="O32" i="9"/>
  <c r="I140" i="9"/>
  <c r="K191" i="9"/>
  <c r="C204" i="9"/>
  <c r="H86" i="9"/>
  <c r="L112" i="9"/>
  <c r="L89" i="9"/>
  <c r="E79" i="9"/>
  <c r="C274" i="9"/>
  <c r="L161" i="9"/>
  <c r="N203" i="9"/>
  <c r="H63" i="9"/>
  <c r="G42" i="3"/>
  <c r="N197" i="9"/>
  <c r="L83" i="9"/>
  <c r="E144" i="9"/>
  <c r="O274" i="9"/>
  <c r="I276" i="9"/>
  <c r="O76" i="9"/>
  <c r="F88" i="9"/>
  <c r="C121" i="9"/>
  <c r="K40" i="9"/>
  <c r="K262" i="9"/>
  <c r="K13" i="3"/>
  <c r="I258" i="9"/>
  <c r="C159" i="9"/>
  <c r="C262" i="9"/>
  <c r="F78" i="9"/>
  <c r="H114" i="9"/>
  <c r="K273" i="9"/>
  <c r="I41" i="9"/>
  <c r="H191" i="9"/>
  <c r="H266" i="9"/>
  <c r="I30" i="9"/>
  <c r="C49" i="9"/>
  <c r="N215" i="9"/>
  <c r="K212" i="9"/>
  <c r="I177" i="9"/>
  <c r="F225" i="9"/>
  <c r="F47" i="9"/>
  <c r="N183" i="9"/>
  <c r="O146" i="9"/>
  <c r="N279" i="9"/>
  <c r="H28" i="9"/>
  <c r="N64" i="9"/>
  <c r="H234" i="9"/>
  <c r="H240" i="9"/>
  <c r="O140" i="9"/>
  <c r="N162" i="9"/>
  <c r="N200" i="9"/>
  <c r="E61" i="9"/>
  <c r="O240" i="9"/>
  <c r="O192" i="9"/>
  <c r="C66" i="9"/>
  <c r="E200" i="9"/>
  <c r="O75" i="3"/>
  <c r="E174" i="9"/>
  <c r="N160" i="9"/>
  <c r="I35" i="9"/>
  <c r="H117" i="9"/>
  <c r="L141" i="9"/>
  <c r="I275" i="9"/>
  <c r="N110" i="9"/>
  <c r="E146" i="9"/>
  <c r="F220" i="9"/>
  <c r="F150" i="9"/>
  <c r="H141" i="9"/>
  <c r="I156" i="9"/>
  <c r="C215" i="9"/>
  <c r="C160" i="9"/>
  <c r="C183" i="9"/>
  <c r="G61" i="3"/>
  <c r="O85" i="9"/>
  <c r="I46" i="9"/>
  <c r="C193" i="9"/>
  <c r="K89" i="9"/>
  <c r="H24" i="9"/>
  <c r="E103" i="9"/>
  <c r="K151" i="9"/>
  <c r="H236" i="9"/>
  <c r="E74" i="9"/>
  <c r="O60" i="9"/>
  <c r="K123" i="9"/>
  <c r="K253" i="9"/>
  <c r="F138" i="9"/>
  <c r="N270" i="9"/>
  <c r="H125" i="9"/>
  <c r="I79" i="9"/>
  <c r="L198" i="9"/>
  <c r="I280" i="9"/>
  <c r="C26" i="9"/>
  <c r="F213" i="9"/>
  <c r="O260" i="9"/>
  <c r="N74" i="9"/>
  <c r="L122" i="9"/>
  <c r="E280" i="9"/>
  <c r="L237" i="9"/>
  <c r="F264" i="9"/>
  <c r="K237" i="9"/>
  <c r="H264" i="9"/>
  <c r="H70" i="9"/>
  <c r="K24" i="3"/>
  <c r="L276" i="9"/>
  <c r="C65" i="9"/>
  <c r="K42" i="9"/>
  <c r="O280" i="9"/>
  <c r="E272" i="9"/>
  <c r="O272" i="9"/>
  <c r="K35" i="9"/>
  <c r="N274" i="9"/>
  <c r="F259" i="9"/>
  <c r="H195" i="9"/>
  <c r="O22" i="9"/>
  <c r="C149" i="9"/>
  <c r="F272" i="9"/>
  <c r="K21" i="5"/>
  <c r="F128" i="9"/>
  <c r="H229" i="9"/>
  <c r="K137" i="9"/>
  <c r="L37" i="9"/>
  <c r="I126" i="9"/>
  <c r="H215" i="9"/>
  <c r="F214" i="9"/>
  <c r="C75" i="9"/>
  <c r="C83" i="9"/>
  <c r="C224" i="9"/>
  <c r="K16" i="5"/>
  <c r="I112" i="9"/>
  <c r="I119" i="9"/>
  <c r="E124" i="9"/>
  <c r="E137" i="9"/>
  <c r="H36" i="9"/>
  <c r="E50" i="9"/>
  <c r="K31" i="9"/>
  <c r="F187" i="9"/>
  <c r="H269" i="9"/>
  <c r="C189" i="9"/>
  <c r="H31" i="9"/>
  <c r="C43" i="9"/>
  <c r="L24" i="9"/>
  <c r="C239" i="9"/>
  <c r="K228" i="9"/>
  <c r="F278" i="9"/>
  <c r="G32" i="3"/>
  <c r="O36" i="3"/>
  <c r="L79" i="9"/>
  <c r="I260" i="9"/>
  <c r="C217" i="9"/>
  <c r="O40" i="3"/>
  <c r="L106" i="9"/>
  <c r="E193" i="9"/>
  <c r="O265" i="9"/>
  <c r="E184" i="9"/>
  <c r="C271" i="9"/>
  <c r="F77" i="9"/>
  <c r="N78" i="9"/>
  <c r="K23" i="3"/>
  <c r="H71" i="9"/>
  <c r="K19" i="5"/>
  <c r="F222" i="9"/>
  <c r="I48" i="9"/>
  <c r="F273" i="9"/>
  <c r="F190" i="9"/>
  <c r="C84" i="9"/>
  <c r="F46" i="9"/>
  <c r="C238" i="9"/>
  <c r="H184" i="9"/>
  <c r="H241" i="9"/>
  <c r="N127" i="9"/>
  <c r="K61" i="3"/>
  <c r="O263" i="9"/>
  <c r="H214" i="9"/>
  <c r="K98" i="9"/>
  <c r="C127" i="9"/>
  <c r="L73" i="9"/>
  <c r="K164" i="9"/>
  <c r="I153" i="9"/>
  <c r="G71" i="3"/>
  <c r="C240" i="9"/>
  <c r="E264" i="9"/>
  <c r="K203" i="9"/>
  <c r="N38" i="9"/>
  <c r="I190" i="9"/>
  <c r="E250" i="9"/>
  <c r="K47" i="9"/>
  <c r="O150" i="9"/>
  <c r="L165" i="9"/>
  <c r="L35" i="9"/>
  <c r="K34" i="9"/>
  <c r="I73" i="9"/>
  <c r="F68" i="9"/>
  <c r="I187" i="9"/>
  <c r="L147" i="9"/>
  <c r="E201" i="9"/>
  <c r="N142" i="9"/>
  <c r="K263" i="9"/>
  <c r="F123" i="9"/>
  <c r="E125" i="9"/>
  <c r="N149" i="9"/>
  <c r="F234" i="9"/>
  <c r="O77" i="9"/>
  <c r="H189" i="9"/>
  <c r="C76" i="9"/>
  <c r="E81" i="9"/>
  <c r="F255" i="9"/>
  <c r="I250" i="9"/>
  <c r="K259" i="9"/>
  <c r="I152" i="9"/>
  <c r="C44" i="9"/>
  <c r="K266" i="9"/>
  <c r="I37" i="9"/>
  <c r="O186" i="9"/>
  <c r="K154" i="9"/>
  <c r="E266" i="9"/>
  <c r="F235" i="9"/>
  <c r="O145" i="9"/>
  <c r="E235" i="9"/>
  <c r="K272" i="9"/>
  <c r="C114" i="9"/>
  <c r="H158" i="9"/>
  <c r="O50" i="3"/>
  <c r="O98" i="9"/>
  <c r="O38" i="3"/>
  <c r="O175" i="9"/>
  <c r="O269" i="9"/>
  <c r="K67" i="9"/>
  <c r="N236" i="9"/>
  <c r="K278" i="9"/>
  <c r="E145" i="9"/>
  <c r="I69" i="9"/>
  <c r="O115" i="9"/>
  <c r="H253" i="9"/>
  <c r="F254" i="9"/>
  <c r="O62" i="9"/>
  <c r="E223" i="9"/>
  <c r="C27" i="9"/>
  <c r="E232" i="9"/>
  <c r="K213" i="9"/>
  <c r="L128" i="9"/>
  <c r="H242" i="9"/>
  <c r="N231" i="9"/>
  <c r="F257" i="9"/>
  <c r="C81" i="9"/>
  <c r="E150" i="9"/>
  <c r="C153" i="9"/>
  <c r="C23" i="9"/>
  <c r="K21" i="3"/>
  <c r="F100" i="9"/>
  <c r="C120" i="9"/>
  <c r="C142" i="9"/>
  <c r="N79" i="9"/>
  <c r="F72" i="9"/>
  <c r="E109" i="9"/>
  <c r="K183" i="9"/>
  <c r="K279" i="9"/>
  <c r="O32" i="3"/>
  <c r="H127" i="9"/>
  <c r="K7" i="3"/>
  <c r="N166" i="9"/>
  <c r="H118" i="9"/>
  <c r="N40" i="9"/>
  <c r="I148" i="9"/>
  <c r="I240" i="9"/>
  <c r="O227" i="9"/>
  <c r="F111" i="9"/>
  <c r="O110" i="9"/>
  <c r="O108" i="9"/>
  <c r="L233" i="9"/>
  <c r="E225" i="9"/>
  <c r="L36" i="9"/>
  <c r="F194" i="9"/>
  <c r="I214" i="9"/>
  <c r="C47" i="9"/>
  <c r="N240" i="9"/>
  <c r="K195" i="9"/>
  <c r="H271" i="9"/>
  <c r="E136" i="9"/>
  <c r="E238" i="9"/>
  <c r="K78" i="9"/>
  <c r="O48" i="3"/>
  <c r="F260" i="9"/>
  <c r="O201" i="9"/>
  <c r="N151" i="9"/>
  <c r="L194" i="9"/>
  <c r="L98" i="9"/>
  <c r="F40" i="9"/>
  <c r="K105" i="9"/>
  <c r="N138" i="9"/>
  <c r="K223" i="9"/>
  <c r="F30" i="9"/>
  <c r="F198" i="9"/>
  <c r="H263" i="9"/>
  <c r="F29" i="9"/>
  <c r="E28" i="9"/>
  <c r="C212" i="9"/>
  <c r="L264" i="9"/>
  <c r="O66" i="9"/>
  <c r="L22" i="9"/>
  <c r="C116" i="9"/>
  <c r="O89" i="9"/>
  <c r="H188" i="9"/>
  <c r="I138" i="9"/>
  <c r="F251" i="9"/>
  <c r="C148" i="9"/>
  <c r="H187" i="9"/>
  <c r="F98" i="9"/>
  <c r="I233" i="9"/>
  <c r="H64" i="9"/>
  <c r="C273" i="9"/>
  <c r="L188" i="9"/>
  <c r="N235" i="9"/>
  <c r="C41" i="9"/>
  <c r="H155" i="9"/>
  <c r="I254" i="9"/>
  <c r="E226" i="9"/>
  <c r="O41" i="3"/>
  <c r="K34" i="3"/>
  <c r="H260" i="9"/>
  <c r="N188" i="9"/>
  <c r="N195" i="9"/>
  <c r="N69" i="9"/>
  <c r="G44" i="3"/>
  <c r="L191" i="9"/>
  <c r="N46" i="9"/>
  <c r="F189" i="9"/>
  <c r="K8" i="5"/>
  <c r="C257" i="9"/>
  <c r="O154" i="9"/>
  <c r="O224" i="9"/>
  <c r="K160" i="9"/>
  <c r="I68" i="9"/>
  <c r="F224" i="9"/>
  <c r="L80" i="9"/>
  <c r="F175" i="9"/>
  <c r="K65" i="9"/>
  <c r="N45" i="9"/>
  <c r="F195" i="9"/>
  <c r="E43" i="9"/>
  <c r="O166" i="9"/>
  <c r="L41" i="9"/>
  <c r="E158" i="9"/>
  <c r="O232" i="9"/>
  <c r="K150" i="9"/>
  <c r="K36" i="3"/>
  <c r="N67" i="9"/>
  <c r="O262" i="9"/>
  <c r="H112" i="9"/>
  <c r="L50" i="9"/>
  <c r="K35" i="3"/>
  <c r="L111" i="9"/>
  <c r="I164" i="9"/>
  <c r="C218" i="9"/>
  <c r="N157" i="9"/>
  <c r="L60" i="9"/>
  <c r="K15" i="3"/>
  <c r="L253" i="9"/>
  <c r="O187" i="9"/>
  <c r="H252" i="9"/>
  <c r="L148" i="9"/>
  <c r="I217" i="9"/>
  <c r="I269" i="9"/>
  <c r="E140" i="9"/>
  <c r="F174" i="9"/>
  <c r="K148" i="9"/>
  <c r="I106" i="9"/>
  <c r="E87" i="9"/>
  <c r="C182" i="9"/>
  <c r="N156" i="9"/>
  <c r="K11" i="5"/>
  <c r="K38" i="3"/>
  <c r="F188" i="9"/>
  <c r="E104" i="9"/>
  <c r="C185" i="9"/>
  <c r="H110" i="9"/>
  <c r="H156" i="9"/>
  <c r="E175" i="9"/>
  <c r="L87" i="9"/>
  <c r="C117" i="9"/>
  <c r="E163" i="9"/>
  <c r="L153" i="9"/>
  <c r="H150" i="9"/>
  <c r="E271" i="9"/>
  <c r="I278" i="9"/>
  <c r="F137" i="9"/>
  <c r="I161" i="9"/>
  <c r="C200" i="9"/>
  <c r="F121" i="9"/>
  <c r="I264" i="9"/>
  <c r="G73" i="3"/>
  <c r="H27" i="9"/>
  <c r="K233" i="9"/>
  <c r="F144" i="9"/>
  <c r="K39" i="9"/>
  <c r="K147" i="9"/>
  <c r="K156" i="9"/>
  <c r="I83" i="9"/>
  <c r="H262" i="9"/>
  <c r="N66" i="9"/>
  <c r="O155" i="9"/>
  <c r="K190" i="9"/>
  <c r="L257" i="9"/>
  <c r="O138" i="9"/>
  <c r="L227" i="9"/>
  <c r="F237" i="9"/>
  <c r="E66" i="9"/>
  <c r="G33" i="3"/>
  <c r="K116" i="9"/>
  <c r="O277" i="9"/>
  <c r="L68" i="9"/>
  <c r="N39" i="9"/>
  <c r="K224" i="9"/>
  <c r="H250" i="9"/>
  <c r="N275" i="9"/>
  <c r="O44" i="3"/>
  <c r="C241" i="9"/>
  <c r="E216" i="9"/>
  <c r="F122" i="9"/>
  <c r="F38" i="9"/>
  <c r="F233" i="9"/>
  <c r="O275" i="9"/>
  <c r="F49" i="9"/>
  <c r="O185" i="9"/>
  <c r="O148" i="9"/>
  <c r="K51" i="9"/>
  <c r="I142" i="9"/>
  <c r="F256" i="9"/>
  <c r="F140" i="9"/>
  <c r="I154" i="9"/>
  <c r="K22" i="3"/>
  <c r="E217" i="9"/>
  <c r="K201" i="9"/>
  <c r="E231" i="9"/>
  <c r="L150" i="9"/>
  <c r="N257" i="9"/>
  <c r="I29" i="9"/>
  <c r="N121" i="9"/>
  <c r="L250" i="9"/>
  <c r="H179" i="9"/>
  <c r="E37" i="9"/>
  <c r="H80" i="9"/>
  <c r="I103" i="9"/>
  <c r="N140" i="9"/>
  <c r="N189" i="9"/>
  <c r="F199" i="9"/>
  <c r="E195" i="9"/>
  <c r="N228" i="9"/>
  <c r="G69" i="3"/>
  <c r="N261" i="9"/>
  <c r="H265" i="9"/>
  <c r="K242" i="9"/>
  <c r="E152" i="9"/>
  <c r="O31" i="9"/>
  <c r="F34" i="9"/>
  <c r="I196" i="9"/>
  <c r="I262" i="9"/>
  <c r="L217" i="9"/>
  <c r="L242" i="9"/>
  <c r="H161" i="9"/>
  <c r="H66" i="9"/>
  <c r="N277" i="9"/>
  <c r="H44" i="9"/>
  <c r="K143" i="9"/>
  <c r="F226" i="9"/>
  <c r="N163" i="9"/>
  <c r="C202" i="9"/>
  <c r="N196" i="9"/>
  <c r="O120" i="9"/>
  <c r="H119" i="9"/>
  <c r="E39" i="9"/>
  <c r="H270" i="9"/>
  <c r="I66" i="9"/>
  <c r="I273" i="9"/>
  <c r="I72" i="9"/>
  <c r="L107" i="9"/>
  <c r="E176" i="9"/>
  <c r="C138" i="9"/>
  <c r="O26" i="9"/>
  <c r="C269" i="9"/>
  <c r="L44" i="9"/>
  <c r="O157" i="9"/>
  <c r="L229" i="9"/>
  <c r="O35" i="9"/>
  <c r="K40" i="3"/>
  <c r="E105" i="9"/>
  <c r="K25" i="9"/>
  <c r="O195" i="9"/>
  <c r="F219" i="9"/>
  <c r="G46" i="3"/>
  <c r="K138" i="9"/>
  <c r="F44" i="9"/>
  <c r="N164" i="9"/>
  <c r="H182" i="9"/>
  <c r="N148" i="9"/>
  <c r="N84" i="9"/>
  <c r="F61" i="9"/>
  <c r="F39" i="9"/>
  <c r="K68" i="3"/>
  <c r="H120" i="9"/>
  <c r="E151" i="9"/>
  <c r="N139" i="9"/>
  <c r="E214" i="9"/>
  <c r="K234" i="9"/>
  <c r="I80" i="9"/>
  <c r="I26" i="9"/>
  <c r="E153" i="9"/>
  <c r="H75" i="9"/>
  <c r="O75" i="9"/>
  <c r="C272" i="9"/>
  <c r="E77" i="9"/>
  <c r="F52" i="9"/>
  <c r="H23" i="9"/>
  <c r="I213" i="9"/>
  <c r="N119" i="9"/>
  <c r="F24" i="9"/>
  <c r="F240" i="9"/>
  <c r="F270" i="9"/>
  <c r="O268" i="9"/>
  <c r="C111" i="9"/>
  <c r="I118" i="9"/>
  <c r="I84" i="9"/>
  <c r="I230" i="9"/>
  <c r="O273" i="9"/>
  <c r="K45" i="9"/>
  <c r="H174" i="9"/>
  <c r="E122" i="9"/>
  <c r="F228" i="9"/>
  <c r="K219" i="9"/>
  <c r="H51" i="9"/>
  <c r="H153" i="9"/>
  <c r="C277" i="9"/>
  <c r="C236" i="9"/>
  <c r="C156" i="9"/>
  <c r="F271" i="9"/>
  <c r="N194" i="9"/>
  <c r="K79" i="9"/>
  <c r="F23" i="9"/>
  <c r="K41" i="9"/>
  <c r="O143" i="9"/>
  <c r="O116" i="9"/>
  <c r="H239" i="9"/>
  <c r="C233" i="9"/>
  <c r="O42" i="9"/>
  <c r="N137" i="9"/>
  <c r="F125" i="9"/>
  <c r="G60" i="3"/>
  <c r="K238" i="9"/>
  <c r="K180" i="9"/>
  <c r="G75" i="3"/>
  <c r="C144" i="9"/>
  <c r="O121" i="9"/>
  <c r="O65" i="9"/>
  <c r="E76" i="9"/>
  <c r="F81" i="9"/>
  <c r="E180" i="9"/>
  <c r="H83" i="9"/>
  <c r="I144" i="9"/>
  <c r="E268" i="9"/>
  <c r="K58" i="3"/>
  <c r="C37" i="9"/>
  <c r="K227" i="9"/>
  <c r="O61" i="3"/>
  <c r="H178" i="9"/>
  <c r="E80" i="9"/>
  <c r="K241" i="9"/>
  <c r="I277" i="9"/>
  <c r="N36" i="9"/>
  <c r="I166" i="9"/>
  <c r="K36" i="9"/>
  <c r="F196" i="9"/>
  <c r="E52" i="9"/>
  <c r="I38" i="9"/>
  <c r="N43" i="9"/>
  <c r="H175" i="9"/>
  <c r="F158" i="9"/>
  <c r="I113" i="9"/>
  <c r="L136" i="9"/>
  <c r="F90" i="9"/>
  <c r="O38" i="9"/>
  <c r="F119" i="9"/>
  <c r="F103" i="9"/>
  <c r="L125" i="9"/>
  <c r="I90" i="9"/>
  <c r="L221" i="9"/>
  <c r="N204" i="9"/>
  <c r="L77" i="9"/>
  <c r="O63" i="3"/>
  <c r="H143" i="9"/>
  <c r="F41" i="9"/>
  <c r="I89" i="9"/>
  <c r="C164" i="9"/>
  <c r="O46" i="3"/>
  <c r="L138" i="9"/>
  <c r="N34" i="9"/>
  <c r="O179" i="9"/>
  <c r="C150" i="9"/>
  <c r="N42" i="9"/>
  <c r="C276" i="9"/>
  <c r="N29" i="9"/>
  <c r="L124" i="9"/>
  <c r="F269" i="9"/>
  <c r="C155" i="9"/>
  <c r="I143" i="9"/>
  <c r="I102" i="9"/>
  <c r="E126" i="9"/>
  <c r="C64" i="9"/>
  <c r="L104" i="9"/>
  <c r="K63" i="9"/>
  <c r="H109" i="9"/>
  <c r="N28" i="9"/>
  <c r="N225" i="9"/>
  <c r="K13" i="5"/>
  <c r="K189" i="9"/>
  <c r="G67" i="3"/>
  <c r="K61" i="9"/>
  <c r="O84" i="9"/>
  <c r="C203" i="9"/>
  <c r="C214" i="9"/>
  <c r="N107" i="9"/>
  <c r="I223" i="9"/>
  <c r="G59" i="3"/>
  <c r="C104" i="9"/>
  <c r="I203" i="9"/>
  <c r="K7" i="5"/>
  <c r="E128" i="9"/>
  <c r="K37" i="3"/>
  <c r="F152" i="9"/>
  <c r="O52" i="9"/>
  <c r="E85" i="9"/>
  <c r="E38" i="9"/>
  <c r="E159" i="9"/>
  <c r="N145" i="9"/>
  <c r="E260" i="9"/>
  <c r="H45" i="9"/>
  <c r="K42" i="3"/>
  <c r="O42" i="3"/>
  <c r="C261" i="9"/>
  <c r="I45" i="9"/>
  <c r="N128" i="9"/>
  <c r="K126" i="9"/>
  <c r="N116" i="9"/>
  <c r="O33" i="9"/>
  <c r="F48" i="9"/>
  <c r="H228" i="9"/>
  <c r="L177" i="9"/>
  <c r="L34" i="9"/>
  <c r="F238" i="9"/>
  <c r="H176" i="9"/>
  <c r="L186" i="9"/>
  <c r="H227" i="9"/>
  <c r="K64" i="3"/>
  <c r="N83" i="9"/>
  <c r="H84" i="9"/>
  <c r="C275" i="9"/>
  <c r="K179" i="9"/>
  <c r="I50" i="9"/>
  <c r="E181" i="9"/>
  <c r="E82" i="9"/>
  <c r="I265" i="9"/>
  <c r="C79" i="9"/>
  <c r="I74" i="9"/>
  <c r="O123" i="9"/>
  <c r="C29" i="9"/>
  <c r="H223" i="9"/>
  <c r="H42" i="9"/>
  <c r="F50" i="9"/>
  <c r="L149" i="9"/>
  <c r="E185" i="9"/>
  <c r="I122" i="9"/>
  <c r="F253" i="9"/>
  <c r="H276" i="9"/>
  <c r="N144" i="9"/>
  <c r="C36" i="9"/>
  <c r="N104" i="9"/>
  <c r="O163" i="9"/>
  <c r="N252" i="9"/>
  <c r="K11" i="3"/>
  <c r="L70" i="9"/>
  <c r="L258" i="9"/>
  <c r="O30" i="9"/>
  <c r="G70" i="3"/>
  <c r="O225" i="9"/>
  <c r="I31" i="9"/>
  <c r="K124" i="9"/>
  <c r="K194" i="9"/>
  <c r="G31" i="3"/>
  <c r="H139" i="9"/>
  <c r="L279" i="9"/>
  <c r="H89" i="9"/>
  <c r="I195" i="9"/>
  <c r="E204" i="9"/>
  <c r="N62" i="9"/>
  <c r="E89" i="9"/>
  <c r="K47" i="3"/>
  <c r="F116" i="9"/>
  <c r="L238" i="9"/>
  <c r="F126" i="9"/>
  <c r="K117" i="9"/>
  <c r="F164" i="9"/>
  <c r="G45" i="3"/>
  <c r="K32" i="3"/>
  <c r="L154" i="9"/>
  <c r="K17" i="3"/>
  <c r="H74" i="9"/>
  <c r="L76" i="9"/>
  <c r="O61" i="9"/>
  <c r="I81" i="9"/>
  <c r="H235" i="9"/>
  <c r="F252" i="9"/>
  <c r="L200" i="9"/>
  <c r="H105" i="9"/>
  <c r="I215" i="9"/>
  <c r="H261" i="9"/>
  <c r="N230" i="9"/>
  <c r="L195" i="9"/>
  <c r="C115" i="9"/>
  <c r="K12" i="5"/>
  <c r="F67" i="9"/>
  <c r="K81" i="9"/>
  <c r="L230" i="9"/>
  <c r="O257" i="9"/>
  <c r="L23" i="9"/>
  <c r="K70" i="9"/>
  <c r="N125" i="9"/>
  <c r="E110" i="9"/>
  <c r="E67" i="9"/>
  <c r="K178" i="9"/>
  <c r="C30" i="9"/>
  <c r="I128" i="9"/>
  <c r="L180" i="9"/>
  <c r="E148" i="9"/>
  <c r="K17" i="5"/>
  <c r="O237" i="9"/>
  <c r="H280" i="9"/>
  <c r="N165" i="9"/>
  <c r="C74" i="9"/>
  <c r="G50" i="3"/>
  <c r="K19" i="3"/>
  <c r="O189" i="9"/>
  <c r="E254" i="9"/>
  <c r="K48" i="3"/>
  <c r="C100" i="9"/>
  <c r="K153" i="9"/>
  <c r="E114" i="9"/>
  <c r="N31" i="9"/>
  <c r="I218" i="9"/>
  <c r="H192" i="9"/>
  <c r="N81" i="9"/>
  <c r="I75" i="9"/>
  <c r="L71" i="9"/>
  <c r="O25" i="9"/>
  <c r="K231" i="9"/>
  <c r="H81" i="9"/>
  <c r="O141" i="9"/>
  <c r="L190" i="9"/>
  <c r="C227" i="9"/>
  <c r="F115" i="9"/>
  <c r="H52" i="9"/>
  <c r="L139" i="9"/>
  <c r="E115" i="9"/>
  <c r="C72" i="9"/>
  <c r="E166" i="9"/>
  <c r="K114" i="9"/>
  <c r="K64" i="9"/>
  <c r="O67" i="3"/>
  <c r="O160" i="9"/>
  <c r="O102" i="9"/>
  <c r="I63" i="9"/>
  <c r="O153" i="9"/>
  <c r="F76" i="9"/>
  <c r="C103" i="9"/>
  <c r="K9" i="5"/>
  <c r="N152" i="9"/>
  <c r="I109" i="9"/>
  <c r="L31" i="9"/>
  <c r="F145" i="9"/>
  <c r="N73" i="9"/>
  <c r="N192" i="9"/>
  <c r="F127" i="9"/>
  <c r="O136" i="9"/>
  <c r="C259" i="9"/>
  <c r="F82" i="9"/>
  <c r="N222" i="9"/>
  <c r="E147" i="9"/>
  <c r="H72" i="9"/>
  <c r="K113" i="9"/>
  <c r="L74" i="9"/>
  <c r="F262" i="9"/>
  <c r="N71" i="9"/>
  <c r="K25" i="5"/>
  <c r="I116" i="9"/>
  <c r="I111" i="9"/>
  <c r="O74" i="9"/>
  <c r="N111" i="9"/>
  <c r="O109" i="9"/>
  <c r="H102" i="9"/>
  <c r="C201" i="9"/>
  <c r="N223" i="9"/>
  <c r="N87" i="9"/>
  <c r="F201" i="9"/>
  <c r="I99" i="9"/>
  <c r="G66" i="3"/>
  <c r="C197" i="9"/>
  <c r="N258" i="9"/>
  <c r="C267" i="9"/>
  <c r="N101" i="9"/>
  <c r="N60" i="9"/>
  <c r="H251" i="9"/>
  <c r="I136" i="9"/>
  <c r="H43" i="9"/>
  <c r="K193" i="9"/>
  <c r="N201" i="9"/>
  <c r="K276" i="9"/>
  <c r="H259" i="9"/>
  <c r="L120" i="9"/>
  <c r="O238" i="9"/>
  <c r="G39" i="3"/>
  <c r="L277" i="9"/>
  <c r="K49" i="9"/>
  <c r="O156" i="9"/>
  <c r="I76" i="9"/>
  <c r="N158" i="9"/>
  <c r="K44" i="3"/>
  <c r="L236" i="9"/>
  <c r="K8" i="3"/>
  <c r="C87" i="9"/>
  <c r="K23" i="9"/>
  <c r="L184" i="9"/>
  <c r="O278" i="9"/>
  <c r="H275" i="9"/>
  <c r="O242" i="9"/>
  <c r="E25" i="9"/>
  <c r="H144" i="9"/>
  <c r="N118" i="9"/>
  <c r="L271" i="9"/>
  <c r="K258" i="9"/>
  <c r="H140" i="9"/>
  <c r="E218" i="9"/>
  <c r="K45" i="3"/>
  <c r="I261" i="9"/>
  <c r="I62" i="9"/>
  <c r="I24" i="9"/>
  <c r="I114" i="9"/>
  <c r="K158" i="9"/>
  <c r="C80" i="9"/>
  <c r="E227" i="9"/>
  <c r="L155" i="9"/>
  <c r="I158" i="9"/>
  <c r="N146" i="9"/>
  <c r="O47" i="9"/>
  <c r="N109" i="9"/>
  <c r="L45" i="9"/>
  <c r="L197" i="9"/>
  <c r="N241" i="9"/>
  <c r="E29" i="9"/>
  <c r="F267" i="9"/>
  <c r="F204" i="9"/>
  <c r="L183" i="9"/>
  <c r="K101" i="9"/>
  <c r="K196" i="9"/>
  <c r="L28" i="9"/>
  <c r="O34" i="9"/>
  <c r="I86" i="9"/>
  <c r="K128" i="9"/>
  <c r="N136" i="9"/>
  <c r="H226" i="9"/>
  <c r="F146" i="9"/>
  <c r="O103" i="9"/>
  <c r="E78" i="9"/>
  <c r="I183" i="9"/>
  <c r="L103" i="9"/>
  <c r="L109" i="9"/>
  <c r="K60" i="3"/>
  <c r="K141" i="9"/>
  <c r="O258" i="9"/>
  <c r="N250" i="9"/>
  <c r="C253" i="9"/>
  <c r="L234" i="9"/>
  <c r="C176" i="9"/>
  <c r="L226" i="9"/>
  <c r="E220" i="9"/>
  <c r="C68" i="9"/>
  <c r="N105" i="9"/>
  <c r="N180" i="9"/>
  <c r="F166" i="9"/>
  <c r="F258" i="9"/>
  <c r="C98" i="9"/>
  <c r="E194" i="9"/>
  <c r="O107" i="9"/>
  <c r="N61" i="9"/>
  <c r="N99" i="9"/>
  <c r="O49" i="3"/>
  <c r="C151" i="9"/>
  <c r="L123" i="9"/>
  <c r="L48" i="9"/>
  <c r="E154" i="9"/>
  <c r="L156" i="9"/>
  <c r="E84" i="9"/>
  <c r="E45" i="9"/>
  <c r="F163" i="9"/>
  <c r="N224" i="9"/>
  <c r="O60" i="3"/>
  <c r="G34" i="3"/>
  <c r="F191" i="9"/>
  <c r="H104" i="9"/>
  <c r="L174" i="9"/>
  <c r="E278" i="9"/>
  <c r="K75" i="9"/>
  <c r="F277" i="9"/>
  <c r="I182" i="9"/>
  <c r="C45" i="9"/>
  <c r="N122" i="9"/>
  <c r="E222" i="9"/>
  <c r="F35" i="9"/>
  <c r="F157" i="9"/>
  <c r="K41" i="3"/>
  <c r="O65" i="3"/>
  <c r="O161" i="9"/>
  <c r="L270" i="9"/>
  <c r="I266" i="9"/>
  <c r="F203" i="9"/>
  <c r="K20" i="3"/>
  <c r="O220" i="9"/>
  <c r="H138" i="9"/>
  <c r="O177" i="9"/>
  <c r="H159" i="9"/>
  <c r="O113" i="9"/>
  <c r="I157" i="9"/>
  <c r="H163" i="9"/>
  <c r="K50" i="9"/>
  <c r="C186" i="9"/>
  <c r="H177" i="9"/>
  <c r="N143" i="9"/>
  <c r="E199" i="9"/>
  <c r="O39" i="9"/>
  <c r="O56" i="3"/>
  <c r="E219" i="9"/>
  <c r="I185" i="9"/>
  <c r="O214" i="9"/>
  <c r="C60" i="9"/>
  <c r="C82" i="9"/>
  <c r="C157" i="9"/>
  <c r="I137" i="9"/>
  <c r="H216" i="9"/>
  <c r="K187" i="9"/>
  <c r="L63" i="9"/>
  <c r="K71" i="3"/>
  <c r="O29" i="9"/>
  <c r="I232" i="9"/>
  <c r="E273" i="9"/>
  <c r="H115" i="9"/>
  <c r="L269" i="9"/>
  <c r="L42" i="9"/>
  <c r="O276" i="9"/>
  <c r="E160" i="9"/>
  <c r="I159" i="9"/>
  <c r="L199" i="9"/>
  <c r="C191" i="9"/>
  <c r="L267" i="9"/>
  <c r="K6" i="3"/>
  <c r="O118" i="9"/>
  <c r="K239" i="9"/>
  <c r="N37" i="9"/>
  <c r="K63" i="3"/>
  <c r="C71" i="9"/>
  <c r="C50" i="9"/>
  <c r="O128" i="9"/>
  <c r="K52" i="9"/>
  <c r="O181" i="9"/>
  <c r="H78" i="9"/>
  <c r="F63" i="9"/>
  <c r="I121" i="9"/>
  <c r="K260" i="9"/>
  <c r="E51" i="9"/>
  <c r="F139" i="9"/>
  <c r="K152" i="9"/>
  <c r="H48" i="9"/>
  <c r="K65" i="3"/>
  <c r="N178" i="9"/>
  <c r="I78" i="9"/>
  <c r="L235" i="9"/>
  <c r="O63" i="9"/>
  <c r="O43" i="3"/>
  <c r="O250" i="9"/>
  <c r="F83" i="9"/>
  <c r="O59" i="3"/>
  <c r="K102" i="9"/>
  <c r="H274" i="9"/>
  <c r="H213" i="9"/>
  <c r="E138" i="9"/>
  <c r="I155" i="9"/>
  <c r="L100" i="9"/>
  <c r="L219" i="9"/>
  <c r="F105" i="9"/>
  <c r="K12" i="3"/>
  <c r="K88" i="9"/>
  <c r="F107" i="9"/>
  <c r="O251" i="9"/>
  <c r="G48" i="3"/>
  <c r="I23" i="9"/>
  <c r="O90" i="9"/>
  <c r="I228" i="9"/>
  <c r="C106" i="9"/>
  <c r="K163" i="9"/>
  <c r="H41" i="9"/>
  <c r="F276" i="9"/>
  <c r="L101" i="9"/>
  <c r="F124" i="9"/>
  <c r="L66" i="9"/>
  <c r="E112" i="9"/>
  <c r="E88" i="9"/>
  <c r="C225" i="9"/>
  <c r="H61" i="9"/>
  <c r="I117" i="9"/>
  <c r="C118" i="9"/>
  <c r="K108" i="9"/>
  <c r="L162" i="9"/>
  <c r="F101" i="9"/>
  <c r="K76" i="9"/>
  <c r="C143" i="9"/>
  <c r="O40" i="9"/>
  <c r="F177" i="9"/>
  <c r="G49" i="3"/>
  <c r="C251" i="9"/>
  <c r="O266" i="9"/>
  <c r="L46" i="9"/>
  <c r="E186" i="9"/>
  <c r="N263" i="9"/>
  <c r="C125" i="9"/>
  <c r="H166" i="9"/>
  <c r="O117" i="9"/>
  <c r="I267" i="9"/>
  <c r="I36" i="9"/>
  <c r="O28" i="9"/>
  <c r="H152" i="9"/>
  <c r="C78" i="9"/>
  <c r="E70" i="9"/>
  <c r="F32" i="9"/>
  <c r="K159" i="9"/>
  <c r="F217" i="9"/>
  <c r="O51" i="9"/>
  <c r="H30" i="9"/>
  <c r="H219" i="9"/>
  <c r="G72" i="3"/>
  <c r="G37" i="3"/>
  <c r="I236" i="9"/>
  <c r="H85" i="9"/>
  <c r="O45" i="3"/>
  <c r="L108" i="9"/>
  <c r="I235" i="9"/>
  <c r="L185" i="9"/>
  <c r="K43" i="9"/>
  <c r="L260" i="9"/>
  <c r="N102" i="9"/>
  <c r="L164" i="9"/>
  <c r="I42" i="9"/>
  <c r="L82" i="9"/>
  <c r="O73" i="9"/>
  <c r="E275" i="9"/>
  <c r="F70" i="9"/>
  <c r="N259" i="9"/>
  <c r="L255" i="9"/>
  <c r="I224" i="9"/>
  <c r="E60" i="9"/>
  <c r="I202" i="9"/>
  <c r="H238" i="9"/>
  <c r="K20" i="5"/>
  <c r="N126" i="9"/>
  <c r="F104" i="9"/>
  <c r="E212" i="9"/>
  <c r="F268" i="9"/>
  <c r="C279" i="9"/>
  <c r="K15" i="5"/>
  <c r="F232" i="9"/>
  <c r="K162" i="9"/>
  <c r="L266" i="9"/>
  <c r="E121" i="9"/>
  <c r="H39" i="9"/>
  <c r="F193" i="9"/>
  <c r="F65" i="9"/>
  <c r="C222" i="9"/>
  <c r="N221" i="9"/>
  <c r="C256" i="9"/>
  <c r="G35" i="3"/>
  <c r="N268" i="9"/>
  <c r="O47" i="3"/>
  <c r="F37" i="9"/>
  <c r="O215" i="9"/>
  <c r="L26" i="9"/>
  <c r="K267" i="9"/>
  <c r="G57" i="3"/>
  <c r="H35" i="9"/>
  <c r="O178" i="9"/>
  <c r="O105" i="9"/>
  <c r="L239" i="9"/>
  <c r="L274" i="9"/>
  <c r="I227" i="9"/>
  <c r="I191" i="9"/>
  <c r="N86" i="9"/>
  <c r="H98" i="9"/>
  <c r="K146" i="9"/>
  <c r="E156" i="9"/>
  <c r="K104" i="9"/>
  <c r="I239" i="9"/>
  <c r="K77" i="9"/>
  <c r="I241" i="9"/>
  <c r="E178" i="9"/>
  <c r="H100" i="9"/>
  <c r="K75" i="3"/>
  <c r="O267" i="9"/>
  <c r="K73" i="9"/>
  <c r="O159" i="9"/>
  <c r="N182" i="9"/>
  <c r="I256" i="9"/>
  <c r="E149" i="9"/>
  <c r="L214" i="9"/>
  <c r="O48" i="9"/>
  <c r="K84" i="9"/>
  <c r="I147" i="9"/>
  <c r="N174" i="9"/>
  <c r="L121" i="9"/>
  <c r="O34" i="3"/>
  <c r="O139" i="9"/>
  <c r="H67" i="9"/>
  <c r="G40" i="3"/>
  <c r="H69" i="9"/>
  <c r="E203" i="9"/>
  <c r="O270" i="9"/>
  <c r="H49" i="9"/>
  <c r="K125" i="9"/>
  <c r="H46" i="9"/>
  <c r="C34" i="9"/>
  <c r="C230" i="9"/>
  <c r="H197" i="9"/>
  <c r="F263" i="9"/>
  <c r="K257" i="9"/>
  <c r="O164" i="9"/>
  <c r="N264" i="9"/>
  <c r="O184" i="9"/>
  <c r="H34" i="9"/>
  <c r="I219" i="9"/>
  <c r="C166" i="9"/>
  <c r="H279" i="9"/>
  <c r="L69" i="9"/>
  <c r="C35" i="9"/>
  <c r="E118" i="9"/>
  <c r="L43" i="9"/>
  <c r="H50" i="9"/>
  <c r="H181" i="9"/>
  <c r="E73" i="9"/>
  <c r="L278" i="9"/>
  <c r="K182" i="9"/>
  <c r="C187" i="9"/>
  <c r="K119" i="9"/>
  <c r="K177" i="9"/>
  <c r="E279" i="9"/>
  <c r="H113" i="9"/>
  <c r="L157" i="9"/>
  <c r="N193" i="9"/>
  <c r="K175" i="9"/>
  <c r="L127" i="9"/>
  <c r="E257" i="9"/>
  <c r="F279" i="9"/>
  <c r="K74" i="9"/>
  <c r="I180" i="9"/>
  <c r="K139" i="9"/>
  <c r="E71" i="9"/>
  <c r="E34" i="9"/>
  <c r="I229" i="9"/>
  <c r="F109" i="9"/>
  <c r="O74" i="3"/>
  <c r="E241" i="9"/>
  <c r="K33" i="9"/>
  <c r="E98" i="9"/>
  <c r="E267" i="9"/>
  <c r="E190" i="9"/>
  <c r="C220" i="9"/>
  <c r="E62" i="9"/>
  <c r="I105" i="9"/>
  <c r="K29" i="9"/>
  <c r="F43" i="9"/>
  <c r="C40" i="9"/>
  <c r="L110" i="9"/>
  <c r="F31" i="9"/>
  <c r="I192" i="9"/>
  <c r="H116" i="9"/>
  <c r="E48" i="9"/>
  <c r="O231" i="9"/>
  <c r="F218" i="9"/>
  <c r="K48" i="9"/>
  <c r="E240" i="9"/>
  <c r="I141" i="9"/>
  <c r="O222" i="9"/>
  <c r="E236" i="9"/>
  <c r="I33" i="9"/>
  <c r="E41" i="9"/>
  <c r="E157" i="9"/>
  <c r="C250" i="9"/>
  <c r="C85" i="9"/>
  <c r="N27" i="9"/>
  <c r="N175" i="9"/>
  <c r="K82" i="9"/>
  <c r="F85" i="9"/>
  <c r="F236" i="9"/>
  <c r="M85" i="9" l="1"/>
  <c r="J85" i="9"/>
  <c r="G85" i="9"/>
  <c r="D85" i="9"/>
  <c r="J250" i="9"/>
  <c r="D250" i="9"/>
  <c r="M250" i="9"/>
  <c r="C282" i="9"/>
  <c r="G250" i="9"/>
  <c r="M40" i="9"/>
  <c r="D40" i="9"/>
  <c r="G40" i="9"/>
  <c r="J40" i="9"/>
  <c r="D220" i="9"/>
  <c r="M220" i="9"/>
  <c r="G220" i="9"/>
  <c r="J220" i="9"/>
  <c r="R74" i="3"/>
  <c r="P74" i="3"/>
  <c r="Q74" i="3"/>
  <c r="D187" i="9"/>
  <c r="M187" i="9"/>
  <c r="G187" i="9"/>
  <c r="J187" i="9"/>
  <c r="G35" i="9"/>
  <c r="M35" i="9"/>
  <c r="J35" i="9"/>
  <c r="D35" i="9"/>
  <c r="G166" i="9"/>
  <c r="D166" i="9"/>
  <c r="M166" i="9"/>
  <c r="J166" i="9"/>
  <c r="G230" i="9"/>
  <c r="D230" i="9"/>
  <c r="M230" i="9"/>
  <c r="J230" i="9"/>
  <c r="G34" i="9"/>
  <c r="D34" i="9"/>
  <c r="J34" i="9"/>
  <c r="M34" i="9"/>
  <c r="H40" i="3"/>
  <c r="J40" i="3"/>
  <c r="I40" i="3"/>
  <c r="Q34" i="3"/>
  <c r="R34" i="3"/>
  <c r="P34" i="3"/>
  <c r="L75" i="3"/>
  <c r="N75" i="3"/>
  <c r="M75" i="3"/>
  <c r="J57" i="3"/>
  <c r="H57" i="3"/>
  <c r="I57" i="3"/>
  <c r="P47" i="3"/>
  <c r="R47" i="3"/>
  <c r="Q47" i="3"/>
  <c r="J35" i="3"/>
  <c r="I35" i="3"/>
  <c r="H35" i="3"/>
  <c r="D256" i="9"/>
  <c r="J256" i="9"/>
  <c r="M256" i="9"/>
  <c r="G256" i="9"/>
  <c r="J222" i="9"/>
  <c r="D222" i="9"/>
  <c r="M222" i="9"/>
  <c r="G222" i="9"/>
  <c r="M15" i="5"/>
  <c r="L15" i="5"/>
  <c r="N15" i="5"/>
  <c r="G279" i="9"/>
  <c r="M279" i="9"/>
  <c r="J279" i="9"/>
  <c r="D279" i="9"/>
  <c r="L20" i="5"/>
  <c r="N20" i="5"/>
  <c r="M20" i="5"/>
  <c r="R45" i="3"/>
  <c r="Q45" i="3"/>
  <c r="P45" i="3"/>
  <c r="J37" i="3"/>
  <c r="I37" i="3"/>
  <c r="H37" i="3"/>
  <c r="I72" i="3"/>
  <c r="J72" i="3"/>
  <c r="H72" i="3"/>
  <c r="J78" i="9"/>
  <c r="G78" i="9"/>
  <c r="M78" i="9"/>
  <c r="D78" i="9"/>
  <c r="D125" i="9"/>
  <c r="G125" i="9"/>
  <c r="J125" i="9"/>
  <c r="M125" i="9"/>
  <c r="G251" i="9"/>
  <c r="D251" i="9"/>
  <c r="M251" i="9"/>
  <c r="J251" i="9"/>
  <c r="J49" i="3"/>
  <c r="H49" i="3"/>
  <c r="I49" i="3"/>
  <c r="G143" i="9"/>
  <c r="D143" i="9"/>
  <c r="M143" i="9"/>
  <c r="J143" i="9"/>
  <c r="J118" i="9"/>
  <c r="M118" i="9"/>
  <c r="D118" i="9"/>
  <c r="G118" i="9"/>
  <c r="J225" i="9"/>
  <c r="D225" i="9"/>
  <c r="G225" i="9"/>
  <c r="M225" i="9"/>
  <c r="D106" i="9"/>
  <c r="J106" i="9"/>
  <c r="G106" i="9"/>
  <c r="M106" i="9"/>
  <c r="H48" i="3"/>
  <c r="J48" i="3"/>
  <c r="I48" i="3"/>
  <c r="N12" i="3"/>
  <c r="L12" i="3"/>
  <c r="M12" i="3"/>
  <c r="Q59" i="3"/>
  <c r="P59" i="3"/>
  <c r="R59" i="3"/>
  <c r="O282" i="9"/>
  <c r="N282" i="9" s="1"/>
  <c r="M14" i="9" s="1"/>
  <c r="R43" i="3"/>
  <c r="Q43" i="3"/>
  <c r="P43" i="3"/>
  <c r="L65" i="3"/>
  <c r="M65" i="3"/>
  <c r="N65" i="3"/>
  <c r="J50" i="9"/>
  <c r="G50" i="9"/>
  <c r="M50" i="9"/>
  <c r="D50" i="9"/>
  <c r="M71" i="9"/>
  <c r="J71" i="9"/>
  <c r="D71" i="9"/>
  <c r="G71" i="9"/>
  <c r="N63" i="3"/>
  <c r="M63" i="3"/>
  <c r="L63" i="3"/>
  <c r="M6" i="3"/>
  <c r="N6" i="3"/>
  <c r="L6" i="3"/>
  <c r="D191" i="9"/>
  <c r="G191" i="9"/>
  <c r="M191" i="9"/>
  <c r="J191" i="9"/>
  <c r="N71" i="3"/>
  <c r="L71" i="3"/>
  <c r="M71" i="3"/>
  <c r="M157" i="9"/>
  <c r="G157" i="9"/>
  <c r="J157" i="9"/>
  <c r="D157" i="9"/>
  <c r="M82" i="9"/>
  <c r="D82" i="9"/>
  <c r="J82" i="9"/>
  <c r="G82" i="9"/>
  <c r="G60" i="9"/>
  <c r="C92" i="9"/>
  <c r="M60" i="9"/>
  <c r="J60" i="9"/>
  <c r="D60" i="9"/>
  <c r="P56" i="3"/>
  <c r="Q56" i="3"/>
  <c r="R56" i="3"/>
  <c r="G186" i="9"/>
  <c r="M186" i="9"/>
  <c r="J186" i="9"/>
  <c r="D186" i="9"/>
  <c r="N20" i="3"/>
  <c r="M20" i="3"/>
  <c r="L20" i="3"/>
  <c r="Q65" i="3"/>
  <c r="R65" i="3"/>
  <c r="P65" i="3"/>
  <c r="L41" i="3"/>
  <c r="N41" i="3"/>
  <c r="M41" i="3"/>
  <c r="J45" i="9"/>
  <c r="M45" i="9"/>
  <c r="G45" i="9"/>
  <c r="D45" i="9"/>
  <c r="L206" i="9"/>
  <c r="K206" i="9" s="1"/>
  <c r="J8" i="9" s="1"/>
  <c r="H34" i="3"/>
  <c r="J34" i="3"/>
  <c r="I34" i="3"/>
  <c r="P60" i="3"/>
  <c r="R60" i="3"/>
  <c r="Q60" i="3"/>
  <c r="J151" i="9"/>
  <c r="G151" i="9"/>
  <c r="M151" i="9"/>
  <c r="D151" i="9"/>
  <c r="R49" i="3"/>
  <c r="P49" i="3"/>
  <c r="Q49" i="3"/>
  <c r="C130" i="9"/>
  <c r="J98" i="9"/>
  <c r="G98" i="9"/>
  <c r="M98" i="9"/>
  <c r="D98" i="9"/>
  <c r="D68" i="9"/>
  <c r="M68" i="9"/>
  <c r="G68" i="9"/>
  <c r="J68" i="9"/>
  <c r="M176" i="9"/>
  <c r="J176" i="9"/>
  <c r="G176" i="9"/>
  <c r="D176" i="9"/>
  <c r="M253" i="9"/>
  <c r="D253" i="9"/>
  <c r="J253" i="9"/>
  <c r="G253" i="9"/>
  <c r="L60" i="3"/>
  <c r="M60" i="3"/>
  <c r="N60" i="3"/>
  <c r="J80" i="9"/>
  <c r="G80" i="9"/>
  <c r="M80" i="9"/>
  <c r="D80" i="9"/>
  <c r="N45" i="3"/>
  <c r="L45" i="3"/>
  <c r="M45" i="3"/>
  <c r="G87" i="9"/>
  <c r="M87" i="9"/>
  <c r="D87" i="9"/>
  <c r="J87" i="9"/>
  <c r="M8" i="3"/>
  <c r="N8" i="3"/>
  <c r="L8" i="3"/>
  <c r="M44" i="3"/>
  <c r="L44" i="3"/>
  <c r="N44" i="3"/>
  <c r="I39" i="3"/>
  <c r="J39" i="3"/>
  <c r="H39" i="3"/>
  <c r="I168" i="9"/>
  <c r="H168" i="9" s="1"/>
  <c r="G12" i="9" s="1"/>
  <c r="M267" i="9"/>
  <c r="D267" i="9"/>
  <c r="G267" i="9"/>
  <c r="J267" i="9"/>
  <c r="J197" i="9"/>
  <c r="D197" i="9"/>
  <c r="G197" i="9"/>
  <c r="M197" i="9"/>
  <c r="J66" i="3"/>
  <c r="I66" i="3"/>
  <c r="H66" i="3"/>
  <c r="G201" i="9"/>
  <c r="M201" i="9"/>
  <c r="D201" i="9"/>
  <c r="J201" i="9"/>
  <c r="M25" i="5"/>
  <c r="L25" i="5"/>
  <c r="N25" i="5"/>
  <c r="M259" i="9"/>
  <c r="G259" i="9"/>
  <c r="D259" i="9"/>
  <c r="J259" i="9"/>
  <c r="O168" i="9"/>
  <c r="N168" i="9" s="1"/>
  <c r="M12" i="9" s="1"/>
  <c r="L9" i="5"/>
  <c r="N9" i="5"/>
  <c r="M9" i="5"/>
  <c r="M103" i="9"/>
  <c r="J103" i="9"/>
  <c r="D103" i="9"/>
  <c r="G103" i="9"/>
  <c r="R67" i="3"/>
  <c r="P67" i="3"/>
  <c r="Q67" i="3"/>
  <c r="M72" i="9"/>
  <c r="J72" i="9"/>
  <c r="G72" i="9"/>
  <c r="D72" i="9"/>
  <c r="G227" i="9"/>
  <c r="M227" i="9"/>
  <c r="D227" i="9"/>
  <c r="J227" i="9"/>
  <c r="G100" i="9"/>
  <c r="M100" i="9"/>
  <c r="D100" i="9"/>
  <c r="J100" i="9"/>
  <c r="M48" i="3"/>
  <c r="L48" i="3"/>
  <c r="N48" i="3"/>
  <c r="L19" i="3"/>
  <c r="M19" i="3"/>
  <c r="N19" i="3"/>
  <c r="J50" i="3"/>
  <c r="I50" i="3"/>
  <c r="H50" i="3"/>
  <c r="M74" i="9"/>
  <c r="J74" i="9"/>
  <c r="D74" i="9"/>
  <c r="G74" i="9"/>
  <c r="M17" i="5"/>
  <c r="L17" i="5"/>
  <c r="N17" i="5"/>
  <c r="J30" i="9"/>
  <c r="D30" i="9"/>
  <c r="G30" i="9"/>
  <c r="M30" i="9"/>
  <c r="N12" i="5"/>
  <c r="L12" i="5"/>
  <c r="M12" i="5"/>
  <c r="D115" i="9"/>
  <c r="M115" i="9"/>
  <c r="G115" i="9"/>
  <c r="J115" i="9"/>
  <c r="M17" i="3"/>
  <c r="N17" i="3"/>
  <c r="L17" i="3"/>
  <c r="N32" i="3"/>
  <c r="L32" i="3"/>
  <c r="M32" i="3"/>
  <c r="H45" i="3"/>
  <c r="J45" i="3"/>
  <c r="I45" i="3"/>
  <c r="L47" i="3"/>
  <c r="N47" i="3"/>
  <c r="M47" i="3"/>
  <c r="I31" i="3"/>
  <c r="H31" i="3"/>
  <c r="J31" i="3"/>
  <c r="J70" i="3"/>
  <c r="I70" i="3"/>
  <c r="H70" i="3"/>
  <c r="M11" i="3"/>
  <c r="L11" i="3"/>
  <c r="N11" i="3"/>
  <c r="M36" i="9"/>
  <c r="J36" i="9"/>
  <c r="G36" i="9"/>
  <c r="D36" i="9"/>
  <c r="M29" i="9"/>
  <c r="D29" i="9"/>
  <c r="J29" i="9"/>
  <c r="G29" i="9"/>
  <c r="D79" i="9"/>
  <c r="M79" i="9"/>
  <c r="G79" i="9"/>
  <c r="J79" i="9"/>
  <c r="J275" i="9"/>
  <c r="G275" i="9"/>
  <c r="D275" i="9"/>
  <c r="M275" i="9"/>
  <c r="L64" i="3"/>
  <c r="M64" i="3"/>
  <c r="N64" i="3"/>
  <c r="J261" i="9"/>
  <c r="G261" i="9"/>
  <c r="M261" i="9"/>
  <c r="D261" i="9"/>
  <c r="P42" i="3"/>
  <c r="Q42" i="3"/>
  <c r="R42" i="3"/>
  <c r="N42" i="3"/>
  <c r="L42" i="3"/>
  <c r="M42" i="3"/>
  <c r="N37" i="3"/>
  <c r="M37" i="3"/>
  <c r="L37" i="3"/>
  <c r="M7" i="5"/>
  <c r="L7" i="5"/>
  <c r="N7" i="5"/>
  <c r="J104" i="9"/>
  <c r="G104" i="9"/>
  <c r="M104" i="9"/>
  <c r="D104" i="9"/>
  <c r="H59" i="3"/>
  <c r="I59" i="3"/>
  <c r="J59" i="3"/>
  <c r="G214" i="9"/>
  <c r="D214" i="9"/>
  <c r="M214" i="9"/>
  <c r="J214" i="9"/>
  <c r="G203" i="9"/>
  <c r="J203" i="9"/>
  <c r="D203" i="9"/>
  <c r="M203" i="9"/>
  <c r="H67" i="3"/>
  <c r="J67" i="3"/>
  <c r="I67" i="3"/>
  <c r="N13" i="5"/>
  <c r="M13" i="5"/>
  <c r="L13" i="5"/>
  <c r="M64" i="9"/>
  <c r="G64" i="9"/>
  <c r="J64" i="9"/>
  <c r="D64" i="9"/>
  <c r="D155" i="9"/>
  <c r="M155" i="9"/>
  <c r="G155" i="9"/>
  <c r="J155" i="9"/>
  <c r="M276" i="9"/>
  <c r="D276" i="9"/>
  <c r="G276" i="9"/>
  <c r="J276" i="9"/>
  <c r="G150" i="9"/>
  <c r="D150" i="9"/>
  <c r="M150" i="9"/>
  <c r="J150" i="9"/>
  <c r="P46" i="3"/>
  <c r="R46" i="3"/>
  <c r="Q46" i="3"/>
  <c r="J164" i="9"/>
  <c r="D164" i="9"/>
  <c r="M164" i="9"/>
  <c r="G164" i="9"/>
  <c r="R63" i="3"/>
  <c r="P63" i="3"/>
  <c r="Q63" i="3"/>
  <c r="L168" i="9"/>
  <c r="K168" i="9" s="1"/>
  <c r="J12" i="9" s="1"/>
  <c r="P61" i="3"/>
  <c r="Q61" i="3"/>
  <c r="R61" i="3"/>
  <c r="D37" i="9"/>
  <c r="J37" i="9"/>
  <c r="M37" i="9"/>
  <c r="G37" i="9"/>
  <c r="M58" i="3"/>
  <c r="L58" i="3"/>
  <c r="N58" i="3"/>
  <c r="J144" i="9"/>
  <c r="G144" i="9"/>
  <c r="D144" i="9"/>
  <c r="M144" i="9"/>
  <c r="I75" i="3"/>
  <c r="H75" i="3"/>
  <c r="J75" i="3"/>
  <c r="I60" i="3"/>
  <c r="J60" i="3"/>
  <c r="H60" i="3"/>
  <c r="D233" i="9"/>
  <c r="M233" i="9"/>
  <c r="G233" i="9"/>
  <c r="J233" i="9"/>
  <c r="J156" i="9"/>
  <c r="M156" i="9"/>
  <c r="G156" i="9"/>
  <c r="D156" i="9"/>
  <c r="M236" i="9"/>
  <c r="J236" i="9"/>
  <c r="D236" i="9"/>
  <c r="G236" i="9"/>
  <c r="J277" i="9"/>
  <c r="G277" i="9"/>
  <c r="D277" i="9"/>
  <c r="M277" i="9"/>
  <c r="G111" i="9"/>
  <c r="J111" i="9"/>
  <c r="D111" i="9"/>
  <c r="M111" i="9"/>
  <c r="M272" i="9"/>
  <c r="J272" i="9"/>
  <c r="G272" i="9"/>
  <c r="D272" i="9"/>
  <c r="M68" i="3"/>
  <c r="L68" i="3"/>
  <c r="N68" i="3"/>
  <c r="J46" i="3"/>
  <c r="H46" i="3"/>
  <c r="I46" i="3"/>
  <c r="N40" i="3"/>
  <c r="L40" i="3"/>
  <c r="M40" i="3"/>
  <c r="D269" i="9"/>
  <c r="J269" i="9"/>
  <c r="G269" i="9"/>
  <c r="M269" i="9"/>
  <c r="J138" i="9"/>
  <c r="D138" i="9"/>
  <c r="M138" i="9"/>
  <c r="G138" i="9"/>
  <c r="J202" i="9"/>
  <c r="D202" i="9"/>
  <c r="M202" i="9"/>
  <c r="G202" i="9"/>
  <c r="H69" i="3"/>
  <c r="I69" i="3"/>
  <c r="J69" i="3"/>
  <c r="L282" i="9"/>
  <c r="K282" i="9" s="1"/>
  <c r="J14" i="9" s="1"/>
  <c r="M22" i="3"/>
  <c r="N22" i="3"/>
  <c r="L22" i="3"/>
  <c r="G241" i="9"/>
  <c r="D241" i="9"/>
  <c r="J241" i="9"/>
  <c r="M241" i="9"/>
  <c r="Q44" i="3"/>
  <c r="R44" i="3"/>
  <c r="P44" i="3"/>
  <c r="J33" i="3"/>
  <c r="I33" i="3"/>
  <c r="H33" i="3"/>
  <c r="J73" i="3"/>
  <c r="I73" i="3"/>
  <c r="H73" i="3"/>
  <c r="J200" i="9"/>
  <c r="D200" i="9"/>
  <c r="G200" i="9"/>
  <c r="M200" i="9"/>
  <c r="M117" i="9"/>
  <c r="G117" i="9"/>
  <c r="J117" i="9"/>
  <c r="D117" i="9"/>
  <c r="M185" i="9"/>
  <c r="G185" i="9"/>
  <c r="J185" i="9"/>
  <c r="D185" i="9"/>
  <c r="N38" i="3"/>
  <c r="M38" i="3"/>
  <c r="L38" i="3"/>
  <c r="M11" i="5"/>
  <c r="N11" i="5"/>
  <c r="L11" i="5"/>
  <c r="M182" i="9"/>
  <c r="J182" i="9"/>
  <c r="G182" i="9"/>
  <c r="D182" i="9"/>
  <c r="F206" i="9"/>
  <c r="E206" i="9" s="1"/>
  <c r="D8" i="9" s="1"/>
  <c r="M15" i="3"/>
  <c r="L15" i="3"/>
  <c r="N15" i="3"/>
  <c r="L92" i="9"/>
  <c r="K92" i="9" s="1"/>
  <c r="J4" i="9" s="1"/>
  <c r="M218" i="9"/>
  <c r="G218" i="9"/>
  <c r="D218" i="9"/>
  <c r="J218" i="9"/>
  <c r="M35" i="3"/>
  <c r="L35" i="3"/>
  <c r="N35" i="3"/>
  <c r="L36" i="3"/>
  <c r="N36" i="3"/>
  <c r="M36" i="3"/>
  <c r="J257" i="9"/>
  <c r="G257" i="9"/>
  <c r="M257" i="9"/>
  <c r="D257" i="9"/>
  <c r="L8" i="5"/>
  <c r="M8" i="5"/>
  <c r="N8" i="5"/>
  <c r="J44" i="3"/>
  <c r="H44" i="3"/>
  <c r="I44" i="3"/>
  <c r="M34" i="3"/>
  <c r="N34" i="3"/>
  <c r="L34" i="3"/>
  <c r="Q41" i="3"/>
  <c r="R41" i="3"/>
  <c r="P41" i="3"/>
  <c r="D41" i="9"/>
  <c r="G41" i="9"/>
  <c r="M41" i="9"/>
  <c r="J41" i="9"/>
  <c r="G273" i="9"/>
  <c r="M273" i="9"/>
  <c r="J273" i="9"/>
  <c r="D273" i="9"/>
  <c r="F130" i="9"/>
  <c r="E130" i="9" s="1"/>
  <c r="D6" i="9" s="1"/>
  <c r="D148" i="9"/>
  <c r="J148" i="9"/>
  <c r="G148" i="9"/>
  <c r="M148" i="9"/>
  <c r="D116" i="9"/>
  <c r="M116" i="9"/>
  <c r="G116" i="9"/>
  <c r="J116" i="9"/>
  <c r="L54" i="9"/>
  <c r="K54" i="9" s="1"/>
  <c r="J16" i="9" s="1"/>
  <c r="J212" i="9"/>
  <c r="G212" i="9"/>
  <c r="C244" i="9"/>
  <c r="D212" i="9"/>
  <c r="M212" i="9"/>
  <c r="L130" i="9"/>
  <c r="K130" i="9" s="1"/>
  <c r="J6" i="9" s="1"/>
  <c r="Q48" i="3"/>
  <c r="R48" i="3"/>
  <c r="P48" i="3"/>
  <c r="J47" i="9"/>
  <c r="D47" i="9"/>
  <c r="M47" i="9"/>
  <c r="G47" i="9"/>
  <c r="L7" i="3"/>
  <c r="N7" i="3"/>
  <c r="M7" i="3"/>
  <c r="R32" i="3"/>
  <c r="P32" i="3"/>
  <c r="Q32" i="3"/>
  <c r="D142" i="9"/>
  <c r="M142" i="9"/>
  <c r="J142" i="9"/>
  <c r="G142" i="9"/>
  <c r="J120" i="9"/>
  <c r="M120" i="9"/>
  <c r="G120" i="9"/>
  <c r="D120" i="9"/>
  <c r="L21" i="3"/>
  <c r="N21" i="3"/>
  <c r="M21" i="3"/>
  <c r="J23" i="9"/>
  <c r="M23" i="9"/>
  <c r="G23" i="9"/>
  <c r="D23" i="9"/>
  <c r="G153" i="9"/>
  <c r="J153" i="9"/>
  <c r="D153" i="9"/>
  <c r="M153" i="9"/>
  <c r="J81" i="9"/>
  <c r="G81" i="9"/>
  <c r="D81" i="9"/>
  <c r="M81" i="9"/>
  <c r="M27" i="9"/>
  <c r="D27" i="9"/>
  <c r="J27" i="9"/>
  <c r="G27" i="9"/>
  <c r="Q38" i="3"/>
  <c r="R38" i="3"/>
  <c r="P38" i="3"/>
  <c r="O130" i="9"/>
  <c r="N130" i="9" s="1"/>
  <c r="M6" i="9" s="1"/>
  <c r="Q50" i="3"/>
  <c r="R50" i="3"/>
  <c r="P50" i="3"/>
  <c r="M114" i="9"/>
  <c r="D114" i="9"/>
  <c r="G114" i="9"/>
  <c r="J114" i="9"/>
  <c r="D44" i="9"/>
  <c r="G44" i="9"/>
  <c r="J44" i="9"/>
  <c r="M44" i="9"/>
  <c r="I282" i="9"/>
  <c r="H282" i="9" s="1"/>
  <c r="G14" i="9" s="1"/>
  <c r="M76" i="9"/>
  <c r="D76" i="9"/>
  <c r="J76" i="9"/>
  <c r="G76" i="9"/>
  <c r="J240" i="9"/>
  <c r="G240" i="9"/>
  <c r="M240" i="9"/>
  <c r="D240" i="9"/>
  <c r="J71" i="3"/>
  <c r="H71" i="3"/>
  <c r="I71" i="3"/>
  <c r="D127" i="9"/>
  <c r="J127" i="9"/>
  <c r="G127" i="9"/>
  <c r="M127" i="9"/>
  <c r="N61" i="3"/>
  <c r="L61" i="3"/>
  <c r="M61" i="3"/>
  <c r="D238" i="9"/>
  <c r="J238" i="9"/>
  <c r="G238" i="9"/>
  <c r="M238" i="9"/>
  <c r="M84" i="9"/>
  <c r="G84" i="9"/>
  <c r="J84" i="9"/>
  <c r="D84" i="9"/>
  <c r="N19" i="5"/>
  <c r="M19" i="5"/>
  <c r="L19" i="5"/>
  <c r="L23" i="3"/>
  <c r="N23" i="3"/>
  <c r="M23" i="3"/>
  <c r="D271" i="9"/>
  <c r="J271" i="9"/>
  <c r="M271" i="9"/>
  <c r="G271" i="9"/>
  <c r="Q40" i="3"/>
  <c r="R40" i="3"/>
  <c r="P40" i="3"/>
  <c r="M217" i="9"/>
  <c r="D217" i="9"/>
  <c r="J217" i="9"/>
  <c r="G217" i="9"/>
  <c r="R36" i="3"/>
  <c r="P36" i="3"/>
  <c r="Q36" i="3"/>
  <c r="J32" i="3"/>
  <c r="I32" i="3"/>
  <c r="H32" i="3"/>
  <c r="G239" i="9"/>
  <c r="J239" i="9"/>
  <c r="D239" i="9"/>
  <c r="M239" i="9"/>
  <c r="M43" i="9"/>
  <c r="G43" i="9"/>
  <c r="D43" i="9"/>
  <c r="J43" i="9"/>
  <c r="G189" i="9"/>
  <c r="D189" i="9"/>
  <c r="J189" i="9"/>
  <c r="M189" i="9"/>
  <c r="N16" i="5"/>
  <c r="M16" i="5"/>
  <c r="L16" i="5"/>
  <c r="J224" i="9"/>
  <c r="M224" i="9"/>
  <c r="G224" i="9"/>
  <c r="D224" i="9"/>
  <c r="M83" i="9"/>
  <c r="J83" i="9"/>
  <c r="G83" i="9"/>
  <c r="D83" i="9"/>
  <c r="D75" i="9"/>
  <c r="M75" i="9"/>
  <c r="J75" i="9"/>
  <c r="G75" i="9"/>
  <c r="N21" i="5"/>
  <c r="L21" i="5"/>
  <c r="M21" i="5"/>
  <c r="J149" i="9"/>
  <c r="M149" i="9"/>
  <c r="G149" i="9"/>
  <c r="D149" i="9"/>
  <c r="O54" i="9"/>
  <c r="N54" i="9" s="1"/>
  <c r="M16" i="9" s="1"/>
  <c r="J65" i="9"/>
  <c r="G65" i="9"/>
  <c r="D65" i="9"/>
  <c r="M65" i="9"/>
  <c r="M24" i="3"/>
  <c r="N24" i="3"/>
  <c r="L24" i="3"/>
  <c r="D26" i="9"/>
  <c r="M26" i="9"/>
  <c r="J26" i="9"/>
  <c r="G26" i="9"/>
  <c r="O92" i="9"/>
  <c r="N92" i="9" s="1"/>
  <c r="M4" i="9" s="1"/>
  <c r="D193" i="9"/>
  <c r="G193" i="9"/>
  <c r="J193" i="9"/>
  <c r="M193" i="9"/>
  <c r="I61" i="3"/>
  <c r="J61" i="3"/>
  <c r="H61" i="3"/>
  <c r="J183" i="9"/>
  <c r="D183" i="9"/>
  <c r="M183" i="9"/>
  <c r="G183" i="9"/>
  <c r="G160" i="9"/>
  <c r="D160" i="9"/>
  <c r="J160" i="9"/>
  <c r="M160" i="9"/>
  <c r="G215" i="9"/>
  <c r="M215" i="9"/>
  <c r="J215" i="9"/>
  <c r="D215" i="9"/>
  <c r="R75" i="3"/>
  <c r="Q75" i="3"/>
  <c r="P75" i="3"/>
  <c r="G66" i="9"/>
  <c r="M66" i="9"/>
  <c r="D66" i="9"/>
  <c r="J66" i="9"/>
  <c r="J49" i="9"/>
  <c r="G49" i="9"/>
  <c r="D49" i="9"/>
  <c r="M49" i="9"/>
  <c r="J262" i="9"/>
  <c r="G262" i="9"/>
  <c r="M262" i="9"/>
  <c r="D262" i="9"/>
  <c r="G159" i="9"/>
  <c r="M159" i="9"/>
  <c r="J159" i="9"/>
  <c r="D159" i="9"/>
  <c r="L13" i="3"/>
  <c r="N13" i="3"/>
  <c r="M13" i="3"/>
  <c r="M121" i="9"/>
  <c r="D121" i="9"/>
  <c r="G121" i="9"/>
  <c r="J121" i="9"/>
  <c r="J42" i="3"/>
  <c r="H42" i="3"/>
  <c r="I42" i="3"/>
  <c r="M274" i="9"/>
  <c r="J274" i="9"/>
  <c r="G274" i="9"/>
  <c r="D274" i="9"/>
  <c r="D204" i="9"/>
  <c r="M204" i="9"/>
  <c r="G204" i="9"/>
  <c r="J204" i="9"/>
  <c r="J163" i="9"/>
  <c r="D163" i="9"/>
  <c r="M163" i="9"/>
  <c r="G163" i="9"/>
  <c r="N25" i="3"/>
  <c r="M25" i="3"/>
  <c r="L25" i="3"/>
  <c r="H64" i="3"/>
  <c r="J64" i="3"/>
  <c r="I64" i="3"/>
  <c r="D101" i="9"/>
  <c r="M101" i="9"/>
  <c r="J101" i="9"/>
  <c r="G101" i="9"/>
  <c r="G86" i="9"/>
  <c r="J86" i="9"/>
  <c r="M86" i="9"/>
  <c r="D86" i="9"/>
  <c r="L43" i="3"/>
  <c r="M43" i="3"/>
  <c r="N43" i="3"/>
  <c r="N39" i="3"/>
  <c r="L39" i="3"/>
  <c r="M39" i="3"/>
  <c r="M126" i="9"/>
  <c r="D126" i="9"/>
  <c r="G126" i="9"/>
  <c r="J126" i="9"/>
  <c r="L10" i="5"/>
  <c r="M10" i="5"/>
  <c r="N10" i="5"/>
  <c r="M88" i="9"/>
  <c r="G88" i="9"/>
  <c r="D88" i="9"/>
  <c r="J88" i="9"/>
  <c r="F54" i="9"/>
  <c r="M102" i="9"/>
  <c r="G102" i="9"/>
  <c r="D102" i="9"/>
  <c r="J102" i="9"/>
  <c r="J112" i="9"/>
  <c r="M112" i="9"/>
  <c r="G112" i="9"/>
  <c r="D112" i="9"/>
  <c r="M265" i="9"/>
  <c r="J265" i="9"/>
  <c r="D265" i="9"/>
  <c r="G265" i="9"/>
  <c r="N33" i="3"/>
  <c r="M33" i="3"/>
  <c r="L33" i="3"/>
  <c r="I92" i="9"/>
  <c r="H92" i="9" s="1"/>
  <c r="G4" i="9" s="1"/>
  <c r="I244" i="9"/>
  <c r="H244" i="9" s="1"/>
  <c r="G10" i="9" s="1"/>
  <c r="M24" i="5"/>
  <c r="L24" i="5"/>
  <c r="N24" i="5"/>
  <c r="L14" i="5"/>
  <c r="M14" i="5"/>
  <c r="N14" i="5"/>
  <c r="N49" i="3"/>
  <c r="L49" i="3"/>
  <c r="M49" i="3"/>
  <c r="H38" i="3"/>
  <c r="I38" i="3"/>
  <c r="J38" i="3"/>
  <c r="H58" i="3"/>
  <c r="J58" i="3"/>
  <c r="I58" i="3"/>
  <c r="N18" i="5"/>
  <c r="L18" i="5"/>
  <c r="M18" i="5"/>
  <c r="L57" i="3"/>
  <c r="M57" i="3"/>
  <c r="N57" i="3"/>
  <c r="H56" i="3"/>
  <c r="J56" i="3"/>
  <c r="I56" i="3"/>
  <c r="J266" i="9"/>
  <c r="M266" i="9"/>
  <c r="D266" i="9"/>
  <c r="G266" i="9"/>
  <c r="D105" i="9"/>
  <c r="M105" i="9"/>
  <c r="G105" i="9"/>
  <c r="J105" i="9"/>
  <c r="M72" i="3"/>
  <c r="N72" i="3"/>
  <c r="L72" i="3"/>
  <c r="J89" i="9"/>
  <c r="D89" i="9"/>
  <c r="M89" i="9"/>
  <c r="G89" i="9"/>
  <c r="G145" i="9"/>
  <c r="D145" i="9"/>
  <c r="J145" i="9"/>
  <c r="M145" i="9"/>
  <c r="M6" i="5"/>
  <c r="N6" i="5"/>
  <c r="L6" i="5"/>
  <c r="G219" i="9"/>
  <c r="D219" i="9"/>
  <c r="M219" i="9"/>
  <c r="J219" i="9"/>
  <c r="D24" i="9"/>
  <c r="M24" i="9"/>
  <c r="G24" i="9"/>
  <c r="J24" i="9"/>
  <c r="I43" i="3"/>
  <c r="H43" i="3"/>
  <c r="J43" i="3"/>
  <c r="I54" i="9"/>
  <c r="H54" i="9" s="1"/>
  <c r="G16" i="9" s="1"/>
  <c r="M146" i="9"/>
  <c r="D146" i="9"/>
  <c r="J146" i="9"/>
  <c r="G146" i="9"/>
  <c r="J46" i="9"/>
  <c r="M46" i="9"/>
  <c r="D46" i="9"/>
  <c r="G46" i="9"/>
  <c r="L244" i="9"/>
  <c r="K244" i="9" s="1"/>
  <c r="J10" i="9" s="1"/>
  <c r="D99" i="9"/>
  <c r="J99" i="9"/>
  <c r="M99" i="9"/>
  <c r="G99" i="9"/>
  <c r="D108" i="9"/>
  <c r="M108" i="9"/>
  <c r="G108" i="9"/>
  <c r="J108" i="9"/>
  <c r="G61" i="9"/>
  <c r="M61" i="9"/>
  <c r="J61" i="9"/>
  <c r="D61" i="9"/>
  <c r="L62" i="3"/>
  <c r="M62" i="3"/>
  <c r="N62" i="3"/>
  <c r="D188" i="9"/>
  <c r="G188" i="9"/>
  <c r="J188" i="9"/>
  <c r="M188" i="9"/>
  <c r="D39" i="9"/>
  <c r="M39" i="9"/>
  <c r="G39" i="9"/>
  <c r="J39" i="9"/>
  <c r="L66" i="3"/>
  <c r="N66" i="3"/>
  <c r="M66" i="3"/>
  <c r="D181" i="9"/>
  <c r="M181" i="9"/>
  <c r="G181" i="9"/>
  <c r="J181" i="9"/>
  <c r="H36" i="3"/>
  <c r="J36" i="3"/>
  <c r="I36" i="3"/>
  <c r="G199" i="9"/>
  <c r="J199" i="9"/>
  <c r="D199" i="9"/>
  <c r="M199" i="9"/>
  <c r="C168" i="9"/>
  <c r="G136" i="9"/>
  <c r="M136" i="9"/>
  <c r="J136" i="9"/>
  <c r="D136" i="9"/>
  <c r="O206" i="9"/>
  <c r="N206" i="9" s="1"/>
  <c r="M8" i="9" s="1"/>
  <c r="G228" i="9"/>
  <c r="M228" i="9"/>
  <c r="J228" i="9"/>
  <c r="D228" i="9"/>
  <c r="J270" i="9"/>
  <c r="D270" i="9"/>
  <c r="G270" i="9"/>
  <c r="M270" i="9"/>
  <c r="D137" i="9"/>
  <c r="M137" i="9"/>
  <c r="J137" i="9"/>
  <c r="G137" i="9"/>
  <c r="D213" i="9"/>
  <c r="G213" i="9"/>
  <c r="J213" i="9"/>
  <c r="M213" i="9"/>
  <c r="J63" i="3"/>
  <c r="H63" i="3"/>
  <c r="I63" i="3"/>
  <c r="L16" i="3"/>
  <c r="N16" i="3"/>
  <c r="M16" i="3"/>
  <c r="J107" i="9"/>
  <c r="D107" i="9"/>
  <c r="M107" i="9"/>
  <c r="G107" i="9"/>
  <c r="J62" i="9"/>
  <c r="D62" i="9"/>
  <c r="M62" i="9"/>
  <c r="G62" i="9"/>
  <c r="D113" i="9"/>
  <c r="J113" i="9"/>
  <c r="G113" i="9"/>
  <c r="M113" i="9"/>
  <c r="L10" i="3"/>
  <c r="N10" i="3"/>
  <c r="M10" i="3"/>
  <c r="R58" i="3"/>
  <c r="Q58" i="3"/>
  <c r="P58" i="3"/>
  <c r="M119" i="9"/>
  <c r="J119" i="9"/>
  <c r="D119" i="9"/>
  <c r="G119" i="9"/>
  <c r="M70" i="9"/>
  <c r="G70" i="9"/>
  <c r="D70" i="9"/>
  <c r="J70" i="9"/>
  <c r="N70" i="3"/>
  <c r="L70" i="3"/>
  <c r="M70" i="3"/>
  <c r="J31" i="9"/>
  <c r="M31" i="9"/>
  <c r="D31" i="9"/>
  <c r="G31" i="9"/>
  <c r="J162" i="9"/>
  <c r="G162" i="9"/>
  <c r="M162" i="9"/>
  <c r="D162" i="9"/>
  <c r="G260" i="9"/>
  <c r="J260" i="9"/>
  <c r="M260" i="9"/>
  <c r="D260" i="9"/>
  <c r="D195" i="9"/>
  <c r="M195" i="9"/>
  <c r="G195" i="9"/>
  <c r="J195" i="9"/>
  <c r="M221" i="9"/>
  <c r="D221" i="9"/>
  <c r="G221" i="9"/>
  <c r="J221" i="9"/>
  <c r="L14" i="3"/>
  <c r="M14" i="3"/>
  <c r="N14" i="3"/>
  <c r="O244" i="9"/>
  <c r="N244" i="9" s="1"/>
  <c r="M10" i="9" s="1"/>
  <c r="D109" i="9"/>
  <c r="M109" i="9"/>
  <c r="G109" i="9"/>
  <c r="J109" i="9"/>
  <c r="G67" i="9"/>
  <c r="D67" i="9"/>
  <c r="M67" i="9"/>
  <c r="J67" i="9"/>
  <c r="J69" i="9"/>
  <c r="D69" i="9"/>
  <c r="M69" i="9"/>
  <c r="G69" i="9"/>
  <c r="G73" i="9"/>
  <c r="D73" i="9"/>
  <c r="M73" i="9"/>
  <c r="J73" i="9"/>
  <c r="J235" i="9"/>
  <c r="G235" i="9"/>
  <c r="D235" i="9"/>
  <c r="M235" i="9"/>
  <c r="J110" i="9"/>
  <c r="G110" i="9"/>
  <c r="D110" i="9"/>
  <c r="M110" i="9"/>
  <c r="N46" i="3"/>
  <c r="L46" i="3"/>
  <c r="M46" i="3"/>
  <c r="J268" i="9"/>
  <c r="G268" i="9"/>
  <c r="M268" i="9"/>
  <c r="D268" i="9"/>
  <c r="R33" i="3"/>
  <c r="P33" i="3"/>
  <c r="Q33" i="3"/>
  <c r="Q70" i="3"/>
  <c r="R70" i="3"/>
  <c r="P70" i="3"/>
  <c r="Q35" i="3"/>
  <c r="P35" i="3"/>
  <c r="R35" i="3"/>
  <c r="M73" i="3"/>
  <c r="L73" i="3"/>
  <c r="N73" i="3"/>
  <c r="G90" i="9"/>
  <c r="D90" i="9"/>
  <c r="J90" i="9"/>
  <c r="M90" i="9"/>
  <c r="J223" i="9"/>
  <c r="M223" i="9"/>
  <c r="D223" i="9"/>
  <c r="G223" i="9"/>
  <c r="M152" i="9"/>
  <c r="G152" i="9"/>
  <c r="J152" i="9"/>
  <c r="D152" i="9"/>
  <c r="J33" i="9"/>
  <c r="M33" i="9"/>
  <c r="D33" i="9"/>
  <c r="G33" i="9"/>
  <c r="G179" i="9"/>
  <c r="M179" i="9"/>
  <c r="J179" i="9"/>
  <c r="D179" i="9"/>
  <c r="M154" i="9"/>
  <c r="J154" i="9"/>
  <c r="D154" i="9"/>
  <c r="G154" i="9"/>
  <c r="G216" i="9"/>
  <c r="M216" i="9"/>
  <c r="D216" i="9"/>
  <c r="J216" i="9"/>
  <c r="P69" i="3"/>
  <c r="Q69" i="3"/>
  <c r="R69" i="3"/>
  <c r="F92" i="9"/>
  <c r="E92" i="9" s="1"/>
  <c r="D4" i="9" s="1"/>
  <c r="J174" i="9"/>
  <c r="M174" i="9"/>
  <c r="G174" i="9"/>
  <c r="D174" i="9"/>
  <c r="C206" i="9"/>
  <c r="M158" i="9"/>
  <c r="J158" i="9"/>
  <c r="D158" i="9"/>
  <c r="G158" i="9"/>
  <c r="J198" i="9"/>
  <c r="M198" i="9"/>
  <c r="G198" i="9"/>
  <c r="D198" i="9"/>
  <c r="H74" i="3"/>
  <c r="I74" i="3"/>
  <c r="J74" i="3"/>
  <c r="M139" i="9"/>
  <c r="D139" i="9"/>
  <c r="G139" i="9"/>
  <c r="J139" i="9"/>
  <c r="M28" i="9"/>
  <c r="G28" i="9"/>
  <c r="J28" i="9"/>
  <c r="D28" i="9"/>
  <c r="G180" i="9"/>
  <c r="D180" i="9"/>
  <c r="M180" i="9"/>
  <c r="J180" i="9"/>
  <c r="Q37" i="3"/>
  <c r="P37" i="3"/>
  <c r="R37" i="3"/>
  <c r="M229" i="9"/>
  <c r="J229" i="9"/>
  <c r="D229" i="9"/>
  <c r="G229" i="9"/>
  <c r="P39" i="3"/>
  <c r="Q39" i="3"/>
  <c r="R39" i="3"/>
  <c r="D42" i="9"/>
  <c r="M42" i="9"/>
  <c r="J42" i="9"/>
  <c r="G42" i="9"/>
  <c r="M161" i="9"/>
  <c r="G161" i="9"/>
  <c r="D161" i="9"/>
  <c r="J161" i="9"/>
  <c r="M48" i="9"/>
  <c r="G48" i="9"/>
  <c r="D48" i="9"/>
  <c r="J48" i="9"/>
  <c r="M50" i="3"/>
  <c r="L50" i="3"/>
  <c r="N50" i="3"/>
  <c r="R62" i="3"/>
  <c r="Q62" i="3"/>
  <c r="P62" i="3"/>
  <c r="J51" i="9"/>
  <c r="G51" i="9"/>
  <c r="M51" i="9"/>
  <c r="D51" i="9"/>
  <c r="D122" i="9"/>
  <c r="G122" i="9"/>
  <c r="M122" i="9"/>
  <c r="J122" i="9"/>
  <c r="D25" i="9"/>
  <c r="G25" i="9"/>
  <c r="M25" i="9"/>
  <c r="J25" i="9"/>
  <c r="J252" i="9"/>
  <c r="M252" i="9"/>
  <c r="G252" i="9"/>
  <c r="D252" i="9"/>
  <c r="G190" i="9"/>
  <c r="M190" i="9"/>
  <c r="D190" i="9"/>
  <c r="J190" i="9"/>
  <c r="P68" i="3"/>
  <c r="R68" i="3"/>
  <c r="Q68" i="3"/>
  <c r="G77" i="9"/>
  <c r="D77" i="9"/>
  <c r="J77" i="9"/>
  <c r="M77" i="9"/>
  <c r="N23" i="5"/>
  <c r="M23" i="5"/>
  <c r="L23" i="5"/>
  <c r="N31" i="3"/>
  <c r="M31" i="3"/>
  <c r="L31" i="3"/>
  <c r="F282" i="9"/>
  <c r="E282" i="9" s="1"/>
  <c r="D14" i="9" s="1"/>
  <c r="J165" i="9"/>
  <c r="G165" i="9"/>
  <c r="M165" i="9"/>
  <c r="D165" i="9"/>
  <c r="F168" i="9"/>
  <c r="E168" i="9" s="1"/>
  <c r="D12" i="9" s="1"/>
  <c r="J232" i="9"/>
  <c r="D232" i="9"/>
  <c r="M232" i="9"/>
  <c r="G232" i="9"/>
  <c r="M32" i="9"/>
  <c r="J32" i="9"/>
  <c r="G32" i="9"/>
  <c r="D32" i="9"/>
  <c r="F244" i="9"/>
  <c r="E244" i="9" s="1"/>
  <c r="D10" i="9" s="1"/>
  <c r="J231" i="9"/>
  <c r="D231" i="9"/>
  <c r="M231" i="9"/>
  <c r="G231" i="9"/>
  <c r="M128" i="9"/>
  <c r="J128" i="9"/>
  <c r="G128" i="9"/>
  <c r="D128" i="9"/>
  <c r="H68" i="3"/>
  <c r="I68" i="3"/>
  <c r="J68" i="3"/>
  <c r="G196" i="9"/>
  <c r="J196" i="9"/>
  <c r="M196" i="9"/>
  <c r="D196" i="9"/>
  <c r="D178" i="9"/>
  <c r="J178" i="9"/>
  <c r="M178" i="9"/>
  <c r="G178" i="9"/>
  <c r="Q57" i="3"/>
  <c r="R57" i="3"/>
  <c r="P57" i="3"/>
  <c r="G194" i="9"/>
  <c r="J194" i="9"/>
  <c r="D194" i="9"/>
  <c r="M194" i="9"/>
  <c r="Q64" i="3"/>
  <c r="P64" i="3"/>
  <c r="R64" i="3"/>
  <c r="D258" i="9"/>
  <c r="J258" i="9"/>
  <c r="M258" i="9"/>
  <c r="G258" i="9"/>
  <c r="N74" i="3"/>
  <c r="M74" i="3"/>
  <c r="L74" i="3"/>
  <c r="J192" i="9"/>
  <c r="M192" i="9"/>
  <c r="D192" i="9"/>
  <c r="G192" i="9"/>
  <c r="J175" i="9"/>
  <c r="M175" i="9"/>
  <c r="G175" i="9"/>
  <c r="D175" i="9"/>
  <c r="J41" i="3"/>
  <c r="H41" i="3"/>
  <c r="I41" i="3"/>
  <c r="J237" i="9"/>
  <c r="G237" i="9"/>
  <c r="D237" i="9"/>
  <c r="M237" i="9"/>
  <c r="Q72" i="3"/>
  <c r="R72" i="3"/>
  <c r="P72" i="3"/>
  <c r="I206" i="9"/>
  <c r="H206" i="9" s="1"/>
  <c r="G8" i="9" s="1"/>
  <c r="J63" i="9"/>
  <c r="M63" i="9"/>
  <c r="D63" i="9"/>
  <c r="G63" i="9"/>
  <c r="R73" i="3"/>
  <c r="Q73" i="3"/>
  <c r="P73" i="3"/>
  <c r="M56" i="3"/>
  <c r="L56" i="3"/>
  <c r="N56" i="3"/>
  <c r="D263" i="9"/>
  <c r="M263" i="9"/>
  <c r="J263" i="9"/>
  <c r="G263" i="9"/>
  <c r="M255" i="9"/>
  <c r="D255" i="9"/>
  <c r="J255" i="9"/>
  <c r="G255" i="9"/>
  <c r="H62" i="3"/>
  <c r="I62" i="3"/>
  <c r="J62" i="3"/>
  <c r="M254" i="9"/>
  <c r="G254" i="9"/>
  <c r="J254" i="9"/>
  <c r="D254" i="9"/>
  <c r="G123" i="9"/>
  <c r="D123" i="9"/>
  <c r="M123" i="9"/>
  <c r="J123" i="9"/>
  <c r="P66" i="3"/>
  <c r="R66" i="3"/>
  <c r="Q66" i="3"/>
  <c r="M264" i="9"/>
  <c r="J264" i="9"/>
  <c r="D264" i="9"/>
  <c r="G264" i="9"/>
  <c r="J278" i="9"/>
  <c r="G278" i="9"/>
  <c r="M278" i="9"/>
  <c r="D278" i="9"/>
  <c r="I130" i="9"/>
  <c r="H130" i="9" s="1"/>
  <c r="G6" i="9" s="1"/>
  <c r="M38" i="9"/>
  <c r="G38" i="9"/>
  <c r="J38" i="9"/>
  <c r="D38" i="9"/>
  <c r="D124" i="9"/>
  <c r="G124" i="9"/>
  <c r="M124" i="9"/>
  <c r="J124" i="9"/>
  <c r="G147" i="9"/>
  <c r="M147" i="9"/>
  <c r="D147" i="9"/>
  <c r="J147" i="9"/>
  <c r="J65" i="3"/>
  <c r="I65" i="3"/>
  <c r="H65" i="3"/>
  <c r="J22" i="9"/>
  <c r="D22" i="9"/>
  <c r="C54" i="9"/>
  <c r="G22" i="9"/>
  <c r="M22" i="9"/>
  <c r="N22" i="5"/>
  <c r="M22" i="5"/>
  <c r="L22" i="5"/>
  <c r="N69" i="3"/>
  <c r="L69" i="3"/>
  <c r="M69" i="3"/>
  <c r="N9" i="3"/>
  <c r="L9" i="3"/>
  <c r="M9" i="3"/>
  <c r="L67" i="3"/>
  <c r="M67" i="3"/>
  <c r="N67" i="3"/>
  <c r="M140" i="9"/>
  <c r="D140" i="9"/>
  <c r="G140" i="9"/>
  <c r="J140" i="9"/>
  <c r="M234" i="9"/>
  <c r="D234" i="9"/>
  <c r="J234" i="9"/>
  <c r="G234" i="9"/>
  <c r="L59" i="3"/>
  <c r="M59" i="3"/>
  <c r="N59" i="3"/>
  <c r="R71" i="3"/>
  <c r="P71" i="3"/>
  <c r="Q71" i="3"/>
  <c r="M18" i="3"/>
  <c r="L18" i="3"/>
  <c r="N18" i="3"/>
  <c r="G184" i="9"/>
  <c r="D184" i="9"/>
  <c r="J184" i="9"/>
  <c r="M184" i="9"/>
  <c r="J177" i="9"/>
  <c r="M177" i="9"/>
  <c r="D177" i="9"/>
  <c r="G177" i="9"/>
  <c r="J226" i="9"/>
  <c r="D226" i="9"/>
  <c r="G226" i="9"/>
  <c r="M226" i="9"/>
  <c r="M52" i="9"/>
  <c r="J52" i="9"/>
  <c r="D52" i="9"/>
  <c r="G52" i="9"/>
  <c r="G141" i="9"/>
  <c r="J141" i="9"/>
  <c r="D141" i="9"/>
  <c r="M141" i="9"/>
  <c r="M280" i="9"/>
  <c r="D280" i="9"/>
  <c r="G280" i="9"/>
  <c r="J280" i="9"/>
  <c r="J47" i="3"/>
  <c r="I47" i="3"/>
  <c r="H47" i="3"/>
  <c r="G242" i="9"/>
  <c r="J242" i="9"/>
  <c r="M242" i="9"/>
  <c r="D242" i="9"/>
  <c r="R31" i="3"/>
  <c r="Q31" i="3"/>
  <c r="P31" i="3"/>
  <c r="D54" i="9" l="1"/>
  <c r="D244" i="9"/>
  <c r="M54" i="9"/>
  <c r="J54" i="9"/>
  <c r="D206" i="9"/>
  <c r="J168" i="9"/>
  <c r="M130" i="9"/>
  <c r="M92" i="9"/>
  <c r="J206" i="9"/>
  <c r="D168" i="9"/>
  <c r="G54" i="9"/>
  <c r="G206" i="9"/>
  <c r="M168" i="9"/>
  <c r="E54" i="9"/>
  <c r="D16" i="9" s="1"/>
  <c r="B12" i="9" s="1"/>
  <c r="B7" i="9"/>
  <c r="B6" i="9"/>
  <c r="B5" i="9"/>
  <c r="B16" i="9"/>
  <c r="B14" i="9"/>
  <c r="B3" i="9"/>
  <c r="B15" i="9"/>
  <c r="B13" i="9"/>
  <c r="B10" i="9"/>
  <c r="B9" i="9"/>
  <c r="B4" i="9"/>
  <c r="G244" i="9"/>
  <c r="G130" i="9"/>
  <c r="M282" i="9"/>
  <c r="M206" i="9"/>
  <c r="G168" i="9"/>
  <c r="M244" i="9"/>
  <c r="J244" i="9"/>
  <c r="J130" i="9"/>
  <c r="D92" i="9"/>
  <c r="G92" i="9"/>
  <c r="D282" i="9"/>
  <c r="D130" i="9"/>
  <c r="J92" i="9"/>
  <c r="G282" i="9"/>
  <c r="J282" i="9"/>
  <c r="B8" i="9" l="1"/>
  <c r="B11" i="9"/>
</calcChain>
</file>

<file path=xl/sharedStrings.xml><?xml version="1.0" encoding="utf-8"?>
<sst xmlns="http://schemas.openxmlformats.org/spreadsheetml/2006/main" count="6002" uniqueCount="367">
  <si>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</si>
  <si>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</si>
  <si>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</si>
  <si>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</si>
  <si>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</si>
  <si>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</si>
  <si>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</si>
  <si>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</si>
  <si>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</si>
  <si>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</si>
  <si>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</si>
  <si>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</si>
  <si>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</si>
  <si>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</si>
  <si>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</si>
  <si>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</si>
  <si>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</si>
  <si>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</si>
  <si>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</si>
  <si>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</si>
  <si>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</si>
  <si>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</si>
  <si>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</si>
  <si>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</si>
  <si>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</si>
  <si>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</si>
  <si>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</si>
  <si>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</si>
  <si>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</si>
  <si>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</si>
  <si>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</si>
  <si>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</si>
  <si>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</si>
  <si>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</si>
  <si>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</si>
  <si>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</si>
  <si>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</si>
  <si>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</si>
  <si>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</si>
  <si>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</si>
  <si>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</si>
  <si>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</si>
  <si>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</si>
  <si>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</si>
  <si>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</si>
  <si>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</si>
  <si>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</si>
  <si>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</si>
  <si>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</si>
  <si>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</si>
  <si>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</si>
  <si>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</si>
  <si>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</si>
  <si>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</si>
  <si>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</si>
  <si>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</si>
  <si>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</si>
  <si>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</si>
  <si>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</si>
  <si>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</si>
  <si>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</si>
  <si>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</si>
  <si>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</si>
  <si>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</si>
  <si>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</si>
  <si>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</si>
  <si>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</si>
  <si>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</si>
  <si>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</si>
  <si>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</si>
  <si>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</si>
  <si>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</si>
  <si>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</si>
  <si>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</si>
  <si>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</si>
  <si>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</si>
  <si>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</si>
  <si>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</si>
  <si>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</si>
  <si>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</si>
  <si>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</si>
  <si>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</si>
  <si>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</si>
  <si>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</si>
  <si>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</si>
  <si>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</si>
  <si>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</si>
  <si>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</si>
  <si>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</si>
  <si>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</si>
  <si>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</si>
  <si>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</si>
  <si>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</si>
  <si>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</si>
  <si>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</si>
  <si>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</si>
  <si>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</si>
  <si>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</si>
  <si>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</si>
  <si>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</si>
  <si>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</si>
  <si>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</si>
  <si>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</si>
  <si>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</si>
  <si>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</si>
  <si>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</si>
  <si>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</si>
  <si>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</si>
  <si>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</si>
  <si>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</si>
  <si>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</si>
  <si>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</si>
  <si>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</si>
  <si>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</si>
  <si>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</si>
  <si>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</si>
  <si>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</si>
  <si>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</si>
  <si>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</si>
  <si>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</si>
  <si>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</si>
  <si>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</si>
  <si>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</si>
  <si>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</si>
  <si>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</si>
  <si>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</si>
  <si>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</si>
  <si>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</si>
  <si>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</si>
  <si>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</si>
  <si>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</si>
  <si>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</si>
  <si>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</si>
  <si>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</si>
  <si>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</si>
  <si>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</si>
  <si>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</si>
  <si>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</si>
  <si>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</si>
  <si>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</si>
  <si>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</si>
  <si>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</si>
  <si>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</si>
  <si>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</si>
  <si>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</si>
  <si>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</si>
  <si>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</si>
  <si>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</si>
  <si>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</si>
  <si>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</si>
  <si>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</si>
  <si>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</si>
  <si>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</si>
  <si>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</si>
  <si>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</si>
  <si>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</si>
  <si>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</si>
  <si>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</si>
  <si>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</si>
  <si>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</si>
  <si>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</si>
  <si>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</si>
  <si>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</si>
  <si>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</si>
  <si>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</si>
  <si>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</si>
  <si>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</si>
  <si>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</si>
  <si>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</si>
  <si>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</si>
  <si>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</si>
  <si>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</si>
  <si>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</si>
  <si>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</si>
  <si>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</si>
  <si>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</si>
  <si>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</si>
  <si>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</si>
  <si>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</si>
  <si>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</si>
  <si>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</si>
  <si>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</si>
  <si>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</si>
  <si>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</si>
  <si>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</si>
  <si>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</si>
  <si>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</si>
  <si>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</si>
  <si>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</si>
  <si>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</si>
  <si>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</si>
  <si>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</si>
  <si>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</si>
  <si>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</si>
  <si>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</si>
  <si>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</si>
  <si>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</si>
  <si>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</si>
  <si>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</si>
  <si>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</si>
  <si>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</si>
  <si>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</si>
  <si>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</si>
  <si>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</si>
  <si>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</si>
  <si>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</si>
  <si>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</si>
  <si>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</si>
  <si>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</si>
  <si>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</si>
  <si>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</si>
  <si>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</si>
  <si>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</si>
  <si>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</si>
  <si>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</si>
  <si>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</si>
  <si>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</si>
  <si>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</si>
  <si>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</si>
  <si>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</si>
  <si>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</si>
  <si>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</si>
  <si>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</si>
  <si>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</si>
  <si>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</si>
  <si>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</si>
  <si>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</si>
  <si>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</si>
  <si>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</si>
  <si>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</si>
  <si>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</si>
  <si>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</si>
  <si>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</si>
  <si>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</si>
  <si>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</si>
  <si>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</si>
  <si>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</si>
  <si>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</si>
  <si>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</si>
  <si>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</si>
  <si>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</si>
  <si>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</si>
  <si>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</si>
  <si>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</si>
  <si>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</si>
  <si>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</si>
  <si>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</si>
  <si>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</si>
  <si>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</si>
  <si>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</si>
  <si>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</si>
  <si>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</si>
  <si>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</si>
  <si>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</si>
  <si>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</si>
  <si>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</si>
  <si>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</si>
  <si>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</si>
  <si>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</si>
  <si>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</si>
  <si>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</si>
  <si>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</si>
  <si>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</si>
  <si>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</si>
  <si>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</si>
  <si>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</si>
  <si>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</si>
  <si>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</si>
  <si>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</si>
  <si>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</si>
  <si>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</si>
  <si>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</si>
  <si>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</si>
  <si>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</si>
  <si>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</si>
  <si>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</si>
  <si>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</si>
  <si>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</si>
  <si>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</si>
  <si>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</si>
  <si>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</si>
  <si>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</si>
  <si>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</si>
  <si>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</si>
  <si>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</si>
  <si>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</si>
  <si>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</si>
  <si>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</si>
  <si>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</si>
  <si>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</si>
  <si>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</si>
  <si>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</si>
  <si>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</si>
  <si>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</si>
  <si>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</si>
  <si>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</si>
  <si>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</si>
  <si>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</si>
  <si>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</si>
  <si>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</si>
  <si>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</si>
  <si>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</si>
  <si>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</si>
  <si>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</si>
  <si>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</si>
  <si>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</si>
  <si>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</si>
  <si>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</si>
  <si>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</si>
  <si>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</si>
  <si>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</si>
  <si>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</si>
  <si>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</si>
  <si>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</si>
  <si>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</si>
  <si>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</si>
  <si>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</si>
  <si>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</si>
  <si>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</si>
  <si>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</si>
  <si>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</si>
  <si>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</si>
  <si>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</si>
  <si>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</si>
  <si>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</si>
  <si>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</si>
  <si>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</si>
  <si>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</si>
  <si>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</si>
  <si>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</si>
  <si>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</si>
  <si>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</si>
  <si>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</si>
  <si>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</si>
  <si>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</si>
  <si>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</si>
  <si>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</si>
  <si>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</si>
  <si>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</si>
  <si>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</si>
  <si>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</si>
  <si>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</si>
  <si>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</si>
  <si>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</si>
  <si>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</si>
  <si>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</si>
  <si>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</si>
  <si>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</si>
  <si>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</si>
  <si>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</si>
  <si>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</si>
  <si>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</si>
  <si>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</si>
  <si>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</si>
  <si>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</si>
  <si>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</si>
  <si>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</si>
  <si>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</si>
  <si>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</si>
  <si>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</si>
  <si>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</si>
  <si>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</si>
  <si>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</si>
  <si>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</si>
  <si>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</si>
  <si>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2021.06.12</t>
    <phoneticPr fontId="1" type="noConversion"/>
  </si>
  <si>
    <t>2021.06.13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</si>
</sst>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94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93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4CE3AEFF-8508-416B-89C8-A56E9B3EFE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F9D57F52-EBA6-42A5-83D2-F3D7FB1092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3AFB4792-BBB4-4881-9F0D-0C91C27958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C6B3E880-287E-4426-AF35-8F88B34357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7F7AD574-8298-4C23-BBF7-251A216E7C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A3127980-4D07-4C09-924E-AF0C60D8C0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620B7DC6-3C3F-439C-B546-4BB8C2730D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DA90C900-4802-4C9F-A5AE-AB2F80E5CF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A455D251-DB21-4C1B-95F6-491DEA12C9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BC6D657D-8534-4F0E-94FA-0B60E28CA4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FB04C828-84CD-4620-BC30-BDA1631EF3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9C255802-5BC1-4699-832E-4F72DD3A6C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BC79E69E-CA80-44F8-A24E-8E8807DA8F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506FA92B-F536-4EA6-B193-86D231AB9C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CFB5B558-4F4E-42EB-A897-B21332D7E7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85A23974-823A-4F57-A765-EF41F0EB77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658FDD54-2BA6-44C7-80CF-2D01BB2B53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961D1A7F-681B-4198-8F38-190DCB8363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634F283B-4514-4AE1-AB92-F495601E3D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88901F82-2E1D-48C7-9237-E1E05F38E2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8DBEDCD-2DEA-4726-8621-147236582A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9F6CF8FB-79BD-48BF-9E8E-BCF3836F83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51725F69-B584-4216-8C67-4D21362F6F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7A5758AF-04A6-4F49-BD3A-7C24635F46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E0D52E88-8C64-41A4-9D21-BBCB93479F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3EE3AD4D-EF4B-4CC7-8701-452CB8F3CB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57DE4776-3F25-48B3-91CF-F09714723F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AE419E63-B0ED-4316-AD2C-22DD588E4A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73CBB221-C18D-4DBB-9594-ED5CDA62BD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A338C295-813A-4B19-8660-B7F5A6B00E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C2A1E006-8B22-46BE-81A7-681A44F00D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65EE5F1C-09D2-423E-86C8-3538108845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83626E06-2252-4333-BD04-795A01D1E5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864B7B34-DCDA-492F-B96F-80B9BD2E6B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3FE30E0D-3718-4463-B179-A64FEAC869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301B32DD-8230-4B37-A6DE-413725407C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48879122-261C-46E3-838B-FF87A33B97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DE285949-F646-4BC4-9639-52FE86B477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833F289F-9AA7-4D65-972E-240203F5B6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93479C9-5FC4-43EE-9026-1B9D6DF070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B47870BC-BD82-4B0C-8D8B-5405976C71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ED1308FE-8B4E-4FBE-95BB-EC4DCCC1FC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491BAF82-F97B-446D-922B-A04D5BD8F7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A457AE3E-4BF7-44CF-97D3-45A561012C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5DBDE5E4-5ADC-4CD8-8CC2-C45B3E1D99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B481F7B0-8888-4D67-A180-986B113477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CBEC2D57-E4E7-4D8B-B3B4-C1462A3799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F89134C6-9E9E-4B8A-9459-03D034F3A6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A2817E1F-603F-40D1-81F2-815B70DA2C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98C69113-6A5E-47F0-83EA-244409C267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E9E3BE22-3BAB-4D66-B5F0-59D9C7F7FA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7FA7D4F9-83D8-44C8-956A-AC73A8DDE3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4639A7B3-5065-47F3-AE4E-311D5D9930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7D7610CF-4975-4180-91B7-0C996C6F41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4EE66F6C-8BCA-42F7-8C67-58F41152DD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5D9C72FC-4E5A-41D6-9F98-106924E743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EAA60A2C-4A20-4845-84BE-57F7FB418B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6CDBF972-DA3D-4B23-879C-45BE27583B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662FE6C3-A41B-4E19-9E7A-52F138CD79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55C2BBA0-4671-4521-A322-580DD72D4D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D8A319F4-E6E9-4847-8CC7-B861F6715A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50DFD588-DC44-4F5D-976F-0596EC615E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7485AEEA-220C-4B0F-AD55-99CBBCDC0C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27C7303-0ED2-422F-86C6-2C11F7A025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4CADA9AF-E4FF-4B80-8746-197A7E8B77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529D7893-7FD2-4D03-AD5A-3A97DEADDD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70367F90-9AE6-466D-AD62-5280792C94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FDA63445-E12D-42C6-B1E2-D30433C187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A487890D-2CAE-464C-962E-FF3F3303FA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96F74E78-0969-4567-96F8-6B5F904DB9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4ED78337-6452-45E3-957F-ACCAE40468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85C5C96-48CA-44D2-832C-B36A84E473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2A981E1D-B947-4AFC-9E05-DB464FEB7F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8B50C0CB-6CE8-4039-BDEC-C54DF160B8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80DE04B9-B262-4C96-BAD3-310DEF7D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1BA3BB6D-C2E1-4532-8BDA-42D5AE795A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D79F50BA-E163-4C2E-A43A-D29F5EF6A2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11A96481-6B5A-497B-B981-A05EF5A1F6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82AA803F-D5D6-4F2D-8ACB-8473941C91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5E2E2E23-B198-4439-A9FB-F3C62D17F9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54B9DC84-39AD-4DFF-9FC4-2F9BB6B4D5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43C752CB-FB09-48F8-BBF1-3C08AB95D0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AC9611EF-4D65-431E-ACFC-C786759595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4C6B21B0-83EF-4B8D-9B33-3ABC077441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1E46F342-E0B8-4A04-B84B-661FB46EE0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36E5684B-18EE-4AE5-8514-CEF9039716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EFCD0D28-01D7-4B67-B14C-34853669EE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5802D4A5-3123-4458-83A2-238285C593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D36F5353-F0AE-4583-B8A5-A981103DBD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BFA2080F-98B0-456C-A3EA-EA0338A7A5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A25E9704-2F29-4F83-A087-14443709EE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8B06587E-5435-4F0A-9642-294F3E8708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59979D50-C523-4C00-87AB-C9ECDA5486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FE88B7FC-393B-4ECD-86B6-02D38DF02C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8AC4C096-3933-4BA3-B749-6A77B9F105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A312E32E-2351-4600-8B57-5238F286F0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2705FA98-C299-44AD-A6CB-D3620F2056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40399568-B8C1-412D-BB46-B4562FD575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F289CB5E-B246-450E-836F-EE07422118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45DEABF-9828-4303-9793-679A18F7F5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388AC03B-725A-4018-A96A-8E6FA1C51B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8EA671A6-4CBB-45F7-8E20-043A9B7E00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D1F6E057-BB66-4424-A5E5-7C276427A7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A05E5367-A38C-4CB7-85A8-BF0E90BBA8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ED72A42F-0A3B-4DC7-8CCB-1C1E8D6DBA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AA9FF8F6-044A-44D6-B97D-2BC94FC000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B76667F1-5B1E-4561-8583-DBF0D5DECB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E9A2C63B-390F-4EFF-9867-885A05AD15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D045D469-3F69-4FD3-AC48-983E6330AE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AD4ACFC5-4859-4AF7-BC90-D140FB2089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60B4B656-054C-4A66-9AD2-78AA7E6963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AFBD838C-BD02-4AC6-A64C-2E44CCF216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68EE0DFE-4726-437B-BAB5-99470280B1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7B052BB6-FBC7-4AF5-AC44-41745E41FE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CDCA3E41-DDD1-47D0-BF57-64957D98CC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31BC6727-9FA0-43C7-8EBD-7FE60A01BC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D592CE55-0A5D-43AC-B8B4-1C5607D72A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8773D8F-2967-4C9D-8D49-06133CC03C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C4C2E12C-9C32-46FF-97A9-0F0FEC5757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B7E7BC67-C00B-40B4-86C1-A0E67076AE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677113E5-D5FA-43D2-A217-C1ECB14BE2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EA14B2DF-137B-406B-B7DF-456602B1D1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95EE0720-761C-4983-8230-B4F46A1373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6A5344A5-3AD0-4639-B684-D2A4F45B48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E43CB8AB-0EBB-4E7F-A472-E371067664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3EBFA671-95E8-40D0-BC0E-7C35D6DDD9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B6070074-F116-467C-8F9B-9C17DB6514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4517C547-C039-4D46-A41A-049CE416AD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CDE46ED-ED8E-4410-BEC7-4D0F6BEE6B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AEA3793C-E2B9-49AB-90A6-0E006B600A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A3933F48-76AE-49FD-A69A-F445D244C6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E3C4A251-A243-41A5-8AEA-58E7EAC37B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9D8E74-978F-4C04-B81C-C71C6F7BE6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D4122099-A2F9-4459-8FD9-8A8A951E16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A6230C2B-3CA0-4255-BEF6-C3A025B092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47F4546C-D083-4643-9AF6-882CA81FB3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4122E60E-001E-419F-AD8B-656644885C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7334CD55-D0BD-4754-BC0D-294D9BF921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F9F6F42B-352B-4AFC-B61E-7DECAF4884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5FE3BFB4-83F7-4EF8-A7A3-63433F2F62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4" t="s">
        <v>0</v>
      </c>
      <c r="B1" s="235"/>
      <c r="C1" s="235"/>
      <c r="D1" s="235"/>
      <c r="E1" s="235"/>
      <c r="F1" s="236"/>
      <c r="G1" s="265">
        <v>44287</v>
      </c>
      <c r="H1" s="266"/>
      <c r="I1" s="267"/>
      <c r="J1" s="234" t="s">
        <v>1</v>
      </c>
      <c r="K1" s="235"/>
      <c r="L1" s="235"/>
      <c r="M1" s="235"/>
      <c r="N1" s="235"/>
      <c r="O1" s="236"/>
      <c r="Q1" s="234" t="s">
        <v>2</v>
      </c>
      <c r="R1" s="236"/>
    </row>
    <row r="2" spans="1:19" ht="17.25" customHeight="1">
      <c r="A2" s="1" t="s">
        <v>3</v>
      </c>
      <c r="B2" s="268" t="s">
        <v>4</v>
      </c>
      <c r="C2" s="269"/>
      <c r="D2" s="269"/>
      <c r="E2" s="269"/>
      <c r="F2" s="270"/>
      <c r="G2" s="262" t="s">
        <v>46</v>
      </c>
      <c r="H2" s="263"/>
      <c r="I2" s="264"/>
      <c r="J2" s="1" t="s">
        <v>3</v>
      </c>
      <c r="K2" s="268" t="s">
        <v>5</v>
      </c>
      <c r="L2" s="269"/>
      <c r="M2" s="269"/>
      <c r="N2" s="269"/>
      <c r="O2" s="270"/>
      <c r="Q2" s="2" t="s">
        <v>6</v>
      </c>
      <c r="R2" s="3">
        <v>0.375</v>
      </c>
    </row>
    <row r="3" spans="1:19" ht="17.25" customHeight="1" thickBot="1">
      <c r="A3" s="4" t="s">
        <v>7</v>
      </c>
      <c r="B3" s="259" t="s">
        <v>8</v>
      </c>
      <c r="C3" s="260"/>
      <c r="D3" s="260"/>
      <c r="E3" s="260"/>
      <c r="F3" s="261"/>
      <c r="G3" s="25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6"/>
      <c r="I3" s="257"/>
      <c r="J3" s="4" t="s">
        <v>7</v>
      </c>
      <c r="K3" s="259" t="s">
        <v>9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59" t="s">
        <v>12</v>
      </c>
      <c r="C4" s="260"/>
      <c r="D4" s="260"/>
      <c r="E4" s="260"/>
      <c r="F4" s="261"/>
      <c r="G4" s="262" t="s">
        <v>44</v>
      </c>
      <c r="H4" s="263"/>
      <c r="I4" s="264"/>
      <c r="J4" s="4" t="s">
        <v>11</v>
      </c>
      <c r="K4" s="259" t="s">
        <v>13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59" t="s">
        <v>16</v>
      </c>
      <c r="C5" s="260"/>
      <c r="D5" s="260"/>
      <c r="E5" s="260"/>
      <c r="F5" s="261"/>
      <c r="G5" s="25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6"/>
      <c r="I5" s="257"/>
      <c r="J5" s="4" t="s">
        <v>15</v>
      </c>
      <c r="K5" s="259" t="s">
        <v>17</v>
      </c>
      <c r="L5" s="260"/>
      <c r="M5" s="260"/>
      <c r="N5" s="260"/>
      <c r="O5" s="261"/>
    </row>
    <row r="6" spans="1:19">
      <c r="A6" s="4" t="s">
        <v>18</v>
      </c>
      <c r="B6" s="259" t="s">
        <v>19</v>
      </c>
      <c r="C6" s="260"/>
      <c r="D6" s="260"/>
      <c r="E6" s="260"/>
      <c r="F6" s="261"/>
      <c r="G6" s="262" t="s">
        <v>45</v>
      </c>
      <c r="H6" s="263"/>
      <c r="I6" s="264"/>
      <c r="J6" s="4" t="s">
        <v>18</v>
      </c>
      <c r="K6" s="259" t="s">
        <v>20</v>
      </c>
      <c r="L6" s="260"/>
      <c r="M6" s="260"/>
      <c r="N6" s="260"/>
      <c r="O6" s="261"/>
    </row>
    <row r="7" spans="1:19" ht="17.25" thickBot="1">
      <c r="A7" s="4" t="s">
        <v>21</v>
      </c>
      <c r="B7" s="259" t="s">
        <v>22</v>
      </c>
      <c r="C7" s="260"/>
      <c r="D7" s="260"/>
      <c r="E7" s="260"/>
      <c r="F7" s="261"/>
      <c r="G7" s="25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6"/>
      <c r="I7" s="257"/>
      <c r="J7" s="4" t="s">
        <v>21</v>
      </c>
      <c r="K7" s="259" t="s">
        <v>23</v>
      </c>
      <c r="L7" s="260"/>
      <c r="M7" s="260"/>
      <c r="N7" s="260"/>
      <c r="O7" s="261"/>
    </row>
    <row r="8" spans="1:19" ht="17.25" thickBot="1">
      <c r="A8" s="4" t="s">
        <v>24</v>
      </c>
      <c r="B8" s="259" t="s">
        <v>25</v>
      </c>
      <c r="C8" s="260"/>
      <c r="D8" s="260"/>
      <c r="E8" s="260"/>
      <c r="F8" s="261"/>
      <c r="G8" s="262" t="s">
        <v>285</v>
      </c>
      <c r="H8" s="263"/>
      <c r="I8" s="264"/>
      <c r="J8" s="4" t="s">
        <v>24</v>
      </c>
      <c r="K8" s="259" t="s">
        <v>26</v>
      </c>
      <c r="L8" s="260"/>
      <c r="M8" s="260"/>
      <c r="N8" s="260"/>
      <c r="O8" s="261"/>
      <c r="Q8" s="234" t="s">
        <v>27</v>
      </c>
      <c r="R8" s="236"/>
    </row>
    <row r="9" spans="1:19" ht="17.25" thickBot="1">
      <c r="A9" s="4" t="s">
        <v>28</v>
      </c>
      <c r="B9" s="259"/>
      <c r="C9" s="260"/>
      <c r="D9" s="260"/>
      <c r="E9" s="260"/>
      <c r="F9" s="261"/>
      <c r="G9" s="25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6"/>
      <c r="I9" s="257"/>
      <c r="J9" s="4" t="s">
        <v>28</v>
      </c>
      <c r="K9" s="259" t="s">
        <v>293</v>
      </c>
      <c r="L9" s="260"/>
      <c r="M9" s="260"/>
      <c r="N9" s="260"/>
      <c r="O9" s="261"/>
      <c r="Q9" s="2" t="s">
        <v>29</v>
      </c>
      <c r="R9" s="6">
        <v>10</v>
      </c>
    </row>
    <row r="10" spans="1:19">
      <c r="A10" s="4" t="s">
        <v>30</v>
      </c>
      <c r="B10" s="259"/>
      <c r="C10" s="260"/>
      <c r="D10" s="260"/>
      <c r="E10" s="260"/>
      <c r="F10" s="261"/>
      <c r="G10" s="262" t="s">
        <v>47</v>
      </c>
      <c r="H10" s="263"/>
      <c r="I10" s="264"/>
      <c r="J10" s="4" t="s">
        <v>30</v>
      </c>
      <c r="K10" s="259"/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7" t="s">
        <v>32</v>
      </c>
      <c r="B11" s="252"/>
      <c r="C11" s="253"/>
      <c r="D11" s="253"/>
      <c r="E11" s="253"/>
      <c r="F11" s="254"/>
      <c r="G11" s="25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6"/>
      <c r="I11" s="257"/>
      <c r="J11" s="7" t="s">
        <v>32</v>
      </c>
      <c r="K11" s="252"/>
      <c r="L11" s="253"/>
      <c r="M11" s="253"/>
      <c r="N11" s="253"/>
      <c r="O11" s="254"/>
      <c r="Q11" s="65" t="s">
        <v>33</v>
      </c>
      <c r="R11" s="8">
        <v>1000</v>
      </c>
    </row>
    <row r="12" spans="1:19" ht="17.25" thickBot="1"/>
    <row r="13" spans="1:19" ht="17.25" customHeight="1" thickBot="1">
      <c r="A13" s="234" t="s">
        <v>34</v>
      </c>
      <c r="B13" s="235"/>
      <c r="C13" s="235"/>
      <c r="D13" s="235"/>
      <c r="E13" s="235"/>
      <c r="F13" s="235"/>
      <c r="G13" s="235"/>
      <c r="H13" s="235"/>
      <c r="I13" s="235"/>
      <c r="J13" s="235"/>
      <c r="K13" s="235"/>
      <c r="L13" s="235"/>
      <c r="M13" s="235"/>
      <c r="N13" s="235"/>
      <c r="O13" s="236"/>
      <c r="Q13" s="233"/>
      <c r="R13" s="233"/>
      <c r="S13" s="233"/>
    </row>
    <row r="14" spans="1:19" ht="17.25" customHeight="1" thickBot="1">
      <c r="A14" s="111" t="s">
        <v>35</v>
      </c>
      <c r="B14" s="234" t="s">
        <v>36</v>
      </c>
      <c r="C14" s="236"/>
      <c r="D14" s="234" t="s">
        <v>37</v>
      </c>
      <c r="E14" s="235"/>
      <c r="F14" s="236"/>
      <c r="G14" s="237">
        <f>_xlfn.IFNA(VLOOKUP(B14, 현재가테이블!$B$2:$D$200, 2, FALSE), "-")</f>
        <v>41418000</v>
      </c>
      <c r="H14" s="238"/>
      <c r="I14" s="239"/>
      <c r="J14" s="234" t="s">
        <v>38</v>
      </c>
      <c r="K14" s="235"/>
      <c r="L14" s="236"/>
      <c r="M14" s="240">
        <f>_xlfn.IFNA(VLOOKUP(B14, 현재가테이블!$B$2:$D$200, 3, FALSE), "-")</f>
        <v>-5.2176301000000001E-2</v>
      </c>
      <c r="N14" s="241"/>
      <c r="O14" s="242"/>
      <c r="Q14" s="233"/>
      <c r="R14" s="233"/>
      <c r="S14" s="233"/>
    </row>
    <row r="15" spans="1:19" ht="17.25" customHeight="1" thickBot="1">
      <c r="A15" s="258" t="s">
        <v>39</v>
      </c>
      <c r="B15" s="250" t="str">
        <f>TEXT($G$1, "[$-ko-KR]yyyy-mm-dd(ddd) ") &amp; "오전 00:00"</f>
        <v>2021-04-01(목) 오전 00:00</v>
      </c>
      <c r="C15" s="251"/>
      <c r="D15" s="247" t="str">
        <f>TEXT($G$1, "[$-ko-KR]yyyy-mm-dd(ddd) ") &amp; "오후 14:00"</f>
        <v>2021-04-01(목) 오후 14:00</v>
      </c>
      <c r="E15" s="248"/>
      <c r="F15" s="249"/>
      <c r="G15" s="247" t="str">
        <f>TEXT($G$1, "[$-ko-KR]yyyy-mm-dd(ddd) ") &amp; "오후 19:00"</f>
        <v>2021-04-01(목) 오후 19:00</v>
      </c>
      <c r="H15" s="248"/>
      <c r="I15" s="249"/>
      <c r="J15" s="247" t="str">
        <f>TEXT($G$1, "[$-ko-KR]yyyy-mm-dd(ddd) ") &amp; "오후 21:00"</f>
        <v>2021-04-01(목) 오후 21:00</v>
      </c>
      <c r="K15" s="248"/>
      <c r="L15" s="249"/>
      <c r="M15" s="247" t="str">
        <f>TEXT($G$1+1, "[$-ko-KR]yyyy-mm-dd(ddd) ") &amp; "오전 00:00"</f>
        <v>2021-04-02(금) 오전 00:00</v>
      </c>
      <c r="N15" s="248"/>
      <c r="O15" s="249"/>
      <c r="Q15" s="233"/>
      <c r="R15" s="233"/>
      <c r="S15" s="233"/>
    </row>
    <row r="16" spans="1:19" ht="17.25" customHeight="1" thickBot="1">
      <c r="A16" s="258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3"/>
      <c r="R17" s="233"/>
      <c r="S17" s="233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3"/>
      <c r="R18" s="233"/>
      <c r="S18" s="233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3"/>
      <c r="R19" s="223"/>
      <c r="S19" s="223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3"/>
      <c r="R20" s="223"/>
      <c r="S20" s="223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3"/>
      <c r="R21" s="223"/>
      <c r="S21" s="223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3"/>
      <c r="R22" s="223"/>
      <c r="S22" s="22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3"/>
      <c r="R23" s="223"/>
      <c r="S23" s="22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3"/>
      <c r="R24" s="223"/>
      <c r="S24" s="22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3"/>
      <c r="R29" s="223"/>
      <c r="S29" s="22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3"/>
      <c r="R30" s="233"/>
      <c r="S30" s="233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3"/>
      <c r="R31" s="233"/>
      <c r="S31" s="233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3"/>
      <c r="R32" s="223"/>
      <c r="S32" s="22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2"/>
      <c r="R35" s="213"/>
      <c r="S35" s="214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5"/>
      <c r="R36" s="216"/>
      <c r="S36" s="217"/>
    </row>
    <row r="37" spans="1:19" ht="17.25" customHeight="1" thickBot="1">
      <c r="A37" s="26" t="s">
        <v>42</v>
      </c>
      <c r="B37" s="221">
        <v>300000</v>
      </c>
      <c r="C37" s="222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18"/>
      <c r="R37" s="219"/>
      <c r="S37" s="220"/>
    </row>
    <row r="38" spans="1:19" ht="17.25" customHeight="1"/>
    <row r="39" spans="1:19" ht="17.25" customHeight="1" thickBot="1"/>
    <row r="40" spans="1:19" ht="17.25" customHeight="1" thickBot="1">
      <c r="A40" s="234" t="s">
        <v>44</v>
      </c>
      <c r="B40" s="235"/>
      <c r="C40" s="235"/>
      <c r="D40" s="235"/>
      <c r="E40" s="235"/>
      <c r="F40" s="235"/>
      <c r="G40" s="235"/>
      <c r="H40" s="235"/>
      <c r="I40" s="235"/>
      <c r="J40" s="235"/>
      <c r="K40" s="235"/>
      <c r="L40" s="235"/>
      <c r="M40" s="235"/>
      <c r="N40" s="235"/>
      <c r="O40" s="236"/>
      <c r="Q40" s="233"/>
      <c r="R40" s="233"/>
      <c r="S40" s="233"/>
    </row>
    <row r="41" spans="1:19" ht="17.25" customHeight="1" thickBot="1">
      <c r="A41" s="111" t="s">
        <v>297</v>
      </c>
      <c r="B41" s="234" t="s">
        <v>49</v>
      </c>
      <c r="C41" s="236"/>
      <c r="D41" s="234" t="s">
        <v>58</v>
      </c>
      <c r="E41" s="235"/>
      <c r="F41" s="236"/>
      <c r="G41" s="237">
        <f>_xlfn.IFNA(VLOOKUP(B41, 현재가테이블!$B$2:$D$200, 2, FALSE), "-")</f>
        <v>41418000</v>
      </c>
      <c r="H41" s="238"/>
      <c r="I41" s="239"/>
      <c r="J41" s="234" t="s">
        <v>59</v>
      </c>
      <c r="K41" s="235"/>
      <c r="L41" s="236"/>
      <c r="M41" s="240">
        <f>_xlfn.IFNA(VLOOKUP(B41, 현재가테이블!$B$2:$D$200, 3, FALSE), "-")</f>
        <v>-5.2176301000000001E-2</v>
      </c>
      <c r="N41" s="241"/>
      <c r="O41" s="242"/>
      <c r="Q41" s="233"/>
      <c r="R41" s="233"/>
      <c r="S41" s="233"/>
    </row>
    <row r="42" spans="1:19" ht="17.25" customHeight="1" thickBot="1">
      <c r="A42" s="243" t="s">
        <v>55</v>
      </c>
      <c r="B42" s="245" t="str">
        <f>TEXT($G$1, "[$-ko-KR]yyyy-mm-dd(ddd) ") &amp; "오전 00:00"</f>
        <v>2021-04-01(목) 오전 00:00</v>
      </c>
      <c r="C42" s="246"/>
      <c r="D42" s="247" t="str">
        <f>TEXT($G$1, "[$-ko-KR]yyyy-mm-dd(ddd) ") &amp; "오후 14:00"</f>
        <v>2021-04-01(목) 오후 14:00</v>
      </c>
      <c r="E42" s="248"/>
      <c r="F42" s="249"/>
      <c r="G42" s="247" t="str">
        <f>TEXT($G$1, "[$-ko-KR]yyyy-mm-dd(ddd) ") &amp; "오후 19:00"</f>
        <v>2021-04-01(목) 오후 19:00</v>
      </c>
      <c r="H42" s="248"/>
      <c r="I42" s="249"/>
      <c r="J42" s="247" t="str">
        <f>TEXT($G$1, "[$-ko-KR]yyyy-mm-dd(ddd) ") &amp; "오후 21:00"</f>
        <v>2021-04-01(목) 오후 21:00</v>
      </c>
      <c r="K42" s="248"/>
      <c r="L42" s="249"/>
      <c r="M42" s="247" t="str">
        <f>TEXT($G$1+1, "[$-ko-KR]yyyy-mm-dd(ddd) ") &amp; "오전 00:00"</f>
        <v>2021-04-02(금) 오전 00:00</v>
      </c>
      <c r="N42" s="248"/>
      <c r="O42" s="249"/>
      <c r="Q42" s="233"/>
      <c r="R42" s="233"/>
      <c r="S42" s="233"/>
    </row>
    <row r="43" spans="1:19" ht="17.25" customHeight="1" thickBot="1">
      <c r="A43" s="244"/>
      <c r="B43" s="2" t="s">
        <v>58</v>
      </c>
      <c r="C43" s="10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3"/>
      <c r="R43" s="223"/>
      <c r="S43" s="223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3"/>
      <c r="R44" s="233"/>
      <c r="S44" s="233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3"/>
      <c r="R45" s="233"/>
      <c r="S45" s="233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3"/>
      <c r="R46" s="223"/>
      <c r="S46" s="223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3"/>
      <c r="R47" s="223"/>
      <c r="S47" s="223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3"/>
      <c r="R48" s="223"/>
      <c r="S48" s="223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3"/>
      <c r="R49" s="223"/>
      <c r="S49" s="223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3"/>
      <c r="R50" s="223"/>
      <c r="S50" s="223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3"/>
      <c r="R51" s="223"/>
      <c r="S51" s="223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4"/>
      <c r="R53" s="225"/>
      <c r="S53" s="226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7"/>
      <c r="R54" s="228"/>
      <c r="S54" s="229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0"/>
      <c r="R55" s="231"/>
      <c r="S55" s="232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3"/>
      <c r="R56" s="223"/>
      <c r="S56" s="223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3"/>
      <c r="R57" s="233"/>
      <c r="S57" s="233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3"/>
      <c r="R58" s="233"/>
      <c r="S58" s="233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3"/>
      <c r="R59" s="223"/>
      <c r="S59" s="223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3"/>
      <c r="R60" s="223"/>
      <c r="S60" s="223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3"/>
      <c r="R61" s="223"/>
      <c r="S61" s="223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2"/>
      <c r="R62" s="213"/>
      <c r="S62" s="214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5"/>
      <c r="R63" s="216"/>
      <c r="S63" s="217"/>
    </row>
    <row r="64" spans="1:19" ht="17.25" customHeight="1" thickBot="1">
      <c r="A64" s="26" t="s">
        <v>300</v>
      </c>
      <c r="B64" s="221">
        <f>$B$37</f>
        <v>300000</v>
      </c>
      <c r="C64" s="222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18"/>
      <c r="R64" s="219"/>
      <c r="S64" s="220"/>
    </row>
    <row r="65" spans="1:19" ht="17.25" customHeight="1"/>
    <row r="66" spans="1:19" ht="17.25" customHeight="1" thickBot="1"/>
    <row r="67" spans="1:19" ht="17.25" thickBot="1">
      <c r="A67" s="234" t="s">
        <v>45</v>
      </c>
      <c r="B67" s="235"/>
      <c r="C67" s="235"/>
      <c r="D67" s="235"/>
      <c r="E67" s="235"/>
      <c r="F67" s="235"/>
      <c r="G67" s="235"/>
      <c r="H67" s="235"/>
      <c r="I67" s="235"/>
      <c r="J67" s="235"/>
      <c r="K67" s="235"/>
      <c r="L67" s="235"/>
      <c r="M67" s="235"/>
      <c r="N67" s="235"/>
      <c r="O67" s="236"/>
      <c r="Q67" s="233"/>
      <c r="R67" s="233"/>
      <c r="S67" s="233"/>
    </row>
    <row r="68" spans="1:19" ht="17.25" thickBot="1">
      <c r="A68" s="111" t="s">
        <v>297</v>
      </c>
      <c r="B68" s="234" t="s">
        <v>49</v>
      </c>
      <c r="C68" s="236"/>
      <c r="D68" s="234" t="s">
        <v>58</v>
      </c>
      <c r="E68" s="235"/>
      <c r="F68" s="236"/>
      <c r="G68" s="237">
        <f>_xlfn.IFNA(VLOOKUP(B68, 현재가테이블!$B$2:$D$200, 2, FALSE), "-")</f>
        <v>41418000</v>
      </c>
      <c r="H68" s="238"/>
      <c r="I68" s="239"/>
      <c r="J68" s="234" t="s">
        <v>59</v>
      </c>
      <c r="K68" s="235"/>
      <c r="L68" s="236"/>
      <c r="M68" s="240">
        <f>_xlfn.IFNA(VLOOKUP(B68, 현재가테이블!$B$2:$D$200, 3, FALSE), "-")</f>
        <v>-5.2176301000000001E-2</v>
      </c>
      <c r="N68" s="241"/>
      <c r="O68" s="242"/>
      <c r="Q68" s="233"/>
      <c r="R68" s="233"/>
      <c r="S68" s="233"/>
    </row>
    <row r="69" spans="1:19" ht="17.25" thickBot="1">
      <c r="A69" s="243" t="s">
        <v>55</v>
      </c>
      <c r="B69" s="245" t="str">
        <f>TEXT($G$1, "[$-ko-KR]yyyy-mm-dd(ddd) ") &amp; "오전 00:00"</f>
        <v>2021-04-01(목) 오전 00:00</v>
      </c>
      <c r="C69" s="246"/>
      <c r="D69" s="247" t="str">
        <f>TEXT($G$1, "[$-ko-KR]yyyy-mm-dd(ddd) ") &amp; "오후 14:00"</f>
        <v>2021-04-01(목) 오후 14:00</v>
      </c>
      <c r="E69" s="248"/>
      <c r="F69" s="249"/>
      <c r="G69" s="247" t="str">
        <f>TEXT($G$1, "[$-ko-KR]yyyy-mm-dd(ddd) ") &amp; "오후 19:00"</f>
        <v>2021-04-01(목) 오후 19:00</v>
      </c>
      <c r="H69" s="248"/>
      <c r="I69" s="249"/>
      <c r="J69" s="247" t="str">
        <f>TEXT($G$1, "[$-ko-KR]yyyy-mm-dd(ddd) ") &amp; "오후 21:00"</f>
        <v>2021-04-01(목) 오후 21:00</v>
      </c>
      <c r="K69" s="248"/>
      <c r="L69" s="249"/>
      <c r="M69" s="247" t="str">
        <f>TEXT($G$1+1, "[$-ko-KR]yyyy-mm-dd(ddd) ") &amp; "오전 00:00"</f>
        <v>2021-04-02(금) 오전 00:00</v>
      </c>
      <c r="N69" s="248"/>
      <c r="O69" s="249"/>
      <c r="Q69" s="233"/>
      <c r="R69" s="233"/>
      <c r="S69" s="233"/>
    </row>
    <row r="70" spans="1:19" ht="17.25" thickBot="1">
      <c r="A70" s="244"/>
      <c r="B70" s="2" t="s">
        <v>58</v>
      </c>
      <c r="C70" s="10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3"/>
      <c r="R70" s="223"/>
      <c r="S70" s="223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3"/>
      <c r="R71" s="233"/>
      <c r="S71" s="233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3"/>
      <c r="R72" s="233"/>
      <c r="S72" s="233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3"/>
      <c r="R73" s="223"/>
      <c r="S73" s="223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3"/>
      <c r="R74" s="223"/>
      <c r="S74" s="223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3"/>
      <c r="R75" s="223"/>
      <c r="S75" s="223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3"/>
      <c r="R76" s="223"/>
      <c r="S76" s="223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3"/>
      <c r="R77" s="223"/>
      <c r="S77" s="223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3"/>
      <c r="R78" s="223"/>
      <c r="S78" s="223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4"/>
      <c r="R80" s="225"/>
      <c r="S80" s="226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7"/>
      <c r="R81" s="228"/>
      <c r="S81" s="229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0"/>
      <c r="R82" s="231"/>
      <c r="S82" s="232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3"/>
      <c r="R83" s="223"/>
      <c r="S83" s="223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3"/>
      <c r="R84" s="233"/>
      <c r="S84" s="233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3"/>
      <c r="R85" s="233"/>
      <c r="S85" s="233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3"/>
      <c r="R86" s="223"/>
      <c r="S86" s="223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3"/>
      <c r="R87" s="223"/>
      <c r="S87" s="223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3"/>
      <c r="R88" s="223"/>
      <c r="S88" s="223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2"/>
      <c r="R89" s="213"/>
      <c r="S89" s="214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5"/>
      <c r="R90" s="216"/>
      <c r="S90" s="217"/>
    </row>
    <row r="91" spans="1:19" ht="17.25" thickBot="1">
      <c r="A91" s="26" t="s">
        <v>300</v>
      </c>
      <c r="B91" s="221">
        <f>$B$37</f>
        <v>300000</v>
      </c>
      <c r="C91" s="222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18"/>
      <c r="R91" s="219"/>
      <c r="S91" s="220"/>
    </row>
    <row r="93" spans="1:19" ht="17.25" thickBot="1"/>
    <row r="94" spans="1:19" ht="17.25" thickBot="1">
      <c r="A94" s="234" t="s">
        <v>46</v>
      </c>
      <c r="B94" s="235"/>
      <c r="C94" s="235"/>
      <c r="D94" s="235"/>
      <c r="E94" s="235"/>
      <c r="F94" s="235"/>
      <c r="G94" s="235"/>
      <c r="H94" s="235"/>
      <c r="I94" s="235"/>
      <c r="J94" s="235"/>
      <c r="K94" s="235"/>
      <c r="L94" s="235"/>
      <c r="M94" s="235"/>
      <c r="N94" s="235"/>
      <c r="O94" s="236"/>
      <c r="Q94" s="233"/>
      <c r="R94" s="233"/>
      <c r="S94" s="233"/>
    </row>
    <row r="95" spans="1:19" ht="17.25" thickBot="1">
      <c r="A95" s="111" t="s">
        <v>297</v>
      </c>
      <c r="B95" s="234" t="s">
        <v>49</v>
      </c>
      <c r="C95" s="236"/>
      <c r="D95" s="234" t="s">
        <v>58</v>
      </c>
      <c r="E95" s="235"/>
      <c r="F95" s="236"/>
      <c r="G95" s="237">
        <f>_xlfn.IFNA(VLOOKUP(B95, 현재가테이블!$B$2:$D$200, 2, FALSE), "-")</f>
        <v>41418000</v>
      </c>
      <c r="H95" s="238"/>
      <c r="I95" s="239"/>
      <c r="J95" s="234" t="s">
        <v>59</v>
      </c>
      <c r="K95" s="235"/>
      <c r="L95" s="236"/>
      <c r="M95" s="240">
        <f>_xlfn.IFNA(VLOOKUP(B95, 현재가테이블!$B$2:$D$200, 3, FALSE), "-")</f>
        <v>-5.2176301000000001E-2</v>
      </c>
      <c r="N95" s="241"/>
      <c r="O95" s="242"/>
      <c r="Q95" s="233"/>
      <c r="R95" s="233"/>
      <c r="S95" s="233"/>
    </row>
    <row r="96" spans="1:19" ht="17.25" thickBot="1">
      <c r="A96" s="243" t="s">
        <v>55</v>
      </c>
      <c r="B96" s="245" t="str">
        <f>TEXT($G$1, "[$-ko-KR]yyyy-mm-dd(ddd) ") &amp; "오전 00:00"</f>
        <v>2021-04-01(목) 오전 00:00</v>
      </c>
      <c r="C96" s="246"/>
      <c r="D96" s="247" t="str">
        <f>TEXT($G$1, "[$-ko-KR]yyyy-mm-dd(ddd) ") &amp; "오후 14:00"</f>
        <v>2021-04-01(목) 오후 14:00</v>
      </c>
      <c r="E96" s="248"/>
      <c r="F96" s="249"/>
      <c r="G96" s="247" t="str">
        <f>TEXT($G$1, "[$-ko-KR]yyyy-mm-dd(ddd) ") &amp; "오후 19:00"</f>
        <v>2021-04-01(목) 오후 19:00</v>
      </c>
      <c r="H96" s="248"/>
      <c r="I96" s="249"/>
      <c r="J96" s="247" t="str">
        <f>TEXT($G$1, "[$-ko-KR]yyyy-mm-dd(ddd) ") &amp; "오후 21:00"</f>
        <v>2021-04-01(목) 오후 21:00</v>
      </c>
      <c r="K96" s="248"/>
      <c r="L96" s="249"/>
      <c r="M96" s="247" t="str">
        <f>TEXT($G$1+1, "[$-ko-KR]yyyy-mm-dd(ddd) ") &amp; "오전 00:00"</f>
        <v>2021-04-02(금) 오전 00:00</v>
      </c>
      <c r="N96" s="248"/>
      <c r="O96" s="249"/>
      <c r="Q96" s="233"/>
      <c r="R96" s="233"/>
      <c r="S96" s="233"/>
    </row>
    <row r="97" spans="1:19" ht="17.25" thickBot="1">
      <c r="A97" s="244"/>
      <c r="B97" s="2" t="s">
        <v>58</v>
      </c>
      <c r="C97" s="10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3"/>
      <c r="R97" s="223"/>
      <c r="S97" s="223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3"/>
      <c r="R98" s="233"/>
      <c r="S98" s="233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3"/>
      <c r="R99" s="233"/>
      <c r="S99" s="233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3"/>
      <c r="R100" s="223"/>
      <c r="S100" s="223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3"/>
      <c r="R101" s="223"/>
      <c r="S101" s="223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3"/>
      <c r="R102" s="223"/>
      <c r="S102" s="223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3"/>
      <c r="R103" s="223"/>
      <c r="S103" s="223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3"/>
      <c r="R104" s="223"/>
      <c r="S104" s="223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3"/>
      <c r="R105" s="223"/>
      <c r="S105" s="223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4"/>
      <c r="R107" s="225"/>
      <c r="S107" s="226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7"/>
      <c r="R108" s="228"/>
      <c r="S108" s="229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0"/>
      <c r="R109" s="231"/>
      <c r="S109" s="232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3"/>
      <c r="R110" s="223"/>
      <c r="S110" s="223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3"/>
      <c r="R111" s="233"/>
      <c r="S111" s="233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3"/>
      <c r="R112" s="233"/>
      <c r="S112" s="233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3"/>
      <c r="R113" s="223"/>
      <c r="S113" s="223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3"/>
      <c r="R114" s="223"/>
      <c r="S114" s="223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3"/>
      <c r="R115" s="223"/>
      <c r="S115" s="223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2"/>
      <c r="R116" s="213"/>
      <c r="S116" s="214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5"/>
      <c r="R117" s="216"/>
      <c r="S117" s="217"/>
    </row>
    <row r="118" spans="1:19" ht="17.25" thickBot="1">
      <c r="A118" s="26" t="s">
        <v>300</v>
      </c>
      <c r="B118" s="221">
        <f>$B$37</f>
        <v>300000</v>
      </c>
      <c r="C118" s="222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18"/>
      <c r="R118" s="219"/>
      <c r="S118" s="220"/>
    </row>
    <row r="120" spans="1:19" ht="17.25" thickBot="1"/>
    <row r="121" spans="1:19" ht="17.25" thickBot="1">
      <c r="A121" s="234" t="s">
        <v>288</v>
      </c>
      <c r="B121" s="235"/>
      <c r="C121" s="235"/>
      <c r="D121" s="235"/>
      <c r="E121" s="235"/>
      <c r="F121" s="235"/>
      <c r="G121" s="235"/>
      <c r="H121" s="235"/>
      <c r="I121" s="235"/>
      <c r="J121" s="235"/>
      <c r="K121" s="235"/>
      <c r="L121" s="235"/>
      <c r="M121" s="235"/>
      <c r="N121" s="235"/>
      <c r="O121" s="236"/>
      <c r="Q121" s="233"/>
      <c r="R121" s="233"/>
      <c r="S121" s="233"/>
    </row>
    <row r="122" spans="1:19" ht="17.25" thickBot="1">
      <c r="A122" s="111" t="s">
        <v>297</v>
      </c>
      <c r="B122" s="234" t="s">
        <v>49</v>
      </c>
      <c r="C122" s="236"/>
      <c r="D122" s="234" t="s">
        <v>58</v>
      </c>
      <c r="E122" s="235"/>
      <c r="F122" s="236"/>
      <c r="G122" s="237">
        <f>_xlfn.IFNA(VLOOKUP(B122, 현재가테이블!$B$2:$D$200, 2, FALSE), "-")</f>
        <v>41418000</v>
      </c>
      <c r="H122" s="238"/>
      <c r="I122" s="239"/>
      <c r="J122" s="234" t="s">
        <v>59</v>
      </c>
      <c r="K122" s="235"/>
      <c r="L122" s="236"/>
      <c r="M122" s="240">
        <f>_xlfn.IFNA(VLOOKUP(B122, 현재가테이블!$B$2:$D$200, 3, FALSE), "-")</f>
        <v>-5.2176301000000001E-2</v>
      </c>
      <c r="N122" s="241"/>
      <c r="O122" s="242"/>
      <c r="Q122" s="233"/>
      <c r="R122" s="233"/>
      <c r="S122" s="233"/>
    </row>
    <row r="123" spans="1:19" ht="17.25" thickBot="1">
      <c r="A123" s="243" t="s">
        <v>55</v>
      </c>
      <c r="B123" s="245" t="str">
        <f>TEXT($G$1, "[$-ko-KR]yyyy-mm-dd(ddd) ") &amp; "오전 00:00"</f>
        <v>2021-04-01(목) 오전 00:00</v>
      </c>
      <c r="C123" s="246"/>
      <c r="D123" s="247" t="str">
        <f>TEXT($G$1, "[$-ko-KR]yyyy-mm-dd(ddd) ") &amp; "오후 14:00"</f>
        <v>2021-04-01(목) 오후 14:00</v>
      </c>
      <c r="E123" s="248"/>
      <c r="F123" s="249"/>
      <c r="G123" s="247" t="str">
        <f>TEXT($G$1, "[$-ko-KR]yyyy-mm-dd(ddd) ") &amp; "오후 19:00"</f>
        <v>2021-04-01(목) 오후 19:00</v>
      </c>
      <c r="H123" s="248"/>
      <c r="I123" s="249"/>
      <c r="J123" s="247" t="str">
        <f>TEXT($G$1, "[$-ko-KR]yyyy-mm-dd(ddd) ") &amp; "오후 21:00"</f>
        <v>2021-04-01(목) 오후 21:00</v>
      </c>
      <c r="K123" s="248"/>
      <c r="L123" s="249"/>
      <c r="M123" s="247" t="str">
        <f>TEXT($G$1+1, "[$-ko-KR]yyyy-mm-dd(ddd) ") &amp; "오전 00:00"</f>
        <v>2021-04-02(금) 오전 00:00</v>
      </c>
      <c r="N123" s="248"/>
      <c r="O123" s="249"/>
      <c r="Q123" s="233"/>
      <c r="R123" s="233"/>
      <c r="S123" s="233"/>
    </row>
    <row r="124" spans="1:19" ht="17.25" thickBot="1">
      <c r="A124" s="244"/>
      <c r="B124" s="2" t="s">
        <v>58</v>
      </c>
      <c r="C124" s="10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3"/>
      <c r="R124" s="223"/>
      <c r="S124" s="223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3"/>
      <c r="R125" s="233"/>
      <c r="S125" s="233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3"/>
      <c r="R126" s="233"/>
      <c r="S126" s="233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3"/>
      <c r="R127" s="223"/>
      <c r="S127" s="223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3"/>
      <c r="R128" s="223"/>
      <c r="S128" s="223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3"/>
      <c r="R129" s="223"/>
      <c r="S129" s="223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3"/>
      <c r="R130" s="223"/>
      <c r="S130" s="223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3"/>
      <c r="R131" s="223"/>
      <c r="S131" s="223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3"/>
      <c r="R132" s="223"/>
      <c r="S132" s="223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4"/>
      <c r="R134" s="225"/>
      <c r="S134" s="226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7"/>
      <c r="R135" s="228"/>
      <c r="S135" s="229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0"/>
      <c r="R136" s="231"/>
      <c r="S136" s="232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3"/>
      <c r="R137" s="223"/>
      <c r="S137" s="223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3"/>
      <c r="R138" s="233"/>
      <c r="S138" s="233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3"/>
      <c r="R139" s="233"/>
      <c r="S139" s="233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3"/>
      <c r="R140" s="223"/>
      <c r="S140" s="223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3"/>
      <c r="R141" s="223"/>
      <c r="S141" s="223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3"/>
      <c r="R142" s="223"/>
      <c r="S142" s="223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2"/>
      <c r="R143" s="213"/>
      <c r="S143" s="214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5"/>
      <c r="R144" s="216"/>
      <c r="S144" s="217"/>
    </row>
    <row r="145" spans="1:19" ht="17.25" thickBot="1">
      <c r="A145" s="26" t="s">
        <v>300</v>
      </c>
      <c r="B145" s="221">
        <f>$B$37</f>
        <v>300000</v>
      </c>
      <c r="C145" s="222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18"/>
      <c r="R145" s="219"/>
      <c r="S145" s="220"/>
    </row>
    <row r="147" spans="1:19" ht="17.25" thickBot="1"/>
    <row r="148" spans="1:19" ht="17.25" thickBot="1">
      <c r="A148" s="234" t="s">
        <v>289</v>
      </c>
      <c r="B148" s="235"/>
      <c r="C148" s="235"/>
      <c r="D148" s="235"/>
      <c r="E148" s="235"/>
      <c r="F148" s="235"/>
      <c r="G148" s="235"/>
      <c r="H148" s="235"/>
      <c r="I148" s="235"/>
      <c r="J148" s="235"/>
      <c r="K148" s="235"/>
      <c r="L148" s="235"/>
      <c r="M148" s="235"/>
      <c r="N148" s="235"/>
      <c r="O148" s="236"/>
      <c r="Q148" s="233"/>
      <c r="R148" s="233"/>
      <c r="S148" s="233"/>
    </row>
    <row r="149" spans="1:19" ht="17.25" thickBot="1">
      <c r="A149" s="111" t="s">
        <v>297</v>
      </c>
      <c r="B149" s="234" t="s">
        <v>49</v>
      </c>
      <c r="C149" s="236"/>
      <c r="D149" s="234" t="s">
        <v>58</v>
      </c>
      <c r="E149" s="235"/>
      <c r="F149" s="236"/>
      <c r="G149" s="237">
        <f>_xlfn.IFNA(VLOOKUP(B149, 현재가테이블!$B$2:$D$200, 2, FALSE), "-")</f>
        <v>41418000</v>
      </c>
      <c r="H149" s="238"/>
      <c r="I149" s="239"/>
      <c r="J149" s="234" t="s">
        <v>59</v>
      </c>
      <c r="K149" s="235"/>
      <c r="L149" s="236"/>
      <c r="M149" s="240">
        <f>_xlfn.IFNA(VLOOKUP(B149, 현재가테이블!$B$2:$D$200, 3, FALSE), "-")</f>
        <v>-5.2176301000000001E-2</v>
      </c>
      <c r="N149" s="241"/>
      <c r="O149" s="242"/>
      <c r="Q149" s="233"/>
      <c r="R149" s="233"/>
      <c r="S149" s="233"/>
    </row>
    <row r="150" spans="1:19" ht="17.25" thickBot="1">
      <c r="A150" s="243" t="s">
        <v>55</v>
      </c>
      <c r="B150" s="245" t="str">
        <f>TEXT($G$1, "[$-ko-KR]yyyy-mm-dd(ddd) ") &amp; "오전 00:00"</f>
        <v>2021-04-01(목) 오전 00:00</v>
      </c>
      <c r="C150" s="246"/>
      <c r="D150" s="247" t="str">
        <f>TEXT($G$1, "[$-ko-KR]yyyy-mm-dd(ddd) ") &amp; "오후 14:00"</f>
        <v>2021-04-01(목) 오후 14:00</v>
      </c>
      <c r="E150" s="248"/>
      <c r="F150" s="249"/>
      <c r="G150" s="247" t="str">
        <f>TEXT($G$1, "[$-ko-KR]yyyy-mm-dd(ddd) ") &amp; "오후 19:00"</f>
        <v>2021-04-01(목) 오후 19:00</v>
      </c>
      <c r="H150" s="248"/>
      <c r="I150" s="249"/>
      <c r="J150" s="247" t="str">
        <f>TEXT($G$1, "[$-ko-KR]yyyy-mm-dd(ddd) ") &amp; "오후 21:00"</f>
        <v>2021-04-01(목) 오후 21:00</v>
      </c>
      <c r="K150" s="248"/>
      <c r="L150" s="249"/>
      <c r="M150" s="247" t="str">
        <f>TEXT($G$1+1, "[$-ko-KR]yyyy-mm-dd(ddd) ") &amp; "오전 00:00"</f>
        <v>2021-04-02(금) 오전 00:00</v>
      </c>
      <c r="N150" s="248"/>
      <c r="O150" s="249"/>
      <c r="Q150" s="233"/>
      <c r="R150" s="233"/>
      <c r="S150" s="233"/>
    </row>
    <row r="151" spans="1:19" ht="17.25" thickBot="1">
      <c r="A151" s="244"/>
      <c r="B151" s="2" t="s">
        <v>58</v>
      </c>
      <c r="C151" s="10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3"/>
      <c r="R151" s="223"/>
      <c r="S151" s="223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3"/>
      <c r="R152" s="233"/>
      <c r="S152" s="233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3"/>
      <c r="R153" s="233"/>
      <c r="S153" s="233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3"/>
      <c r="R154" s="223"/>
      <c r="S154" s="223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3"/>
      <c r="R155" s="223"/>
      <c r="S155" s="223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3"/>
      <c r="R156" s="223"/>
      <c r="S156" s="223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3"/>
      <c r="R157" s="223"/>
      <c r="S157" s="223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3"/>
      <c r="R158" s="223"/>
      <c r="S158" s="223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3"/>
      <c r="R159" s="223"/>
      <c r="S159" s="223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4"/>
      <c r="R161" s="225"/>
      <c r="S161" s="226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7"/>
      <c r="R162" s="228"/>
      <c r="S162" s="229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0"/>
      <c r="R163" s="231"/>
      <c r="S163" s="232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3"/>
      <c r="R164" s="223"/>
      <c r="S164" s="223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3"/>
      <c r="R165" s="233"/>
      <c r="S165" s="233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3"/>
      <c r="R166" s="233"/>
      <c r="S166" s="233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3"/>
      <c r="R167" s="223"/>
      <c r="S167" s="223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3"/>
      <c r="R168" s="223"/>
      <c r="S168" s="223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3"/>
      <c r="R169" s="223"/>
      <c r="S169" s="223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2"/>
      <c r="R170" s="213"/>
      <c r="S170" s="214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5"/>
      <c r="R171" s="216"/>
      <c r="S171" s="217"/>
    </row>
    <row r="172" spans="1:19" ht="17.25" thickBot="1">
      <c r="A172" s="26" t="s">
        <v>300</v>
      </c>
      <c r="B172" s="221">
        <f>$B$37</f>
        <v>300000</v>
      </c>
      <c r="C172" s="222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18"/>
      <c r="R172" s="219"/>
      <c r="S172" s="220"/>
    </row>
    <row r="174" spans="1:19" ht="17.25" thickBot="1"/>
    <row r="175" spans="1:19" ht="17.25" thickBot="1">
      <c r="A175" s="234" t="s">
        <v>285</v>
      </c>
      <c r="B175" s="235"/>
      <c r="C175" s="235"/>
      <c r="D175" s="235"/>
      <c r="E175" s="235"/>
      <c r="F175" s="235"/>
      <c r="G175" s="235"/>
      <c r="H175" s="235"/>
      <c r="I175" s="235"/>
      <c r="J175" s="235"/>
      <c r="K175" s="235"/>
      <c r="L175" s="235"/>
      <c r="M175" s="235"/>
      <c r="N175" s="235"/>
      <c r="O175" s="236"/>
      <c r="Q175" s="233"/>
      <c r="R175" s="233"/>
      <c r="S175" s="233"/>
    </row>
    <row r="176" spans="1:19" ht="17.25" thickBot="1">
      <c r="A176" s="111" t="s">
        <v>297</v>
      </c>
      <c r="B176" s="234" t="s">
        <v>49</v>
      </c>
      <c r="C176" s="236"/>
      <c r="D176" s="234" t="s">
        <v>58</v>
      </c>
      <c r="E176" s="235"/>
      <c r="F176" s="236"/>
      <c r="G176" s="237">
        <f>_xlfn.IFNA(VLOOKUP(B176, 현재가테이블!$B$2:$D$200, 2, FALSE), "-")</f>
        <v>41418000</v>
      </c>
      <c r="H176" s="238"/>
      <c r="I176" s="239"/>
      <c r="J176" s="234" t="s">
        <v>59</v>
      </c>
      <c r="K176" s="235"/>
      <c r="L176" s="236"/>
      <c r="M176" s="240">
        <f>_xlfn.IFNA(VLOOKUP(B176, 현재가테이블!$B$2:$D$200, 3, FALSE), "-")</f>
        <v>-5.2176301000000001E-2</v>
      </c>
      <c r="N176" s="241"/>
      <c r="O176" s="242"/>
      <c r="Q176" s="233"/>
      <c r="R176" s="233"/>
      <c r="S176" s="233"/>
    </row>
    <row r="177" spans="1:19" ht="17.25" thickBot="1">
      <c r="A177" s="243" t="s">
        <v>55</v>
      </c>
      <c r="B177" s="245" t="str">
        <f>TEXT($G$1, "[$-ko-KR]yyyy-mm-dd(ddd) ") &amp; "오전 00:00"</f>
        <v>2021-04-01(목) 오전 00:00</v>
      </c>
      <c r="C177" s="246"/>
      <c r="D177" s="247" t="str">
        <f>TEXT($G$1, "[$-ko-KR]yyyy-mm-dd(ddd) ") &amp; "오후 14:00"</f>
        <v>2021-04-01(목) 오후 14:00</v>
      </c>
      <c r="E177" s="248"/>
      <c r="F177" s="249"/>
      <c r="G177" s="247" t="str">
        <f>TEXT($G$1, "[$-ko-KR]yyyy-mm-dd(ddd) ") &amp; "오후 19:00"</f>
        <v>2021-04-01(목) 오후 19:00</v>
      </c>
      <c r="H177" s="248"/>
      <c r="I177" s="249"/>
      <c r="J177" s="247" t="str">
        <f>TEXT($G$1, "[$-ko-KR]yyyy-mm-dd(ddd) ") &amp; "오후 21:00"</f>
        <v>2021-04-01(목) 오후 21:00</v>
      </c>
      <c r="K177" s="248"/>
      <c r="L177" s="249"/>
      <c r="M177" s="247" t="str">
        <f>TEXT($G$1+1, "[$-ko-KR]yyyy-mm-dd(ddd) ") &amp; "오전 00:00"</f>
        <v>2021-04-02(금) 오전 00:00</v>
      </c>
      <c r="N177" s="248"/>
      <c r="O177" s="249"/>
      <c r="Q177" s="233"/>
      <c r="R177" s="233"/>
      <c r="S177" s="233"/>
    </row>
    <row r="178" spans="1:19" ht="17.25" thickBot="1">
      <c r="A178" s="244"/>
      <c r="B178" s="2" t="s">
        <v>58</v>
      </c>
      <c r="C178" s="10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3"/>
      <c r="R178" s="223"/>
      <c r="S178" s="223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3"/>
      <c r="R179" s="233"/>
      <c r="S179" s="233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3"/>
      <c r="R180" s="233"/>
      <c r="S180" s="233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3"/>
      <c r="R181" s="223"/>
      <c r="S181" s="223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3"/>
      <c r="R182" s="223"/>
      <c r="S182" s="223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3"/>
      <c r="R183" s="223"/>
      <c r="S183" s="223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3"/>
      <c r="R184" s="223"/>
      <c r="S184" s="223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3"/>
      <c r="R185" s="223"/>
      <c r="S185" s="223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3"/>
      <c r="R186" s="223"/>
      <c r="S186" s="223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4"/>
      <c r="R188" s="225"/>
      <c r="S188" s="226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7"/>
      <c r="R189" s="228"/>
      <c r="S189" s="229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0"/>
      <c r="R190" s="231"/>
      <c r="S190" s="232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3"/>
      <c r="R191" s="223"/>
      <c r="S191" s="223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3"/>
      <c r="R192" s="233"/>
      <c r="S192" s="233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3"/>
      <c r="R193" s="233"/>
      <c r="S193" s="233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3"/>
      <c r="R194" s="223"/>
      <c r="S194" s="223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3"/>
      <c r="R195" s="223"/>
      <c r="S195" s="223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3"/>
      <c r="R196" s="223"/>
      <c r="S196" s="223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2"/>
      <c r="R197" s="213"/>
      <c r="S197" s="214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5"/>
      <c r="R198" s="216"/>
      <c r="S198" s="217"/>
    </row>
    <row r="199" spans="1:19" ht="17.25" thickBot="1">
      <c r="A199" s="26" t="s">
        <v>300</v>
      </c>
      <c r="B199" s="221">
        <f>$B$37</f>
        <v>300000</v>
      </c>
      <c r="C199" s="222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18"/>
      <c r="R199" s="219"/>
      <c r="S199" s="22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9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9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9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9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9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9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9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9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9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9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923" priority="157">
      <formula>AND($N17 &gt; 0, ISNUMBER($N17))</formula>
    </cfRule>
    <cfRule type="expression" dxfId="2922" priority="158">
      <formula>AND($N17 = 0 * ISNUMBER($N17))</formula>
    </cfRule>
    <cfRule type="expression" dxfId="2921" priority="159">
      <formula>AND($N17 &lt; 0, ISNUMBER($N17))</formula>
    </cfRule>
  </conditionalFormatting>
  <conditionalFormatting sqref="A17:F36">
    <cfRule type="expression" dxfId="2920" priority="166">
      <formula>AND($E17 &gt; 0, ISNUMBER($E17))</formula>
    </cfRule>
    <cfRule type="expression" dxfId="2919" priority="167">
      <formula>AND($E17 = 0 * ISNUMBER($E17))</formula>
    </cfRule>
    <cfRule type="expression" dxfId="2918" priority="168">
      <formula>AND($E17 &lt; 0, ISNUMBER($E17))</formula>
    </cfRule>
  </conditionalFormatting>
  <conditionalFormatting sqref="A17:C36 G17:I36">
    <cfRule type="expression" dxfId="2917" priority="163">
      <formula>AND($H17 &gt; 0, ISNUMBER($H17))</formula>
    </cfRule>
    <cfRule type="expression" dxfId="2916" priority="164">
      <formula>AND($H17 = 0 * ISNUMBER($H17))</formula>
    </cfRule>
    <cfRule type="expression" dxfId="2915" priority="165">
      <formula>AND($H17 &lt; 0, ISNUMBER($H17))</formula>
    </cfRule>
  </conditionalFormatting>
  <conditionalFormatting sqref="A17:C36 J17:L36">
    <cfRule type="expression" dxfId="2914" priority="160">
      <formula>AND($K17 &gt; 0, ISNUMBER($K17))</formula>
    </cfRule>
    <cfRule type="expression" dxfId="2913" priority="161">
      <formula>AND($K17 = 0 * ISNUMBER($K17))</formula>
    </cfRule>
    <cfRule type="expression" dxfId="2912" priority="162">
      <formula>AND($K17 &lt; 0, ISNUMBER($K17))</formula>
    </cfRule>
  </conditionalFormatting>
  <conditionalFormatting sqref="D15:F16 E37:F37">
    <cfRule type="expression" dxfId="2911" priority="154">
      <formula>$E$37 &gt; 0</formula>
    </cfRule>
    <cfRule type="expression" dxfId="2910" priority="155">
      <formula>$E$37 = 0</formula>
    </cfRule>
    <cfRule type="expression" dxfId="2909" priority="156">
      <formula>$E$37 &lt; 0</formula>
    </cfRule>
  </conditionalFormatting>
  <conditionalFormatting sqref="G15:I16 H37:I37">
    <cfRule type="expression" dxfId="2908" priority="151">
      <formula>$H$37 &gt; 0</formula>
    </cfRule>
    <cfRule type="expression" dxfId="2907" priority="152">
      <formula>$H$37 = 0</formula>
    </cfRule>
    <cfRule type="expression" dxfId="2906" priority="153">
      <formula>$H$37 &lt; 0</formula>
    </cfRule>
  </conditionalFormatting>
  <conditionalFormatting sqref="J15:L16 K37:L37">
    <cfRule type="expression" dxfId="2905" priority="148">
      <formula>$K$37 &gt; 0</formula>
    </cfRule>
    <cfRule type="expression" dxfId="2904" priority="149">
      <formula>$K$37 = 0</formula>
    </cfRule>
    <cfRule type="expression" dxfId="2903" priority="150">
      <formula>$K$37 &lt; 0</formula>
    </cfRule>
  </conditionalFormatting>
  <conditionalFormatting sqref="M15:O16 N37:O37">
    <cfRule type="expression" dxfId="2902" priority="145">
      <formula>$N$37 &gt; 0</formula>
    </cfRule>
    <cfRule type="expression" dxfId="2901" priority="146">
      <formula>$N$37 = 0</formula>
    </cfRule>
    <cfRule type="expression" dxfId="2900" priority="147">
      <formula>$N$37 &lt; 0</formula>
    </cfRule>
  </conditionalFormatting>
  <conditionalFormatting sqref="A44:C63 M44:O63">
    <cfRule type="expression" dxfId="2899" priority="133">
      <formula>AND($N44 &gt; 0, ISNUMBER($N44))</formula>
    </cfRule>
    <cfRule type="expression" dxfId="2898" priority="134">
      <formula>AND($N44 = 0 * ISNUMBER($N44))</formula>
    </cfRule>
    <cfRule type="expression" dxfId="2897" priority="135">
      <formula>AND($N44 &lt; 0, ISNUMBER($N44))</formula>
    </cfRule>
  </conditionalFormatting>
  <conditionalFormatting sqref="A44:F63">
    <cfRule type="expression" dxfId="2896" priority="142">
      <formula>AND($E44 &gt; 0, ISNUMBER($E44))</formula>
    </cfRule>
    <cfRule type="expression" dxfId="2895" priority="143">
      <formula>AND($E44 = 0 * ISNUMBER($E44))</formula>
    </cfRule>
    <cfRule type="expression" dxfId="2894" priority="144">
      <formula>AND($E44 &lt; 0, ISNUMBER($E44))</formula>
    </cfRule>
  </conditionalFormatting>
  <conditionalFormatting sqref="A44:C63 G44:I63">
    <cfRule type="expression" dxfId="2893" priority="139">
      <formula>AND($H44 &gt; 0, ISNUMBER($H44))</formula>
    </cfRule>
    <cfRule type="expression" dxfId="2892" priority="140">
      <formula>AND($H44 = 0 * ISNUMBER($H44))</formula>
    </cfRule>
    <cfRule type="expression" dxfId="2891" priority="141">
      <formula>AND($H44 &lt; 0, ISNUMBER($H44))</formula>
    </cfRule>
  </conditionalFormatting>
  <conditionalFormatting sqref="A44:C63 J44:L63">
    <cfRule type="expression" dxfId="2890" priority="136">
      <formula>AND($K44 &gt; 0, ISNUMBER($K44))</formula>
    </cfRule>
    <cfRule type="expression" dxfId="2889" priority="137">
      <formula>AND($K44 = 0 * ISNUMBER($K44))</formula>
    </cfRule>
    <cfRule type="expression" dxfId="2888" priority="138">
      <formula>AND($K44 &lt; 0, ISNUMBER($K44))</formula>
    </cfRule>
  </conditionalFormatting>
  <conditionalFormatting sqref="D42:F43 E64:F64">
    <cfRule type="expression" dxfId="2887" priority="130">
      <formula>$E$64 &gt; 0</formula>
    </cfRule>
    <cfRule type="expression" dxfId="2886" priority="131">
      <formula>$E$64 = 0</formula>
    </cfRule>
    <cfRule type="expression" dxfId="2885" priority="132">
      <formula>$E$64 &lt; 0</formula>
    </cfRule>
  </conditionalFormatting>
  <conditionalFormatting sqref="G42:I43 H64:I64">
    <cfRule type="expression" dxfId="2884" priority="127">
      <formula>$H$64 &gt; 0</formula>
    </cfRule>
    <cfRule type="expression" dxfId="2883" priority="128">
      <formula>$H$64 = 0</formula>
    </cfRule>
    <cfRule type="expression" dxfId="2882" priority="129">
      <formula>$H$64 &lt; 0</formula>
    </cfRule>
  </conditionalFormatting>
  <conditionalFormatting sqref="J42:L43 K64:L64">
    <cfRule type="expression" dxfId="2881" priority="124">
      <formula>$K$64 &gt; 0</formula>
    </cfRule>
    <cfRule type="expression" dxfId="2880" priority="125">
      <formula>$K$64 = 0</formula>
    </cfRule>
    <cfRule type="expression" dxfId="2879" priority="126">
      <formula>$K$64 &lt; 0</formula>
    </cfRule>
  </conditionalFormatting>
  <conditionalFormatting sqref="M42:O43 N64:O64">
    <cfRule type="expression" dxfId="2878" priority="121">
      <formula>$N$64 &gt; 0</formula>
    </cfRule>
    <cfRule type="expression" dxfId="2877" priority="122">
      <formula>$N$64 = 0</formula>
    </cfRule>
    <cfRule type="expression" dxfId="2876" priority="123">
      <formula>$N$64 &lt; 0</formula>
    </cfRule>
  </conditionalFormatting>
  <conditionalFormatting sqref="A71:C90 M71:O90">
    <cfRule type="expression" dxfId="2875" priority="109">
      <formula>AND($N71 &gt; 0, ISNUMBER($N71))</formula>
    </cfRule>
    <cfRule type="expression" dxfId="2874" priority="110">
      <formula>AND($N71 = 0 * ISNUMBER($N71))</formula>
    </cfRule>
    <cfRule type="expression" dxfId="2873" priority="111">
      <formula>AND($N71 &lt; 0, ISNUMBER($N71))</formula>
    </cfRule>
  </conditionalFormatting>
  <conditionalFormatting sqref="A71:F90">
    <cfRule type="expression" dxfId="2872" priority="118">
      <formula>AND($E71 &gt; 0, ISNUMBER($E71))</formula>
    </cfRule>
    <cfRule type="expression" dxfId="2871" priority="119">
      <formula>AND($E71 = 0 * ISNUMBER($E71))</formula>
    </cfRule>
    <cfRule type="expression" dxfId="2870" priority="120">
      <formula>AND($E71 &lt; 0, ISNUMBER($E71))</formula>
    </cfRule>
  </conditionalFormatting>
  <conditionalFormatting sqref="A71:C90 G71:I90">
    <cfRule type="expression" dxfId="2869" priority="115">
      <formula>AND($H71 &gt; 0, ISNUMBER($H71))</formula>
    </cfRule>
    <cfRule type="expression" dxfId="2868" priority="116">
      <formula>AND($H71 = 0 * ISNUMBER($H71))</formula>
    </cfRule>
    <cfRule type="expression" dxfId="2867" priority="117">
      <formula>AND($H71 &lt; 0, ISNUMBER($H71))</formula>
    </cfRule>
  </conditionalFormatting>
  <conditionalFormatting sqref="A71:C90 J71:L90">
    <cfRule type="expression" dxfId="2866" priority="112">
      <formula>AND($K71 &gt; 0, ISNUMBER($K71))</formula>
    </cfRule>
    <cfRule type="expression" dxfId="2865" priority="113">
      <formula>AND($K71 = 0 * ISNUMBER($K71))</formula>
    </cfRule>
    <cfRule type="expression" dxfId="2864" priority="114">
      <formula>AND($K71 &lt; 0, ISNUMBER($K71))</formula>
    </cfRule>
  </conditionalFormatting>
  <conditionalFormatting sqref="D69:F70 E91:F91">
    <cfRule type="expression" dxfId="2863" priority="106">
      <formula>$E$91 &gt; 0</formula>
    </cfRule>
    <cfRule type="expression" dxfId="2862" priority="107">
      <formula>$E$91 = 0</formula>
    </cfRule>
    <cfRule type="expression" dxfId="2861" priority="108">
      <formula>$E$91 &lt; 0</formula>
    </cfRule>
  </conditionalFormatting>
  <conditionalFormatting sqref="G69:I70 H91:I91">
    <cfRule type="expression" dxfId="2860" priority="103">
      <formula>$H$91 &gt; 0</formula>
    </cfRule>
    <cfRule type="expression" dxfId="2859" priority="104">
      <formula>$H$91 = 0</formula>
    </cfRule>
    <cfRule type="expression" dxfId="2858" priority="105">
      <formula>$H$91 &lt; 0</formula>
    </cfRule>
  </conditionalFormatting>
  <conditionalFormatting sqref="J69:L70 K91:L91">
    <cfRule type="expression" dxfId="2857" priority="100">
      <formula>$K$91 &gt; 0</formula>
    </cfRule>
    <cfRule type="expression" dxfId="2856" priority="101">
      <formula>$K$91 = 0</formula>
    </cfRule>
    <cfRule type="expression" dxfId="2855" priority="102">
      <formula>$K$91 &lt; 0</formula>
    </cfRule>
  </conditionalFormatting>
  <conditionalFormatting sqref="M69:O70 N91:O91">
    <cfRule type="expression" dxfId="2854" priority="97">
      <formula>$N$91 &gt; 0</formula>
    </cfRule>
    <cfRule type="expression" dxfId="2853" priority="98">
      <formula>$N$91 = 0</formula>
    </cfRule>
    <cfRule type="expression" dxfId="2852" priority="99">
      <formula>$N$91 &lt; 0</formula>
    </cfRule>
  </conditionalFormatting>
  <conditionalFormatting sqref="A98:C117 M98:O117">
    <cfRule type="expression" dxfId="2851" priority="85">
      <formula>AND($N98 &gt; 0, ISNUMBER($N98))</formula>
    </cfRule>
    <cfRule type="expression" dxfId="2850" priority="86">
      <formula>AND($N98 = 0 * ISNUMBER($N98))</formula>
    </cfRule>
    <cfRule type="expression" dxfId="2849" priority="87">
      <formula>AND($N98 &lt; 0, ISNUMBER($N98))</formula>
    </cfRule>
  </conditionalFormatting>
  <conditionalFormatting sqref="A98:F117">
    <cfRule type="expression" dxfId="2848" priority="94">
      <formula>AND($E98 &gt; 0, ISNUMBER($E98))</formula>
    </cfRule>
    <cfRule type="expression" dxfId="2847" priority="95">
      <formula>AND($E98 = 0 * ISNUMBER($E98))</formula>
    </cfRule>
    <cfRule type="expression" dxfId="2846" priority="96">
      <formula>AND($E98 &lt; 0, ISNUMBER($E98))</formula>
    </cfRule>
  </conditionalFormatting>
  <conditionalFormatting sqref="A98:C117 G98:I117">
    <cfRule type="expression" dxfId="2845" priority="91">
      <formula>AND($H98 &gt; 0, ISNUMBER($H98))</formula>
    </cfRule>
    <cfRule type="expression" dxfId="2844" priority="92">
      <formula>AND($H98 = 0 * ISNUMBER($H98))</formula>
    </cfRule>
    <cfRule type="expression" dxfId="2843" priority="93">
      <formula>AND($H98 &lt; 0, ISNUMBER($H98))</formula>
    </cfRule>
  </conditionalFormatting>
  <conditionalFormatting sqref="A98:C117 J98:L117">
    <cfRule type="expression" dxfId="2842" priority="88">
      <formula>AND($K98 &gt; 0, ISNUMBER($K98))</formula>
    </cfRule>
    <cfRule type="expression" dxfId="2841" priority="89">
      <formula>AND($K98 = 0 * ISNUMBER($K98))</formula>
    </cfRule>
    <cfRule type="expression" dxfId="2840" priority="90">
      <formula>AND($K98 &lt; 0, ISNUMBER($K98))</formula>
    </cfRule>
  </conditionalFormatting>
  <conditionalFormatting sqref="D96:F97 E118:F118">
    <cfRule type="expression" dxfId="2839" priority="82">
      <formula>$E$118 &gt; 0</formula>
    </cfRule>
    <cfRule type="expression" dxfId="2838" priority="83">
      <formula>$E$118 = 0</formula>
    </cfRule>
    <cfRule type="expression" dxfId="2837" priority="84">
      <formula>$E$118 &lt; 0</formula>
    </cfRule>
  </conditionalFormatting>
  <conditionalFormatting sqref="G96:I97 H118:I118">
    <cfRule type="expression" dxfId="2836" priority="79">
      <formula>$H$118 &gt; 0</formula>
    </cfRule>
    <cfRule type="expression" dxfId="2835" priority="80">
      <formula>$H$118 = 0</formula>
    </cfRule>
    <cfRule type="expression" dxfId="2834" priority="81">
      <formula>$H$118 &lt; 0</formula>
    </cfRule>
  </conditionalFormatting>
  <conditionalFormatting sqref="J96:L97 K118:L118">
    <cfRule type="expression" dxfId="2833" priority="76">
      <formula>$K$118 &gt; 0</formula>
    </cfRule>
    <cfRule type="expression" dxfId="2832" priority="77">
      <formula>$K$118 = 0</formula>
    </cfRule>
    <cfRule type="expression" dxfId="2831" priority="78">
      <formula>$K$118 &lt; 0</formula>
    </cfRule>
  </conditionalFormatting>
  <conditionalFormatting sqref="M96:O97 N118:O118">
    <cfRule type="expression" dxfId="2830" priority="73">
      <formula>$N$118 &gt; 0</formula>
    </cfRule>
    <cfRule type="expression" dxfId="2829" priority="74">
      <formula>$N$118 = 0</formula>
    </cfRule>
    <cfRule type="expression" dxfId="2828" priority="75">
      <formula>$N$118 &lt; 0</formula>
    </cfRule>
  </conditionalFormatting>
  <conditionalFormatting sqref="A125:C144 M125:O144">
    <cfRule type="expression" dxfId="2827" priority="61">
      <formula>AND($N125 &gt; 0, ISNUMBER($N125))</formula>
    </cfRule>
    <cfRule type="expression" dxfId="2826" priority="62">
      <formula>AND($N125 = 0 * ISNUMBER($N125))</formula>
    </cfRule>
    <cfRule type="expression" dxfId="2825" priority="63">
      <formula>AND($N125 &lt; 0, ISNUMBER($N125))</formula>
    </cfRule>
  </conditionalFormatting>
  <conditionalFormatting sqref="A125:F144">
    <cfRule type="expression" dxfId="2824" priority="70">
      <formula>AND($E125 &gt; 0, ISNUMBER($E125))</formula>
    </cfRule>
    <cfRule type="expression" dxfId="2823" priority="71">
      <formula>AND($E125 = 0 * ISNUMBER($E125))</formula>
    </cfRule>
    <cfRule type="expression" dxfId="2822" priority="72">
      <formula>AND($E125 &lt; 0, ISNUMBER($E125))</formula>
    </cfRule>
  </conditionalFormatting>
  <conditionalFormatting sqref="A125:C144 G125:I144">
    <cfRule type="expression" dxfId="2821" priority="67">
      <formula>AND($H125 &gt; 0, ISNUMBER($H125))</formula>
    </cfRule>
    <cfRule type="expression" dxfId="2820" priority="68">
      <formula>AND($H125 = 0 * ISNUMBER($H125))</formula>
    </cfRule>
    <cfRule type="expression" dxfId="2819" priority="69">
      <formula>AND($H125 &lt; 0, ISNUMBER($H125))</formula>
    </cfRule>
  </conditionalFormatting>
  <conditionalFormatting sqref="A125:C144 J125:L144">
    <cfRule type="expression" dxfId="2818" priority="64">
      <formula>AND($K125 &gt; 0, ISNUMBER($K125))</formula>
    </cfRule>
    <cfRule type="expression" dxfId="2817" priority="65">
      <formula>AND($K125 = 0 * ISNUMBER($K125))</formula>
    </cfRule>
    <cfRule type="expression" dxfId="2816" priority="66">
      <formula>AND($K125 &lt; 0, ISNUMBER($K125))</formula>
    </cfRule>
  </conditionalFormatting>
  <conditionalFormatting sqref="D123:F124 E145:F145">
    <cfRule type="expression" dxfId="2815" priority="58">
      <formula>$E$145 &gt; 0</formula>
    </cfRule>
    <cfRule type="expression" dxfId="2814" priority="59">
      <formula>$E$145 = 0</formula>
    </cfRule>
    <cfRule type="expression" dxfId="2813" priority="60">
      <formula>$E$145 &lt; 0</formula>
    </cfRule>
  </conditionalFormatting>
  <conditionalFormatting sqref="G123:I124 H145:I145">
    <cfRule type="expression" dxfId="2812" priority="55">
      <formula>$H$145 &gt; 0</formula>
    </cfRule>
    <cfRule type="expression" dxfId="2811" priority="56">
      <formula>$H$145 = 0</formula>
    </cfRule>
    <cfRule type="expression" dxfId="2810" priority="57">
      <formula>$H$145 &lt; 0</formula>
    </cfRule>
  </conditionalFormatting>
  <conditionalFormatting sqref="J123:L124 K145:L145">
    <cfRule type="expression" dxfId="2809" priority="52">
      <formula>$K$145 &gt; 0</formula>
    </cfRule>
    <cfRule type="expression" dxfId="2808" priority="53">
      <formula>$K$145 = 0</formula>
    </cfRule>
    <cfRule type="expression" dxfId="2807" priority="54">
      <formula>$K$145 &lt; 0</formula>
    </cfRule>
  </conditionalFormatting>
  <conditionalFormatting sqref="M123:O124 N145:O145">
    <cfRule type="expression" dxfId="2806" priority="49">
      <formula>$N$145 &gt; 0</formula>
    </cfRule>
    <cfRule type="expression" dxfId="2805" priority="50">
      <formula>$N$145 = 0</formula>
    </cfRule>
    <cfRule type="expression" dxfId="2804" priority="51">
      <formula>$N$145 &lt; 0</formula>
    </cfRule>
  </conditionalFormatting>
  <conditionalFormatting sqref="A152:C171 M152:O171">
    <cfRule type="expression" dxfId="2803" priority="37">
      <formula>AND($N152 &gt; 0, ISNUMBER($N152))</formula>
    </cfRule>
    <cfRule type="expression" dxfId="2802" priority="38">
      <formula>AND($N152 = 0 * ISNUMBER($N152))</formula>
    </cfRule>
    <cfRule type="expression" dxfId="2801" priority="39">
      <formula>AND($N152 &lt; 0, ISNUMBER($N152))</formula>
    </cfRule>
  </conditionalFormatting>
  <conditionalFormatting sqref="A152:F171">
    <cfRule type="expression" dxfId="2800" priority="46">
      <formula>AND($E152 &gt; 0, ISNUMBER($E152))</formula>
    </cfRule>
    <cfRule type="expression" dxfId="2799" priority="47">
      <formula>AND($E152 = 0 * ISNUMBER($E152))</formula>
    </cfRule>
    <cfRule type="expression" dxfId="2798" priority="48">
      <formula>AND($E152 &lt; 0, ISNUMBER($E152))</formula>
    </cfRule>
  </conditionalFormatting>
  <conditionalFormatting sqref="A152:C171 G152:I171">
    <cfRule type="expression" dxfId="2797" priority="43">
      <formula>AND($H152 &gt; 0, ISNUMBER($H152))</formula>
    </cfRule>
    <cfRule type="expression" dxfId="2796" priority="44">
      <formula>AND($H152 = 0 * ISNUMBER($H152))</formula>
    </cfRule>
    <cfRule type="expression" dxfId="2795" priority="45">
      <formula>AND($H152 &lt; 0, ISNUMBER($H152))</formula>
    </cfRule>
  </conditionalFormatting>
  <conditionalFormatting sqref="A152:C171 J152:L171">
    <cfRule type="expression" dxfId="2794" priority="40">
      <formula>AND($K152 &gt; 0, ISNUMBER($K152))</formula>
    </cfRule>
    <cfRule type="expression" dxfId="2793" priority="41">
      <formula>AND($K152 = 0 * ISNUMBER($K152))</formula>
    </cfRule>
    <cfRule type="expression" dxfId="2792" priority="42">
      <formula>AND($K152 &lt; 0, ISNUMBER($K152))</formula>
    </cfRule>
  </conditionalFormatting>
  <conditionalFormatting sqref="D150:F151 E172:F172">
    <cfRule type="expression" dxfId="2791" priority="34">
      <formula>$E$172 &gt; 0</formula>
    </cfRule>
    <cfRule type="expression" dxfId="2790" priority="35">
      <formula>$E$172 = 0</formula>
    </cfRule>
    <cfRule type="expression" dxfId="2789" priority="36">
      <formula>$E$172 &lt; 0</formula>
    </cfRule>
  </conditionalFormatting>
  <conditionalFormatting sqref="G150:I151 H172:I172">
    <cfRule type="expression" dxfId="2788" priority="31">
      <formula>$H$172 &gt; 0</formula>
    </cfRule>
    <cfRule type="expression" dxfId="2787" priority="32">
      <formula>$H$172 = 0</formula>
    </cfRule>
    <cfRule type="expression" dxfId="2786" priority="33">
      <formula>$H$172 &lt; 0</formula>
    </cfRule>
  </conditionalFormatting>
  <conditionalFormatting sqref="J150:L151 K172:L172">
    <cfRule type="expression" dxfId="2785" priority="28">
      <formula>$K$172 &gt; 0</formula>
    </cfRule>
    <cfRule type="expression" dxfId="2784" priority="29">
      <formula>$K$172 = 0</formula>
    </cfRule>
    <cfRule type="expression" dxfId="2783" priority="30">
      <formula>$K$172 &lt; 0</formula>
    </cfRule>
  </conditionalFormatting>
  <conditionalFormatting sqref="M150:O151 N172:O172">
    <cfRule type="expression" dxfId="2782" priority="25">
      <formula>$N$172 &gt; 0</formula>
    </cfRule>
    <cfRule type="expression" dxfId="2781" priority="26">
      <formula>$N$172 = 0</formula>
    </cfRule>
    <cfRule type="expression" dxfId="2780" priority="27">
      <formula>$N$172 &lt; 0</formula>
    </cfRule>
  </conditionalFormatting>
  <conditionalFormatting sqref="A179:C198 M179:O198">
    <cfRule type="expression" dxfId="2779" priority="13">
      <formula>AND($N179 &gt; 0, ISNUMBER($N179))</formula>
    </cfRule>
    <cfRule type="expression" dxfId="2778" priority="14">
      <formula>AND($N179 = 0 * ISNUMBER($N179))</formula>
    </cfRule>
    <cfRule type="expression" dxfId="2777" priority="15">
      <formula>AND($N179 &lt; 0, ISNUMBER($N179))</formula>
    </cfRule>
  </conditionalFormatting>
  <conditionalFormatting sqref="A179:F198">
    <cfRule type="expression" dxfId="2776" priority="22">
      <formula>AND($E179 &gt; 0, ISNUMBER($E179))</formula>
    </cfRule>
    <cfRule type="expression" dxfId="2775" priority="23">
      <formula>AND($E179 = 0 * ISNUMBER($E179))</formula>
    </cfRule>
    <cfRule type="expression" dxfId="2774" priority="24">
      <formula>AND($E179 &lt; 0, ISNUMBER($E179))</formula>
    </cfRule>
  </conditionalFormatting>
  <conditionalFormatting sqref="A179:C198 G179:I198">
    <cfRule type="expression" dxfId="2773" priority="19">
      <formula>AND($H179 &gt; 0, ISNUMBER($H179))</formula>
    </cfRule>
    <cfRule type="expression" dxfId="2772" priority="20">
      <formula>AND($H179 = 0 * ISNUMBER($H179))</formula>
    </cfRule>
    <cfRule type="expression" dxfId="2771" priority="21">
      <formula>AND($H179 &lt; 0, ISNUMBER($H179))</formula>
    </cfRule>
  </conditionalFormatting>
  <conditionalFormatting sqref="A179:C198 J179:L198">
    <cfRule type="expression" dxfId="2770" priority="16">
      <formula>AND($K179 &gt; 0, ISNUMBER($K179))</formula>
    </cfRule>
    <cfRule type="expression" dxfId="2769" priority="17">
      <formula>AND($K179 = 0 * ISNUMBER($K179))</formula>
    </cfRule>
    <cfRule type="expression" dxfId="2768" priority="18">
      <formula>AND($K179 &lt; 0, ISNUMBER($K179))</formula>
    </cfRule>
  </conditionalFormatting>
  <conditionalFormatting sqref="D177:F178 E199:F199">
    <cfRule type="expression" dxfId="2767" priority="10">
      <formula>$E$199 &gt; 0</formula>
    </cfRule>
    <cfRule type="expression" dxfId="2766" priority="11">
      <formula>$E$199 = 0</formula>
    </cfRule>
    <cfRule type="expression" dxfId="2765" priority="12">
      <formula>$E$199 &lt; 0</formula>
    </cfRule>
  </conditionalFormatting>
  <conditionalFormatting sqref="G177:I178 H199:I199">
    <cfRule type="expression" dxfId="2764" priority="7">
      <formula>$H$199 &gt; 0</formula>
    </cfRule>
    <cfRule type="expression" dxfId="2763" priority="8">
      <formula>$H$199 = 0</formula>
    </cfRule>
    <cfRule type="expression" dxfId="2762" priority="9">
      <formula>$H$199 &lt; 0</formula>
    </cfRule>
  </conditionalFormatting>
  <conditionalFormatting sqref="J177:L178 K199:L199">
    <cfRule type="expression" dxfId="2761" priority="4">
      <formula>$K$199 &gt; 0</formula>
    </cfRule>
    <cfRule type="expression" dxfId="2760" priority="5">
      <formula>$K$199 = 0</formula>
    </cfRule>
    <cfRule type="expression" dxfId="2759" priority="6">
      <formula>$K$199 &lt; 0</formula>
    </cfRule>
  </conditionalFormatting>
  <conditionalFormatting sqref="M177:O178 N199:O199">
    <cfRule type="expression" dxfId="2758" priority="1">
      <formula>$N$199 &gt; 0</formula>
    </cfRule>
    <cfRule type="expression" dxfId="2757" priority="2">
      <formula>$N$199 = 0</formula>
    </cfRule>
    <cfRule type="expression" dxfId="27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4" t="s">
        <v>0</v>
      </c>
      <c r="B1" s="235"/>
      <c r="C1" s="235"/>
      <c r="D1" s="235"/>
      <c r="E1" s="235"/>
      <c r="F1" s="236"/>
      <c r="G1" s="265">
        <v>44348</v>
      </c>
      <c r="H1" s="266"/>
      <c r="I1" s="267"/>
      <c r="J1" s="234" t="s">
        <v>1</v>
      </c>
      <c r="K1" s="235"/>
      <c r="L1" s="235"/>
      <c r="M1" s="235"/>
      <c r="N1" s="235"/>
      <c r="O1" s="236"/>
      <c r="Q1" s="234" t="s">
        <v>2</v>
      </c>
      <c r="R1" s="236"/>
    </row>
    <row r="2" spans="1:19" ht="17.25" customHeight="1">
      <c r="A2" s="117" t="s">
        <v>3</v>
      </c>
      <c r="B2" s="268" t="s">
        <v>8</v>
      </c>
      <c r="C2" s="269"/>
      <c r="D2" s="269"/>
      <c r="E2" s="269"/>
      <c r="F2" s="270"/>
      <c r="G2" s="262" t="s">
        <v>46</v>
      </c>
      <c r="H2" s="263"/>
      <c r="I2" s="264"/>
      <c r="J2" s="1" t="s">
        <v>3</v>
      </c>
      <c r="K2" s="268" t="s">
        <v>350</v>
      </c>
      <c r="L2" s="269"/>
      <c r="M2" s="269"/>
      <c r="N2" s="269"/>
      <c r="O2" s="270"/>
      <c r="Q2" s="2" t="s">
        <v>6</v>
      </c>
      <c r="R2" s="3">
        <v>0.375</v>
      </c>
    </row>
    <row r="3" spans="1:19" ht="17.25" customHeight="1" thickBot="1">
      <c r="A3" s="118" t="s">
        <v>7</v>
      </c>
      <c r="B3" s="259" t="s">
        <v>358</v>
      </c>
      <c r="C3" s="260"/>
      <c r="D3" s="260"/>
      <c r="E3" s="260"/>
      <c r="F3" s="261"/>
      <c r="G3" s="25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6"/>
      <c r="I3" s="257"/>
      <c r="J3" s="4" t="s">
        <v>7</v>
      </c>
      <c r="K3" s="259" t="s">
        <v>351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9" t="s">
        <v>16</v>
      </c>
      <c r="C4" s="260"/>
      <c r="D4" s="260"/>
      <c r="E4" s="260"/>
      <c r="F4" s="261"/>
      <c r="G4" s="262" t="s">
        <v>44</v>
      </c>
      <c r="H4" s="263"/>
      <c r="I4" s="264"/>
      <c r="J4" s="4" t="s">
        <v>11</v>
      </c>
      <c r="K4" s="259" t="s">
        <v>352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9" t="s">
        <v>349</v>
      </c>
      <c r="C5" s="260"/>
      <c r="D5" s="260"/>
      <c r="E5" s="260"/>
      <c r="F5" s="261"/>
      <c r="G5" s="25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6"/>
      <c r="I5" s="257"/>
      <c r="J5" s="4" t="s">
        <v>15</v>
      </c>
      <c r="K5" s="259" t="s">
        <v>353</v>
      </c>
      <c r="L5" s="260"/>
      <c r="M5" s="260"/>
      <c r="N5" s="260"/>
      <c r="O5" s="261"/>
    </row>
    <row r="6" spans="1:19">
      <c r="A6" s="118" t="s">
        <v>18</v>
      </c>
      <c r="B6" s="259"/>
      <c r="C6" s="260"/>
      <c r="D6" s="260"/>
      <c r="E6" s="260"/>
      <c r="F6" s="261"/>
      <c r="G6" s="262" t="s">
        <v>45</v>
      </c>
      <c r="H6" s="263"/>
      <c r="I6" s="264"/>
      <c r="J6" s="4" t="s">
        <v>18</v>
      </c>
      <c r="K6" s="259" t="s">
        <v>354</v>
      </c>
      <c r="L6" s="260"/>
      <c r="M6" s="260"/>
      <c r="N6" s="260"/>
      <c r="O6" s="261"/>
    </row>
    <row r="7" spans="1:19" ht="17.25" thickBot="1">
      <c r="A7" s="118" t="s">
        <v>21</v>
      </c>
      <c r="B7" s="259"/>
      <c r="C7" s="260"/>
      <c r="D7" s="260"/>
      <c r="E7" s="260"/>
      <c r="F7" s="261"/>
      <c r="G7" s="25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6"/>
      <c r="I7" s="257"/>
      <c r="J7" s="4" t="s">
        <v>21</v>
      </c>
      <c r="K7" s="259" t="s">
        <v>355</v>
      </c>
      <c r="L7" s="260"/>
      <c r="M7" s="260"/>
      <c r="N7" s="260"/>
      <c r="O7" s="261"/>
    </row>
    <row r="8" spans="1:19" ht="17.25" thickBot="1">
      <c r="A8" s="118" t="s">
        <v>24</v>
      </c>
      <c r="B8" s="259"/>
      <c r="C8" s="260"/>
      <c r="D8" s="260"/>
      <c r="E8" s="260"/>
      <c r="F8" s="261"/>
      <c r="G8" s="262" t="s">
        <v>285</v>
      </c>
      <c r="H8" s="263"/>
      <c r="I8" s="264"/>
      <c r="J8" s="4" t="s">
        <v>24</v>
      </c>
      <c r="K8" s="259"/>
      <c r="L8" s="260"/>
      <c r="M8" s="260"/>
      <c r="N8" s="260"/>
      <c r="O8" s="261"/>
      <c r="Q8" s="234" t="s">
        <v>27</v>
      </c>
      <c r="R8" s="236"/>
    </row>
    <row r="9" spans="1:19" ht="17.25" thickBot="1">
      <c r="A9" s="118" t="s">
        <v>28</v>
      </c>
      <c r="B9" s="259"/>
      <c r="C9" s="260"/>
      <c r="D9" s="260"/>
      <c r="E9" s="260"/>
      <c r="F9" s="261"/>
      <c r="G9" s="25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6"/>
      <c r="I9" s="257"/>
      <c r="J9" s="4" t="s">
        <v>28</v>
      </c>
      <c r="K9" s="259"/>
      <c r="L9" s="260"/>
      <c r="M9" s="260"/>
      <c r="N9" s="260"/>
      <c r="O9" s="261"/>
      <c r="Q9" s="2" t="s">
        <v>29</v>
      </c>
      <c r="R9" s="6">
        <v>10</v>
      </c>
    </row>
    <row r="10" spans="1:19">
      <c r="A10" s="118" t="s">
        <v>30</v>
      </c>
      <c r="B10" s="259"/>
      <c r="C10" s="260"/>
      <c r="D10" s="260"/>
      <c r="E10" s="260"/>
      <c r="F10" s="261"/>
      <c r="G10" s="262" t="s">
        <v>47</v>
      </c>
      <c r="H10" s="263"/>
      <c r="I10" s="264"/>
      <c r="J10" s="4" t="s">
        <v>30</v>
      </c>
      <c r="K10" s="259" t="s">
        <v>356</v>
      </c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119" t="s">
        <v>32</v>
      </c>
      <c r="B11" s="252" t="s">
        <v>357</v>
      </c>
      <c r="C11" s="253"/>
      <c r="D11" s="253"/>
      <c r="E11" s="253"/>
      <c r="F11" s="254"/>
      <c r="G11" s="25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6"/>
      <c r="I11" s="257"/>
      <c r="J11" s="7" t="s">
        <v>32</v>
      </c>
      <c r="K11" s="252" t="s">
        <v>348</v>
      </c>
      <c r="L11" s="253"/>
      <c r="M11" s="253"/>
      <c r="N11" s="253"/>
      <c r="O11" s="254"/>
      <c r="Q11" s="65" t="s">
        <v>33</v>
      </c>
      <c r="R11" s="8">
        <v>1000</v>
      </c>
    </row>
    <row r="12" spans="1:19" ht="17.25" thickBot="1"/>
    <row r="13" spans="1:19" ht="17.25" customHeight="1" thickBot="1">
      <c r="A13" s="234" t="s">
        <v>34</v>
      </c>
      <c r="B13" s="235"/>
      <c r="C13" s="235"/>
      <c r="D13" s="235"/>
      <c r="E13" s="235"/>
      <c r="F13" s="235"/>
      <c r="G13" s="235"/>
      <c r="H13" s="235"/>
      <c r="I13" s="235"/>
      <c r="J13" s="235"/>
      <c r="K13" s="235"/>
      <c r="L13" s="235"/>
      <c r="M13" s="235"/>
      <c r="N13" s="235"/>
      <c r="O13" s="236"/>
      <c r="Q13" s="233"/>
      <c r="R13" s="233"/>
      <c r="S13" s="233"/>
    </row>
    <row r="14" spans="1:19" ht="17.25" customHeight="1" thickBot="1">
      <c r="A14" s="116" t="s">
        <v>35</v>
      </c>
      <c r="B14" s="234" t="s">
        <v>36</v>
      </c>
      <c r="C14" s="236"/>
      <c r="D14" s="234" t="s">
        <v>37</v>
      </c>
      <c r="E14" s="235"/>
      <c r="F14" s="236"/>
      <c r="G14" s="237">
        <f>_xlfn.IFNA(VLOOKUP(B14, 현재가테이블!$B$2:$D$200, 2, FALSE), "-")</f>
        <v>41418000</v>
      </c>
      <c r="H14" s="238"/>
      <c r="I14" s="239"/>
      <c r="J14" s="234" t="s">
        <v>38</v>
      </c>
      <c r="K14" s="235"/>
      <c r="L14" s="236"/>
      <c r="M14" s="240">
        <f>_xlfn.IFNA(VLOOKUP(B14, 현재가테이블!$B$2:$D$200, 3, FALSE), "-")</f>
        <v>-5.2176301000000001E-2</v>
      </c>
      <c r="N14" s="241"/>
      <c r="O14" s="242"/>
      <c r="Q14" s="233"/>
      <c r="R14" s="233"/>
      <c r="S14" s="233"/>
    </row>
    <row r="15" spans="1:19" ht="17.25" customHeight="1" thickBot="1">
      <c r="A15" s="271" t="s">
        <v>39</v>
      </c>
      <c r="B15" s="272" t="str">
        <f>TEXT($G$1, "[$-ko-KR]yyyy-mm-dd(ddd) ") &amp; "오전 00:00"</f>
        <v>2021-06-01(화) 오전 00:00</v>
      </c>
      <c r="C15" s="273"/>
      <c r="D15" s="247" t="str">
        <f>TEXT($G$1, "[$-ko-KR]yyyy-mm-dd(ddd) ") &amp; "오후 14:00"</f>
        <v>2021-06-01(화) 오후 14:00</v>
      </c>
      <c r="E15" s="248"/>
      <c r="F15" s="249"/>
      <c r="G15" s="247" t="str">
        <f>TEXT($G$1, "[$-ko-KR]yyyy-mm-dd(ddd) ") &amp; "오후 19:00"</f>
        <v>2021-06-01(화) 오후 19:00</v>
      </c>
      <c r="H15" s="248"/>
      <c r="I15" s="249"/>
      <c r="J15" s="247" t="str">
        <f>TEXT($G$1, "[$-ko-KR]yyyy-mm-dd(ddd) ") &amp; "오후 21:00"</f>
        <v>2021-06-01(화) 오후 21:00</v>
      </c>
      <c r="K15" s="248"/>
      <c r="L15" s="249"/>
      <c r="M15" s="247" t="str">
        <f>TEXT($G$1+1, "[$-ko-KR]yyyy-mm-dd(ddd) ") &amp; "오전 00:00"</f>
        <v>2021-06-02(수) 오전 00:00</v>
      </c>
      <c r="N15" s="248"/>
      <c r="O15" s="249"/>
      <c r="Q15" s="233"/>
      <c r="R15" s="233"/>
      <c r="S15" s="233"/>
    </row>
    <row r="16" spans="1:19" ht="17.25" customHeight="1" thickBot="1">
      <c r="A16" s="27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3"/>
      <c r="R17" s="233"/>
      <c r="S17" s="23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3"/>
      <c r="R18" s="233"/>
      <c r="S18" s="23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3"/>
      <c r="R19" s="223"/>
      <c r="S19" s="22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3"/>
      <c r="R20" s="223"/>
      <c r="S20" s="22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3"/>
      <c r="R21" s="223"/>
      <c r="S21" s="22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3"/>
      <c r="R22" s="223"/>
      <c r="S22" s="22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3"/>
      <c r="R23" s="223"/>
      <c r="S23" s="22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3"/>
      <c r="R24" s="223"/>
      <c r="S24" s="22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3"/>
      <c r="R29" s="223"/>
      <c r="S29" s="22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3"/>
      <c r="R30" s="233"/>
      <c r="S30" s="23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3"/>
      <c r="R31" s="233"/>
      <c r="S31" s="23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3"/>
      <c r="R32" s="223"/>
      <c r="S32" s="22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2"/>
      <c r="R35" s="213"/>
      <c r="S35" s="2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5"/>
      <c r="R36" s="216"/>
      <c r="S36" s="217"/>
    </row>
    <row r="37" spans="1:19" ht="17.25" customHeight="1" thickBot="1">
      <c r="A37" s="132" t="s">
        <v>42</v>
      </c>
      <c r="B37" s="276">
        <v>100000</v>
      </c>
      <c r="C37" s="27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8"/>
      <c r="R37" s="219"/>
      <c r="S37" s="220"/>
    </row>
    <row r="38" spans="1:19" ht="17.25" customHeight="1"/>
    <row r="39" spans="1:19" ht="17.25" customHeight="1" thickBot="1"/>
    <row r="40" spans="1:19" ht="17.25" customHeight="1" thickBot="1">
      <c r="A40" s="234" t="s">
        <v>44</v>
      </c>
      <c r="B40" s="235"/>
      <c r="C40" s="235"/>
      <c r="D40" s="235"/>
      <c r="E40" s="235"/>
      <c r="F40" s="235"/>
      <c r="G40" s="235"/>
      <c r="H40" s="235"/>
      <c r="I40" s="235"/>
      <c r="J40" s="235"/>
      <c r="K40" s="235"/>
      <c r="L40" s="235"/>
      <c r="M40" s="235"/>
      <c r="N40" s="235"/>
      <c r="O40" s="236"/>
      <c r="Q40" s="233"/>
      <c r="R40" s="233"/>
      <c r="S40" s="233"/>
    </row>
    <row r="41" spans="1:19" ht="17.25" customHeight="1" thickBot="1">
      <c r="A41" s="116" t="s">
        <v>297</v>
      </c>
      <c r="B41" s="234" t="s">
        <v>49</v>
      </c>
      <c r="C41" s="236"/>
      <c r="D41" s="234" t="s">
        <v>58</v>
      </c>
      <c r="E41" s="235"/>
      <c r="F41" s="236"/>
      <c r="G41" s="237">
        <f>_xlfn.IFNA(VLOOKUP(B41, 현재가테이블!$B$2:$D$200, 2, FALSE), "-")</f>
        <v>41418000</v>
      </c>
      <c r="H41" s="238"/>
      <c r="I41" s="239"/>
      <c r="J41" s="234" t="s">
        <v>59</v>
      </c>
      <c r="K41" s="235"/>
      <c r="L41" s="236"/>
      <c r="M41" s="240">
        <f>_xlfn.IFNA(VLOOKUP(B41, 현재가테이블!$B$2:$D$200, 3, FALSE), "-")</f>
        <v>-5.2176301000000001E-2</v>
      </c>
      <c r="N41" s="241"/>
      <c r="O41" s="242"/>
      <c r="Q41" s="233"/>
      <c r="R41" s="233"/>
      <c r="S41" s="233"/>
    </row>
    <row r="42" spans="1:19" ht="17.25" customHeight="1" thickBot="1">
      <c r="A42" s="278" t="s">
        <v>55</v>
      </c>
      <c r="B42" s="274" t="str">
        <f>TEXT($G$1, "[$-ko-KR]yyyy-mm-dd(ddd) ") &amp; "오전 00:00"</f>
        <v>2021-06-01(화) 오전 00:00</v>
      </c>
      <c r="C42" s="275"/>
      <c r="D42" s="247" t="str">
        <f>TEXT($G$1, "[$-ko-KR]yyyy-mm-dd(ddd) ") &amp; "오후 14:00"</f>
        <v>2021-06-01(화) 오후 14:00</v>
      </c>
      <c r="E42" s="248"/>
      <c r="F42" s="249"/>
      <c r="G42" s="247" t="str">
        <f>TEXT($G$1, "[$-ko-KR]yyyy-mm-dd(ddd) ") &amp; "오후 19:00"</f>
        <v>2021-06-01(화) 오후 19:00</v>
      </c>
      <c r="H42" s="248"/>
      <c r="I42" s="249"/>
      <c r="J42" s="247" t="str">
        <f>TEXT($G$1, "[$-ko-KR]yyyy-mm-dd(ddd) ") &amp; "오후 21:00"</f>
        <v>2021-06-01(화) 오후 21:00</v>
      </c>
      <c r="K42" s="248"/>
      <c r="L42" s="249"/>
      <c r="M42" s="247" t="str">
        <f>TEXT($G$1+1, "[$-ko-KR]yyyy-mm-dd(ddd) ") &amp; "오전 00:00"</f>
        <v>2021-06-02(수) 오전 00:00</v>
      </c>
      <c r="N42" s="248"/>
      <c r="O42" s="249"/>
      <c r="Q42" s="233"/>
      <c r="R42" s="233"/>
      <c r="S42" s="233"/>
    </row>
    <row r="43" spans="1:19" ht="17.25" customHeight="1" thickBot="1">
      <c r="A43" s="279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3"/>
      <c r="R43" s="223"/>
      <c r="S43" s="223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3"/>
      <c r="R44" s="233"/>
      <c r="S44" s="233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3"/>
      <c r="R45" s="233"/>
      <c r="S45" s="233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3"/>
      <c r="R46" s="223"/>
      <c r="S46" s="223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3"/>
      <c r="R47" s="223"/>
      <c r="S47" s="223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3"/>
      <c r="R48" s="223"/>
      <c r="S48" s="223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3"/>
      <c r="R49" s="223"/>
      <c r="S49" s="223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3"/>
      <c r="R50" s="223"/>
      <c r="S50" s="223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3"/>
      <c r="R51" s="223"/>
      <c r="S51" s="223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4"/>
      <c r="R53" s="225"/>
      <c r="S53" s="226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7"/>
      <c r="R54" s="228"/>
      <c r="S54" s="229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0"/>
      <c r="R55" s="231"/>
      <c r="S55" s="232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3"/>
      <c r="R56" s="223"/>
      <c r="S56" s="223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3"/>
      <c r="R57" s="233"/>
      <c r="S57" s="233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3"/>
      <c r="R58" s="233"/>
      <c r="S58" s="233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3"/>
      <c r="R59" s="223"/>
      <c r="S59" s="223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3"/>
      <c r="R60" s="223"/>
      <c r="S60" s="223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3"/>
      <c r="R61" s="223"/>
      <c r="S61" s="223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2"/>
      <c r="R62" s="213"/>
      <c r="S62" s="214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5"/>
      <c r="R63" s="216"/>
      <c r="S63" s="217"/>
    </row>
    <row r="64" spans="1:19" ht="17.25" customHeight="1" thickBot="1">
      <c r="A64" s="132" t="s">
        <v>300</v>
      </c>
      <c r="B64" s="276">
        <f>$B$37</f>
        <v>100000</v>
      </c>
      <c r="C64" s="277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18"/>
      <c r="R64" s="219"/>
      <c r="S64" s="220"/>
    </row>
    <row r="65" spans="1:19" ht="17.25" customHeight="1"/>
    <row r="66" spans="1:19" ht="17.25" customHeight="1" thickBot="1"/>
    <row r="67" spans="1:19" ht="17.25" thickBot="1">
      <c r="A67" s="234" t="s">
        <v>45</v>
      </c>
      <c r="B67" s="235"/>
      <c r="C67" s="235"/>
      <c r="D67" s="235"/>
      <c r="E67" s="235"/>
      <c r="F67" s="235"/>
      <c r="G67" s="235"/>
      <c r="H67" s="235"/>
      <c r="I67" s="235"/>
      <c r="J67" s="235"/>
      <c r="K67" s="235"/>
      <c r="L67" s="235"/>
      <c r="M67" s="235"/>
      <c r="N67" s="235"/>
      <c r="O67" s="236"/>
      <c r="Q67" s="233"/>
      <c r="R67" s="233"/>
      <c r="S67" s="233"/>
    </row>
    <row r="68" spans="1:19" ht="17.25" thickBot="1">
      <c r="A68" s="116" t="s">
        <v>297</v>
      </c>
      <c r="B68" s="234" t="s">
        <v>49</v>
      </c>
      <c r="C68" s="236"/>
      <c r="D68" s="234" t="s">
        <v>58</v>
      </c>
      <c r="E68" s="235"/>
      <c r="F68" s="236"/>
      <c r="G68" s="237">
        <f>_xlfn.IFNA(VLOOKUP(B68, 현재가테이블!$B$2:$D$200, 2, FALSE), "-")</f>
        <v>41418000</v>
      </c>
      <c r="H68" s="238"/>
      <c r="I68" s="239"/>
      <c r="J68" s="234" t="s">
        <v>59</v>
      </c>
      <c r="K68" s="235"/>
      <c r="L68" s="236"/>
      <c r="M68" s="240">
        <f>_xlfn.IFNA(VLOOKUP(B68, 현재가테이블!$B$2:$D$200, 3, FALSE), "-")</f>
        <v>-5.2176301000000001E-2</v>
      </c>
      <c r="N68" s="241"/>
      <c r="O68" s="242"/>
      <c r="Q68" s="233"/>
      <c r="R68" s="233"/>
      <c r="S68" s="233"/>
    </row>
    <row r="69" spans="1:19" ht="17.25" thickBot="1">
      <c r="A69" s="278" t="s">
        <v>55</v>
      </c>
      <c r="B69" s="274" t="str">
        <f>TEXT($G$1, "[$-ko-KR]yyyy-mm-dd(ddd) ") &amp; "오전 00:00"</f>
        <v>2021-06-01(화) 오전 00:00</v>
      </c>
      <c r="C69" s="275"/>
      <c r="D69" s="247" t="str">
        <f>TEXT($G$1, "[$-ko-KR]yyyy-mm-dd(ddd) ") &amp; "오후 14:00"</f>
        <v>2021-06-01(화) 오후 14:00</v>
      </c>
      <c r="E69" s="248"/>
      <c r="F69" s="249"/>
      <c r="G69" s="247" t="str">
        <f>TEXT($G$1, "[$-ko-KR]yyyy-mm-dd(ddd) ") &amp; "오후 19:00"</f>
        <v>2021-06-01(화) 오후 19:00</v>
      </c>
      <c r="H69" s="248"/>
      <c r="I69" s="249"/>
      <c r="J69" s="247" t="str">
        <f>TEXT($G$1, "[$-ko-KR]yyyy-mm-dd(ddd) ") &amp; "오후 21:00"</f>
        <v>2021-06-01(화) 오후 21:00</v>
      </c>
      <c r="K69" s="248"/>
      <c r="L69" s="249"/>
      <c r="M69" s="247" t="str">
        <f>TEXT($G$1+1, "[$-ko-KR]yyyy-mm-dd(ddd) ") &amp; "오전 00:00"</f>
        <v>2021-06-02(수) 오전 00:00</v>
      </c>
      <c r="N69" s="248"/>
      <c r="O69" s="249"/>
      <c r="Q69" s="233"/>
      <c r="R69" s="233"/>
      <c r="S69" s="233"/>
    </row>
    <row r="70" spans="1:19" ht="17.25" thickBot="1">
      <c r="A70" s="279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3"/>
      <c r="R70" s="223"/>
      <c r="S70" s="223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3"/>
      <c r="R71" s="233"/>
      <c r="S71" s="233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3"/>
      <c r="R72" s="233"/>
      <c r="S72" s="233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3"/>
      <c r="R73" s="223"/>
      <c r="S73" s="223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3"/>
      <c r="R74" s="223"/>
      <c r="S74" s="223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3"/>
      <c r="R75" s="223"/>
      <c r="S75" s="223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3"/>
      <c r="R76" s="223"/>
      <c r="S76" s="223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3"/>
      <c r="R77" s="223"/>
      <c r="S77" s="223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3"/>
      <c r="R78" s="223"/>
      <c r="S78" s="223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4"/>
      <c r="R80" s="225"/>
      <c r="S80" s="226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7"/>
      <c r="R81" s="228"/>
      <c r="S81" s="229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0"/>
      <c r="R82" s="231"/>
      <c r="S82" s="232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3"/>
      <c r="R83" s="223"/>
      <c r="S83" s="223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3"/>
      <c r="R84" s="233"/>
      <c r="S84" s="233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3"/>
      <c r="R85" s="233"/>
      <c r="S85" s="233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3"/>
      <c r="R86" s="223"/>
      <c r="S86" s="223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3"/>
      <c r="R87" s="223"/>
      <c r="S87" s="223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3"/>
      <c r="R88" s="223"/>
      <c r="S88" s="223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2"/>
      <c r="R89" s="213"/>
      <c r="S89" s="214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5"/>
      <c r="R90" s="216"/>
      <c r="S90" s="217"/>
    </row>
    <row r="91" spans="1:19" ht="17.25" thickBot="1">
      <c r="A91" s="132" t="s">
        <v>300</v>
      </c>
      <c r="B91" s="276">
        <f>$B$37</f>
        <v>100000</v>
      </c>
      <c r="C91" s="277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18"/>
      <c r="R91" s="219"/>
      <c r="S91" s="220"/>
    </row>
    <row r="93" spans="1:19" ht="17.25" thickBot="1"/>
    <row r="94" spans="1:19" ht="17.25" thickBot="1">
      <c r="A94" s="234" t="s">
        <v>46</v>
      </c>
      <c r="B94" s="235"/>
      <c r="C94" s="235"/>
      <c r="D94" s="235"/>
      <c r="E94" s="235"/>
      <c r="F94" s="235"/>
      <c r="G94" s="235"/>
      <c r="H94" s="235"/>
      <c r="I94" s="235"/>
      <c r="J94" s="235"/>
      <c r="K94" s="235"/>
      <c r="L94" s="235"/>
      <c r="M94" s="235"/>
      <c r="N94" s="235"/>
      <c r="O94" s="236"/>
      <c r="Q94" s="233"/>
      <c r="R94" s="233"/>
      <c r="S94" s="233"/>
    </row>
    <row r="95" spans="1:19" ht="17.25" thickBot="1">
      <c r="A95" s="116" t="s">
        <v>297</v>
      </c>
      <c r="B95" s="234" t="s">
        <v>49</v>
      </c>
      <c r="C95" s="236"/>
      <c r="D95" s="234" t="s">
        <v>58</v>
      </c>
      <c r="E95" s="235"/>
      <c r="F95" s="236"/>
      <c r="G95" s="237">
        <f>_xlfn.IFNA(VLOOKUP(B95, 현재가테이블!$B$2:$D$200, 2, FALSE), "-")</f>
        <v>41418000</v>
      </c>
      <c r="H95" s="238"/>
      <c r="I95" s="239"/>
      <c r="J95" s="234" t="s">
        <v>59</v>
      </c>
      <c r="K95" s="235"/>
      <c r="L95" s="236"/>
      <c r="M95" s="240">
        <f>_xlfn.IFNA(VLOOKUP(B95, 현재가테이블!$B$2:$D$200, 3, FALSE), "-")</f>
        <v>-5.2176301000000001E-2</v>
      </c>
      <c r="N95" s="241"/>
      <c r="O95" s="242"/>
      <c r="Q95" s="233"/>
      <c r="R95" s="233"/>
      <c r="S95" s="233"/>
    </row>
    <row r="96" spans="1:19" ht="17.25" thickBot="1">
      <c r="A96" s="278" t="s">
        <v>55</v>
      </c>
      <c r="B96" s="274" t="str">
        <f>TEXT($G$1, "[$-ko-KR]yyyy-mm-dd(ddd) ") &amp; "오전 00:00"</f>
        <v>2021-06-01(화) 오전 00:00</v>
      </c>
      <c r="C96" s="275"/>
      <c r="D96" s="247" t="str">
        <f>TEXT($G$1, "[$-ko-KR]yyyy-mm-dd(ddd) ") &amp; "오후 14:00"</f>
        <v>2021-06-01(화) 오후 14:00</v>
      </c>
      <c r="E96" s="248"/>
      <c r="F96" s="249"/>
      <c r="G96" s="247" t="str">
        <f>TEXT($G$1, "[$-ko-KR]yyyy-mm-dd(ddd) ") &amp; "오후 19:00"</f>
        <v>2021-06-01(화) 오후 19:00</v>
      </c>
      <c r="H96" s="248"/>
      <c r="I96" s="249"/>
      <c r="J96" s="247" t="str">
        <f>TEXT($G$1, "[$-ko-KR]yyyy-mm-dd(ddd) ") &amp; "오후 21:00"</f>
        <v>2021-06-01(화) 오후 21:00</v>
      </c>
      <c r="K96" s="248"/>
      <c r="L96" s="249"/>
      <c r="M96" s="247" t="str">
        <f>TEXT($G$1+1, "[$-ko-KR]yyyy-mm-dd(ddd) ") &amp; "오전 00:00"</f>
        <v>2021-06-02(수) 오전 00:00</v>
      </c>
      <c r="N96" s="248"/>
      <c r="O96" s="249"/>
      <c r="Q96" s="233"/>
      <c r="R96" s="233"/>
      <c r="S96" s="233"/>
    </row>
    <row r="97" spans="1:19" ht="17.25" thickBot="1">
      <c r="A97" s="279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3"/>
      <c r="R97" s="223"/>
      <c r="S97" s="223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3"/>
      <c r="R98" s="233"/>
      <c r="S98" s="233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3"/>
      <c r="R99" s="233"/>
      <c r="S99" s="233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3"/>
      <c r="R100" s="223"/>
      <c r="S100" s="223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3"/>
      <c r="R101" s="223"/>
      <c r="S101" s="223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3"/>
      <c r="R102" s="223"/>
      <c r="S102" s="223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3"/>
      <c r="R103" s="223"/>
      <c r="S103" s="223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3"/>
      <c r="R104" s="223"/>
      <c r="S104" s="223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3"/>
      <c r="R105" s="223"/>
      <c r="S105" s="223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4"/>
      <c r="R107" s="225"/>
      <c r="S107" s="226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7"/>
      <c r="R108" s="228"/>
      <c r="S108" s="229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0"/>
      <c r="R109" s="231"/>
      <c r="S109" s="232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3"/>
      <c r="R110" s="223"/>
      <c r="S110" s="223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3"/>
      <c r="R111" s="233"/>
      <c r="S111" s="233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3"/>
      <c r="R112" s="233"/>
      <c r="S112" s="233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3"/>
      <c r="R113" s="223"/>
      <c r="S113" s="223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3"/>
      <c r="R114" s="223"/>
      <c r="S114" s="223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3"/>
      <c r="R115" s="223"/>
      <c r="S115" s="223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2"/>
      <c r="R116" s="213"/>
      <c r="S116" s="214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5"/>
      <c r="R117" s="216"/>
      <c r="S117" s="217"/>
    </row>
    <row r="118" spans="1:19" ht="17.25" thickBot="1">
      <c r="A118" s="132" t="s">
        <v>300</v>
      </c>
      <c r="B118" s="276">
        <f>$B$37</f>
        <v>100000</v>
      </c>
      <c r="C118" s="277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18"/>
      <c r="R118" s="219"/>
      <c r="S118" s="220"/>
    </row>
    <row r="120" spans="1:19" ht="17.25" thickBot="1"/>
    <row r="121" spans="1:19" ht="17.25" thickBot="1">
      <c r="A121" s="234" t="s">
        <v>288</v>
      </c>
      <c r="B121" s="235"/>
      <c r="C121" s="235"/>
      <c r="D121" s="235"/>
      <c r="E121" s="235"/>
      <c r="F121" s="235"/>
      <c r="G121" s="235"/>
      <c r="H121" s="235"/>
      <c r="I121" s="235"/>
      <c r="J121" s="235"/>
      <c r="K121" s="235"/>
      <c r="L121" s="235"/>
      <c r="M121" s="235"/>
      <c r="N121" s="235"/>
      <c r="O121" s="236"/>
      <c r="Q121" s="233"/>
      <c r="R121" s="233"/>
      <c r="S121" s="233"/>
    </row>
    <row r="122" spans="1:19" ht="17.25" thickBot="1">
      <c r="A122" s="116" t="s">
        <v>297</v>
      </c>
      <c r="B122" s="234" t="s">
        <v>49</v>
      </c>
      <c r="C122" s="236"/>
      <c r="D122" s="234" t="s">
        <v>58</v>
      </c>
      <c r="E122" s="235"/>
      <c r="F122" s="236"/>
      <c r="G122" s="237">
        <f>_xlfn.IFNA(VLOOKUP(B122, 현재가테이블!$B$2:$D$200, 2, FALSE), "-")</f>
        <v>41418000</v>
      </c>
      <c r="H122" s="238"/>
      <c r="I122" s="239"/>
      <c r="J122" s="234" t="s">
        <v>59</v>
      </c>
      <c r="K122" s="235"/>
      <c r="L122" s="236"/>
      <c r="M122" s="240">
        <f>_xlfn.IFNA(VLOOKUP(B122, 현재가테이블!$B$2:$D$200, 3, FALSE), "-")</f>
        <v>-5.2176301000000001E-2</v>
      </c>
      <c r="N122" s="241"/>
      <c r="O122" s="242"/>
      <c r="Q122" s="233"/>
      <c r="R122" s="233"/>
      <c r="S122" s="233"/>
    </row>
    <row r="123" spans="1:19" ht="17.25" thickBot="1">
      <c r="A123" s="278" t="s">
        <v>55</v>
      </c>
      <c r="B123" s="274" t="str">
        <f>TEXT($G$1, "[$-ko-KR]yyyy-mm-dd(ddd) ") &amp; "오전 00:00"</f>
        <v>2021-06-01(화) 오전 00:00</v>
      </c>
      <c r="C123" s="275"/>
      <c r="D123" s="247" t="str">
        <f>TEXT($G$1, "[$-ko-KR]yyyy-mm-dd(ddd) ") &amp; "오후 14:00"</f>
        <v>2021-06-01(화) 오후 14:00</v>
      </c>
      <c r="E123" s="248"/>
      <c r="F123" s="249"/>
      <c r="G123" s="247" t="str">
        <f>TEXT($G$1, "[$-ko-KR]yyyy-mm-dd(ddd) ") &amp; "오후 19:00"</f>
        <v>2021-06-01(화) 오후 19:00</v>
      </c>
      <c r="H123" s="248"/>
      <c r="I123" s="249"/>
      <c r="J123" s="247" t="str">
        <f>TEXT($G$1, "[$-ko-KR]yyyy-mm-dd(ddd) ") &amp; "오후 21:00"</f>
        <v>2021-06-01(화) 오후 21:00</v>
      </c>
      <c r="K123" s="248"/>
      <c r="L123" s="249"/>
      <c r="M123" s="247" t="str">
        <f>TEXT($G$1+1, "[$-ko-KR]yyyy-mm-dd(ddd) ") &amp; "오전 00:00"</f>
        <v>2021-06-02(수) 오전 00:00</v>
      </c>
      <c r="N123" s="248"/>
      <c r="O123" s="249"/>
      <c r="Q123" s="233"/>
      <c r="R123" s="233"/>
      <c r="S123" s="233"/>
    </row>
    <row r="124" spans="1:19" ht="17.25" thickBot="1">
      <c r="A124" s="279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3"/>
      <c r="R124" s="223"/>
      <c r="S124" s="223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3"/>
      <c r="R125" s="233"/>
      <c r="S125" s="233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3"/>
      <c r="R126" s="233"/>
      <c r="S126" s="233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3"/>
      <c r="R127" s="223"/>
      <c r="S127" s="223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3"/>
      <c r="R128" s="223"/>
      <c r="S128" s="223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3"/>
      <c r="R129" s="223"/>
      <c r="S129" s="223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3"/>
      <c r="R130" s="223"/>
      <c r="S130" s="223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3"/>
      <c r="R131" s="223"/>
      <c r="S131" s="223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3"/>
      <c r="R132" s="223"/>
      <c r="S132" s="223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4"/>
      <c r="R134" s="225"/>
      <c r="S134" s="226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7"/>
      <c r="R135" s="228"/>
      <c r="S135" s="229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0"/>
      <c r="R136" s="231"/>
      <c r="S136" s="232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3"/>
      <c r="R137" s="223"/>
      <c r="S137" s="223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3"/>
      <c r="R138" s="233"/>
      <c r="S138" s="233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3"/>
      <c r="R139" s="233"/>
      <c r="S139" s="233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3"/>
      <c r="R140" s="223"/>
      <c r="S140" s="223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3"/>
      <c r="R141" s="223"/>
      <c r="S141" s="223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3"/>
      <c r="R142" s="223"/>
      <c r="S142" s="223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2"/>
      <c r="R143" s="213"/>
      <c r="S143" s="214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5"/>
      <c r="R144" s="216"/>
      <c r="S144" s="217"/>
    </row>
    <row r="145" spans="1:19" ht="17.25" thickBot="1">
      <c r="A145" s="132" t="s">
        <v>300</v>
      </c>
      <c r="B145" s="276">
        <f>$B$37</f>
        <v>100000</v>
      </c>
      <c r="C145" s="277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18"/>
      <c r="R145" s="219"/>
      <c r="S145" s="220"/>
    </row>
    <row r="147" spans="1:19" ht="17.25" thickBot="1"/>
    <row r="148" spans="1:19" ht="17.25" thickBot="1">
      <c r="A148" s="234" t="s">
        <v>289</v>
      </c>
      <c r="B148" s="235"/>
      <c r="C148" s="235"/>
      <c r="D148" s="235"/>
      <c r="E148" s="235"/>
      <c r="F148" s="235"/>
      <c r="G148" s="235"/>
      <c r="H148" s="235"/>
      <c r="I148" s="235"/>
      <c r="J148" s="235"/>
      <c r="K148" s="235"/>
      <c r="L148" s="235"/>
      <c r="M148" s="235"/>
      <c r="N148" s="235"/>
      <c r="O148" s="236"/>
      <c r="Q148" s="233"/>
      <c r="R148" s="233"/>
      <c r="S148" s="233"/>
    </row>
    <row r="149" spans="1:19" ht="17.25" thickBot="1">
      <c r="A149" s="116" t="s">
        <v>297</v>
      </c>
      <c r="B149" s="234" t="s">
        <v>49</v>
      </c>
      <c r="C149" s="236"/>
      <c r="D149" s="234" t="s">
        <v>58</v>
      </c>
      <c r="E149" s="235"/>
      <c r="F149" s="236"/>
      <c r="G149" s="237">
        <f>_xlfn.IFNA(VLOOKUP(B149, 현재가테이블!$B$2:$D$200, 2, FALSE), "-")</f>
        <v>41418000</v>
      </c>
      <c r="H149" s="238"/>
      <c r="I149" s="239"/>
      <c r="J149" s="234" t="s">
        <v>59</v>
      </c>
      <c r="K149" s="235"/>
      <c r="L149" s="236"/>
      <c r="M149" s="240">
        <f>_xlfn.IFNA(VLOOKUP(B149, 현재가테이블!$B$2:$D$200, 3, FALSE), "-")</f>
        <v>-5.2176301000000001E-2</v>
      </c>
      <c r="N149" s="241"/>
      <c r="O149" s="242"/>
      <c r="Q149" s="233"/>
      <c r="R149" s="233"/>
      <c r="S149" s="233"/>
    </row>
    <row r="150" spans="1:19" ht="17.25" thickBot="1">
      <c r="A150" s="278" t="s">
        <v>55</v>
      </c>
      <c r="B150" s="274" t="str">
        <f>TEXT($G$1, "[$-ko-KR]yyyy-mm-dd(ddd) ") &amp; "오전 00:00"</f>
        <v>2021-06-01(화) 오전 00:00</v>
      </c>
      <c r="C150" s="275"/>
      <c r="D150" s="247" t="str">
        <f>TEXT($G$1, "[$-ko-KR]yyyy-mm-dd(ddd) ") &amp; "오후 14:00"</f>
        <v>2021-06-01(화) 오후 14:00</v>
      </c>
      <c r="E150" s="248"/>
      <c r="F150" s="249"/>
      <c r="G150" s="247" t="str">
        <f>TEXT($G$1, "[$-ko-KR]yyyy-mm-dd(ddd) ") &amp; "오후 19:00"</f>
        <v>2021-06-01(화) 오후 19:00</v>
      </c>
      <c r="H150" s="248"/>
      <c r="I150" s="249"/>
      <c r="J150" s="247" t="str">
        <f>TEXT($G$1, "[$-ko-KR]yyyy-mm-dd(ddd) ") &amp; "오후 21:00"</f>
        <v>2021-06-01(화) 오후 21:00</v>
      </c>
      <c r="K150" s="248"/>
      <c r="L150" s="249"/>
      <c r="M150" s="247" t="str">
        <f>TEXT($G$1+1, "[$-ko-KR]yyyy-mm-dd(ddd) ") &amp; "오전 00:00"</f>
        <v>2021-06-02(수) 오전 00:00</v>
      </c>
      <c r="N150" s="248"/>
      <c r="O150" s="249"/>
      <c r="Q150" s="233"/>
      <c r="R150" s="233"/>
      <c r="S150" s="233"/>
    </row>
    <row r="151" spans="1:19" ht="17.25" thickBot="1">
      <c r="A151" s="279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3"/>
      <c r="R151" s="223"/>
      <c r="S151" s="223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3"/>
      <c r="R152" s="233"/>
      <c r="S152" s="233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3"/>
      <c r="R153" s="233"/>
      <c r="S153" s="233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3"/>
      <c r="R154" s="223"/>
      <c r="S154" s="223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3"/>
      <c r="R155" s="223"/>
      <c r="S155" s="223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3"/>
      <c r="R156" s="223"/>
      <c r="S156" s="223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3"/>
      <c r="R157" s="223"/>
      <c r="S157" s="223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3"/>
      <c r="R158" s="223"/>
      <c r="S158" s="223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3"/>
      <c r="R159" s="223"/>
      <c r="S159" s="223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4"/>
      <c r="R161" s="225"/>
      <c r="S161" s="226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7"/>
      <c r="R162" s="228"/>
      <c r="S162" s="229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0"/>
      <c r="R163" s="231"/>
      <c r="S163" s="232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3"/>
      <c r="R164" s="223"/>
      <c r="S164" s="223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3"/>
      <c r="R165" s="233"/>
      <c r="S165" s="233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3"/>
      <c r="R166" s="233"/>
      <c r="S166" s="233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3"/>
      <c r="R167" s="223"/>
      <c r="S167" s="223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3"/>
      <c r="R168" s="223"/>
      <c r="S168" s="223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3"/>
      <c r="R169" s="223"/>
      <c r="S169" s="223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2"/>
      <c r="R170" s="213"/>
      <c r="S170" s="214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5"/>
      <c r="R171" s="216"/>
      <c r="S171" s="217"/>
    </row>
    <row r="172" spans="1:19" ht="17.25" thickBot="1">
      <c r="A172" s="132" t="s">
        <v>300</v>
      </c>
      <c r="B172" s="276">
        <f>$B$37</f>
        <v>100000</v>
      </c>
      <c r="C172" s="277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18"/>
      <c r="R172" s="219"/>
      <c r="S172" s="220"/>
    </row>
    <row r="174" spans="1:19" ht="17.25" thickBot="1"/>
    <row r="175" spans="1:19" ht="17.25" thickBot="1">
      <c r="A175" s="234" t="s">
        <v>285</v>
      </c>
      <c r="B175" s="235"/>
      <c r="C175" s="235"/>
      <c r="D175" s="235"/>
      <c r="E175" s="235"/>
      <c r="F175" s="235"/>
      <c r="G175" s="235"/>
      <c r="H175" s="235"/>
      <c r="I175" s="235"/>
      <c r="J175" s="235"/>
      <c r="K175" s="235"/>
      <c r="L175" s="235"/>
      <c r="M175" s="235"/>
      <c r="N175" s="235"/>
      <c r="O175" s="236"/>
      <c r="Q175" s="233"/>
      <c r="R175" s="233"/>
      <c r="S175" s="233"/>
    </row>
    <row r="176" spans="1:19" ht="17.25" thickBot="1">
      <c r="A176" s="116" t="s">
        <v>297</v>
      </c>
      <c r="B176" s="234" t="s">
        <v>49</v>
      </c>
      <c r="C176" s="236"/>
      <c r="D176" s="234" t="s">
        <v>58</v>
      </c>
      <c r="E176" s="235"/>
      <c r="F176" s="236"/>
      <c r="G176" s="237">
        <f>_xlfn.IFNA(VLOOKUP(B176, 현재가테이블!$B$2:$D$200, 2, FALSE), "-")</f>
        <v>41418000</v>
      </c>
      <c r="H176" s="238"/>
      <c r="I176" s="239"/>
      <c r="J176" s="234" t="s">
        <v>59</v>
      </c>
      <c r="K176" s="235"/>
      <c r="L176" s="236"/>
      <c r="M176" s="240">
        <f>_xlfn.IFNA(VLOOKUP(B176, 현재가테이블!$B$2:$D$200, 3, FALSE), "-")</f>
        <v>-5.2176301000000001E-2</v>
      </c>
      <c r="N176" s="241"/>
      <c r="O176" s="242"/>
      <c r="Q176" s="233"/>
      <c r="R176" s="233"/>
      <c r="S176" s="233"/>
    </row>
    <row r="177" spans="1:19" ht="17.25" thickBot="1">
      <c r="A177" s="278" t="s">
        <v>55</v>
      </c>
      <c r="B177" s="274" t="str">
        <f>TEXT($G$1, "[$-ko-KR]yyyy-mm-dd(ddd) ") &amp; "오전 00:00"</f>
        <v>2021-06-01(화) 오전 00:00</v>
      </c>
      <c r="C177" s="275"/>
      <c r="D177" s="247" t="str">
        <f>TEXT($G$1, "[$-ko-KR]yyyy-mm-dd(ddd) ") &amp; "오후 14:00"</f>
        <v>2021-06-01(화) 오후 14:00</v>
      </c>
      <c r="E177" s="248"/>
      <c r="F177" s="249"/>
      <c r="G177" s="247" t="str">
        <f>TEXT($G$1, "[$-ko-KR]yyyy-mm-dd(ddd) ") &amp; "오후 19:00"</f>
        <v>2021-06-01(화) 오후 19:00</v>
      </c>
      <c r="H177" s="248"/>
      <c r="I177" s="249"/>
      <c r="J177" s="247" t="str">
        <f>TEXT($G$1, "[$-ko-KR]yyyy-mm-dd(ddd) ") &amp; "오후 21:00"</f>
        <v>2021-06-01(화) 오후 21:00</v>
      </c>
      <c r="K177" s="248"/>
      <c r="L177" s="249"/>
      <c r="M177" s="247" t="str">
        <f>TEXT($G$1+1, "[$-ko-KR]yyyy-mm-dd(ddd) ") &amp; "오전 00:00"</f>
        <v>2021-06-02(수) 오전 00:00</v>
      </c>
      <c r="N177" s="248"/>
      <c r="O177" s="249"/>
      <c r="Q177" s="233"/>
      <c r="R177" s="233"/>
      <c r="S177" s="233"/>
    </row>
    <row r="178" spans="1:19" ht="17.25" thickBot="1">
      <c r="A178" s="279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3"/>
      <c r="R178" s="223"/>
      <c r="S178" s="223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3"/>
      <c r="R179" s="233"/>
      <c r="S179" s="233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3"/>
      <c r="R180" s="233"/>
      <c r="S180" s="233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3"/>
      <c r="R181" s="223"/>
      <c r="S181" s="223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3"/>
      <c r="R182" s="223"/>
      <c r="S182" s="223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3"/>
      <c r="R183" s="223"/>
      <c r="S183" s="223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3"/>
      <c r="R184" s="223"/>
      <c r="S184" s="223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3"/>
      <c r="R185" s="223"/>
      <c r="S185" s="223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3"/>
      <c r="R186" s="223"/>
      <c r="S186" s="223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4"/>
      <c r="R188" s="225"/>
      <c r="S188" s="226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7"/>
      <c r="R189" s="228"/>
      <c r="S189" s="229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0"/>
      <c r="R190" s="231"/>
      <c r="S190" s="232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3"/>
      <c r="R191" s="223"/>
      <c r="S191" s="223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3"/>
      <c r="R192" s="233"/>
      <c r="S192" s="233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3"/>
      <c r="R193" s="233"/>
      <c r="S193" s="233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3"/>
      <c r="R194" s="223"/>
      <c r="S194" s="223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3"/>
      <c r="R195" s="223"/>
      <c r="S195" s="223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3"/>
      <c r="R196" s="223"/>
      <c r="S196" s="223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2"/>
      <c r="R197" s="213"/>
      <c r="S197" s="214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5"/>
      <c r="R198" s="216"/>
      <c r="S198" s="217"/>
    </row>
    <row r="199" spans="1:19" ht="17.25" thickBot="1">
      <c r="A199" s="132" t="s">
        <v>300</v>
      </c>
      <c r="B199" s="276">
        <f>$B$37</f>
        <v>100000</v>
      </c>
      <c r="C199" s="277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18"/>
      <c r="R199" s="219"/>
      <c r="S199" s="220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275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5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5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5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5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5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4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4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4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74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745" priority="289">
      <formula>AND($N17 &gt; 0, ISNUMBER($N17))</formula>
    </cfRule>
    <cfRule type="expression" dxfId="2744" priority="290">
      <formula>AND($N17 = 0 * ISNUMBER($N17))</formula>
    </cfRule>
    <cfRule type="expression" dxfId="2743" priority="291">
      <formula>AND($N17 &lt; 0, ISNUMBER($N17))</formula>
    </cfRule>
  </conditionalFormatting>
  <conditionalFormatting sqref="A17:C36 D17:F36">
    <cfRule type="expression" dxfId="2742" priority="298">
      <formula>AND($E17 &gt; 0, ISNUMBER($E17))</formula>
    </cfRule>
    <cfRule type="expression" dxfId="2741" priority="299">
      <formula>AND($E17 = 0 * ISNUMBER($E17))</formula>
    </cfRule>
    <cfRule type="expression" dxfId="2740" priority="300">
      <formula>AND($E17 &lt; 0, ISNUMBER($E17))</formula>
    </cfRule>
  </conditionalFormatting>
  <conditionalFormatting sqref="A17:C36 G17:I36">
    <cfRule type="expression" dxfId="2739" priority="295">
      <formula>AND($H17 &gt; 0, ISNUMBER($H17))</formula>
    </cfRule>
    <cfRule type="expression" dxfId="2738" priority="296">
      <formula>AND($H17 = 0 * ISNUMBER($H17))</formula>
    </cfRule>
    <cfRule type="expression" dxfId="2737" priority="297">
      <formula>AND($H17 &lt; 0, ISNUMBER($H17))</formula>
    </cfRule>
  </conditionalFormatting>
  <conditionalFormatting sqref="A17:C36 J17:L36">
    <cfRule type="expression" dxfId="2736" priority="292">
      <formula>AND($K17 &gt; 0, ISNUMBER($K17))</formula>
    </cfRule>
    <cfRule type="expression" dxfId="2735" priority="293">
      <formula>AND($K17 = 0 * ISNUMBER($K17))</formula>
    </cfRule>
    <cfRule type="expression" dxfId="2734" priority="294">
      <formula>AND($K17 &lt; 0, ISNUMBER($K17))</formula>
    </cfRule>
  </conditionalFormatting>
  <conditionalFormatting sqref="D15:F16 E37:F37">
    <cfRule type="expression" dxfId="2733" priority="286">
      <formula>$E$37 &gt; 0</formula>
    </cfRule>
    <cfRule type="expression" dxfId="2732" priority="287">
      <formula>$E$37 = 0</formula>
    </cfRule>
    <cfRule type="expression" dxfId="2731" priority="288">
      <formula>$E$37 &lt; 0</formula>
    </cfRule>
  </conditionalFormatting>
  <conditionalFormatting sqref="G15:I16 H37:I37">
    <cfRule type="expression" dxfId="2730" priority="283">
      <formula>$H$37 &gt; 0</formula>
    </cfRule>
    <cfRule type="expression" dxfId="2729" priority="284">
      <formula>$H$37 = 0</formula>
    </cfRule>
    <cfRule type="expression" dxfId="2728" priority="285">
      <formula>$H$37 &lt; 0</formula>
    </cfRule>
  </conditionalFormatting>
  <conditionalFormatting sqref="J15:L16 K37:L37">
    <cfRule type="expression" dxfId="2727" priority="280">
      <formula>$K$37 &gt; 0</formula>
    </cfRule>
    <cfRule type="expression" dxfId="2726" priority="281">
      <formula>$K$37 = 0</formula>
    </cfRule>
    <cfRule type="expression" dxfId="2725" priority="282">
      <formula>$K$37 &lt; 0</formula>
    </cfRule>
  </conditionalFormatting>
  <conditionalFormatting sqref="M15:O16 N37:O37">
    <cfRule type="expression" dxfId="2724" priority="277">
      <formula>$N$37 &gt; 0</formula>
    </cfRule>
    <cfRule type="expression" dxfId="2723" priority="278">
      <formula>$N$37 = 0</formula>
    </cfRule>
    <cfRule type="expression" dxfId="2722" priority="279">
      <formula>$N$37 &lt; 0</formula>
    </cfRule>
  </conditionalFormatting>
  <conditionalFormatting sqref="A44:C63 M44:O63">
    <cfRule type="expression" dxfId="2721" priority="265">
      <formula>AND($N44 &gt; 0, ISNUMBER($N44))</formula>
    </cfRule>
    <cfRule type="expression" dxfId="2720" priority="266">
      <formula>AND($N44 = 0 * ISNUMBER($N44))</formula>
    </cfRule>
    <cfRule type="expression" dxfId="2719" priority="267">
      <formula>AND($N44 &lt; 0, ISNUMBER($N44))</formula>
    </cfRule>
  </conditionalFormatting>
  <conditionalFormatting sqref="A44:F63">
    <cfRule type="expression" dxfId="2718" priority="274">
      <formula>AND($E44 &gt; 0, ISNUMBER($E44))</formula>
    </cfRule>
    <cfRule type="expression" dxfId="2717" priority="275">
      <formula>AND($E44 = 0 * ISNUMBER($E44))</formula>
    </cfRule>
    <cfRule type="expression" dxfId="2716" priority="276">
      <formula>AND($E44 &lt; 0, ISNUMBER($E44))</formula>
    </cfRule>
  </conditionalFormatting>
  <conditionalFormatting sqref="A44:C63 G44:I63">
    <cfRule type="expression" dxfId="2715" priority="271">
      <formula>AND($H44 &gt; 0, ISNUMBER($H44))</formula>
    </cfRule>
    <cfRule type="expression" dxfId="2714" priority="272">
      <formula>AND($H44 = 0 * ISNUMBER($H44))</formula>
    </cfRule>
    <cfRule type="expression" dxfId="2713" priority="273">
      <formula>AND($H44 &lt; 0, ISNUMBER($H44))</formula>
    </cfRule>
  </conditionalFormatting>
  <conditionalFormatting sqref="A44:C63 J44:L63">
    <cfRule type="expression" dxfId="2712" priority="268">
      <formula>AND($K44 &gt; 0, ISNUMBER($K44))</formula>
    </cfRule>
    <cfRule type="expression" dxfId="2711" priority="269">
      <formula>AND($K44 = 0 * ISNUMBER($K44))</formula>
    </cfRule>
    <cfRule type="expression" dxfId="2710" priority="270">
      <formula>AND($K44 &lt; 0, ISNUMBER($K44))</formula>
    </cfRule>
  </conditionalFormatting>
  <conditionalFormatting sqref="D42:F43 E64:F64">
    <cfRule type="expression" dxfId="2709" priority="262">
      <formula>$E$64 &gt; 0</formula>
    </cfRule>
    <cfRule type="expression" dxfId="2708" priority="263">
      <formula>$E$64 = 0</formula>
    </cfRule>
    <cfRule type="expression" dxfId="2707" priority="264">
      <formula>$E$64 &lt; 0</formula>
    </cfRule>
  </conditionalFormatting>
  <conditionalFormatting sqref="G42:I43 H64:I64">
    <cfRule type="expression" dxfId="2706" priority="259">
      <formula>$H$64 &gt; 0</formula>
    </cfRule>
    <cfRule type="expression" dxfId="2705" priority="260">
      <formula>$H$64 = 0</formula>
    </cfRule>
    <cfRule type="expression" dxfId="2704" priority="261">
      <formula>$H$64 &lt; 0</formula>
    </cfRule>
  </conditionalFormatting>
  <conditionalFormatting sqref="J42:L43 K64:L64">
    <cfRule type="expression" dxfId="2703" priority="256">
      <formula>$K$64 &gt; 0</formula>
    </cfRule>
    <cfRule type="expression" dxfId="2702" priority="257">
      <formula>$K$64 = 0</formula>
    </cfRule>
    <cfRule type="expression" dxfId="2701" priority="258">
      <formula>$K$64 &lt; 0</formula>
    </cfRule>
  </conditionalFormatting>
  <conditionalFormatting sqref="M42:O43 N64:O64">
    <cfRule type="expression" dxfId="2700" priority="253">
      <formula>$N$64 &gt; 0</formula>
    </cfRule>
    <cfRule type="expression" dxfId="2699" priority="254">
      <formula>$N$64 = 0</formula>
    </cfRule>
    <cfRule type="expression" dxfId="2698" priority="255">
      <formula>$N$64 &lt; 0</formula>
    </cfRule>
  </conditionalFormatting>
  <conditionalFormatting sqref="A71:C90 M71:O90">
    <cfRule type="expression" dxfId="2697" priority="109">
      <formula>AND($N71 &gt; 0, ISNUMBER($N71))</formula>
    </cfRule>
    <cfRule type="expression" dxfId="2696" priority="110">
      <formula>AND($N71 = 0 * ISNUMBER($N71))</formula>
    </cfRule>
    <cfRule type="expression" dxfId="2695" priority="111">
      <formula>AND($N71 &lt; 0, ISNUMBER($N71))</formula>
    </cfRule>
  </conditionalFormatting>
  <conditionalFormatting sqref="A71:F90">
    <cfRule type="expression" dxfId="2694" priority="118">
      <formula>AND($E71 &gt; 0, ISNUMBER($E71))</formula>
    </cfRule>
    <cfRule type="expression" dxfId="2693" priority="119">
      <formula>AND($E71 = 0 * ISNUMBER($E71))</formula>
    </cfRule>
    <cfRule type="expression" dxfId="2692" priority="120">
      <formula>AND($E71 &lt; 0, ISNUMBER($E71))</formula>
    </cfRule>
  </conditionalFormatting>
  <conditionalFormatting sqref="A71:C90 G71:I90">
    <cfRule type="expression" dxfId="2691" priority="115">
      <formula>AND($H71 &gt; 0, ISNUMBER($H71))</formula>
    </cfRule>
    <cfRule type="expression" dxfId="2690" priority="116">
      <formula>AND($H71 = 0 * ISNUMBER($H71))</formula>
    </cfRule>
    <cfRule type="expression" dxfId="2689" priority="117">
      <formula>AND($H71 &lt; 0, ISNUMBER($H71))</formula>
    </cfRule>
  </conditionalFormatting>
  <conditionalFormatting sqref="A71:C90 J71:L90">
    <cfRule type="expression" dxfId="2688" priority="112">
      <formula>AND($K71 &gt; 0, ISNUMBER($K71))</formula>
    </cfRule>
    <cfRule type="expression" dxfId="2687" priority="113">
      <formula>AND($K71 = 0 * ISNUMBER($K71))</formula>
    </cfRule>
    <cfRule type="expression" dxfId="2686" priority="114">
      <formula>AND($K71 &lt; 0, ISNUMBER($K71))</formula>
    </cfRule>
  </conditionalFormatting>
  <conditionalFormatting sqref="D69:F70 E91:F91">
    <cfRule type="expression" dxfId="2685" priority="106">
      <formula>$E$91 &gt; 0</formula>
    </cfRule>
    <cfRule type="expression" dxfId="2684" priority="107">
      <formula>$E$91 = 0</formula>
    </cfRule>
    <cfRule type="expression" dxfId="2683" priority="108">
      <formula>$E$91 &lt; 0</formula>
    </cfRule>
  </conditionalFormatting>
  <conditionalFormatting sqref="G69:I70 H91:I91">
    <cfRule type="expression" dxfId="2682" priority="103">
      <formula>$H$91 &gt; 0</formula>
    </cfRule>
    <cfRule type="expression" dxfId="2681" priority="104">
      <formula>$H$91 = 0</formula>
    </cfRule>
    <cfRule type="expression" dxfId="2680" priority="105">
      <formula>$H$91 &lt; 0</formula>
    </cfRule>
  </conditionalFormatting>
  <conditionalFormatting sqref="J69:L70 K91:L91">
    <cfRule type="expression" dxfId="2679" priority="100">
      <formula>$K$91 &gt; 0</formula>
    </cfRule>
    <cfRule type="expression" dxfId="2678" priority="101">
      <formula>$K$91 = 0</formula>
    </cfRule>
    <cfRule type="expression" dxfId="2677" priority="102">
      <formula>$K$91 &lt; 0</formula>
    </cfRule>
  </conditionalFormatting>
  <conditionalFormatting sqref="M69:O70 N91:O91">
    <cfRule type="expression" dxfId="2676" priority="97">
      <formula>$N$91 &gt; 0</formula>
    </cfRule>
    <cfRule type="expression" dxfId="2675" priority="98">
      <formula>$N$91 = 0</formula>
    </cfRule>
    <cfRule type="expression" dxfId="2674" priority="99">
      <formula>$N$91 &lt; 0</formula>
    </cfRule>
  </conditionalFormatting>
  <conditionalFormatting sqref="A98:C117 M98:O117">
    <cfRule type="expression" dxfId="2673" priority="85">
      <formula>AND($N98 &gt; 0, ISNUMBER($N98))</formula>
    </cfRule>
    <cfRule type="expression" dxfId="2672" priority="86">
      <formula>AND($N98 = 0 * ISNUMBER($N98))</formula>
    </cfRule>
    <cfRule type="expression" dxfId="2671" priority="87">
      <formula>AND($N98 &lt; 0, ISNUMBER($N98))</formula>
    </cfRule>
  </conditionalFormatting>
  <conditionalFormatting sqref="A98:F117">
    <cfRule type="expression" dxfId="2670" priority="94">
      <formula>AND($E98 &gt; 0, ISNUMBER($E98))</formula>
    </cfRule>
    <cfRule type="expression" dxfId="2669" priority="95">
      <formula>AND($E98 = 0 * ISNUMBER($E98))</formula>
    </cfRule>
    <cfRule type="expression" dxfId="2668" priority="96">
      <formula>AND($E98 &lt; 0, ISNUMBER($E98))</formula>
    </cfRule>
  </conditionalFormatting>
  <conditionalFormatting sqref="A98:C117 G98:I117">
    <cfRule type="expression" dxfId="2667" priority="91">
      <formula>AND($H98 &gt; 0, ISNUMBER($H98))</formula>
    </cfRule>
    <cfRule type="expression" dxfId="2666" priority="92">
      <formula>AND($H98 = 0 * ISNUMBER($H98))</formula>
    </cfRule>
    <cfRule type="expression" dxfId="2665" priority="93">
      <formula>AND($H98 &lt; 0, ISNUMBER($H98))</formula>
    </cfRule>
  </conditionalFormatting>
  <conditionalFormatting sqref="A98:C117 J98:L117">
    <cfRule type="expression" dxfId="2664" priority="88">
      <formula>AND($K98 &gt; 0, ISNUMBER($K98))</formula>
    </cfRule>
    <cfRule type="expression" dxfId="2663" priority="89">
      <formula>AND($K98 = 0 * ISNUMBER($K98))</formula>
    </cfRule>
    <cfRule type="expression" dxfId="2662" priority="90">
      <formula>AND($K98 &lt; 0, ISNUMBER($K98))</formula>
    </cfRule>
  </conditionalFormatting>
  <conditionalFormatting sqref="D96:F97 E118:F118">
    <cfRule type="expression" dxfId="2661" priority="82">
      <formula>$E$118 &gt; 0</formula>
    </cfRule>
    <cfRule type="expression" dxfId="2660" priority="83">
      <formula>$E$118 = 0</formula>
    </cfRule>
    <cfRule type="expression" dxfId="2659" priority="84">
      <formula>$E$118 &lt; 0</formula>
    </cfRule>
  </conditionalFormatting>
  <conditionalFormatting sqref="G96:I97 H118:I118">
    <cfRule type="expression" dxfId="2658" priority="79">
      <formula>$H$118 &gt; 0</formula>
    </cfRule>
    <cfRule type="expression" dxfId="2657" priority="80">
      <formula>$H$118 = 0</formula>
    </cfRule>
    <cfRule type="expression" dxfId="2656" priority="81">
      <formula>$H$118 &lt; 0</formula>
    </cfRule>
  </conditionalFormatting>
  <conditionalFormatting sqref="J96:L97 K118:L118">
    <cfRule type="expression" dxfId="2655" priority="76">
      <formula>$K$118 &gt; 0</formula>
    </cfRule>
    <cfRule type="expression" dxfId="2654" priority="77">
      <formula>$K$118 = 0</formula>
    </cfRule>
    <cfRule type="expression" dxfId="2653" priority="78">
      <formula>$K$118 &lt; 0</formula>
    </cfRule>
  </conditionalFormatting>
  <conditionalFormatting sqref="M96:O97 N118:O118">
    <cfRule type="expression" dxfId="2652" priority="73">
      <formula>$N$118 &gt; 0</formula>
    </cfRule>
    <cfRule type="expression" dxfId="2651" priority="74">
      <formula>$N$118 = 0</formula>
    </cfRule>
    <cfRule type="expression" dxfId="2650" priority="75">
      <formula>$N$118 &lt; 0</formula>
    </cfRule>
  </conditionalFormatting>
  <conditionalFormatting sqref="A125:C144 M125:O144">
    <cfRule type="expression" dxfId="2649" priority="61">
      <formula>AND($N125 &gt; 0, ISNUMBER($N125))</formula>
    </cfRule>
    <cfRule type="expression" dxfId="2648" priority="62">
      <formula>AND($N125 = 0 * ISNUMBER($N125))</formula>
    </cfRule>
    <cfRule type="expression" dxfId="2647" priority="63">
      <formula>AND($N125 &lt; 0, ISNUMBER($N125))</formula>
    </cfRule>
  </conditionalFormatting>
  <conditionalFormatting sqref="A125:F144">
    <cfRule type="expression" dxfId="2646" priority="70">
      <formula>AND($E125 &gt; 0, ISNUMBER($E125))</formula>
    </cfRule>
    <cfRule type="expression" dxfId="2645" priority="71">
      <formula>AND($E125 = 0 * ISNUMBER($E125))</formula>
    </cfRule>
    <cfRule type="expression" dxfId="2644" priority="72">
      <formula>AND($E125 &lt; 0, ISNUMBER($E125))</formula>
    </cfRule>
  </conditionalFormatting>
  <conditionalFormatting sqref="A125:C144 G125:I144">
    <cfRule type="expression" dxfId="2643" priority="67">
      <formula>AND($H125 &gt; 0, ISNUMBER($H125))</formula>
    </cfRule>
    <cfRule type="expression" dxfId="2642" priority="68">
      <formula>AND($H125 = 0 * ISNUMBER($H125))</formula>
    </cfRule>
    <cfRule type="expression" dxfId="2641" priority="69">
      <formula>AND($H125 &lt; 0, ISNUMBER($H125))</formula>
    </cfRule>
  </conditionalFormatting>
  <conditionalFormatting sqref="A125:C144 J125:L144">
    <cfRule type="expression" dxfId="2640" priority="64">
      <formula>AND($K125 &gt; 0, ISNUMBER($K125))</formula>
    </cfRule>
    <cfRule type="expression" dxfId="2639" priority="65">
      <formula>AND($K125 = 0 * ISNUMBER($K125))</formula>
    </cfRule>
    <cfRule type="expression" dxfId="2638" priority="66">
      <formula>AND($K125 &lt; 0, ISNUMBER($K125))</formula>
    </cfRule>
  </conditionalFormatting>
  <conditionalFormatting sqref="D123:F124 E145:F145">
    <cfRule type="expression" dxfId="2637" priority="58">
      <formula>$E$145 &gt; 0</formula>
    </cfRule>
    <cfRule type="expression" dxfId="2636" priority="59">
      <formula>$E$145 = 0</formula>
    </cfRule>
    <cfRule type="expression" dxfId="2635" priority="60">
      <formula>$E$145 &lt; 0</formula>
    </cfRule>
  </conditionalFormatting>
  <conditionalFormatting sqref="G123:I124 H145:I145">
    <cfRule type="expression" dxfId="2634" priority="55">
      <formula>$H$145 &gt; 0</formula>
    </cfRule>
    <cfRule type="expression" dxfId="2633" priority="56">
      <formula>$H$145 = 0</formula>
    </cfRule>
    <cfRule type="expression" dxfId="2632" priority="57">
      <formula>$H$145 &lt; 0</formula>
    </cfRule>
  </conditionalFormatting>
  <conditionalFormatting sqref="J123:L124 K145:L145">
    <cfRule type="expression" dxfId="2631" priority="52">
      <formula>$K$145 &gt; 0</formula>
    </cfRule>
    <cfRule type="expression" dxfId="2630" priority="53">
      <formula>$K$145 = 0</formula>
    </cfRule>
    <cfRule type="expression" dxfId="2629" priority="54">
      <formula>$K$145 &lt; 0</formula>
    </cfRule>
  </conditionalFormatting>
  <conditionalFormatting sqref="M123:O124 N145:O145">
    <cfRule type="expression" dxfId="2628" priority="49">
      <formula>$N$145 &gt; 0</formula>
    </cfRule>
    <cfRule type="expression" dxfId="2627" priority="50">
      <formula>$N$145 = 0</formula>
    </cfRule>
    <cfRule type="expression" dxfId="2626" priority="51">
      <formula>$N$145 &lt; 0</formula>
    </cfRule>
  </conditionalFormatting>
  <conditionalFormatting sqref="A152:C171 M152:O171">
    <cfRule type="expression" dxfId="2625" priority="37">
      <formula>AND($N152 &gt; 0, ISNUMBER($N152))</formula>
    </cfRule>
    <cfRule type="expression" dxfId="2624" priority="38">
      <formula>AND($N152 = 0 * ISNUMBER($N152))</formula>
    </cfRule>
    <cfRule type="expression" dxfId="2623" priority="39">
      <formula>AND($N152 &lt; 0, ISNUMBER($N152))</formula>
    </cfRule>
  </conditionalFormatting>
  <conditionalFormatting sqref="A152:F171">
    <cfRule type="expression" dxfId="2622" priority="46">
      <formula>AND($E152 &gt; 0, ISNUMBER($E152))</formula>
    </cfRule>
    <cfRule type="expression" dxfId="2621" priority="47">
      <formula>AND($E152 = 0 * ISNUMBER($E152))</formula>
    </cfRule>
    <cfRule type="expression" dxfId="2620" priority="48">
      <formula>AND($E152 &lt; 0, ISNUMBER($E152))</formula>
    </cfRule>
  </conditionalFormatting>
  <conditionalFormatting sqref="A152:C171 G152:I171">
    <cfRule type="expression" dxfId="2619" priority="43">
      <formula>AND($H152 &gt; 0, ISNUMBER($H152))</formula>
    </cfRule>
    <cfRule type="expression" dxfId="2618" priority="44">
      <formula>AND($H152 = 0 * ISNUMBER($H152))</formula>
    </cfRule>
    <cfRule type="expression" dxfId="2617" priority="45">
      <formula>AND($H152 &lt; 0, ISNUMBER($H152))</formula>
    </cfRule>
  </conditionalFormatting>
  <conditionalFormatting sqref="A152:C171 J152:L171">
    <cfRule type="expression" dxfId="2616" priority="40">
      <formula>AND($K152 &gt; 0, ISNUMBER($K152))</formula>
    </cfRule>
    <cfRule type="expression" dxfId="2615" priority="41">
      <formula>AND($K152 = 0 * ISNUMBER($K152))</formula>
    </cfRule>
    <cfRule type="expression" dxfId="2614" priority="42">
      <formula>AND($K152 &lt; 0, ISNUMBER($K152))</formula>
    </cfRule>
  </conditionalFormatting>
  <conditionalFormatting sqref="D150:F151 E172:F172">
    <cfRule type="expression" dxfId="2613" priority="34">
      <formula>$E$172 &gt; 0</formula>
    </cfRule>
    <cfRule type="expression" dxfId="2612" priority="35">
      <formula>$E$172 = 0</formula>
    </cfRule>
    <cfRule type="expression" dxfId="2611" priority="36">
      <formula>$E$172 &lt; 0</formula>
    </cfRule>
  </conditionalFormatting>
  <conditionalFormatting sqref="G150:I151 H172:I172">
    <cfRule type="expression" dxfId="2610" priority="31">
      <formula>$H$172 &gt; 0</formula>
    </cfRule>
    <cfRule type="expression" dxfId="2609" priority="32">
      <formula>$H$172 = 0</formula>
    </cfRule>
    <cfRule type="expression" dxfId="2608" priority="33">
      <formula>$H$172 &lt; 0</formula>
    </cfRule>
  </conditionalFormatting>
  <conditionalFormatting sqref="J150:L151 K172:L172">
    <cfRule type="expression" dxfId="2607" priority="28">
      <formula>$K$172 &gt; 0</formula>
    </cfRule>
    <cfRule type="expression" dxfId="2606" priority="29">
      <formula>$K$172 = 0</formula>
    </cfRule>
    <cfRule type="expression" dxfId="2605" priority="30">
      <formula>$K$172 &lt; 0</formula>
    </cfRule>
  </conditionalFormatting>
  <conditionalFormatting sqref="M150:O151 N172:O172">
    <cfRule type="expression" dxfId="2604" priority="25">
      <formula>$N$172 &gt; 0</formula>
    </cfRule>
    <cfRule type="expression" dxfId="2603" priority="26">
      <formula>$N$172 = 0</formula>
    </cfRule>
    <cfRule type="expression" dxfId="2602" priority="27">
      <formula>$N$172 &lt; 0</formula>
    </cfRule>
  </conditionalFormatting>
  <conditionalFormatting sqref="A179:C198 M179:O198">
    <cfRule type="expression" dxfId="2601" priority="13">
      <formula>AND($N179 &gt; 0, ISNUMBER($N179))</formula>
    </cfRule>
    <cfRule type="expression" dxfId="2600" priority="14">
      <formula>AND($N179 = 0 * ISNUMBER($N179))</formula>
    </cfRule>
    <cfRule type="expression" dxfId="2599" priority="15">
      <formula>AND($N179 &lt; 0, ISNUMBER($N179))</formula>
    </cfRule>
  </conditionalFormatting>
  <conditionalFormatting sqref="A179:F198">
    <cfRule type="expression" dxfId="2598" priority="22">
      <formula>AND($E179 &gt; 0, ISNUMBER($E179))</formula>
    </cfRule>
    <cfRule type="expression" dxfId="2597" priority="23">
      <formula>AND($E179 = 0 * ISNUMBER($E179))</formula>
    </cfRule>
    <cfRule type="expression" dxfId="2596" priority="24">
      <formula>AND($E179 &lt; 0, ISNUMBER($E179))</formula>
    </cfRule>
  </conditionalFormatting>
  <conditionalFormatting sqref="A179:C198 G179:I198">
    <cfRule type="expression" dxfId="2595" priority="19">
      <formula>AND($H179 &gt; 0, ISNUMBER($H179))</formula>
    </cfRule>
    <cfRule type="expression" dxfId="2594" priority="20">
      <formula>AND($H179 = 0 * ISNUMBER($H179))</formula>
    </cfRule>
    <cfRule type="expression" dxfId="2593" priority="21">
      <formula>AND($H179 &lt; 0, ISNUMBER($H179))</formula>
    </cfRule>
  </conditionalFormatting>
  <conditionalFormatting sqref="A179:C198 J179:L198">
    <cfRule type="expression" dxfId="2592" priority="16">
      <formula>AND($K179 &gt; 0, ISNUMBER($K179))</formula>
    </cfRule>
    <cfRule type="expression" dxfId="2591" priority="17">
      <formula>AND($K179 = 0 * ISNUMBER($K179))</formula>
    </cfRule>
    <cfRule type="expression" dxfId="2590" priority="18">
      <formula>AND($K179 &lt; 0, ISNUMBER($K179))</formula>
    </cfRule>
  </conditionalFormatting>
  <conditionalFormatting sqref="D177:F178 E199:F199">
    <cfRule type="expression" dxfId="2589" priority="10">
      <formula>$E$199 &gt; 0</formula>
    </cfRule>
    <cfRule type="expression" dxfId="2588" priority="11">
      <formula>$E$199 = 0</formula>
    </cfRule>
    <cfRule type="expression" dxfId="2587" priority="12">
      <formula>$E$199 &lt; 0</formula>
    </cfRule>
  </conditionalFormatting>
  <conditionalFormatting sqref="G177:I178 H199:I199">
    <cfRule type="expression" dxfId="2586" priority="7">
      <formula>$H$199 &gt; 0</formula>
    </cfRule>
    <cfRule type="expression" dxfId="2585" priority="8">
      <formula>$H$199 = 0</formula>
    </cfRule>
    <cfRule type="expression" dxfId="2584" priority="9">
      <formula>$H$199 &lt; 0</formula>
    </cfRule>
  </conditionalFormatting>
  <conditionalFormatting sqref="J177:L178 K199:L199">
    <cfRule type="expression" dxfId="2583" priority="4">
      <formula>$K$199 &gt; 0</formula>
    </cfRule>
    <cfRule type="expression" dxfId="2582" priority="5">
      <formula>$K$199 = 0</formula>
    </cfRule>
    <cfRule type="expression" dxfId="2581" priority="6">
      <formula>$K$199 &lt; 0</formula>
    </cfRule>
  </conditionalFormatting>
  <conditionalFormatting sqref="M177:O178 N199:O199">
    <cfRule type="expression" dxfId="2580" priority="1">
      <formula>$N$199 &gt; 0</formula>
    </cfRule>
    <cfRule type="expression" dxfId="2579" priority="2">
      <formula>$N$199 = 0</formula>
    </cfRule>
    <cfRule type="expression" dxfId="25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263</v>
      </c>
      <c r="B2" s="11" t="s">
        <v>264</v>
      </c>
      <c r="C2" s="95">
        <v>83.8</v>
      </c>
      <c r="D2" s="92">
        <v>0.13396481730000001</v>
      </c>
      <c r="E2" s="93">
        <v>2779801222.1589527</v>
      </c>
      <c r="F2" s="35"/>
      <c r="G2" s="54"/>
      <c r="H2" s="35"/>
      <c r="I2" s="35"/>
    </row>
    <row r="3" spans="1:18" ht="17.25" thickBot="1">
      <c r="A3" s="40" t="s">
        <v>163</v>
      </c>
      <c r="B3" s="11" t="s">
        <v>164</v>
      </c>
      <c r="C3" s="95">
        <v>17420</v>
      </c>
      <c r="D3" s="92">
        <v>5.44794189E-2</v>
      </c>
      <c r="E3" s="93">
        <v>3477363.6288847998</v>
      </c>
      <c r="F3" s="35"/>
      <c r="G3" s="278" t="s">
        <v>290</v>
      </c>
      <c r="H3" s="290" t="s">
        <v>365</v>
      </c>
      <c r="I3" s="290"/>
      <c r="K3" s="234" t="s">
        <v>34</v>
      </c>
      <c r="L3" s="235"/>
      <c r="M3" s="235"/>
      <c r="N3" s="236"/>
      <c r="O3" s="234" t="s">
        <v>292</v>
      </c>
      <c r="P3" s="235"/>
      <c r="Q3" s="235"/>
      <c r="R3" s="236"/>
    </row>
    <row r="4" spans="1:18" ht="17.25" thickBot="1">
      <c r="A4" s="40" t="s">
        <v>117</v>
      </c>
      <c r="B4" s="11" t="s">
        <v>118</v>
      </c>
      <c r="C4" s="95">
        <v>4255</v>
      </c>
      <c r="D4" s="92">
        <v>2.16086435E-2</v>
      </c>
      <c r="E4" s="93">
        <v>2276179.4593520202</v>
      </c>
      <c r="F4" s="35"/>
      <c r="G4" s="279"/>
      <c r="H4" s="291"/>
      <c r="I4" s="291"/>
      <c r="K4" s="271" t="s">
        <v>55</v>
      </c>
      <c r="L4" s="287">
        <f ca="1">NOW()</f>
        <v>44360.023360763887</v>
      </c>
      <c r="M4" s="288"/>
      <c r="N4" s="289"/>
      <c r="O4" s="286" t="s">
        <v>55</v>
      </c>
      <c r="P4" s="287">
        <f ca="1">NOW()</f>
        <v>44360.023360763887</v>
      </c>
      <c r="Q4" s="288"/>
      <c r="R4" s="289"/>
    </row>
    <row r="5" spans="1:18" ht="17.25" thickBot="1">
      <c r="A5" s="40" t="s">
        <v>50</v>
      </c>
      <c r="B5" s="11" t="s">
        <v>51</v>
      </c>
      <c r="C5" s="95">
        <v>380</v>
      </c>
      <c r="D5" s="92">
        <v>2.15053763E-2</v>
      </c>
      <c r="E5" s="93">
        <v>83491504.437275946</v>
      </c>
      <c r="F5" s="35"/>
      <c r="K5" s="279"/>
      <c r="L5" s="36" t="s">
        <v>58</v>
      </c>
      <c r="M5" s="73" t="s">
        <v>59</v>
      </c>
      <c r="N5" s="69" t="s">
        <v>294</v>
      </c>
      <c r="O5" s="279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95</v>
      </c>
      <c r="B6" s="11" t="s">
        <v>96</v>
      </c>
      <c r="C6" s="95">
        <v>2806000</v>
      </c>
      <c r="D6" s="92">
        <v>1.8142235100000001E-2</v>
      </c>
      <c r="E6" s="93">
        <v>134691.54374513999</v>
      </c>
      <c r="F6" s="35"/>
      <c r="G6" s="234" t="s">
        <v>52</v>
      </c>
      <c r="H6" s="235"/>
      <c r="I6" s="236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77.7</v>
      </c>
      <c r="M6" s="76">
        <f t="shared" ref="M6:M25" ca="1" si="1">_xlfn.IFNA(VLOOKUP(K6, $B$2:$E$200, 3, FALSE), "")</f>
        <v>-7.9383886299999998E-2</v>
      </c>
      <c r="N6" s="85">
        <f ca="1">_xlfn.IFNA(VLOOKUP(K6, $B$2:$E$200, 4, FALSE), "")</f>
        <v>116380264.99760117</v>
      </c>
      <c r="O6" s="46" t="str">
        <f>INDEX($A$2:$D$200, MATCH(LARGE($D$2:$D$200, 1), $D$2:$D$200, 0), 2)</f>
        <v>룸네트워크</v>
      </c>
      <c r="P6" s="38">
        <f t="shared" ref="P6:P25" si="2">_xlfn.IFNA(VLOOKUP(O6, $B$2:$D$200, 2, FALSE), "")</f>
        <v>83.8</v>
      </c>
      <c r="Q6" s="76">
        <f t="shared" ref="Q6:Q25" si="3">_xlfn.IFNA(VLOOKUP(O6, $B$2:$D$200, 3, FALSE), "")</f>
        <v>0.13396481730000001</v>
      </c>
      <c r="R6" s="85">
        <f>_xlfn.IFNA(VLOOKUP(O6, $B$2:$E$200, 4, FALSE), "")</f>
        <v>2779801222.1589527</v>
      </c>
    </row>
    <row r="7" spans="1:18">
      <c r="A7" s="40" t="s">
        <v>147</v>
      </c>
      <c r="B7" s="11" t="s">
        <v>148</v>
      </c>
      <c r="C7" s="95">
        <v>97.6</v>
      </c>
      <c r="D7" s="92">
        <v>1.6666666699999999E-2</v>
      </c>
      <c r="E7" s="93">
        <v>170390386.4734993</v>
      </c>
      <c r="F7" s="35"/>
      <c r="G7" s="262" t="s">
        <v>36</v>
      </c>
      <c r="H7" s="263"/>
      <c r="I7" s="264"/>
      <c r="K7" s="56" t="str">
        <f ca="1">IFERROR(OFFSET(INDIRECT($H$3 &amp; "!A17"), 1, 0), "")</f>
        <v>메디블록</v>
      </c>
      <c r="L7" s="39">
        <f t="shared" ca="1" si="0"/>
        <v>53.3</v>
      </c>
      <c r="M7" s="77">
        <f t="shared" ca="1" si="1"/>
        <v>-0.1319218241</v>
      </c>
      <c r="N7" s="86">
        <f t="shared" ref="N7:N25" ca="1" si="4">_xlfn.IFNA(VLOOKUP(K7, $B$2:$E$200, 4, FALSE), "")</f>
        <v>1066013593.0098788</v>
      </c>
      <c r="O7" s="47" t="str">
        <f>INDEX($A$2:$D$200, MATCH(LARGE($D$2:$D$200, 2), $D$2:$D$200, 0), 2)</f>
        <v>웨이브</v>
      </c>
      <c r="P7" s="39">
        <f t="shared" si="2"/>
        <v>17420</v>
      </c>
      <c r="Q7" s="77">
        <f t="shared" si="3"/>
        <v>5.44794189E-2</v>
      </c>
      <c r="R7" s="86">
        <f t="shared" ref="R7:R25" si="5">_xlfn.IFNA(VLOOKUP(O7, $B$2:$E$200, 4, FALSE), "")</f>
        <v>3477363.6288847998</v>
      </c>
    </row>
    <row r="8" spans="1:18" ht="17.25" thickBot="1">
      <c r="A8" s="40" t="s">
        <v>183</v>
      </c>
      <c r="B8" s="11" t="s">
        <v>184</v>
      </c>
      <c r="C8" s="95">
        <v>1340</v>
      </c>
      <c r="D8" s="92">
        <v>1.51515152E-2</v>
      </c>
      <c r="E8" s="93">
        <v>3071207.6019617701</v>
      </c>
      <c r="F8" s="35"/>
      <c r="G8" s="255"/>
      <c r="H8" s="256"/>
      <c r="I8" s="257"/>
      <c r="K8" s="56" t="str">
        <f ca="1">IFERROR(OFFSET(INDIRECT($H$3 &amp; "!A17"), 2, 0), "")</f>
        <v>메타디움</v>
      </c>
      <c r="L8" s="39">
        <f t="shared" ca="1" si="0"/>
        <v>88.6</v>
      </c>
      <c r="M8" s="77">
        <f t="shared" ca="1" si="1"/>
        <v>-0.15619047620000001</v>
      </c>
      <c r="N8" s="86">
        <f t="shared" ca="1" si="4"/>
        <v>200100102.25465202</v>
      </c>
      <c r="O8" s="47" t="str">
        <f>INDEX($A$2:$D$200, MATCH(LARGE($D$2:$D$200, 3), $D$2:$D$200, 0), 2)</f>
        <v>카바</v>
      </c>
      <c r="P8" s="39">
        <f t="shared" si="2"/>
        <v>4255</v>
      </c>
      <c r="Q8" s="77">
        <f t="shared" si="3"/>
        <v>2.16086435E-2</v>
      </c>
      <c r="R8" s="86">
        <f t="shared" si="5"/>
        <v>2276179.4593520202</v>
      </c>
    </row>
    <row r="9" spans="1:18" ht="17.25" thickBot="1">
      <c r="A9" s="40" t="s">
        <v>279</v>
      </c>
      <c r="B9" s="11" t="s">
        <v>280</v>
      </c>
      <c r="C9" s="95">
        <v>903</v>
      </c>
      <c r="D9" s="92">
        <v>1.4606741600000001E-2</v>
      </c>
      <c r="E9" s="93">
        <v>46918004.073286258</v>
      </c>
      <c r="F9" s="35"/>
      <c r="G9" s="9" t="s">
        <v>38</v>
      </c>
      <c r="H9" s="235" t="s">
        <v>37</v>
      </c>
      <c r="I9" s="236"/>
      <c r="K9" s="56" t="str">
        <f ca="1">IFERROR(OFFSET(INDIRECT($H$3 &amp; "!A17"), 3, 0), "")</f>
        <v>크립토닷컴체인</v>
      </c>
      <c r="L9" s="39">
        <f t="shared" ca="1" si="0"/>
        <v>131</v>
      </c>
      <c r="M9" s="77">
        <f t="shared" ca="1" si="1"/>
        <v>-4.3795620399999999E-2</v>
      </c>
      <c r="N9" s="86">
        <f t="shared" ca="1" si="4"/>
        <v>29018283.111917429</v>
      </c>
      <c r="O9" s="47" t="str">
        <f>INDEX($A$2:$D$200, MATCH(LARGE($D$2:$D$200, 4), $D$2:$D$200, 0), 2)</f>
        <v>스텔라루멘</v>
      </c>
      <c r="P9" s="39">
        <f t="shared" si="2"/>
        <v>380</v>
      </c>
      <c r="Q9" s="77">
        <f t="shared" si="3"/>
        <v>2.15053763E-2</v>
      </c>
      <c r="R9" s="86">
        <f t="shared" si="5"/>
        <v>83491504.437275946</v>
      </c>
    </row>
    <row r="10" spans="1:18">
      <c r="A10" s="40" t="s">
        <v>83</v>
      </c>
      <c r="B10" s="11" t="s">
        <v>84</v>
      </c>
      <c r="C10" s="95">
        <v>1700</v>
      </c>
      <c r="D10" s="92">
        <v>8.9020772000000005E-3</v>
      </c>
      <c r="E10" s="93">
        <v>52932839.531339802</v>
      </c>
      <c r="F10" s="35"/>
      <c r="G10" s="280">
        <f>_xlfn.IFNA(VLOOKUP(G7, $B$2:$D$200, 3, FALSE), "-")</f>
        <v>-5.2176301000000001E-2</v>
      </c>
      <c r="H10" s="282">
        <f>_xlfn.IFNA(VLOOKUP(G7, $B$2:$D$200, 2, FALSE), "-")</f>
        <v>41418000</v>
      </c>
      <c r="I10" s="283"/>
      <c r="K10" s="58" t="str">
        <f ca="1">IFERROR(OFFSET(INDIRECT($H$3 &amp; "!A17"), 4, 0), "")</f>
        <v>헌트</v>
      </c>
      <c r="L10" s="44">
        <f t="shared" ca="1" si="0"/>
        <v>236</v>
      </c>
      <c r="M10" s="78">
        <f t="shared" ca="1" si="1"/>
        <v>-9.9236641200000003E-2</v>
      </c>
      <c r="N10" s="90">
        <f t="shared" ca="1" si="4"/>
        <v>90943530.361612573</v>
      </c>
      <c r="O10" s="47" t="str">
        <f>INDEX($A$2:$D$200, MATCH(LARGE($D$2:$D$200, 5), $D$2:$D$200, 0), 2)</f>
        <v>이더리움</v>
      </c>
      <c r="P10" s="39">
        <f t="shared" si="2"/>
        <v>2806000</v>
      </c>
      <c r="Q10" s="77">
        <f t="shared" si="3"/>
        <v>1.8142235100000001E-2</v>
      </c>
      <c r="R10" s="90">
        <f t="shared" si="5"/>
        <v>134691.54374513999</v>
      </c>
    </row>
    <row r="11" spans="1:18" ht="17.25" thickBot="1">
      <c r="A11" s="40" t="s">
        <v>75</v>
      </c>
      <c r="B11" s="11" t="s">
        <v>76</v>
      </c>
      <c r="C11" s="95">
        <v>25310</v>
      </c>
      <c r="D11" s="92">
        <v>6.7621321000000002E-3</v>
      </c>
      <c r="E11" s="93">
        <v>1211512.3361613699</v>
      </c>
      <c r="F11" s="35"/>
      <c r="G11" s="281"/>
      <c r="H11" s="284"/>
      <c r="I11" s="285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앵커</v>
      </c>
      <c r="P11" s="45">
        <f t="shared" si="2"/>
        <v>97.6</v>
      </c>
      <c r="Q11" s="80">
        <f t="shared" si="3"/>
        <v>1.6666666699999999E-2</v>
      </c>
      <c r="R11" s="99">
        <f t="shared" si="5"/>
        <v>170390386.4734993</v>
      </c>
    </row>
    <row r="12" spans="1:18" ht="17.25" thickBot="1">
      <c r="A12" s="40" t="s">
        <v>105</v>
      </c>
      <c r="B12" s="11" t="s">
        <v>106</v>
      </c>
      <c r="C12" s="95">
        <v>1020</v>
      </c>
      <c r="D12" s="92">
        <v>4.9261084000000004E-3</v>
      </c>
      <c r="E12" s="93">
        <v>2835312.0231972402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아이오타</v>
      </c>
      <c r="P12" s="39">
        <f t="shared" si="2"/>
        <v>1340</v>
      </c>
      <c r="Q12" s="77">
        <f t="shared" si="3"/>
        <v>1.51515152E-2</v>
      </c>
      <c r="R12" s="86">
        <f t="shared" si="5"/>
        <v>3071207.6019617701</v>
      </c>
    </row>
    <row r="13" spans="1:18" ht="17.25" thickBot="1">
      <c r="A13" s="40" t="s">
        <v>97</v>
      </c>
      <c r="B13" s="11" t="s">
        <v>98</v>
      </c>
      <c r="C13" s="95">
        <v>3670</v>
      </c>
      <c r="D13" s="92">
        <v>0</v>
      </c>
      <c r="E13" s="93">
        <v>2064022.57954887</v>
      </c>
      <c r="F13" s="35"/>
      <c r="G13" s="234" t="s">
        <v>70</v>
      </c>
      <c r="H13" s="235"/>
      <c r="I13" s="236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그로스톨코인</v>
      </c>
      <c r="P13" s="39">
        <f t="shared" si="2"/>
        <v>903</v>
      </c>
      <c r="Q13" s="77">
        <f t="shared" si="3"/>
        <v>1.4606741600000001E-2</v>
      </c>
      <c r="R13" s="86">
        <f t="shared" si="5"/>
        <v>46918004.073286258</v>
      </c>
    </row>
    <row r="14" spans="1:18">
      <c r="A14" s="40" t="s">
        <v>77</v>
      </c>
      <c r="B14" s="11" t="s">
        <v>78</v>
      </c>
      <c r="C14" s="95">
        <v>671200</v>
      </c>
      <c r="D14" s="92">
        <v>-5.9241705999999996E-3</v>
      </c>
      <c r="E14" s="93">
        <v>38550.936488699997</v>
      </c>
      <c r="F14" s="35"/>
      <c r="G14" s="262" t="s">
        <v>36</v>
      </c>
      <c r="H14" s="263"/>
      <c r="I14" s="264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에이다</v>
      </c>
      <c r="P14" s="39">
        <f t="shared" si="2"/>
        <v>1700</v>
      </c>
      <c r="Q14" s="77">
        <f t="shared" si="3"/>
        <v>8.9020772000000005E-3</v>
      </c>
      <c r="R14" s="86">
        <f t="shared" si="5"/>
        <v>52932839.531339802</v>
      </c>
    </row>
    <row r="15" spans="1:18" ht="17.25" thickBot="1">
      <c r="A15" s="40" t="s">
        <v>129</v>
      </c>
      <c r="B15" s="11" t="s">
        <v>130</v>
      </c>
      <c r="C15" s="95">
        <v>188500</v>
      </c>
      <c r="D15" s="92">
        <v>-1.10178384E-2</v>
      </c>
      <c r="E15" s="93">
        <v>70595.486459039996</v>
      </c>
      <c r="F15" s="35"/>
      <c r="G15" s="255"/>
      <c r="H15" s="256"/>
      <c r="I15" s="257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체인링크</v>
      </c>
      <c r="P15" s="37">
        <f t="shared" si="2"/>
        <v>25310</v>
      </c>
      <c r="Q15" s="79">
        <f t="shared" si="3"/>
        <v>6.7621321000000002E-3</v>
      </c>
      <c r="R15" s="87">
        <f t="shared" si="5"/>
        <v>1211512.3361613699</v>
      </c>
    </row>
    <row r="16" spans="1:18" ht="17.25" thickBot="1">
      <c r="A16" s="40" t="s">
        <v>113</v>
      </c>
      <c r="B16" s="11" t="s">
        <v>114</v>
      </c>
      <c r="C16" s="95">
        <v>9165</v>
      </c>
      <c r="D16" s="92">
        <v>-1.3986014E-2</v>
      </c>
      <c r="E16" s="93">
        <v>2207964.5284304</v>
      </c>
      <c r="F16" s="35"/>
      <c r="G16" s="9" t="s">
        <v>38</v>
      </c>
      <c r="H16" s="235" t="s">
        <v>37</v>
      </c>
      <c r="I16" s="236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제로엑스</v>
      </c>
      <c r="P16" s="38">
        <f t="shared" si="2"/>
        <v>1020</v>
      </c>
      <c r="Q16" s="76">
        <f t="shared" si="3"/>
        <v>4.9261084000000004E-3</v>
      </c>
      <c r="R16" s="85">
        <f t="shared" si="5"/>
        <v>2835312.0231972402</v>
      </c>
    </row>
    <row r="17" spans="1:18">
      <c r="A17" s="40" t="s">
        <v>137</v>
      </c>
      <c r="B17" s="11" t="s">
        <v>138</v>
      </c>
      <c r="C17" s="95">
        <v>24120</v>
      </c>
      <c r="D17" s="92">
        <v>-1.5510204099999999E-2</v>
      </c>
      <c r="E17" s="93">
        <v>948188.19628439995</v>
      </c>
      <c r="F17" s="35"/>
      <c r="G17" s="280">
        <f>_xlfn.IFNA(VLOOKUP(G14, $B$2:$D$200, 3, FALSE), "-")</f>
        <v>-5.2176301000000001E-2</v>
      </c>
      <c r="H17" s="282">
        <f>_xlfn.IFNA(VLOOKUP(G14, $B$2:$D$200, 2, FALSE), "-")</f>
        <v>41418000</v>
      </c>
      <c r="I17" s="283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테조스</v>
      </c>
      <c r="P17" s="39">
        <f t="shared" si="2"/>
        <v>3670</v>
      </c>
      <c r="Q17" s="77">
        <f t="shared" si="3"/>
        <v>0</v>
      </c>
      <c r="R17" s="86">
        <f t="shared" si="5"/>
        <v>2064022.57954887</v>
      </c>
    </row>
    <row r="18" spans="1:18" ht="17.25" thickBot="1">
      <c r="A18" s="40" t="s">
        <v>131</v>
      </c>
      <c r="B18" s="11" t="s">
        <v>132</v>
      </c>
      <c r="C18" s="95">
        <v>121</v>
      </c>
      <c r="D18" s="92">
        <v>-1.6260162599999999E-2</v>
      </c>
      <c r="E18" s="93">
        <v>920314254.51790357</v>
      </c>
      <c r="F18" s="35"/>
      <c r="G18" s="281"/>
      <c r="H18" s="284"/>
      <c r="I18" s="285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비트코인캐시</v>
      </c>
      <c r="P18" s="39">
        <f t="shared" si="2"/>
        <v>671200</v>
      </c>
      <c r="Q18" s="77">
        <f t="shared" si="3"/>
        <v>-5.9241705999999996E-3</v>
      </c>
      <c r="R18" s="86">
        <f t="shared" si="5"/>
        <v>38550.936488699997</v>
      </c>
    </row>
    <row r="19" spans="1:18" ht="17.25" thickBot="1">
      <c r="A19" s="40" t="s">
        <v>155</v>
      </c>
      <c r="B19" s="11" t="s">
        <v>156</v>
      </c>
      <c r="C19" s="95">
        <v>79.400000000000006</v>
      </c>
      <c r="D19" s="92">
        <v>-1.85414091E-2</v>
      </c>
      <c r="E19" s="93">
        <v>156292154.59634018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라이트코인</v>
      </c>
      <c r="P19" s="39">
        <f t="shared" si="2"/>
        <v>188500</v>
      </c>
      <c r="Q19" s="77">
        <f t="shared" si="3"/>
        <v>-1.10178384E-2</v>
      </c>
      <c r="R19" s="86">
        <f t="shared" si="5"/>
        <v>70595.486459039996</v>
      </c>
    </row>
    <row r="20" spans="1:18" ht="17.25" thickBot="1">
      <c r="A20" s="40" t="s">
        <v>109</v>
      </c>
      <c r="B20" s="11" t="s">
        <v>110</v>
      </c>
      <c r="C20" s="95">
        <v>1040</v>
      </c>
      <c r="D20" s="92">
        <v>-1.8867924500000001E-2</v>
      </c>
      <c r="E20" s="93">
        <v>3425591.41827715</v>
      </c>
      <c r="F20" s="35"/>
      <c r="G20" s="234" t="s">
        <v>286</v>
      </c>
      <c r="H20" s="235"/>
      <c r="I20" s="236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쎄타토큰</v>
      </c>
      <c r="P20" s="39">
        <f t="shared" si="2"/>
        <v>9165</v>
      </c>
      <c r="Q20" s="77">
        <f t="shared" si="3"/>
        <v>-1.3986014E-2</v>
      </c>
      <c r="R20" s="90">
        <f t="shared" si="5"/>
        <v>2207964.5284304</v>
      </c>
    </row>
    <row r="21" spans="1:18">
      <c r="A21" s="40" t="s">
        <v>89</v>
      </c>
      <c r="B21" s="11" t="s">
        <v>90</v>
      </c>
      <c r="C21" s="95">
        <v>188350</v>
      </c>
      <c r="D21" s="92">
        <v>-2.0540821599999998E-2</v>
      </c>
      <c r="E21" s="93">
        <v>25397.67065706</v>
      </c>
      <c r="F21" s="35"/>
      <c r="G21" s="262" t="s">
        <v>36</v>
      </c>
      <c r="H21" s="263"/>
      <c r="I21" s="264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폴카닷</v>
      </c>
      <c r="P21" s="45">
        <f t="shared" si="2"/>
        <v>24120</v>
      </c>
      <c r="Q21" s="80">
        <f t="shared" si="3"/>
        <v>-1.5510204099999999E-2</v>
      </c>
      <c r="R21" s="99">
        <f t="shared" si="5"/>
        <v>948188.19628439995</v>
      </c>
    </row>
    <row r="22" spans="1:18" ht="17.25" thickBot="1">
      <c r="A22" s="40" t="s">
        <v>91</v>
      </c>
      <c r="B22" s="11" t="s">
        <v>92</v>
      </c>
      <c r="C22" s="95">
        <v>969</v>
      </c>
      <c r="D22" s="92">
        <v>-2.12121212E-2</v>
      </c>
      <c r="E22" s="93">
        <v>289217720.96687055</v>
      </c>
      <c r="F22" s="35"/>
      <c r="G22" s="255"/>
      <c r="H22" s="256"/>
      <c r="I22" s="257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비체인</v>
      </c>
      <c r="P22" s="39">
        <f t="shared" si="2"/>
        <v>121</v>
      </c>
      <c r="Q22" s="77">
        <f t="shared" si="3"/>
        <v>-1.6260162599999999E-2</v>
      </c>
      <c r="R22" s="86">
        <f t="shared" si="5"/>
        <v>920314254.51790357</v>
      </c>
    </row>
    <row r="23" spans="1:18" ht="17.25" thickBot="1">
      <c r="A23" s="40" t="s">
        <v>85</v>
      </c>
      <c r="B23" s="11" t="s">
        <v>86</v>
      </c>
      <c r="C23" s="95">
        <v>5620</v>
      </c>
      <c r="D23" s="92">
        <v>-2.3457862699999998E-2</v>
      </c>
      <c r="E23" s="93">
        <v>11173562.16587159</v>
      </c>
      <c r="F23" s="35"/>
      <c r="G23" s="9" t="s">
        <v>38</v>
      </c>
      <c r="H23" s="235" t="s">
        <v>37</v>
      </c>
      <c r="I23" s="236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트론</v>
      </c>
      <c r="P23" s="39">
        <f t="shared" si="2"/>
        <v>79.400000000000006</v>
      </c>
      <c r="Q23" s="77">
        <f t="shared" si="3"/>
        <v>-1.85414091E-2</v>
      </c>
      <c r="R23" s="86">
        <f t="shared" si="5"/>
        <v>156292154.59634018</v>
      </c>
    </row>
    <row r="24" spans="1:18">
      <c r="A24" s="40" t="s">
        <v>141</v>
      </c>
      <c r="B24" s="11" t="s">
        <v>142</v>
      </c>
      <c r="C24" s="95">
        <v>525</v>
      </c>
      <c r="D24" s="92">
        <v>-2.41635688E-2</v>
      </c>
      <c r="E24" s="93">
        <v>168961253.33321571</v>
      </c>
      <c r="F24" s="35"/>
      <c r="G24" s="280">
        <f>_xlfn.IFNA(VLOOKUP(G21, $B$2:$D$200, 3, FALSE), "-")</f>
        <v>-5.2176301000000001E-2</v>
      </c>
      <c r="H24" s="282">
        <f>_xlfn.IFNA(VLOOKUP(G21, $B$2:$D$200, 2, FALSE), "-")</f>
        <v>41418000</v>
      </c>
      <c r="I24" s="28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아이콘</v>
      </c>
      <c r="P24" s="39">
        <f t="shared" si="2"/>
        <v>1040</v>
      </c>
      <c r="Q24" s="77">
        <f t="shared" si="3"/>
        <v>-1.8867924500000001E-2</v>
      </c>
      <c r="R24" s="86">
        <f t="shared" si="5"/>
        <v>3425591.41827715</v>
      </c>
    </row>
    <row r="25" spans="1:18" ht="17.25" thickBot="1">
      <c r="A25" s="40" t="s">
        <v>73</v>
      </c>
      <c r="B25" s="11" t="s">
        <v>74</v>
      </c>
      <c r="C25" s="95">
        <v>13570</v>
      </c>
      <c r="D25" s="92">
        <v>-2.58435032E-2</v>
      </c>
      <c r="E25" s="93">
        <v>262715.70338265999</v>
      </c>
      <c r="F25" s="35"/>
      <c r="G25" s="281"/>
      <c r="H25" s="284"/>
      <c r="I25" s="285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비트코인에스브이</v>
      </c>
      <c r="P25" s="37">
        <f t="shared" si="2"/>
        <v>188350</v>
      </c>
      <c r="Q25" s="79">
        <f t="shared" si="3"/>
        <v>-2.0540821599999998E-2</v>
      </c>
      <c r="R25" s="87">
        <f t="shared" si="5"/>
        <v>25397.67065706</v>
      </c>
    </row>
    <row r="26" spans="1:18">
      <c r="A26" s="40" t="s">
        <v>62</v>
      </c>
      <c r="B26" s="11" t="s">
        <v>63</v>
      </c>
      <c r="C26" s="95">
        <v>54250</v>
      </c>
      <c r="D26" s="92">
        <v>-2.6556612199999999E-2</v>
      </c>
      <c r="E26" s="93">
        <v>396023.50582319999</v>
      </c>
      <c r="F26" s="35"/>
    </row>
    <row r="27" spans="1:18" ht="17.25" thickBot="1">
      <c r="A27" s="40" t="s">
        <v>295</v>
      </c>
      <c r="B27" s="11" t="s">
        <v>296</v>
      </c>
      <c r="C27" s="95">
        <v>363</v>
      </c>
      <c r="D27" s="92">
        <v>-2.68096515E-2</v>
      </c>
      <c r="E27" s="93">
        <v>331991085.32999915</v>
      </c>
      <c r="F27" s="35"/>
    </row>
    <row r="28" spans="1:18" ht="17.25" thickBot="1">
      <c r="A28" s="40" t="s">
        <v>143</v>
      </c>
      <c r="B28" s="11" t="s">
        <v>144</v>
      </c>
      <c r="C28" s="95">
        <v>5435</v>
      </c>
      <c r="D28" s="92">
        <v>-2.7728085900000001E-2</v>
      </c>
      <c r="E28" s="93">
        <v>1795207.04038541</v>
      </c>
      <c r="F28" s="35"/>
      <c r="G28" s="234" t="s">
        <v>46</v>
      </c>
      <c r="H28" s="235"/>
      <c r="I28" s="235"/>
      <c r="J28" s="236"/>
      <c r="K28" s="234" t="s">
        <v>44</v>
      </c>
      <c r="L28" s="235"/>
      <c r="M28" s="235"/>
      <c r="N28" s="236"/>
      <c r="O28" s="234" t="s">
        <v>45</v>
      </c>
      <c r="P28" s="235"/>
      <c r="Q28" s="235"/>
      <c r="R28" s="236"/>
    </row>
    <row r="29" spans="1:18" ht="17.25" thickBot="1">
      <c r="A29" s="40" t="s">
        <v>149</v>
      </c>
      <c r="B29" s="11" t="s">
        <v>150</v>
      </c>
      <c r="C29" s="95">
        <v>1985</v>
      </c>
      <c r="D29" s="92">
        <v>-2.93398533E-2</v>
      </c>
      <c r="E29" s="93">
        <v>5246526.2007177696</v>
      </c>
      <c r="F29" s="35"/>
      <c r="G29" s="271" t="s">
        <v>55</v>
      </c>
      <c r="H29" s="287">
        <f ca="1">NOW()</f>
        <v>44360.023360763887</v>
      </c>
      <c r="I29" s="288"/>
      <c r="J29" s="289"/>
      <c r="K29" s="286" t="s">
        <v>55</v>
      </c>
      <c r="L29" s="287">
        <f ca="1">NOW()</f>
        <v>44360.023360763887</v>
      </c>
      <c r="M29" s="288"/>
      <c r="N29" s="289"/>
      <c r="O29" s="286" t="s">
        <v>55</v>
      </c>
      <c r="P29" s="287">
        <f ca="1">NOW()</f>
        <v>44360.023360763887</v>
      </c>
      <c r="Q29" s="288"/>
      <c r="R29" s="289"/>
    </row>
    <row r="30" spans="1:18" ht="17.25" thickBot="1">
      <c r="A30" s="40" t="s">
        <v>241</v>
      </c>
      <c r="B30" s="11" t="s">
        <v>242</v>
      </c>
      <c r="C30" s="95">
        <v>3215</v>
      </c>
      <c r="D30" s="92">
        <v>-3.0165912499999999E-2</v>
      </c>
      <c r="E30" s="93">
        <v>1631400.3468968901</v>
      </c>
      <c r="F30" s="35"/>
      <c r="G30" s="279"/>
      <c r="H30" s="36" t="s">
        <v>58</v>
      </c>
      <c r="I30" s="73" t="s">
        <v>59</v>
      </c>
      <c r="J30" s="69" t="s">
        <v>294</v>
      </c>
      <c r="K30" s="279"/>
      <c r="L30" s="36" t="s">
        <v>58</v>
      </c>
      <c r="M30" s="73" t="s">
        <v>59</v>
      </c>
      <c r="N30" s="69" t="s">
        <v>294</v>
      </c>
      <c r="O30" s="279"/>
      <c r="P30" s="36" t="s">
        <v>58</v>
      </c>
      <c r="Q30" s="73" t="s">
        <v>59</v>
      </c>
      <c r="R30" s="69" t="s">
        <v>294</v>
      </c>
    </row>
    <row r="31" spans="1:18">
      <c r="A31" s="40" t="s">
        <v>79</v>
      </c>
      <c r="B31" s="11" t="s">
        <v>80</v>
      </c>
      <c r="C31" s="95">
        <v>731</v>
      </c>
      <c r="D31" s="92">
        <v>-3.0503978800000001E-2</v>
      </c>
      <c r="E31" s="93">
        <v>4222800.9050395004</v>
      </c>
      <c r="F31" s="35"/>
      <c r="G31" s="55" t="str">
        <f ca="1">IFERROR(OFFSET(INDIRECT($H$3 &amp; "!A98"), 0, 0), "")</f>
        <v>에스티피</v>
      </c>
      <c r="H31" s="38">
        <f t="shared" ref="H31:H50" ca="1" si="7">_xlfn.IFNA(VLOOKUP(G31, $B$2:$D$200, 2, FALSE), "")</f>
        <v>56.6</v>
      </c>
      <c r="I31" s="76">
        <f t="shared" ref="I31:I50" ca="1" si="8">_xlfn.IFNA(VLOOKUP(G31, $B$2:$D$200, 3, FALSE), "")</f>
        <v>-0.2402684564</v>
      </c>
      <c r="J31" s="85">
        <f ca="1">_xlfn.IFNA(VLOOKUP(G31, $B$2:$E$200, 4, FALSE), "")</f>
        <v>575076904.18140519</v>
      </c>
      <c r="K31" s="55" t="str">
        <f ca="1">IFERROR(OFFSET(INDIRECT($H$3 &amp; "!A44"), 0, 0), "")</f>
        <v>에스티피</v>
      </c>
      <c r="L31" s="38">
        <f t="shared" ref="L31:L50" ca="1" si="9">_xlfn.IFNA(VLOOKUP(K31, $B$2:$D$200, 2, FALSE), "")</f>
        <v>56.6</v>
      </c>
      <c r="M31" s="76">
        <f t="shared" ref="M31:M50" ca="1" si="10">_xlfn.IFNA(VLOOKUP(K31, $B$2:$D$200, 3, FALSE), "")</f>
        <v>-0.2402684564</v>
      </c>
      <c r="N31" s="85">
        <f ca="1">_xlfn.IFNA(VLOOKUP(K31, $B$2:$E$200, 4, FALSE), "")</f>
        <v>575076904.18140519</v>
      </c>
      <c r="O31" s="55" t="str">
        <f ca="1">IFERROR(OFFSET(INDIRECT($H$3 &amp; "!A71"), 0, 0), "")</f>
        <v>칠리즈</v>
      </c>
      <c r="P31" s="38">
        <f t="shared" ref="P31:P50" ca="1" si="11">_xlfn.IFNA(VLOOKUP(O31, $B$2:$D$200, 2, FALSE), "")</f>
        <v>333</v>
      </c>
      <c r="Q31" s="76">
        <f t="shared" ref="Q31:Q50" ca="1" si="12">_xlfn.IFNA(VLOOKUP(O31, $B$2:$D$200, 3, FALSE), "")</f>
        <v>-4.0345821300000001E-2</v>
      </c>
      <c r="R31" s="85">
        <f ca="1">_xlfn.IFNA(VLOOKUP(O31, $B$2:$E$200, 4, FALSE), "")</f>
        <v>600493050.68891382</v>
      </c>
    </row>
    <row r="32" spans="1:18">
      <c r="A32" s="40" t="s">
        <v>101</v>
      </c>
      <c r="B32" s="11" t="s">
        <v>102</v>
      </c>
      <c r="C32" s="95">
        <v>64440</v>
      </c>
      <c r="D32" s="92">
        <v>-3.0831704000000001E-2</v>
      </c>
      <c r="E32" s="93">
        <v>3345649.6018456002</v>
      </c>
      <c r="F32" s="35"/>
      <c r="G32" s="56" t="str">
        <f ca="1">IFERROR(OFFSET(INDIRECT($H$3 &amp; "!A98"), 1, 0), "")</f>
        <v>칠리즈</v>
      </c>
      <c r="H32" s="39">
        <f t="shared" ca="1" si="7"/>
        <v>333</v>
      </c>
      <c r="I32" s="77">
        <f t="shared" ca="1" si="8"/>
        <v>-4.0345821300000001E-2</v>
      </c>
      <c r="J32" s="86">
        <f t="shared" ref="J32:J50" ca="1" si="13">_xlfn.IFNA(VLOOKUP(G32, $B$2:$E$200, 4, FALSE), "")</f>
        <v>600493050.68891382</v>
      </c>
      <c r="K32" s="56" t="str">
        <f ca="1">IFERROR(OFFSET(INDIRECT($H$3 &amp; "!A44"), 1, 0), "")</f>
        <v>스톰엑스</v>
      </c>
      <c r="L32" s="39">
        <f t="shared" ca="1" si="9"/>
        <v>24.2</v>
      </c>
      <c r="M32" s="77">
        <f t="shared" ca="1" si="10"/>
        <v>-6.5637065600000002E-2</v>
      </c>
      <c r="N32" s="86">
        <f t="shared" ref="N32:N50" ca="1" si="14">_xlfn.IFNA(VLOOKUP(K32, $B$2:$E$200, 4, FALSE), "")</f>
        <v>188651176.31373924</v>
      </c>
      <c r="O32" s="56" t="str">
        <f ca="1">IFERROR(OFFSET(INDIRECT($H$3 &amp; "!A71"), 1, 0), "")</f>
        <v>샌드박스</v>
      </c>
      <c r="P32" s="39">
        <f t="shared" ca="1" si="11"/>
        <v>313</v>
      </c>
      <c r="Q32" s="77">
        <f t="shared" ca="1" si="12"/>
        <v>-0.13055555560000001</v>
      </c>
      <c r="R32" s="86">
        <f t="shared" ref="R32:R50" ca="1" si="15">_xlfn.IFNA(VLOOKUP(O32, $B$2:$E$200, 4, FALSE), "")</f>
        <v>32359110.440553728</v>
      </c>
    </row>
    <row r="33" spans="1:18">
      <c r="A33" s="40" t="s">
        <v>165</v>
      </c>
      <c r="B33" s="11" t="s">
        <v>166</v>
      </c>
      <c r="C33" s="95">
        <v>1060</v>
      </c>
      <c r="D33" s="92">
        <v>-3.1963470299999998E-2</v>
      </c>
      <c r="E33" s="93">
        <v>1958943.68481198</v>
      </c>
      <c r="F33" s="35"/>
      <c r="G33" s="56" t="str">
        <f ca="1">IFERROR(OFFSET(INDIRECT($H$3 &amp; "!A98"), 2, 0), "")</f>
        <v>엑시인피니티</v>
      </c>
      <c r="H33" s="39">
        <f t="shared" ca="1" si="7"/>
        <v>4480</v>
      </c>
      <c r="I33" s="77">
        <f t="shared" ca="1" si="8"/>
        <v>-0.1128712871</v>
      </c>
      <c r="J33" s="86">
        <f t="shared" ca="1" si="13"/>
        <v>1481777.1543630799</v>
      </c>
      <c r="K33" s="56" t="str">
        <f ca="1">IFERROR(OFFSET(INDIRECT($H$3 &amp; "!A44"), 2, 0), "")</f>
        <v>쿼크체인</v>
      </c>
      <c r="L33" s="39">
        <f t="shared" ca="1" si="9"/>
        <v>18.100000000000001</v>
      </c>
      <c r="M33" s="77">
        <f t="shared" ca="1" si="10"/>
        <v>-0.15023474179999999</v>
      </c>
      <c r="N33" s="86">
        <f t="shared" ca="1" si="14"/>
        <v>361371600.33733028</v>
      </c>
      <c r="O33" s="56" t="str">
        <f ca="1">IFERROR(OFFSET(INDIRECT($H$3 &amp; "!A71"), 2, 0), "")</f>
        <v>디센트럴랜드</v>
      </c>
      <c r="P33" s="39">
        <f t="shared" ca="1" si="11"/>
        <v>778</v>
      </c>
      <c r="Q33" s="77">
        <f t="shared" ca="1" si="12"/>
        <v>-4.30504305E-2</v>
      </c>
      <c r="R33" s="86">
        <f t="shared" ca="1" si="15"/>
        <v>28370453.832473829</v>
      </c>
    </row>
    <row r="34" spans="1:18">
      <c r="A34" s="40" t="s">
        <v>99</v>
      </c>
      <c r="B34" s="11" t="s">
        <v>100</v>
      </c>
      <c r="C34" s="95">
        <v>3.93</v>
      </c>
      <c r="D34" s="92">
        <v>-3.2019704400000001E-2</v>
      </c>
      <c r="E34" s="93">
        <v>18598009964.304138</v>
      </c>
      <c r="F34" s="35"/>
      <c r="G34" s="56" t="str">
        <f ca="1">IFERROR(OFFSET(INDIRECT($H$3 &amp; "!A98"), 3, 0), "")</f>
        <v>엔진코인</v>
      </c>
      <c r="H34" s="39">
        <f t="shared" ca="1" si="7"/>
        <v>1440</v>
      </c>
      <c r="I34" s="77">
        <f t="shared" ca="1" si="8"/>
        <v>-5.8823529399999998E-2</v>
      </c>
      <c r="J34" s="86">
        <f t="shared" ca="1" si="13"/>
        <v>10672695.2614825</v>
      </c>
      <c r="K34" s="56" t="str">
        <f ca="1">IFERROR(OFFSET(INDIRECT($H$3 &amp; "!A44"), 3, 0), "")</f>
        <v>아이오에스티</v>
      </c>
      <c r="L34" s="39">
        <f t="shared" ca="1" si="9"/>
        <v>31.3</v>
      </c>
      <c r="M34" s="77">
        <f t="shared" ca="1" si="10"/>
        <v>-3.9877300599999999E-2</v>
      </c>
      <c r="N34" s="86">
        <f t="shared" ca="1" si="14"/>
        <v>72133797.175267249</v>
      </c>
      <c r="O34" s="56" t="str">
        <f ca="1">IFERROR(OFFSET(INDIRECT($H$3 &amp; "!A71"), 3, 0), "")</f>
        <v>베이직어텐션토큰</v>
      </c>
      <c r="P34" s="39">
        <f t="shared" ca="1" si="11"/>
        <v>731</v>
      </c>
      <c r="Q34" s="77">
        <f t="shared" ca="1" si="12"/>
        <v>-3.0503978800000001E-2</v>
      </c>
      <c r="R34" s="86">
        <f t="shared" ca="1" si="15"/>
        <v>4222800.9050395004</v>
      </c>
    </row>
    <row r="35" spans="1:18">
      <c r="A35" s="40" t="s">
        <v>135</v>
      </c>
      <c r="B35" s="11" t="s">
        <v>136</v>
      </c>
      <c r="C35" s="95">
        <v>115</v>
      </c>
      <c r="D35" s="92">
        <v>-3.3613445399999997E-2</v>
      </c>
      <c r="E35" s="93">
        <v>52364083.367535003</v>
      </c>
      <c r="F35" s="35"/>
      <c r="G35" s="58" t="str">
        <f ca="1">IFERROR(OFFSET(INDIRECT($H$3 &amp; "!A98"), 4, 0), "")</f>
        <v>플로우</v>
      </c>
      <c r="H35" s="44">
        <f t="shared" ca="1" si="7"/>
        <v>13780</v>
      </c>
      <c r="I35" s="78">
        <f t="shared" ca="1" si="8"/>
        <v>-9.1628213599999994E-2</v>
      </c>
      <c r="J35" s="90">
        <f t="shared" ca="1" si="13"/>
        <v>411900.21245757001</v>
      </c>
      <c r="K35" s="58" t="str">
        <f ca="1">IFERROR(OFFSET(INDIRECT($H$3 &amp; "!A44"), 4, 0), "")</f>
        <v>비트토렌트</v>
      </c>
      <c r="L35" s="44">
        <f t="shared" ca="1" si="9"/>
        <v>3.93</v>
      </c>
      <c r="M35" s="78">
        <f t="shared" ca="1" si="10"/>
        <v>-3.2019704400000001E-2</v>
      </c>
      <c r="N35" s="90">
        <f t="shared" ca="1" si="14"/>
        <v>18598009964.304138</v>
      </c>
      <c r="O35" s="58" t="str">
        <f ca="1">IFERROR(OFFSET(INDIRECT($H$3 &amp; "!A71"), 4, 0), "")</f>
        <v>질리카</v>
      </c>
      <c r="P35" s="44">
        <f t="shared" ca="1" si="11"/>
        <v>115</v>
      </c>
      <c r="Q35" s="78">
        <f t="shared" ca="1" si="12"/>
        <v>-3.3613445399999997E-2</v>
      </c>
      <c r="R35" s="90">
        <f t="shared" ca="1" si="15"/>
        <v>52364083.367535003</v>
      </c>
    </row>
    <row r="36" spans="1:18">
      <c r="A36" s="40" t="s">
        <v>277</v>
      </c>
      <c r="B36" s="11" t="s">
        <v>278</v>
      </c>
      <c r="C36" s="95">
        <v>69.099999999999994</v>
      </c>
      <c r="D36" s="92">
        <v>-3.6262203600000001E-2</v>
      </c>
      <c r="E36" s="93">
        <v>39839433.275413349</v>
      </c>
      <c r="F36" s="35"/>
      <c r="G36" s="56" t="str">
        <f ca="1">IFERROR(OFFSET(INDIRECT($H$3 &amp; "!A98"), 5, 0), "")</f>
        <v>샌드박스</v>
      </c>
      <c r="H36" s="39">
        <f t="shared" ca="1" si="7"/>
        <v>313</v>
      </c>
      <c r="I36" s="77">
        <f t="shared" ca="1" si="8"/>
        <v>-0.13055555560000001</v>
      </c>
      <c r="J36" s="99">
        <f t="shared" ca="1" si="13"/>
        <v>32359110.440553728</v>
      </c>
      <c r="K36" s="56" t="str">
        <f ca="1">IFERROR(OFFSET(INDIRECT($H$3 &amp; "!A44"), 5, 0), "")</f>
        <v>저스트</v>
      </c>
      <c r="L36" s="39">
        <f t="shared" ca="1" si="9"/>
        <v>69.099999999999994</v>
      </c>
      <c r="M36" s="77">
        <f t="shared" ca="1" si="10"/>
        <v>-3.6262203600000001E-2</v>
      </c>
      <c r="N36" s="99">
        <f t="shared" ca="1" si="14"/>
        <v>39839433.275413349</v>
      </c>
      <c r="O36" s="56" t="str">
        <f ca="1">IFERROR(OFFSET(INDIRECT($H$3 &amp; "!A71"), 5, 0), "")</f>
        <v>크립토닷컴체인</v>
      </c>
      <c r="P36" s="39">
        <f t="shared" ca="1" si="11"/>
        <v>131</v>
      </c>
      <c r="Q36" s="77">
        <f t="shared" ca="1" si="12"/>
        <v>-4.3795620399999999E-2</v>
      </c>
      <c r="R36" s="99">
        <f t="shared" ca="1" si="15"/>
        <v>29018283.111917429</v>
      </c>
    </row>
    <row r="37" spans="1:18">
      <c r="A37" s="40" t="s">
        <v>127</v>
      </c>
      <c r="B37" s="11" t="s">
        <v>128</v>
      </c>
      <c r="C37" s="95">
        <v>298</v>
      </c>
      <c r="D37" s="92">
        <v>-3.8709677400000003E-2</v>
      </c>
      <c r="E37" s="93">
        <v>8278610.3126347698</v>
      </c>
      <c r="F37" s="35"/>
      <c r="G37" s="56" t="str">
        <f ca="1">IFERROR(OFFSET(INDIRECT($H$3 &amp; "!A98"), 6, 0), "")</f>
        <v>디센트럴랜드</v>
      </c>
      <c r="H37" s="39">
        <f t="shared" ca="1" si="7"/>
        <v>778</v>
      </c>
      <c r="I37" s="77">
        <f t="shared" ca="1" si="8"/>
        <v>-4.30504305E-2</v>
      </c>
      <c r="J37" s="86">
        <f t="shared" ca="1" si="13"/>
        <v>28370453.832473829</v>
      </c>
      <c r="K37" s="56" t="str">
        <f ca="1">IFERROR(OFFSET(INDIRECT($H$3 &amp; "!A44"), 6, 0), "")</f>
        <v>트론</v>
      </c>
      <c r="L37" s="39">
        <f t="shared" ca="1" si="9"/>
        <v>79.400000000000006</v>
      </c>
      <c r="M37" s="77">
        <f t="shared" ca="1" si="10"/>
        <v>-1.85414091E-2</v>
      </c>
      <c r="N37" s="86">
        <f t="shared" ca="1" si="14"/>
        <v>156292154.59634018</v>
      </c>
      <c r="O37" s="56" t="str">
        <f ca="1">IFERROR(OFFSET(INDIRECT($H$3 &amp; "!A71"), 6, 0), "")</f>
        <v>헤데라해시그래프</v>
      </c>
      <c r="P37" s="39">
        <f t="shared" ca="1" si="11"/>
        <v>216</v>
      </c>
      <c r="Q37" s="77">
        <f t="shared" ca="1" si="12"/>
        <v>-8.0851063799999998E-2</v>
      </c>
      <c r="R37" s="86">
        <f t="shared" ca="1" si="15"/>
        <v>22703050.638212848</v>
      </c>
    </row>
    <row r="38" spans="1:18">
      <c r="A38" s="40" t="s">
        <v>64</v>
      </c>
      <c r="B38" s="11" t="s">
        <v>65</v>
      </c>
      <c r="C38" s="95">
        <v>31.3</v>
      </c>
      <c r="D38" s="92">
        <v>-3.9877300599999999E-2</v>
      </c>
      <c r="E38" s="93">
        <v>72133797.175267249</v>
      </c>
      <c r="F38" s="35"/>
      <c r="G38" s="56" t="str">
        <f ca="1">IFERROR(OFFSET(INDIRECT($H$3 &amp; "!A98"), 7, 0), "")</f>
        <v>베이직어텐션토큰</v>
      </c>
      <c r="H38" s="39">
        <f t="shared" ca="1" si="7"/>
        <v>731</v>
      </c>
      <c r="I38" s="77">
        <f t="shared" ca="1" si="8"/>
        <v>-3.0503978800000001E-2</v>
      </c>
      <c r="J38" s="86">
        <f t="shared" ca="1" si="13"/>
        <v>4222800.9050395004</v>
      </c>
      <c r="K38" s="56" t="str">
        <f ca="1">IFERROR(OFFSET(INDIRECT($H$3 &amp; "!A44"), 7, 0), "")</f>
        <v>오브스</v>
      </c>
      <c r="L38" s="39">
        <f t="shared" ca="1" si="9"/>
        <v>77.7</v>
      </c>
      <c r="M38" s="77">
        <f t="shared" ca="1" si="10"/>
        <v>-7.9383886299999998E-2</v>
      </c>
      <c r="N38" s="86">
        <f t="shared" ca="1" si="14"/>
        <v>116380264.99760117</v>
      </c>
      <c r="O38" s="56" t="str">
        <f ca="1">IFERROR(OFFSET(INDIRECT($H$3 &amp; "!A71"), 7, 0), "")</f>
        <v>비체인</v>
      </c>
      <c r="P38" s="39">
        <f t="shared" ca="1" si="11"/>
        <v>121</v>
      </c>
      <c r="Q38" s="77">
        <f t="shared" ca="1" si="12"/>
        <v>-1.6260162599999999E-2</v>
      </c>
      <c r="R38" s="86">
        <f t="shared" ca="1" si="15"/>
        <v>920314254.51790357</v>
      </c>
    </row>
    <row r="39" spans="1:18">
      <c r="A39" s="40" t="s">
        <v>87</v>
      </c>
      <c r="B39" s="11" t="s">
        <v>88</v>
      </c>
      <c r="C39" s="95">
        <v>333</v>
      </c>
      <c r="D39" s="92">
        <v>-4.0345821300000001E-2</v>
      </c>
      <c r="E39" s="93">
        <v>600493050.68891382</v>
      </c>
      <c r="F39" s="35"/>
      <c r="G39" s="56" t="str">
        <f ca="1">IFERROR(OFFSET(INDIRECT($H$3 &amp; "!A98"), 8, 0), "")</f>
        <v>질리카</v>
      </c>
      <c r="H39" s="39">
        <f t="shared" ca="1" si="7"/>
        <v>115</v>
      </c>
      <c r="I39" s="77">
        <f t="shared" ca="1" si="8"/>
        <v>-3.3613445399999997E-2</v>
      </c>
      <c r="J39" s="86">
        <f t="shared" ca="1" si="13"/>
        <v>52364083.367535003</v>
      </c>
      <c r="K39" s="56" t="str">
        <f ca="1">IFERROR(OFFSET(INDIRECT($H$3 &amp; "!A44"), 8, 0), "")</f>
        <v>룸네트워크</v>
      </c>
      <c r="L39" s="39">
        <f t="shared" ca="1" si="9"/>
        <v>83.8</v>
      </c>
      <c r="M39" s="77">
        <f t="shared" ca="1" si="10"/>
        <v>0.13396481730000001</v>
      </c>
      <c r="N39" s="86">
        <f t="shared" ca="1" si="14"/>
        <v>2779801222.1589527</v>
      </c>
      <c r="O39" s="56" t="str">
        <f ca="1">IFERROR(OFFSET(INDIRECT($H$3 &amp; "!A71"), 8, 0), "")</f>
        <v>왁스</v>
      </c>
      <c r="P39" s="39">
        <f t="shared" ca="1" si="11"/>
        <v>138</v>
      </c>
      <c r="Q39" s="77">
        <f t="shared" ca="1" si="12"/>
        <v>-9.8039215700000001E-2</v>
      </c>
      <c r="R39" s="86">
        <f t="shared" ca="1" si="15"/>
        <v>10860603.93876237</v>
      </c>
    </row>
    <row r="40" spans="1:18" ht="17.25" thickBot="1">
      <c r="A40" s="40" t="s">
        <v>103</v>
      </c>
      <c r="B40" s="11" t="s">
        <v>104</v>
      </c>
      <c r="C40" s="95">
        <v>1040</v>
      </c>
      <c r="D40" s="92">
        <v>-4.1474654399999998E-2</v>
      </c>
      <c r="E40" s="93">
        <v>5343689.3847843101</v>
      </c>
      <c r="F40" s="35"/>
      <c r="G40" s="57" t="str">
        <f ca="1">IFERROR(OFFSET(INDIRECT($H$3 &amp; "!A98"), 9, 0), "")</f>
        <v>비트코인에스브이</v>
      </c>
      <c r="H40" s="37">
        <f t="shared" ca="1" si="7"/>
        <v>188350</v>
      </c>
      <c r="I40" s="79">
        <f t="shared" ca="1" si="8"/>
        <v>-2.0540821599999998E-2</v>
      </c>
      <c r="J40" s="87">
        <f t="shared" ca="1" si="13"/>
        <v>25397.67065706</v>
      </c>
      <c r="K40" s="57" t="str">
        <f ca="1">IFERROR(OFFSET(INDIRECT($H$3 &amp; "!A44"), 9, 0), "")</f>
        <v>스테이터스네트워크토큰</v>
      </c>
      <c r="L40" s="37">
        <f t="shared" ca="1" si="9"/>
        <v>80.8</v>
      </c>
      <c r="M40" s="79">
        <f t="shared" ca="1" si="10"/>
        <v>-8.7005649700000007E-2</v>
      </c>
      <c r="N40" s="87">
        <f t="shared" ca="1" si="14"/>
        <v>86148365.364008129</v>
      </c>
      <c r="O40" s="57" t="str">
        <f ca="1">IFERROR(OFFSET(INDIRECT($H$3 &amp; "!A71"), 9, 0), "")</f>
        <v>스텔라루멘</v>
      </c>
      <c r="P40" s="37">
        <f t="shared" ca="1" si="11"/>
        <v>380</v>
      </c>
      <c r="Q40" s="79">
        <f t="shared" ca="1" si="12"/>
        <v>2.15053763E-2</v>
      </c>
      <c r="R40" s="87">
        <f t="shared" ca="1" si="15"/>
        <v>83491504.437275946</v>
      </c>
    </row>
    <row r="41" spans="1:18">
      <c r="A41" s="40" t="s">
        <v>179</v>
      </c>
      <c r="B41" s="11" t="s">
        <v>180</v>
      </c>
      <c r="C41" s="95">
        <v>2530</v>
      </c>
      <c r="D41" s="92">
        <v>-4.16666667E-2</v>
      </c>
      <c r="E41" s="93">
        <v>3916781.3524666401</v>
      </c>
      <c r="F41" s="35"/>
      <c r="G41" s="59" t="str">
        <f ca="1">IFERROR(OFFSET(INDIRECT($H$3 &amp; "!A98"), 10, 0), "")</f>
        <v>웨이브</v>
      </c>
      <c r="H41" s="38">
        <f t="shared" ca="1" si="7"/>
        <v>17420</v>
      </c>
      <c r="I41" s="76">
        <f t="shared" ca="1" si="8"/>
        <v>5.44794189E-2</v>
      </c>
      <c r="J41" s="85">
        <f t="shared" ca="1" si="13"/>
        <v>3477363.6288847998</v>
      </c>
      <c r="K41" s="55" t="str">
        <f ca="1">IFERROR(OFFSET(INDIRECT($H$3 &amp; "!A44"), 10, 0), "")</f>
        <v>시아코인</v>
      </c>
      <c r="L41" s="38">
        <f t="shared" ca="1" si="9"/>
        <v>17.2</v>
      </c>
      <c r="M41" s="76">
        <f t="shared" ca="1" si="10"/>
        <v>-4.9723756899999999E-2</v>
      </c>
      <c r="N41" s="85">
        <f t="shared" ca="1" si="14"/>
        <v>319501725.16470218</v>
      </c>
      <c r="O41" s="55" t="str">
        <f ca="1">IFERROR(OFFSET(INDIRECT($H$3 &amp; "!A71"), 10, 0), "")</f>
        <v>넴</v>
      </c>
      <c r="P41" s="38">
        <f t="shared" ca="1" si="11"/>
        <v>184</v>
      </c>
      <c r="Q41" s="76">
        <f t="shared" ca="1" si="12"/>
        <v>-4.16666667E-2</v>
      </c>
      <c r="R41" s="85">
        <f t="shared" ca="1" si="15"/>
        <v>39263633.233017147</v>
      </c>
    </row>
    <row r="42" spans="1:18">
      <c r="A42" s="40" t="s">
        <v>56</v>
      </c>
      <c r="B42" s="11" t="s">
        <v>57</v>
      </c>
      <c r="C42" s="95">
        <v>184</v>
      </c>
      <c r="D42" s="92">
        <v>-4.16666667E-2</v>
      </c>
      <c r="E42" s="93">
        <v>39263633.233017147</v>
      </c>
      <c r="F42" s="35"/>
      <c r="G42" s="56" t="str">
        <f ca="1">IFERROR(OFFSET(INDIRECT($H$3 &amp; "!A98"), 11, 0), "")</f>
        <v>스토리지</v>
      </c>
      <c r="H42" s="39">
        <f t="shared" ca="1" si="7"/>
        <v>1060</v>
      </c>
      <c r="I42" s="77">
        <f t="shared" ca="1" si="8"/>
        <v>-3.1963470299999998E-2</v>
      </c>
      <c r="J42" s="86">
        <f t="shared" ca="1" si="13"/>
        <v>1958943.68481198</v>
      </c>
      <c r="K42" s="56" t="str">
        <f ca="1">IFERROR(OFFSET(INDIRECT($H$3 &amp; "!A44"), 11, 0), "")</f>
        <v>메인프레임</v>
      </c>
      <c r="L42" s="39">
        <f t="shared" ca="1" si="9"/>
        <v>10</v>
      </c>
      <c r="M42" s="77">
        <f t="shared" ca="1" si="10"/>
        <v>-6.5420560700000005E-2</v>
      </c>
      <c r="N42" s="86">
        <f t="shared" ca="1" si="14"/>
        <v>471894023.98040873</v>
      </c>
      <c r="O42" s="56" t="str">
        <f ca="1">IFERROR(OFFSET(INDIRECT($H$3 &amp; "!A71"), 11, 0), "")</f>
        <v>앵커</v>
      </c>
      <c r="P42" s="39">
        <f t="shared" ca="1" si="11"/>
        <v>97.6</v>
      </c>
      <c r="Q42" s="77">
        <f t="shared" ca="1" si="12"/>
        <v>1.6666666699999999E-2</v>
      </c>
      <c r="R42" s="86">
        <f t="shared" ca="1" si="15"/>
        <v>170390386.4734993</v>
      </c>
    </row>
    <row r="43" spans="1:18">
      <c r="A43" s="40" t="s">
        <v>60</v>
      </c>
      <c r="B43" s="11" t="s">
        <v>61</v>
      </c>
      <c r="C43" s="95">
        <v>778</v>
      </c>
      <c r="D43" s="92">
        <v>-4.30504305E-2</v>
      </c>
      <c r="E43" s="93">
        <v>28370453.832473829</v>
      </c>
      <c r="F43" s="35"/>
      <c r="G43" s="56" t="str">
        <f ca="1">IFERROR(OFFSET(INDIRECT($H$3 &amp; "!A98"), 12, 0), "")</f>
        <v>비트코인</v>
      </c>
      <c r="H43" s="39">
        <f t="shared" ca="1" si="7"/>
        <v>41418000</v>
      </c>
      <c r="I43" s="77">
        <f t="shared" ca="1" si="8"/>
        <v>-5.2176301000000001E-2</v>
      </c>
      <c r="J43" s="86">
        <f t="shared" ca="1" si="13"/>
        <v>14330.45574317</v>
      </c>
      <c r="K43" s="56" t="str">
        <f ca="1">IFERROR(OFFSET(INDIRECT($H$3 &amp; "!A44"), 12, 0), "")</f>
        <v>썸씽</v>
      </c>
      <c r="L43" s="39">
        <f t="shared" ca="1" si="9"/>
        <v>56.4</v>
      </c>
      <c r="M43" s="77">
        <f t="shared" ca="1" si="10"/>
        <v>-7.5409836100000002E-2</v>
      </c>
      <c r="N43" s="86">
        <f t="shared" ca="1" si="14"/>
        <v>2890278313.8215208</v>
      </c>
      <c r="O43" s="56" t="str">
        <f ca="1">IFERROR(OFFSET(INDIRECT($H$3 &amp; "!A71"), 12, 0), "")</f>
        <v>도지코인</v>
      </c>
      <c r="P43" s="39">
        <f t="shared" ca="1" si="11"/>
        <v>363</v>
      </c>
      <c r="Q43" s="77">
        <f t="shared" ca="1" si="12"/>
        <v>-2.68096515E-2</v>
      </c>
      <c r="R43" s="86">
        <f t="shared" ca="1" si="15"/>
        <v>331991085.32999915</v>
      </c>
    </row>
    <row r="44" spans="1:18">
      <c r="A44" s="40" t="s">
        <v>119</v>
      </c>
      <c r="B44" s="11" t="s">
        <v>120</v>
      </c>
      <c r="C44" s="95">
        <v>131</v>
      </c>
      <c r="D44" s="92">
        <v>-4.3795620399999999E-2</v>
      </c>
      <c r="E44" s="93">
        <v>29018283.111917429</v>
      </c>
      <c r="F44" s="35"/>
      <c r="G44" s="56" t="str">
        <f ca="1">IFERROR(OFFSET(INDIRECT($H$3 &amp; "!A98"), 13, 0), "")</f>
        <v>크립토닷컴체인</v>
      </c>
      <c r="H44" s="39">
        <f t="shared" ca="1" si="7"/>
        <v>131</v>
      </c>
      <c r="I44" s="77">
        <f t="shared" ca="1" si="8"/>
        <v>-4.3795620399999999E-2</v>
      </c>
      <c r="J44" s="86">
        <f t="shared" ca="1" si="13"/>
        <v>29018283.111917429</v>
      </c>
      <c r="K44" s="56" t="str">
        <f ca="1">IFERROR(OFFSET(INDIRECT($H$3 &amp; "!A44"), 13, 0), "")</f>
        <v>캐리프로토콜</v>
      </c>
      <c r="L44" s="39">
        <f t="shared" ca="1" si="9"/>
        <v>8.5</v>
      </c>
      <c r="M44" s="77">
        <f t="shared" ca="1" si="10"/>
        <v>-0.1584158416</v>
      </c>
      <c r="N44" s="86">
        <f t="shared" ca="1" si="14"/>
        <v>905743115.75887871</v>
      </c>
      <c r="O44" s="56" t="str">
        <f ca="1">IFERROR(OFFSET(INDIRECT($H$3 &amp; "!A71"), 13, 0), "")</f>
        <v>시빅</v>
      </c>
      <c r="P44" s="39">
        <f t="shared" ca="1" si="11"/>
        <v>298</v>
      </c>
      <c r="Q44" s="77">
        <f t="shared" ca="1" si="12"/>
        <v>-3.8709677400000003E-2</v>
      </c>
      <c r="R44" s="86">
        <f t="shared" ca="1" si="15"/>
        <v>8278610.3126347698</v>
      </c>
    </row>
    <row r="45" spans="1:18">
      <c r="A45" s="40" t="s">
        <v>187</v>
      </c>
      <c r="B45" s="11" t="s">
        <v>188</v>
      </c>
      <c r="C45" s="95">
        <v>10100</v>
      </c>
      <c r="D45" s="92">
        <v>-4.8067860499999997E-2</v>
      </c>
      <c r="E45" s="93">
        <v>2205429.4033921501</v>
      </c>
      <c r="F45" s="35"/>
      <c r="G45" s="58" t="str">
        <f ca="1">IFERROR(OFFSET(INDIRECT($H$3 &amp; "!A98"), 14, 0), "")</f>
        <v>이오스</v>
      </c>
      <c r="H45" s="44">
        <f t="shared" ca="1" si="7"/>
        <v>5620</v>
      </c>
      <c r="I45" s="78">
        <f t="shared" ca="1" si="8"/>
        <v>-2.3457862699999998E-2</v>
      </c>
      <c r="J45" s="90">
        <f t="shared" ca="1" si="13"/>
        <v>11173562.16587159</v>
      </c>
      <c r="K45" s="58" t="str">
        <f ca="1">IFERROR(OFFSET(INDIRECT($H$3 &amp; "!A44"), 14, 0), "")</f>
        <v>썬더토큰</v>
      </c>
      <c r="L45" s="44">
        <f t="shared" ca="1" si="9"/>
        <v>8.3699999999999992</v>
      </c>
      <c r="M45" s="78">
        <f t="shared" ca="1" si="10"/>
        <v>-0.15879396979999999</v>
      </c>
      <c r="N45" s="90">
        <f t="shared" ca="1" si="14"/>
        <v>578964879.49176192</v>
      </c>
      <c r="O45" s="58" t="str">
        <f ca="1">IFERROR(OFFSET(INDIRECT($H$3 &amp; "!A71"), 14, 0), "")</f>
        <v>골렘</v>
      </c>
      <c r="P45" s="44">
        <f t="shared" ca="1" si="11"/>
        <v>301</v>
      </c>
      <c r="Q45" s="78">
        <f t="shared" ca="1" si="12"/>
        <v>-5.9374999999999997E-2</v>
      </c>
      <c r="R45" s="90">
        <f t="shared" ca="1" si="15"/>
        <v>4760061.3022985999</v>
      </c>
    </row>
    <row r="46" spans="1:18">
      <c r="A46" s="40" t="s">
        <v>151</v>
      </c>
      <c r="B46" s="11" t="s">
        <v>152</v>
      </c>
      <c r="C46" s="95">
        <v>17.2</v>
      </c>
      <c r="D46" s="92">
        <v>-4.9723756899999999E-2</v>
      </c>
      <c r="E46" s="93">
        <v>319501725.16470218</v>
      </c>
      <c r="F46" s="35"/>
      <c r="G46" s="56" t="str">
        <f ca="1">IFERROR(OFFSET(INDIRECT($H$3 &amp; "!A98"), 15, 0), "")</f>
        <v>헤데라해시그래프</v>
      </c>
      <c r="H46" s="39">
        <f t="shared" ca="1" si="7"/>
        <v>216</v>
      </c>
      <c r="I46" s="77">
        <f t="shared" ca="1" si="8"/>
        <v>-8.0851063799999998E-2</v>
      </c>
      <c r="J46" s="99">
        <f t="shared" ca="1" si="13"/>
        <v>22703050.638212848</v>
      </c>
      <c r="K46" s="56" t="str">
        <f ca="1">IFERROR(OFFSET(INDIRECT($H$3 &amp; "!A44"), 15, 0), "")</f>
        <v>메디블록</v>
      </c>
      <c r="L46" s="39">
        <f t="shared" ca="1" si="9"/>
        <v>53.3</v>
      </c>
      <c r="M46" s="77">
        <f t="shared" ca="1" si="10"/>
        <v>-0.1319218241</v>
      </c>
      <c r="N46" s="99">
        <f t="shared" ca="1" si="14"/>
        <v>1066013593.0098788</v>
      </c>
      <c r="O46" s="56" t="str">
        <f ca="1">IFERROR(OFFSET(INDIRECT($H$3 &amp; "!A71"), 15, 0), "")</f>
        <v>엘프</v>
      </c>
      <c r="P46" s="39">
        <f t="shared" ca="1" si="11"/>
        <v>237</v>
      </c>
      <c r="Q46" s="77">
        <f t="shared" ca="1" si="12"/>
        <v>-9.5419847299999999E-2</v>
      </c>
      <c r="R46" s="99">
        <f t="shared" ca="1" si="15"/>
        <v>11538212.68123243</v>
      </c>
    </row>
    <row r="47" spans="1:18">
      <c r="A47" s="40" t="s">
        <v>48</v>
      </c>
      <c r="B47" s="11" t="s">
        <v>49</v>
      </c>
      <c r="C47" s="95">
        <v>41418000</v>
      </c>
      <c r="D47" s="92">
        <v>-5.2176301000000001E-2</v>
      </c>
      <c r="E47" s="93">
        <v>14330.45574317</v>
      </c>
      <c r="F47" s="35"/>
      <c r="G47" s="56" t="str">
        <f ca="1">IFERROR(OFFSET(INDIRECT($H$3 &amp; "!A98"), 16, 0), "")</f>
        <v>스톰엑스</v>
      </c>
      <c r="H47" s="39">
        <f t="shared" ca="1" si="7"/>
        <v>24.2</v>
      </c>
      <c r="I47" s="77">
        <f t="shared" ca="1" si="8"/>
        <v>-6.5637065600000002E-2</v>
      </c>
      <c r="J47" s="86">
        <f t="shared" ca="1" si="13"/>
        <v>188651176.31373924</v>
      </c>
      <c r="K47" s="56" t="str">
        <f ca="1">IFERROR(OFFSET(INDIRECT($H$3 &amp; "!A44"), 16, 0), "")</f>
        <v>무비블록</v>
      </c>
      <c r="L47" s="39">
        <f t="shared" ca="1" si="9"/>
        <v>7.77</v>
      </c>
      <c r="M47" s="77">
        <f t="shared" ca="1" si="10"/>
        <v>-0.1328125</v>
      </c>
      <c r="N47" s="86">
        <f t="shared" ca="1" si="14"/>
        <v>1374643097.338558</v>
      </c>
      <c r="O47" s="56" t="str">
        <f ca="1">IFERROR(OFFSET(INDIRECT($H$3 &amp; "!A71"), 16, 0), "")</f>
        <v>파워렛저</v>
      </c>
      <c r="P47" s="39">
        <f t="shared" ca="1" si="11"/>
        <v>226</v>
      </c>
      <c r="Q47" s="77">
        <f t="shared" ca="1" si="12"/>
        <v>-9.6000000000000002E-2</v>
      </c>
      <c r="R47" s="86">
        <f t="shared" ca="1" si="15"/>
        <v>17507049.356700052</v>
      </c>
    </row>
    <row r="48" spans="1:18">
      <c r="A48" s="40" t="s">
        <v>68</v>
      </c>
      <c r="B48" s="11" t="s">
        <v>69</v>
      </c>
      <c r="C48" s="95">
        <v>4265</v>
      </c>
      <c r="D48" s="92">
        <v>-5.5370985599999999E-2</v>
      </c>
      <c r="E48" s="93">
        <v>1045259.07265367</v>
      </c>
      <c r="F48" s="35"/>
      <c r="G48" s="56" t="str">
        <f ca="1">IFERROR(OFFSET(INDIRECT($H$3 &amp; "!A98"), 17, 0), "")</f>
        <v>이더리움클래식</v>
      </c>
      <c r="H48" s="39">
        <f t="shared" ca="1" si="7"/>
        <v>64440</v>
      </c>
      <c r="I48" s="77">
        <f t="shared" ca="1" si="8"/>
        <v>-3.0831704000000001E-2</v>
      </c>
      <c r="J48" s="86">
        <f t="shared" ca="1" si="13"/>
        <v>3345649.6018456002</v>
      </c>
      <c r="K48" s="56" t="str">
        <f ca="1">IFERROR(OFFSET(INDIRECT($H$3 &amp; "!A44"), 17, 0), "")</f>
        <v>에브리피디아</v>
      </c>
      <c r="L48" s="39">
        <f t="shared" ca="1" si="9"/>
        <v>13.3</v>
      </c>
      <c r="M48" s="77">
        <f t="shared" ca="1" si="10"/>
        <v>-0.119205298</v>
      </c>
      <c r="N48" s="86">
        <f t="shared" ca="1" si="14"/>
        <v>529229709.01267904</v>
      </c>
      <c r="O48" s="56" t="str">
        <f ca="1">IFERROR(OFFSET(INDIRECT($H$3 &amp; "!A71"), 17, 0), "")</f>
        <v>스팀</v>
      </c>
      <c r="P48" s="39">
        <f t="shared" ca="1" si="11"/>
        <v>458</v>
      </c>
      <c r="Q48" s="77">
        <f t="shared" ca="1" si="12"/>
        <v>-0.13257575760000001</v>
      </c>
      <c r="R48" s="86">
        <f t="shared" ca="1" si="15"/>
        <v>22195367.789747909</v>
      </c>
    </row>
    <row r="49" spans="1:18">
      <c r="A49" s="40" t="s">
        <v>175</v>
      </c>
      <c r="B49" s="11" t="s">
        <v>176</v>
      </c>
      <c r="C49" s="95">
        <v>981</v>
      </c>
      <c r="D49" s="92">
        <v>-5.6730769200000003E-2</v>
      </c>
      <c r="E49" s="93">
        <v>5554939.7307762504</v>
      </c>
      <c r="F49" s="35"/>
      <c r="G49" s="56" t="str">
        <f ca="1">IFERROR(OFFSET(INDIRECT($H$3 &amp; "!A98"), 18, 0), "")</f>
        <v>온톨로지</v>
      </c>
      <c r="H49" s="39">
        <f t="shared" ca="1" si="7"/>
        <v>1040</v>
      </c>
      <c r="I49" s="77">
        <f t="shared" ca="1" si="8"/>
        <v>-4.1474654399999998E-2</v>
      </c>
      <c r="J49" s="86">
        <f t="shared" ca="1" si="13"/>
        <v>5343689.3847843101</v>
      </c>
      <c r="K49" s="56" t="str">
        <f ca="1">IFERROR(OFFSET(INDIRECT($H$3 &amp; "!A44"), 18, 0), "")</f>
        <v>엠블</v>
      </c>
      <c r="L49" s="39">
        <f t="shared" ca="1" si="9"/>
        <v>11</v>
      </c>
      <c r="M49" s="77">
        <f t="shared" ca="1" si="10"/>
        <v>-0.17293233080000001</v>
      </c>
      <c r="N49" s="86">
        <f t="shared" ca="1" si="14"/>
        <v>1061761129.2827902</v>
      </c>
      <c r="O49" s="56" t="str">
        <f ca="1">IFERROR(OFFSET(INDIRECT($H$3 &amp; "!A71"), 18, 0), "")</f>
        <v>휴먼스케이프</v>
      </c>
      <c r="P49" s="39">
        <f t="shared" ca="1" si="11"/>
        <v>90.1</v>
      </c>
      <c r="Q49" s="77">
        <f t="shared" ca="1" si="12"/>
        <v>-0.14190476190000001</v>
      </c>
      <c r="R49" s="86">
        <f t="shared" ca="1" si="15"/>
        <v>101190976.76356269</v>
      </c>
    </row>
    <row r="50" spans="1:18" ht="17.25" thickBot="1">
      <c r="A50" s="40" t="s">
        <v>159</v>
      </c>
      <c r="B50" s="11" t="s">
        <v>160</v>
      </c>
      <c r="C50" s="95">
        <v>1440</v>
      </c>
      <c r="D50" s="92">
        <v>-5.8823529399999998E-2</v>
      </c>
      <c r="E50" s="93">
        <v>10672695.2614825</v>
      </c>
      <c r="F50" s="35"/>
      <c r="G50" s="57" t="str">
        <f ca="1">IFERROR(OFFSET(INDIRECT($H$3 &amp; "!A98"), 19, 0), "")</f>
        <v>라이트코인</v>
      </c>
      <c r="H50" s="37">
        <f t="shared" ca="1" si="7"/>
        <v>188500</v>
      </c>
      <c r="I50" s="79">
        <f t="shared" ca="1" si="8"/>
        <v>-1.10178384E-2</v>
      </c>
      <c r="J50" s="87">
        <f t="shared" ca="1" si="13"/>
        <v>70595.486459039996</v>
      </c>
      <c r="K50" s="57" t="str">
        <f ca="1">IFERROR(OFFSET(INDIRECT($H$3 &amp; "!A44"), 19, 0), "")</f>
        <v>리퍼리움</v>
      </c>
      <c r="L50" s="37">
        <f t="shared" ca="1" si="9"/>
        <v>9.1199999999999992</v>
      </c>
      <c r="M50" s="79">
        <f t="shared" ca="1" si="10"/>
        <v>-0.2</v>
      </c>
      <c r="N50" s="87">
        <f t="shared" ca="1" si="14"/>
        <v>647800585.27374256</v>
      </c>
      <c r="O50" s="57" t="str">
        <f ca="1">IFERROR(OFFSET(INDIRECT($H$3 &amp; "!A71"), 19, 0), "")</f>
        <v>하이브</v>
      </c>
      <c r="P50" s="37">
        <f t="shared" ca="1" si="11"/>
        <v>380</v>
      </c>
      <c r="Q50" s="79">
        <f t="shared" ca="1" si="12"/>
        <v>-8.2125603899999997E-2</v>
      </c>
      <c r="R50" s="87">
        <f t="shared" ca="1" si="15"/>
        <v>7634595.8067973498</v>
      </c>
    </row>
    <row r="51" spans="1:18">
      <c r="A51" s="40" t="s">
        <v>269</v>
      </c>
      <c r="B51" s="11" t="s">
        <v>270</v>
      </c>
      <c r="C51" s="95">
        <v>301</v>
      </c>
      <c r="D51" s="92">
        <v>-5.9374999999999997E-2</v>
      </c>
      <c r="E51" s="93">
        <v>4760061.3022985999</v>
      </c>
      <c r="F51" s="35"/>
    </row>
    <row r="52" spans="1:18" ht="17.25" thickBot="1">
      <c r="A52" s="40" t="s">
        <v>177</v>
      </c>
      <c r="B52" s="11" t="s">
        <v>178</v>
      </c>
      <c r="C52" s="95">
        <v>21810</v>
      </c>
      <c r="D52" s="92">
        <v>-5.9913793100000001E-2</v>
      </c>
      <c r="E52" s="93">
        <v>166836.13320996001</v>
      </c>
      <c r="F52" s="35"/>
    </row>
    <row r="53" spans="1:18" ht="17.25" thickBot="1">
      <c r="A53" s="40" t="s">
        <v>219</v>
      </c>
      <c r="B53" s="11" t="s">
        <v>220</v>
      </c>
      <c r="C53" s="95">
        <v>10</v>
      </c>
      <c r="D53" s="92">
        <v>-6.5420560700000005E-2</v>
      </c>
      <c r="E53" s="93">
        <v>471894023.98040873</v>
      </c>
      <c r="F53" s="35"/>
      <c r="G53" s="234" t="s">
        <v>285</v>
      </c>
      <c r="H53" s="235"/>
      <c r="I53" s="235"/>
      <c r="J53" s="236"/>
      <c r="K53" s="234" t="s">
        <v>288</v>
      </c>
      <c r="L53" s="235"/>
      <c r="M53" s="235"/>
      <c r="N53" s="236"/>
      <c r="O53" s="234" t="s">
        <v>289</v>
      </c>
      <c r="P53" s="235"/>
      <c r="Q53" s="235"/>
      <c r="R53" s="236"/>
    </row>
    <row r="54" spans="1:18" ht="17.25" thickBot="1">
      <c r="A54" s="40" t="s">
        <v>125</v>
      </c>
      <c r="B54" s="11" t="s">
        <v>126</v>
      </c>
      <c r="C54" s="95">
        <v>24.2</v>
      </c>
      <c r="D54" s="92">
        <v>-6.5637065600000002E-2</v>
      </c>
      <c r="E54" s="93">
        <v>188651176.31373924</v>
      </c>
      <c r="F54" s="35"/>
      <c r="G54" s="271" t="s">
        <v>55</v>
      </c>
      <c r="H54" s="287">
        <f ca="1">NOW()</f>
        <v>44360.023360763887</v>
      </c>
      <c r="I54" s="288"/>
      <c r="J54" s="289"/>
      <c r="K54" s="286" t="s">
        <v>55</v>
      </c>
      <c r="L54" s="287">
        <f ca="1">NOW()</f>
        <v>44360.023360763887</v>
      </c>
      <c r="M54" s="288"/>
      <c r="N54" s="289"/>
      <c r="O54" s="286" t="s">
        <v>55</v>
      </c>
      <c r="P54" s="287">
        <f ca="1">NOW()</f>
        <v>44360.023360763887</v>
      </c>
      <c r="Q54" s="288"/>
      <c r="R54" s="289"/>
    </row>
    <row r="55" spans="1:18" ht="17.25" thickBot="1">
      <c r="A55" s="40" t="s">
        <v>139</v>
      </c>
      <c r="B55" s="11" t="s">
        <v>140</v>
      </c>
      <c r="C55" s="95">
        <v>1950</v>
      </c>
      <c r="D55" s="92">
        <v>-6.6985645900000002E-2</v>
      </c>
      <c r="E55" s="93">
        <v>1113612.6069737801</v>
      </c>
      <c r="F55" s="35"/>
      <c r="G55" s="279"/>
      <c r="H55" s="36" t="s">
        <v>58</v>
      </c>
      <c r="I55" s="73" t="s">
        <v>59</v>
      </c>
      <c r="J55" s="69" t="s">
        <v>294</v>
      </c>
      <c r="K55" s="279"/>
      <c r="L55" s="36" t="s">
        <v>58</v>
      </c>
      <c r="M55" s="73" t="s">
        <v>59</v>
      </c>
      <c r="N55" s="69" t="s">
        <v>294</v>
      </c>
      <c r="O55" s="279"/>
      <c r="P55" s="36" t="s">
        <v>58</v>
      </c>
      <c r="Q55" s="73" t="s">
        <v>59</v>
      </c>
      <c r="R55" s="69" t="s">
        <v>294</v>
      </c>
    </row>
    <row r="56" spans="1:18">
      <c r="A56" s="40" t="s">
        <v>107</v>
      </c>
      <c r="B56" s="11" t="s">
        <v>108</v>
      </c>
      <c r="C56" s="95">
        <v>28410</v>
      </c>
      <c r="D56" s="92">
        <v>-7.2780678900000007E-2</v>
      </c>
      <c r="E56" s="93">
        <v>364409.22926143999</v>
      </c>
      <c r="F56" s="35"/>
      <c r="G56" s="55" t="str">
        <f ca="1">IFERROR(OFFSET(INDIRECT($H$3 &amp; "!A179"), 0, 0), "")</f>
        <v>아하토큰</v>
      </c>
      <c r="H56" s="38">
        <f t="shared" ref="H56:H65" ca="1" si="16">_xlfn.IFNA(VLOOKUP(G56, $B$2:$D$200, 2, FALSE), "")</f>
        <v>8.2100000000000009</v>
      </c>
      <c r="I56" s="76">
        <f t="shared" ref="I56:I65" ca="1" si="17">_xlfn.IFNA(VLOOKUP(G56, $B$2:$D$200, 3, FALSE), "")</f>
        <v>-0.18712871289999999</v>
      </c>
      <c r="J56" s="85">
        <f ca="1">_xlfn.IFNA(VLOOKUP(G56, $B$2:$E$200, 4, FALSE), "")</f>
        <v>543458466.00307095</v>
      </c>
      <c r="K56" s="55" t="str">
        <f ca="1">IFERROR(OFFSET(INDIRECT($H$3 &amp; "!A125"), 0, 0), "")</f>
        <v>스테이터스네트워크토큰</v>
      </c>
      <c r="L56" s="38">
        <f t="shared" ref="L56:L75" ca="1" si="18">_xlfn.IFNA(VLOOKUP(K56, $B$2:$D$200, 2, FALSE), "")</f>
        <v>80.8</v>
      </c>
      <c r="M56" s="76">
        <f t="shared" ref="M56:M75" ca="1" si="19">_xlfn.IFNA(VLOOKUP(K56, $B$2:$D$200, 3, FALSE), "")</f>
        <v>-8.7005649700000007E-2</v>
      </c>
      <c r="N56" s="85">
        <f ca="1">_xlfn.IFNA(VLOOKUP(K56, $B$2:$E$200, 4, FALSE), "")</f>
        <v>86148365.364008129</v>
      </c>
      <c r="O56" s="55" t="str">
        <f ca="1">IFERROR(OFFSET(INDIRECT($H$3 &amp; "!A152"), 0, 0), "")</f>
        <v>하이브</v>
      </c>
      <c r="P56" s="38">
        <f t="shared" ref="P56:P75" ca="1" si="20">_xlfn.IFNA(VLOOKUP(O56, $B$2:$D$200, 2, FALSE), "")</f>
        <v>380</v>
      </c>
      <c r="Q56" s="76">
        <f t="shared" ref="Q56:Q75" ca="1" si="21">_xlfn.IFNA(VLOOKUP(O56, $B$2:$D$200, 3, FALSE), "")</f>
        <v>-8.2125603899999997E-2</v>
      </c>
      <c r="R56" s="85">
        <f ca="1">_xlfn.IFNA(VLOOKUP(O56, $B$2:$E$200, 4, FALSE), "")</f>
        <v>7634595.8067973498</v>
      </c>
    </row>
    <row r="57" spans="1:18">
      <c r="A57" s="40" t="s">
        <v>271</v>
      </c>
      <c r="B57" s="11" t="s">
        <v>272</v>
      </c>
      <c r="C57" s="95">
        <v>1190</v>
      </c>
      <c r="D57" s="92">
        <v>-7.3929961099999997E-2</v>
      </c>
      <c r="E57" s="93">
        <v>2095176.77376776</v>
      </c>
      <c r="F57" s="35"/>
      <c r="G57" s="56" t="str">
        <f ca="1">IFERROR(OFFSET(INDIRECT($H$3 &amp; "!A179"), 1, 0), "")</f>
        <v>헌트</v>
      </c>
      <c r="H57" s="39">
        <f t="shared" ca="1" si="16"/>
        <v>236</v>
      </c>
      <c r="I57" s="77">
        <f t="shared" ca="1" si="17"/>
        <v>-9.9236641200000003E-2</v>
      </c>
      <c r="J57" s="86">
        <f t="shared" ref="J57:J75" ca="1" si="22">_xlfn.IFNA(VLOOKUP(G57, $B$2:$E$200, 4, FALSE), "")</f>
        <v>90943530.361612573</v>
      </c>
      <c r="K57" s="56" t="str">
        <f ca="1">IFERROR(OFFSET(INDIRECT($H$3 &amp; "!A125"), 1, 0), "")</f>
        <v>시아코인</v>
      </c>
      <c r="L57" s="39">
        <f t="shared" ca="1" si="18"/>
        <v>17.2</v>
      </c>
      <c r="M57" s="77">
        <f t="shared" ca="1" si="19"/>
        <v>-4.9723756899999999E-2</v>
      </c>
      <c r="N57" s="86">
        <f t="shared" ref="N57:N75" ca="1" si="23">_xlfn.IFNA(VLOOKUP(K57, $B$2:$E$200, 4, FALSE), "")</f>
        <v>319501725.16470218</v>
      </c>
      <c r="O57" s="56" t="str">
        <f ca="1">IFERROR(OFFSET(INDIRECT($H$3 &amp; "!A152"), 1, 0), "")</f>
        <v>그로스톨코인</v>
      </c>
      <c r="P57" s="39">
        <f t="shared" ca="1" si="20"/>
        <v>903</v>
      </c>
      <c r="Q57" s="77">
        <f t="shared" ca="1" si="21"/>
        <v>1.4606741600000001E-2</v>
      </c>
      <c r="R57" s="86">
        <f t="shared" ref="R57:R75" ca="1" si="24">_xlfn.IFNA(VLOOKUP(O57, $B$2:$E$200, 4, FALSE), "")</f>
        <v>46918004.073286258</v>
      </c>
    </row>
    <row r="58" spans="1:18">
      <c r="A58" s="40" t="s">
        <v>283</v>
      </c>
      <c r="B58" s="11" t="s">
        <v>284</v>
      </c>
      <c r="C58" s="95">
        <v>197</v>
      </c>
      <c r="D58" s="92">
        <v>-7.5117370899999994E-2</v>
      </c>
      <c r="E58" s="93">
        <v>14503789.256874951</v>
      </c>
      <c r="F58" s="35"/>
      <c r="G58" s="56" t="str">
        <f ca="1">IFERROR(OFFSET(INDIRECT($H$3 &amp; "!A179"), 2, 0), "")</f>
        <v>스트라이크</v>
      </c>
      <c r="H58" s="39">
        <f t="shared" ca="1" si="16"/>
        <v>46880</v>
      </c>
      <c r="I58" s="77">
        <f t="shared" ca="1" si="17"/>
        <v>-9.9673516399999995E-2</v>
      </c>
      <c r="J58" s="86">
        <f t="shared" ca="1" si="22"/>
        <v>346684.68180953001</v>
      </c>
      <c r="K58" s="56" t="str">
        <f ca="1">IFERROR(OFFSET(INDIRECT($H$3 &amp; "!A125"), 2, 0), "")</f>
        <v>메인프레임</v>
      </c>
      <c r="L58" s="39">
        <f t="shared" ca="1" si="18"/>
        <v>10</v>
      </c>
      <c r="M58" s="77">
        <f t="shared" ca="1" si="19"/>
        <v>-6.5420560700000005E-2</v>
      </c>
      <c r="N58" s="86">
        <f t="shared" ca="1" si="23"/>
        <v>471894023.98040873</v>
      </c>
      <c r="O58" s="56" t="str">
        <f ca="1">IFERROR(OFFSET(INDIRECT($H$3 &amp; "!A152"), 2, 0), "")</f>
        <v>메타디움</v>
      </c>
      <c r="P58" s="39">
        <f t="shared" ca="1" si="20"/>
        <v>88.6</v>
      </c>
      <c r="Q58" s="77">
        <f t="shared" ca="1" si="21"/>
        <v>-0.15619047620000001</v>
      </c>
      <c r="R58" s="86">
        <f t="shared" ca="1" si="24"/>
        <v>200100102.25465202</v>
      </c>
    </row>
    <row r="59" spans="1:18">
      <c r="A59" s="40" t="s">
        <v>259</v>
      </c>
      <c r="B59" s="11" t="s">
        <v>260</v>
      </c>
      <c r="C59" s="95">
        <v>56.4</v>
      </c>
      <c r="D59" s="92">
        <v>-7.5409836100000002E-2</v>
      </c>
      <c r="E59" s="93">
        <v>2890278313.8215208</v>
      </c>
      <c r="F59" s="35"/>
      <c r="G59" s="56" t="str">
        <f ca="1">IFERROR(OFFSET(INDIRECT($H$3 &amp; "!A179"), 3, 0), "")</f>
        <v>피르마체인</v>
      </c>
      <c r="H59" s="39">
        <f t="shared" ca="1" si="16"/>
        <v>85.2</v>
      </c>
      <c r="I59" s="77">
        <f t="shared" ca="1" si="17"/>
        <v>-0.1962264151</v>
      </c>
      <c r="J59" s="86">
        <f t="shared" ca="1" si="22"/>
        <v>91920990.523646533</v>
      </c>
      <c r="K59" s="56" t="str">
        <f ca="1">IFERROR(OFFSET(INDIRECT($H$3 &amp; "!A125"), 3, 0), "")</f>
        <v>썸씽</v>
      </c>
      <c r="L59" s="39">
        <f t="shared" ca="1" si="18"/>
        <v>56.4</v>
      </c>
      <c r="M59" s="77">
        <f t="shared" ca="1" si="19"/>
        <v>-7.5409836100000002E-2</v>
      </c>
      <c r="N59" s="86">
        <f t="shared" ca="1" si="23"/>
        <v>2890278313.8215208</v>
      </c>
      <c r="O59" s="56" t="str">
        <f ca="1">IFERROR(OFFSET(INDIRECT($H$3 &amp; "!A152"), 3, 0), "")</f>
        <v>아더</v>
      </c>
      <c r="P59" s="39">
        <f t="shared" ca="1" si="20"/>
        <v>197</v>
      </c>
      <c r="Q59" s="77">
        <f t="shared" ca="1" si="21"/>
        <v>-7.5117370899999994E-2</v>
      </c>
      <c r="R59" s="86">
        <f t="shared" ca="1" si="24"/>
        <v>14503789.256874951</v>
      </c>
    </row>
    <row r="60" spans="1:18">
      <c r="A60" s="40" t="s">
        <v>133</v>
      </c>
      <c r="B60" s="11" t="s">
        <v>134</v>
      </c>
      <c r="C60" s="95">
        <v>77.7</v>
      </c>
      <c r="D60" s="92">
        <v>-7.9383886299999998E-2</v>
      </c>
      <c r="E60" s="93">
        <v>116380264.99760117</v>
      </c>
      <c r="F60" s="35"/>
      <c r="G60" s="56" t="str">
        <f ca="1">IFERROR(OFFSET(INDIRECT($H$3 &amp; "!A179"), 4, 0), "")</f>
        <v>디카르고</v>
      </c>
      <c r="H60" s="39">
        <f t="shared" ca="1" si="16"/>
        <v>132</v>
      </c>
      <c r="I60" s="77">
        <f t="shared" ca="1" si="17"/>
        <v>-0.14838709680000001</v>
      </c>
      <c r="J60" s="90">
        <f t="shared" ca="1" si="22"/>
        <v>191172127.73086083</v>
      </c>
      <c r="K60" s="58" t="str">
        <f ca="1">IFERROR(OFFSET(INDIRECT($H$3 &amp; "!A125"), 4, 0), "")</f>
        <v>캐리프로토콜</v>
      </c>
      <c r="L60" s="44">
        <f t="shared" ca="1" si="18"/>
        <v>8.5</v>
      </c>
      <c r="M60" s="78">
        <f t="shared" ca="1" si="19"/>
        <v>-0.1584158416</v>
      </c>
      <c r="N60" s="90">
        <f t="shared" ca="1" si="23"/>
        <v>905743115.75887871</v>
      </c>
      <c r="O60" s="58" t="str">
        <f ca="1">IFERROR(OFFSET(INDIRECT($H$3 &amp; "!A152"), 4, 0), "")</f>
        <v>센티넬프로토콜</v>
      </c>
      <c r="P60" s="44">
        <f t="shared" ca="1" si="20"/>
        <v>85.7</v>
      </c>
      <c r="Q60" s="78">
        <f t="shared" ca="1" si="21"/>
        <v>-0.167961165</v>
      </c>
      <c r="R60" s="90">
        <f t="shared" ca="1" si="24"/>
        <v>125945292.08821125</v>
      </c>
    </row>
    <row r="61" spans="1:18">
      <c r="A61" s="40" t="s">
        <v>53</v>
      </c>
      <c r="B61" s="11" t="s">
        <v>54</v>
      </c>
      <c r="C61" s="95">
        <v>216</v>
      </c>
      <c r="D61" s="92">
        <v>-8.0851063799999998E-2</v>
      </c>
      <c r="E61" s="93">
        <v>22703050.638212848</v>
      </c>
      <c r="F61" s="35"/>
      <c r="G61" s="60" t="str">
        <f ca="1">IFERROR(OFFSET(INDIRECT($H$3 &amp; "!A179"), 5, 0), "")</f>
        <v>코모도</v>
      </c>
      <c r="H61" s="45">
        <f t="shared" ca="1" si="16"/>
        <v>1250</v>
      </c>
      <c r="I61" s="80">
        <f t="shared" ca="1" si="17"/>
        <v>-8.4249084200000005E-2</v>
      </c>
      <c r="J61" s="99">
        <f t="shared" ca="1" si="22"/>
        <v>5234935.1874830201</v>
      </c>
      <c r="K61" s="56" t="str">
        <f ca="1">IFERROR(OFFSET(INDIRECT($H$3 &amp; "!A125"), 5, 0), "")</f>
        <v>썬더토큰</v>
      </c>
      <c r="L61" s="39">
        <f t="shared" ca="1" si="18"/>
        <v>8.3699999999999992</v>
      </c>
      <c r="M61" s="77">
        <f t="shared" ca="1" si="19"/>
        <v>-0.15879396979999999</v>
      </c>
      <c r="N61" s="99">
        <f t="shared" ca="1" si="23"/>
        <v>578964879.49176192</v>
      </c>
      <c r="O61" s="56" t="str">
        <f ca="1">IFERROR(OFFSET(INDIRECT($H$3 &amp; "!A152"), 5, 0), "")</f>
        <v>애드엑스</v>
      </c>
      <c r="P61" s="39">
        <f t="shared" ca="1" si="20"/>
        <v>810</v>
      </c>
      <c r="Q61" s="77">
        <f t="shared" ca="1" si="21"/>
        <v>-0.1553701773</v>
      </c>
      <c r="R61" s="99">
        <f t="shared" ca="1" si="24"/>
        <v>2068438.27768473</v>
      </c>
    </row>
    <row r="62" spans="1:18">
      <c r="A62" s="40" t="s">
        <v>257</v>
      </c>
      <c r="B62" s="11" t="s">
        <v>258</v>
      </c>
      <c r="C62" s="95">
        <v>380</v>
      </c>
      <c r="D62" s="92">
        <v>-8.2125603899999997E-2</v>
      </c>
      <c r="E62" s="93">
        <v>7634595.8067973498</v>
      </c>
      <c r="F62" s="35"/>
      <c r="G62" s="56" t="str">
        <f ca="1">IFERROR(OFFSET(INDIRECT($H$3 &amp; "!A179"), 6, 0), "")</f>
        <v>보라</v>
      </c>
      <c r="H62" s="39">
        <f t="shared" ca="1" si="16"/>
        <v>115</v>
      </c>
      <c r="I62" s="77">
        <f t="shared" ca="1" si="17"/>
        <v>-0.1958041958</v>
      </c>
      <c r="J62" s="86">
        <f t="shared" ca="1" si="22"/>
        <v>116266251.15430224</v>
      </c>
      <c r="K62" s="56" t="str">
        <f ca="1">IFERROR(OFFSET(INDIRECT($H$3 &amp; "!A125"), 6, 0), "")</f>
        <v>메디블록</v>
      </c>
      <c r="L62" s="39">
        <f t="shared" ca="1" si="18"/>
        <v>53.3</v>
      </c>
      <c r="M62" s="77">
        <f t="shared" ca="1" si="19"/>
        <v>-0.1319218241</v>
      </c>
      <c r="N62" s="86">
        <f t="shared" ca="1" si="23"/>
        <v>1066013593.0098788</v>
      </c>
      <c r="O62" s="56" t="str">
        <f ca="1">IFERROR(OFFSET(INDIRECT($H$3 &amp; "!A152"), 6, 0), "")</f>
        <v>쎄타퓨엘</v>
      </c>
      <c r="P62" s="39">
        <f t="shared" ca="1" si="20"/>
        <v>525</v>
      </c>
      <c r="Q62" s="77">
        <f t="shared" ca="1" si="21"/>
        <v>-2.41635688E-2</v>
      </c>
      <c r="R62" s="86">
        <f t="shared" ca="1" si="24"/>
        <v>168961253.33321571</v>
      </c>
    </row>
    <row r="63" spans="1:18">
      <c r="A63" s="40" t="s">
        <v>243</v>
      </c>
      <c r="B63" s="11" t="s">
        <v>244</v>
      </c>
      <c r="C63" s="95">
        <v>1475</v>
      </c>
      <c r="D63" s="92">
        <v>-8.3850931700000006E-2</v>
      </c>
      <c r="E63" s="93">
        <v>4496175.4309606999</v>
      </c>
      <c r="F63" s="35"/>
      <c r="G63" s="56" t="str">
        <f ca="1">IFERROR(OFFSET(INDIRECT($H$3 &amp; "!A179"), 7, 0), "")</f>
        <v>람다</v>
      </c>
      <c r="H63" s="39">
        <f t="shared" ca="1" si="16"/>
        <v>31.9</v>
      </c>
      <c r="I63" s="77">
        <f t="shared" ca="1" si="17"/>
        <v>-0.16927083330000001</v>
      </c>
      <c r="J63" s="86">
        <f t="shared" ca="1" si="22"/>
        <v>594412351.48614883</v>
      </c>
      <c r="K63" s="56" t="str">
        <f ca="1">IFERROR(OFFSET(INDIRECT($H$3 &amp; "!A125"), 7, 0), "")</f>
        <v>무비블록</v>
      </c>
      <c r="L63" s="39">
        <f t="shared" ca="1" si="18"/>
        <v>7.77</v>
      </c>
      <c r="M63" s="77">
        <f t="shared" ca="1" si="19"/>
        <v>-0.1328125</v>
      </c>
      <c r="N63" s="86">
        <f t="shared" ca="1" si="23"/>
        <v>1374643097.338558</v>
      </c>
      <c r="O63" s="56" t="str">
        <f ca="1">IFERROR(OFFSET(INDIRECT($H$3 &amp; "!A152"), 7, 0), "")</f>
        <v>폴리매쓰</v>
      </c>
      <c r="P63" s="39">
        <f t="shared" ca="1" si="20"/>
        <v>231</v>
      </c>
      <c r="Q63" s="77">
        <f t="shared" ca="1" si="21"/>
        <v>-8.6956521699999997E-2</v>
      </c>
      <c r="R63" s="86">
        <f t="shared" ca="1" si="24"/>
        <v>93541915.398542032</v>
      </c>
    </row>
    <row r="64" spans="1:18">
      <c r="A64" s="40" t="s">
        <v>247</v>
      </c>
      <c r="B64" s="11" t="s">
        <v>248</v>
      </c>
      <c r="C64" s="95">
        <v>1250</v>
      </c>
      <c r="D64" s="92">
        <v>-8.4249084200000005E-2</v>
      </c>
      <c r="E64" s="93">
        <v>5234935.1874830201</v>
      </c>
      <c r="F64" s="35"/>
      <c r="G64" s="56" t="str">
        <f ca="1">IFERROR(OFFSET(INDIRECT($H$3 &amp; "!A179"), 8, 0), "")</f>
        <v>솔브케어</v>
      </c>
      <c r="H64" s="39">
        <f t="shared" ca="1" si="16"/>
        <v>88</v>
      </c>
      <c r="I64" s="77">
        <f t="shared" ca="1" si="17"/>
        <v>-0.18518518519999999</v>
      </c>
      <c r="J64" s="86">
        <f t="shared" ca="1" si="22"/>
        <v>77662002.41041781</v>
      </c>
      <c r="K64" s="56" t="str">
        <f ca="1">IFERROR(OFFSET(INDIRECT($H$3 &amp; "!A125"), 8, 0), "")</f>
        <v>에브리피디아</v>
      </c>
      <c r="L64" s="39">
        <f t="shared" ca="1" si="18"/>
        <v>13.3</v>
      </c>
      <c r="M64" s="77">
        <f t="shared" ca="1" si="19"/>
        <v>-0.119205298</v>
      </c>
      <c r="N64" s="86">
        <f t="shared" ca="1" si="23"/>
        <v>529229709.01267904</v>
      </c>
      <c r="O64" s="56" t="str">
        <f ca="1">IFERROR(OFFSET(INDIRECT($H$3 &amp; "!A152"), 8, 0), "")</f>
        <v>플레이댑</v>
      </c>
      <c r="P64" s="39">
        <f t="shared" ca="1" si="20"/>
        <v>200</v>
      </c>
      <c r="Q64" s="77">
        <f t="shared" ca="1" si="21"/>
        <v>-0.1902834008</v>
      </c>
      <c r="R64" s="86">
        <f t="shared" ca="1" si="24"/>
        <v>25495072.058842361</v>
      </c>
    </row>
    <row r="65" spans="1:18" ht="17.25" thickBot="1">
      <c r="A65" s="40" t="s">
        <v>215</v>
      </c>
      <c r="B65" s="11" t="s">
        <v>216</v>
      </c>
      <c r="C65" s="95">
        <v>231</v>
      </c>
      <c r="D65" s="92">
        <v>-8.6956521699999997E-2</v>
      </c>
      <c r="E65" s="93">
        <v>93541915.398542032</v>
      </c>
      <c r="F65" s="35"/>
      <c r="G65" s="57" t="str">
        <f ca="1">IFERROR(OFFSET(INDIRECT($H$3 &amp; "!A179"), 9, 0), "")</f>
        <v>이그니스</v>
      </c>
      <c r="H65" s="37">
        <f t="shared" ca="1" si="16"/>
        <v>55.9</v>
      </c>
      <c r="I65" s="79">
        <f t="shared" ca="1" si="17"/>
        <v>-0.1693907875</v>
      </c>
      <c r="J65" s="87">
        <f t="shared" ca="1" si="22"/>
        <v>59616647.661793917</v>
      </c>
      <c r="K65" s="57" t="str">
        <f ca="1">IFERROR(OFFSET(INDIRECT($H$3 &amp; "!A125"), 9, 0), "")</f>
        <v>엠블</v>
      </c>
      <c r="L65" s="37">
        <f t="shared" ca="1" si="18"/>
        <v>11</v>
      </c>
      <c r="M65" s="79">
        <f t="shared" ca="1" si="19"/>
        <v>-0.17293233080000001</v>
      </c>
      <c r="N65" s="87">
        <f t="shared" ca="1" si="23"/>
        <v>1061761129.2827902</v>
      </c>
      <c r="O65" s="57" t="str">
        <f ca="1">IFERROR(OFFSET(INDIRECT($H$3 &amp; "!A152"), 9, 0), "")</f>
        <v>모스코인</v>
      </c>
      <c r="P65" s="37">
        <f t="shared" ca="1" si="20"/>
        <v>84.6</v>
      </c>
      <c r="Q65" s="79">
        <f t="shared" ca="1" si="21"/>
        <v>-0.1865384615</v>
      </c>
      <c r="R65" s="87">
        <f t="shared" ca="1" si="24"/>
        <v>101030419.7540309</v>
      </c>
    </row>
    <row r="66" spans="1:18">
      <c r="A66" s="40" t="s">
        <v>167</v>
      </c>
      <c r="B66" s="11" t="s">
        <v>168</v>
      </c>
      <c r="C66" s="95">
        <v>80.8</v>
      </c>
      <c r="D66" s="92">
        <v>-8.7005649700000007E-2</v>
      </c>
      <c r="E66" s="93">
        <v>86148365.364008129</v>
      </c>
      <c r="F66" s="35"/>
      <c r="G66" s="56" t="str">
        <f ca="1">IFERROR(OFFSET(INDIRECT($H$3 &amp; "!A179"), 10, 0), "")</f>
        <v>페이코인</v>
      </c>
      <c r="H66" s="38">
        <f t="shared" ref="H66:H75" ca="1" si="25">_xlfn.IFNA(VLOOKUP(G66, $B$2:$D$200, 2, FALSE), "")</f>
        <v>535</v>
      </c>
      <c r="I66" s="76">
        <f t="shared" ref="I66:I75" ca="1" si="26">_xlfn.IFNA(VLOOKUP(G66, $B$2:$D$200, 3, FALSE), "")</f>
        <v>-0.2464788732</v>
      </c>
      <c r="J66" s="85">
        <f t="shared" ca="1" si="22"/>
        <v>53209625.387586713</v>
      </c>
      <c r="K66" s="55" t="str">
        <f ca="1">IFERROR(OFFSET(INDIRECT($H$3 &amp; "!A125"), 10, 0), "")</f>
        <v>리퍼리움</v>
      </c>
      <c r="L66" s="38">
        <f t="shared" ca="1" si="18"/>
        <v>9.1199999999999992</v>
      </c>
      <c r="M66" s="76">
        <f t="shared" ca="1" si="19"/>
        <v>-0.2</v>
      </c>
      <c r="N66" s="85">
        <f t="shared" ca="1" si="23"/>
        <v>647800585.27374256</v>
      </c>
      <c r="O66" s="55" t="str">
        <f ca="1">IFERROR(OFFSET(INDIRECT($H$3 &amp; "!A152"), 10, 0), "")</f>
        <v>아르고</v>
      </c>
      <c r="P66" s="38">
        <f t="shared" ca="1" si="20"/>
        <v>151</v>
      </c>
      <c r="Q66" s="76">
        <f t="shared" ca="1" si="21"/>
        <v>-0.12716763010000001</v>
      </c>
      <c r="R66" s="85">
        <f t="shared" ca="1" si="24"/>
        <v>19821432.373906661</v>
      </c>
    </row>
    <row r="67" spans="1:18">
      <c r="A67" s="40" t="s">
        <v>205</v>
      </c>
      <c r="B67" s="11" t="s">
        <v>206</v>
      </c>
      <c r="C67" s="95">
        <v>13780</v>
      </c>
      <c r="D67" s="92">
        <v>-9.1628213599999994E-2</v>
      </c>
      <c r="E67" s="93">
        <v>411900.21245757001</v>
      </c>
      <c r="F67" s="35"/>
      <c r="G67" s="56" t="str">
        <f ca="1">IFERROR(OFFSET(INDIRECT($H$3 &amp; "!A179"), 11, 0), "")</f>
        <v>엘비알와이크레딧</v>
      </c>
      <c r="H67" s="39">
        <f t="shared" ca="1" si="25"/>
        <v>58.8</v>
      </c>
      <c r="I67" s="77">
        <f t="shared" ca="1" si="26"/>
        <v>-0.1978171896</v>
      </c>
      <c r="J67" s="86">
        <f t="shared" ca="1" si="22"/>
        <v>76048617.269793794</v>
      </c>
      <c r="K67" s="56" t="str">
        <f ca="1">IFERROR(OFFSET(INDIRECT($H$3 &amp; "!A125"), 11, 0), "")</f>
        <v>아하토큰</v>
      </c>
      <c r="L67" s="39">
        <f t="shared" ca="1" si="18"/>
        <v>8.2100000000000009</v>
      </c>
      <c r="M67" s="77">
        <f t="shared" ca="1" si="19"/>
        <v>-0.18712871289999999</v>
      </c>
      <c r="N67" s="86">
        <f t="shared" ca="1" si="23"/>
        <v>543458466.00307095</v>
      </c>
      <c r="O67" s="56" t="str">
        <f ca="1">IFERROR(OFFSET(INDIRECT($H$3 &amp; "!A152"), 11, 0), "")</f>
        <v>헌트</v>
      </c>
      <c r="P67" s="39">
        <f t="shared" ca="1" si="20"/>
        <v>236</v>
      </c>
      <c r="Q67" s="77">
        <f t="shared" ca="1" si="21"/>
        <v>-9.9236641200000003E-2</v>
      </c>
      <c r="R67" s="86">
        <f t="shared" ca="1" si="24"/>
        <v>90943530.361612573</v>
      </c>
    </row>
    <row r="68" spans="1:18">
      <c r="A68" s="40" t="s">
        <v>169</v>
      </c>
      <c r="B68" s="11" t="s">
        <v>170</v>
      </c>
      <c r="C68" s="95">
        <v>237</v>
      </c>
      <c r="D68" s="92">
        <v>-9.5419847299999999E-2</v>
      </c>
      <c r="E68" s="93">
        <v>11538212.68123243</v>
      </c>
      <c r="F68" s="35"/>
      <c r="G68" s="56" t="str">
        <f ca="1">IFERROR(OFFSET(INDIRECT($H$3 &amp; "!A179"), 12, 0), "")</f>
        <v>디마켓</v>
      </c>
      <c r="H68" s="39">
        <f t="shared" ca="1" si="25"/>
        <v>313</v>
      </c>
      <c r="I68" s="77">
        <f t="shared" ca="1" si="26"/>
        <v>-0.2918552036</v>
      </c>
      <c r="J68" s="86">
        <f t="shared" ca="1" si="22"/>
        <v>14352257.71735934</v>
      </c>
      <c r="K68" s="56" t="str">
        <f ca="1">IFERROR(OFFSET(INDIRECT($H$3 &amp; "!A125"), 12, 0), "")</f>
        <v>람다</v>
      </c>
      <c r="L68" s="39">
        <f t="shared" ca="1" si="18"/>
        <v>31.9</v>
      </c>
      <c r="M68" s="77">
        <f t="shared" ca="1" si="19"/>
        <v>-0.16927083330000001</v>
      </c>
      <c r="N68" s="86">
        <f t="shared" ca="1" si="23"/>
        <v>594412351.48614883</v>
      </c>
      <c r="O68" s="56" t="str">
        <f ca="1">IFERROR(OFFSET(INDIRECT($H$3 &amp; "!A152"), 12, 0), "")</f>
        <v>피르마체인</v>
      </c>
      <c r="P68" s="39">
        <f t="shared" ca="1" si="20"/>
        <v>85.2</v>
      </c>
      <c r="Q68" s="77">
        <f t="shared" ca="1" si="21"/>
        <v>-0.1962264151</v>
      </c>
      <c r="R68" s="86">
        <f t="shared" ca="1" si="24"/>
        <v>91920990.523646533</v>
      </c>
    </row>
    <row r="69" spans="1:18">
      <c r="A69" s="40" t="s">
        <v>191</v>
      </c>
      <c r="B69" s="11" t="s">
        <v>192</v>
      </c>
      <c r="C69" s="95">
        <v>909</v>
      </c>
      <c r="D69" s="92">
        <v>-9.5522388099999994E-2</v>
      </c>
      <c r="E69" s="93">
        <v>10911538.376939099</v>
      </c>
      <c r="F69" s="35"/>
      <c r="G69" s="56" t="str">
        <f ca="1">IFERROR(OFFSET(INDIRECT($H$3 &amp; "!A179"), 13, 0), "")</f>
        <v>마로</v>
      </c>
      <c r="H69" s="39">
        <f t="shared" ca="1" si="25"/>
        <v>103</v>
      </c>
      <c r="I69" s="77">
        <f t="shared" ca="1" si="26"/>
        <v>-0.30872483220000002</v>
      </c>
      <c r="J69" s="86">
        <f t="shared" ca="1" si="22"/>
        <v>335619774.10546684</v>
      </c>
      <c r="K69" s="56" t="str">
        <f ca="1">IFERROR(OFFSET(INDIRECT($H$3 &amp; "!A125"), 13, 0), "")</f>
        <v>이그니스</v>
      </c>
      <c r="L69" s="39">
        <f t="shared" ca="1" si="18"/>
        <v>55.9</v>
      </c>
      <c r="M69" s="77">
        <f t="shared" ca="1" si="19"/>
        <v>-0.1693907875</v>
      </c>
      <c r="N69" s="86">
        <f t="shared" ca="1" si="23"/>
        <v>59616647.661793917</v>
      </c>
      <c r="O69" s="56" t="str">
        <f ca="1">IFERROR(OFFSET(INDIRECT($H$3 &amp; "!A152"), 13, 0), "")</f>
        <v>디카르고</v>
      </c>
      <c r="P69" s="39">
        <f t="shared" ca="1" si="20"/>
        <v>132</v>
      </c>
      <c r="Q69" s="77">
        <f t="shared" ca="1" si="21"/>
        <v>-0.14838709680000001</v>
      </c>
      <c r="R69" s="86">
        <f t="shared" ca="1" si="24"/>
        <v>191172127.73086083</v>
      </c>
    </row>
    <row r="70" spans="1:18">
      <c r="A70" s="40" t="s">
        <v>181</v>
      </c>
      <c r="B70" s="11" t="s">
        <v>182</v>
      </c>
      <c r="C70" s="95">
        <v>226</v>
      </c>
      <c r="D70" s="92">
        <v>-9.6000000000000002E-2</v>
      </c>
      <c r="E70" s="93">
        <v>17507049.356700052</v>
      </c>
      <c r="F70" s="35"/>
      <c r="G70" s="56" t="str">
        <f ca="1">IFERROR(OFFSET(INDIRECT($H$3 &amp; "!A179"), 14, 0), "")</f>
        <v>엔도르</v>
      </c>
      <c r="H70" s="39">
        <f t="shared" ca="1" si="25"/>
        <v>21.8</v>
      </c>
      <c r="I70" s="77">
        <f t="shared" ca="1" si="26"/>
        <v>-0.31230283910000001</v>
      </c>
      <c r="J70" s="90">
        <f t="shared" ca="1" si="22"/>
        <v>822917661.12192822</v>
      </c>
      <c r="K70" s="58" t="str">
        <f ca="1">IFERROR(OFFSET(INDIRECT($H$3 &amp; "!A125"), 14, 0), "")</f>
        <v>엘비알와이크레딧</v>
      </c>
      <c r="L70" s="44">
        <f t="shared" ca="1" si="18"/>
        <v>58.8</v>
      </c>
      <c r="M70" s="78">
        <f t="shared" ca="1" si="19"/>
        <v>-0.1978171896</v>
      </c>
      <c r="N70" s="90">
        <f t="shared" ca="1" si="23"/>
        <v>76048617.269793794</v>
      </c>
      <c r="O70" s="58" t="str">
        <f ca="1">IFERROR(OFFSET(INDIRECT($H$3 &amp; "!A152"), 14, 0), "")</f>
        <v>보라</v>
      </c>
      <c r="P70" s="44">
        <f t="shared" ca="1" si="20"/>
        <v>115</v>
      </c>
      <c r="Q70" s="78">
        <f t="shared" ca="1" si="21"/>
        <v>-0.1958041958</v>
      </c>
      <c r="R70" s="90">
        <f t="shared" ca="1" si="24"/>
        <v>116266251.15430224</v>
      </c>
    </row>
    <row r="71" spans="1:18">
      <c r="A71" s="40" t="s">
        <v>255</v>
      </c>
      <c r="B71" s="11" t="s">
        <v>256</v>
      </c>
      <c r="C71" s="95">
        <v>138</v>
      </c>
      <c r="D71" s="92">
        <v>-9.8039215700000001E-2</v>
      </c>
      <c r="E71" s="93">
        <v>10860603.93876237</v>
      </c>
      <c r="F71" s="35"/>
      <c r="G71" s="60" t="str">
        <f ca="1">IFERROR(OFFSET(INDIRECT($H$3 &amp; "!A179"), 15, 0), "")</f>
        <v>아인스타이늄</v>
      </c>
      <c r="H71" s="45">
        <f t="shared" ca="1" si="25"/>
        <v>116</v>
      </c>
      <c r="I71" s="80">
        <f t="shared" ca="1" si="26"/>
        <v>-0.29268292680000002</v>
      </c>
      <c r="J71" s="99">
        <f t="shared" ca="1" si="22"/>
        <v>120881435.63421781</v>
      </c>
      <c r="K71" s="56" t="str">
        <f ca="1">IFERROR(OFFSET(INDIRECT($H$3 &amp; "!A125"), 15, 0), "")</f>
        <v>엔도르</v>
      </c>
      <c r="L71" s="39">
        <f t="shared" ca="1" si="18"/>
        <v>21.8</v>
      </c>
      <c r="M71" s="77">
        <f t="shared" ca="1" si="19"/>
        <v>-0.31230283910000001</v>
      </c>
      <c r="N71" s="99">
        <f t="shared" ca="1" si="23"/>
        <v>822917661.12192822</v>
      </c>
      <c r="O71" s="56" t="str">
        <f ca="1">IFERROR(OFFSET(INDIRECT($H$3 &amp; "!A152"), 15, 0), "")</f>
        <v>솔브케어</v>
      </c>
      <c r="P71" s="39">
        <f t="shared" ca="1" si="20"/>
        <v>88</v>
      </c>
      <c r="Q71" s="77">
        <f t="shared" ca="1" si="21"/>
        <v>-0.18518518519999999</v>
      </c>
      <c r="R71" s="99">
        <f t="shared" ca="1" si="24"/>
        <v>77662002.41041781</v>
      </c>
    </row>
    <row r="72" spans="1:18">
      <c r="A72" s="40" t="s">
        <v>245</v>
      </c>
      <c r="B72" s="11" t="s">
        <v>246</v>
      </c>
      <c r="C72" s="95">
        <v>236</v>
      </c>
      <c r="D72" s="92">
        <v>-9.9236641200000003E-2</v>
      </c>
      <c r="E72" s="93">
        <v>90943530.361612573</v>
      </c>
      <c r="F72" s="35"/>
      <c r="G72" s="56" t="str">
        <f ca="1">IFERROR(OFFSET(INDIRECT($H$3 &amp; "!A179"), 16, 0), "")</f>
        <v>픽셀</v>
      </c>
      <c r="H72" s="39">
        <f t="shared" ca="1" si="25"/>
        <v>27</v>
      </c>
      <c r="I72" s="77">
        <f t="shared" ca="1" si="26"/>
        <v>-0.3198992443</v>
      </c>
      <c r="J72" s="86">
        <f t="shared" ca="1" si="22"/>
        <v>514961190.9986316</v>
      </c>
      <c r="K72" s="56" t="str">
        <f ca="1">IFERROR(OFFSET(INDIRECT($H$3 &amp; "!A125"), 16, 0), "")</f>
        <v>픽셀</v>
      </c>
      <c r="L72" s="39">
        <f t="shared" ca="1" si="18"/>
        <v>27</v>
      </c>
      <c r="M72" s="77">
        <f t="shared" ca="1" si="19"/>
        <v>-0.3198992443</v>
      </c>
      <c r="N72" s="86">
        <f t="shared" ca="1" si="23"/>
        <v>514961190.9986316</v>
      </c>
      <c r="O72" s="56" t="str">
        <f ca="1">IFERROR(OFFSET(INDIRECT($H$3 &amp; "!A152"), 16, 0), "")</f>
        <v>페이코인</v>
      </c>
      <c r="P72" s="39">
        <f t="shared" ca="1" si="20"/>
        <v>535</v>
      </c>
      <c r="Q72" s="77">
        <f t="shared" ca="1" si="21"/>
        <v>-0.2464788732</v>
      </c>
      <c r="R72" s="86">
        <f t="shared" ca="1" si="24"/>
        <v>53209625.387586713</v>
      </c>
    </row>
    <row r="73" spans="1:18">
      <c r="A73" s="40" t="s">
        <v>189</v>
      </c>
      <c r="B73" s="11" t="s">
        <v>190</v>
      </c>
      <c r="C73" s="95">
        <v>46880</v>
      </c>
      <c r="D73" s="92">
        <v>-9.9673516399999995E-2</v>
      </c>
      <c r="E73" s="93">
        <v>346684.68180953001</v>
      </c>
      <c r="F73" s="35"/>
      <c r="G73" s="56" t="str">
        <f ca="1">IFERROR(OFFSET(INDIRECT($H$3 &amp; "!A179"), 17, 0), "")</f>
        <v>옵저버</v>
      </c>
      <c r="H73" s="39">
        <f t="shared" ca="1" si="25"/>
        <v>5.68</v>
      </c>
      <c r="I73" s="77">
        <f t="shared" ca="1" si="26"/>
        <v>-0.31566265059999998</v>
      </c>
      <c r="J73" s="86">
        <f t="shared" ca="1" si="22"/>
        <v>1867350762.1404951</v>
      </c>
      <c r="K73" s="56" t="str">
        <f ca="1">IFERROR(OFFSET(INDIRECT($H$3 &amp; "!A125"), 17, 0), "")</f>
        <v>옵저버</v>
      </c>
      <c r="L73" s="39">
        <f t="shared" ca="1" si="18"/>
        <v>5.68</v>
      </c>
      <c r="M73" s="77">
        <f t="shared" ca="1" si="19"/>
        <v>-0.31566265059999998</v>
      </c>
      <c r="N73" s="86">
        <f t="shared" ca="1" si="23"/>
        <v>1867350762.1404951</v>
      </c>
      <c r="O73" s="56" t="str">
        <f ca="1">IFERROR(OFFSET(INDIRECT($H$3 &amp; "!A152"), 17, 0), "")</f>
        <v>디마켓</v>
      </c>
      <c r="P73" s="39">
        <f t="shared" ca="1" si="20"/>
        <v>313</v>
      </c>
      <c r="Q73" s="77">
        <f t="shared" ca="1" si="21"/>
        <v>-0.2918552036</v>
      </c>
      <c r="R73" s="86">
        <f t="shared" ca="1" si="24"/>
        <v>14352257.71735934</v>
      </c>
    </row>
    <row r="74" spans="1:18">
      <c r="A74" s="40" t="s">
        <v>275</v>
      </c>
      <c r="B74" s="11" t="s">
        <v>276</v>
      </c>
      <c r="C74" s="95">
        <v>2365</v>
      </c>
      <c r="D74" s="92">
        <v>-0.1007604563</v>
      </c>
      <c r="E74" s="93">
        <v>1836083.07469941</v>
      </c>
      <c r="F74" s="35"/>
      <c r="G74" s="56" t="str">
        <f ca="1">IFERROR(OFFSET(INDIRECT($H$3 &amp; "!A179"), 18, 0), "")</f>
        <v>트웰브쉽스</v>
      </c>
      <c r="H74" s="39">
        <f t="shared" ca="1" si="25"/>
        <v>5.4</v>
      </c>
      <c r="I74" s="77">
        <f t="shared" ca="1" si="26"/>
        <v>-0.32075471700000002</v>
      </c>
      <c r="J74" s="86">
        <f t="shared" ca="1" si="22"/>
        <v>1654385357.885479</v>
      </c>
      <c r="K74" s="56" t="str">
        <f ca="1">IFERROR(OFFSET(INDIRECT($H$3 &amp; "!A125"), 18, 0), "")</f>
        <v>트웰브쉽스</v>
      </c>
      <c r="L74" s="39">
        <f t="shared" ca="1" si="18"/>
        <v>5.4</v>
      </c>
      <c r="M74" s="77">
        <f t="shared" ca="1" si="19"/>
        <v>-0.32075471700000002</v>
      </c>
      <c r="N74" s="86">
        <f t="shared" ca="1" si="23"/>
        <v>1654385357.885479</v>
      </c>
      <c r="O74" s="56" t="str">
        <f ca="1">IFERROR(OFFSET(INDIRECT($H$3 &amp; "!A152"), 18, 0), "")</f>
        <v>마로</v>
      </c>
      <c r="P74" s="39">
        <f t="shared" ca="1" si="20"/>
        <v>103</v>
      </c>
      <c r="Q74" s="77">
        <f t="shared" ca="1" si="21"/>
        <v>-0.30872483220000002</v>
      </c>
      <c r="R74" s="86">
        <f t="shared" ca="1" si="24"/>
        <v>335619774.10546684</v>
      </c>
    </row>
    <row r="75" spans="1:18" ht="17.25" thickBot="1">
      <c r="A75" s="40" t="s">
        <v>93</v>
      </c>
      <c r="B75" s="11" t="s">
        <v>94</v>
      </c>
      <c r="C75" s="95">
        <v>63830</v>
      </c>
      <c r="D75" s="92">
        <v>-0.1028812368</v>
      </c>
      <c r="E75" s="93">
        <v>736189.47532116005</v>
      </c>
      <c r="F75" s="35"/>
      <c r="G75" s="57" t="str">
        <f ca="1">IFERROR(OFFSET(INDIRECT($H$3 &amp; "!A179"), 19, 0), "")</f>
        <v>퀴즈톡</v>
      </c>
      <c r="H75" s="37">
        <f t="shared" ca="1" si="25"/>
        <v>22.5</v>
      </c>
      <c r="I75" s="79">
        <f t="shared" ca="1" si="26"/>
        <v>-0.31610942250000001</v>
      </c>
      <c r="J75" s="87">
        <f t="shared" ca="1" si="22"/>
        <v>642049507.09997344</v>
      </c>
      <c r="K75" s="57" t="str">
        <f ca="1">IFERROR(OFFSET(INDIRECT($H$3 &amp; "!A125"), 19, 0), "")</f>
        <v>퀴즈톡</v>
      </c>
      <c r="L75" s="37">
        <f t="shared" ca="1" si="18"/>
        <v>22.5</v>
      </c>
      <c r="M75" s="79">
        <f t="shared" ca="1" si="19"/>
        <v>-0.31610942250000001</v>
      </c>
      <c r="N75" s="87">
        <f t="shared" ca="1" si="23"/>
        <v>642049507.09997344</v>
      </c>
      <c r="O75" s="57" t="str">
        <f ca="1">IFERROR(OFFSET(INDIRECT($H$3 &amp; "!A152"), 19, 0), "")</f>
        <v>아인스타이늄</v>
      </c>
      <c r="P75" s="37">
        <f t="shared" ca="1" si="20"/>
        <v>116</v>
      </c>
      <c r="Q75" s="79">
        <f t="shared" ca="1" si="21"/>
        <v>-0.29268292680000002</v>
      </c>
      <c r="R75" s="87">
        <f t="shared" ca="1" si="24"/>
        <v>120881435.63421781</v>
      </c>
    </row>
    <row r="76" spans="1:18">
      <c r="A76" s="40" t="s">
        <v>223</v>
      </c>
      <c r="B76" s="11" t="s">
        <v>224</v>
      </c>
      <c r="C76" s="95">
        <v>1095</v>
      </c>
      <c r="D76" s="92">
        <v>-0.10612244899999999</v>
      </c>
      <c r="E76" s="93">
        <v>23399456.076692369</v>
      </c>
      <c r="F76" s="35"/>
      <c r="G76" s="35"/>
      <c r="H76" s="35"/>
      <c r="I76" s="35"/>
    </row>
    <row r="77" spans="1:18">
      <c r="A77" s="40" t="s">
        <v>145</v>
      </c>
      <c r="B77" s="11" t="s">
        <v>146</v>
      </c>
      <c r="C77" s="95">
        <v>8730</v>
      </c>
      <c r="D77" s="92">
        <v>-0.10736196319999999</v>
      </c>
      <c r="E77" s="93">
        <v>780150.07241482998</v>
      </c>
      <c r="F77" s="35"/>
      <c r="G77" s="35"/>
      <c r="H77" s="35"/>
      <c r="I77" s="35"/>
    </row>
    <row r="78" spans="1:18">
      <c r="A78" s="40" t="s">
        <v>157</v>
      </c>
      <c r="B78" s="11" t="s">
        <v>158</v>
      </c>
      <c r="C78" s="95">
        <v>4480</v>
      </c>
      <c r="D78" s="92">
        <v>-0.1128712871</v>
      </c>
      <c r="E78" s="93">
        <v>1481777.1543630799</v>
      </c>
      <c r="F78" s="35"/>
      <c r="G78" s="35"/>
      <c r="H78" s="35"/>
      <c r="I78" s="35"/>
    </row>
    <row r="79" spans="1:18">
      <c r="A79" s="40" t="s">
        <v>193</v>
      </c>
      <c r="B79" s="11" t="s">
        <v>194</v>
      </c>
      <c r="C79" s="95">
        <v>6430</v>
      </c>
      <c r="D79" s="92">
        <v>-0.1161512027</v>
      </c>
      <c r="E79" s="93">
        <v>2396984.7074552299</v>
      </c>
      <c r="F79" s="35"/>
      <c r="G79" s="35"/>
      <c r="H79" s="35"/>
      <c r="I79" s="35"/>
    </row>
    <row r="80" spans="1:18">
      <c r="A80" s="40" t="s">
        <v>185</v>
      </c>
      <c r="B80" s="11" t="s">
        <v>186</v>
      </c>
      <c r="C80" s="95">
        <v>13.3</v>
      </c>
      <c r="D80" s="92">
        <v>-0.119205298</v>
      </c>
      <c r="E80" s="93">
        <v>529229709.01267904</v>
      </c>
      <c r="F80" s="35"/>
      <c r="G80" s="35"/>
      <c r="H80" s="35"/>
      <c r="I80" s="35"/>
    </row>
    <row r="81" spans="1:9">
      <c r="A81" s="40" t="s">
        <v>203</v>
      </c>
      <c r="B81" s="11" t="s">
        <v>204</v>
      </c>
      <c r="C81" s="95">
        <v>2970</v>
      </c>
      <c r="D81" s="92">
        <v>-0.12</v>
      </c>
      <c r="E81" s="93">
        <v>4586162.47722858</v>
      </c>
      <c r="F81" s="35"/>
      <c r="G81" s="35"/>
      <c r="H81" s="35"/>
      <c r="I81" s="35"/>
    </row>
    <row r="82" spans="1:9">
      <c r="A82" s="40" t="s">
        <v>273</v>
      </c>
      <c r="B82" s="11" t="s">
        <v>274</v>
      </c>
      <c r="C82" s="95">
        <v>6580</v>
      </c>
      <c r="D82" s="92">
        <v>-0.1226666667</v>
      </c>
      <c r="E82" s="93">
        <v>1500099.2541451801</v>
      </c>
      <c r="F82" s="35"/>
      <c r="G82" s="35"/>
      <c r="H82" s="35"/>
      <c r="I82" s="35"/>
    </row>
    <row r="83" spans="1:9">
      <c r="A83" s="40" t="s">
        <v>199</v>
      </c>
      <c r="B83" s="11" t="s">
        <v>200</v>
      </c>
      <c r="C83" s="95">
        <v>151</v>
      </c>
      <c r="D83" s="92">
        <v>-0.12716763010000001</v>
      </c>
      <c r="E83" s="93">
        <v>19821432.373906661</v>
      </c>
      <c r="F83" s="35"/>
      <c r="G83" s="35"/>
      <c r="H83" s="35"/>
      <c r="I83" s="35"/>
    </row>
    <row r="84" spans="1:9">
      <c r="A84" s="40" t="s">
        <v>115</v>
      </c>
      <c r="B84" s="11" t="s">
        <v>116</v>
      </c>
      <c r="C84" s="95">
        <v>313</v>
      </c>
      <c r="D84" s="92">
        <v>-0.13055555560000001</v>
      </c>
      <c r="E84" s="93">
        <v>32359110.440553728</v>
      </c>
      <c r="F84" s="35"/>
      <c r="G84" s="35"/>
      <c r="H84" s="35"/>
      <c r="I84" s="35"/>
    </row>
    <row r="85" spans="1:9">
      <c r="A85" s="40" t="s">
        <v>211</v>
      </c>
      <c r="B85" s="11" t="s">
        <v>212</v>
      </c>
      <c r="C85" s="95">
        <v>53.3</v>
      </c>
      <c r="D85" s="92">
        <v>-0.1319218241</v>
      </c>
      <c r="E85" s="93">
        <v>1066013593.0098788</v>
      </c>
      <c r="F85" s="35"/>
      <c r="G85" s="35"/>
      <c r="H85" s="35"/>
      <c r="I85" s="35"/>
    </row>
    <row r="86" spans="1:9">
      <c r="A86" s="40" t="s">
        <v>261</v>
      </c>
      <c r="B86" s="11" t="s">
        <v>262</v>
      </c>
      <c r="C86" s="95">
        <v>458</v>
      </c>
      <c r="D86" s="92">
        <v>-0.13257575760000001</v>
      </c>
      <c r="E86" s="93">
        <v>22195367.789747909</v>
      </c>
      <c r="F86" s="35"/>
      <c r="G86" s="35"/>
      <c r="H86" s="35"/>
      <c r="I86" s="35"/>
    </row>
    <row r="87" spans="1:9">
      <c r="A87" s="40" t="s">
        <v>227</v>
      </c>
      <c r="B87" s="11" t="s">
        <v>228</v>
      </c>
      <c r="C87" s="95">
        <v>7.77</v>
      </c>
      <c r="D87" s="92">
        <v>-0.1328125</v>
      </c>
      <c r="E87" s="93">
        <v>1374643097.338558</v>
      </c>
      <c r="F87" s="35"/>
      <c r="G87" s="35"/>
      <c r="H87" s="35"/>
      <c r="I87" s="35"/>
    </row>
    <row r="88" spans="1:9">
      <c r="A88" s="40" t="s">
        <v>229</v>
      </c>
      <c r="B88" s="11" t="s">
        <v>230</v>
      </c>
      <c r="C88" s="95">
        <v>90.1</v>
      </c>
      <c r="D88" s="92">
        <v>-0.14190476190000001</v>
      </c>
      <c r="E88" s="93">
        <v>101190976.76356269</v>
      </c>
      <c r="F88" s="35"/>
      <c r="G88" s="35"/>
      <c r="H88" s="35"/>
      <c r="I88" s="35"/>
    </row>
    <row r="89" spans="1:9">
      <c r="A89" s="40" t="s">
        <v>111</v>
      </c>
      <c r="B89" s="11" t="s">
        <v>112</v>
      </c>
      <c r="C89" s="95">
        <v>132</v>
      </c>
      <c r="D89" s="92">
        <v>-0.14838709680000001</v>
      </c>
      <c r="E89" s="93">
        <v>191172127.73086083</v>
      </c>
      <c r="F89" s="35"/>
      <c r="G89" s="35"/>
      <c r="H89" s="35"/>
      <c r="I89" s="35"/>
    </row>
    <row r="90" spans="1:9">
      <c r="A90" s="40" t="s">
        <v>71</v>
      </c>
      <c r="B90" s="11" t="s">
        <v>72</v>
      </c>
      <c r="C90" s="95">
        <v>18.100000000000001</v>
      </c>
      <c r="D90" s="92">
        <v>-0.15023474179999999</v>
      </c>
      <c r="E90" s="93">
        <v>361371600.33733028</v>
      </c>
      <c r="F90" s="35"/>
      <c r="G90" s="35"/>
      <c r="H90" s="35"/>
      <c r="I90" s="35"/>
    </row>
    <row r="91" spans="1:9">
      <c r="A91" s="40" t="s">
        <v>81</v>
      </c>
      <c r="B91" s="11" t="s">
        <v>82</v>
      </c>
      <c r="C91" s="95">
        <v>810</v>
      </c>
      <c r="D91" s="92">
        <v>-0.1553701773</v>
      </c>
      <c r="E91" s="93">
        <v>2068438.27768473</v>
      </c>
      <c r="F91" s="35"/>
      <c r="G91" s="35"/>
      <c r="H91" s="35"/>
      <c r="I91" s="35"/>
    </row>
    <row r="92" spans="1:9">
      <c r="A92" s="40" t="s">
        <v>201</v>
      </c>
      <c r="B92" s="11" t="s">
        <v>202</v>
      </c>
      <c r="C92" s="95">
        <v>88.6</v>
      </c>
      <c r="D92" s="92">
        <v>-0.15619047620000001</v>
      </c>
      <c r="E92" s="93">
        <v>200100102.25465202</v>
      </c>
      <c r="F92" s="35"/>
      <c r="G92" s="35"/>
      <c r="H92" s="35"/>
      <c r="I92" s="35"/>
    </row>
    <row r="93" spans="1:9">
      <c r="A93" s="40" t="s">
        <v>153</v>
      </c>
      <c r="B93" s="11" t="s">
        <v>154</v>
      </c>
      <c r="C93" s="95">
        <v>8.5</v>
      </c>
      <c r="D93" s="92">
        <v>-0.1584158416</v>
      </c>
      <c r="E93" s="93">
        <v>905743115.75887871</v>
      </c>
      <c r="F93" s="35"/>
      <c r="G93" s="35"/>
      <c r="H93" s="35"/>
      <c r="I93" s="35"/>
    </row>
    <row r="94" spans="1:9">
      <c r="A94" s="40" t="s">
        <v>195</v>
      </c>
      <c r="B94" s="11" t="s">
        <v>196</v>
      </c>
      <c r="C94" s="95">
        <v>8.3699999999999992</v>
      </c>
      <c r="D94" s="92">
        <v>-0.15879396979999999</v>
      </c>
      <c r="E94" s="93">
        <v>578964879.49176192</v>
      </c>
      <c r="F94" s="35"/>
      <c r="G94" s="35"/>
      <c r="H94" s="35"/>
      <c r="I94" s="35"/>
    </row>
    <row r="95" spans="1:9">
      <c r="A95" s="40" t="s">
        <v>231</v>
      </c>
      <c r="B95" s="11" t="s">
        <v>232</v>
      </c>
      <c r="C95" s="95">
        <v>85.7</v>
      </c>
      <c r="D95" s="92">
        <v>-0.167961165</v>
      </c>
      <c r="E95" s="93">
        <v>125945292.08821125</v>
      </c>
      <c r="F95" s="35"/>
      <c r="G95" s="35"/>
      <c r="H95" s="35"/>
      <c r="I95" s="35"/>
    </row>
    <row r="96" spans="1:9">
      <c r="A96" s="40" t="s">
        <v>267</v>
      </c>
      <c r="B96" s="11" t="s">
        <v>268</v>
      </c>
      <c r="C96" s="95">
        <v>31.9</v>
      </c>
      <c r="D96" s="92">
        <v>-0.16927083330000001</v>
      </c>
      <c r="E96" s="93">
        <v>594412351.48614883</v>
      </c>
      <c r="F96" s="35"/>
      <c r="G96" s="35"/>
      <c r="H96" s="35"/>
      <c r="I96" s="35"/>
    </row>
    <row r="97" spans="1:9">
      <c r="A97" s="40" t="s">
        <v>281</v>
      </c>
      <c r="B97" s="11" t="s">
        <v>282</v>
      </c>
      <c r="C97" s="95">
        <v>55.9</v>
      </c>
      <c r="D97" s="92">
        <v>-0.1693907875</v>
      </c>
      <c r="E97" s="93">
        <v>59616647.661793917</v>
      </c>
      <c r="F97" s="35"/>
      <c r="G97" s="35"/>
      <c r="H97" s="35"/>
      <c r="I97" s="35"/>
    </row>
    <row r="98" spans="1:9">
      <c r="A98" s="40" t="s">
        <v>197</v>
      </c>
      <c r="B98" s="11" t="s">
        <v>198</v>
      </c>
      <c r="C98" s="95">
        <v>11</v>
      </c>
      <c r="D98" s="92">
        <v>-0.17293233080000001</v>
      </c>
      <c r="E98" s="93">
        <v>1061761129.2827902</v>
      </c>
      <c r="F98" s="35"/>
      <c r="G98" s="35"/>
      <c r="H98" s="35"/>
      <c r="I98" s="35"/>
    </row>
    <row r="99" spans="1:9">
      <c r="A99" s="40" t="s">
        <v>237</v>
      </c>
      <c r="B99" s="11" t="s">
        <v>238</v>
      </c>
      <c r="C99" s="95">
        <v>88</v>
      </c>
      <c r="D99" s="92">
        <v>-0.18518518519999999</v>
      </c>
      <c r="E99" s="93">
        <v>77662002.41041781</v>
      </c>
      <c r="F99" s="35"/>
      <c r="G99" s="35"/>
      <c r="H99" s="35"/>
      <c r="I99" s="35"/>
    </row>
    <row r="100" spans="1:9">
      <c r="A100" s="40" t="s">
        <v>239</v>
      </c>
      <c r="B100" s="11" t="s">
        <v>240</v>
      </c>
      <c r="C100" s="95">
        <v>84.6</v>
      </c>
      <c r="D100" s="92">
        <v>-0.1865384615</v>
      </c>
      <c r="E100" s="93">
        <v>101030419.7540309</v>
      </c>
      <c r="F100" s="35"/>
      <c r="G100" s="35"/>
      <c r="H100" s="35"/>
      <c r="I100" s="35"/>
    </row>
    <row r="101" spans="1:9">
      <c r="A101" s="40" t="s">
        <v>221</v>
      </c>
      <c r="B101" s="11" t="s">
        <v>222</v>
      </c>
      <c r="C101" s="95">
        <v>8.2100000000000009</v>
      </c>
      <c r="D101" s="92">
        <v>-0.18712871289999999</v>
      </c>
      <c r="E101" s="93">
        <v>543458466.00307095</v>
      </c>
      <c r="F101" s="35"/>
      <c r="G101" s="35"/>
      <c r="H101" s="35"/>
      <c r="I101" s="35"/>
    </row>
    <row r="102" spans="1:9">
      <c r="A102" s="40" t="s">
        <v>123</v>
      </c>
      <c r="B102" s="11" t="s">
        <v>124</v>
      </c>
      <c r="C102" s="95">
        <v>2445</v>
      </c>
      <c r="D102" s="92">
        <v>-0.1877076412</v>
      </c>
      <c r="E102" s="93">
        <v>5953997.20220578</v>
      </c>
      <c r="F102" s="35"/>
      <c r="G102" s="35"/>
      <c r="H102" s="35"/>
      <c r="I102" s="35"/>
    </row>
    <row r="103" spans="1:9">
      <c r="A103" s="40" t="s">
        <v>225</v>
      </c>
      <c r="B103" s="11" t="s">
        <v>226</v>
      </c>
      <c r="C103" s="95">
        <v>200</v>
      </c>
      <c r="D103" s="92">
        <v>-0.1902834008</v>
      </c>
      <c r="E103" s="93">
        <v>25495072.058842361</v>
      </c>
      <c r="F103" s="35"/>
      <c r="G103" s="35"/>
      <c r="H103" s="35"/>
      <c r="I103" s="35"/>
    </row>
    <row r="104" spans="1:9">
      <c r="A104" s="40" t="s">
        <v>66</v>
      </c>
      <c r="B104" s="11" t="s">
        <v>67</v>
      </c>
      <c r="C104" s="95">
        <v>3515</v>
      </c>
      <c r="D104" s="92">
        <v>-0.1928817451</v>
      </c>
      <c r="E104" s="93">
        <v>2040412.14217663</v>
      </c>
      <c r="F104" s="35"/>
      <c r="G104" s="35"/>
      <c r="H104" s="35"/>
      <c r="I104" s="35"/>
    </row>
    <row r="105" spans="1:9">
      <c r="A105" s="40" t="s">
        <v>173</v>
      </c>
      <c r="B105" s="11" t="s">
        <v>174</v>
      </c>
      <c r="C105" s="95">
        <v>115</v>
      </c>
      <c r="D105" s="92">
        <v>-0.1958041958</v>
      </c>
      <c r="E105" s="93">
        <v>116266251.15430224</v>
      </c>
      <c r="F105" s="35"/>
      <c r="G105" s="35"/>
      <c r="H105" s="35"/>
      <c r="I105" s="35"/>
    </row>
    <row r="106" spans="1:9">
      <c r="A106" s="40" t="s">
        <v>209</v>
      </c>
      <c r="B106" s="11" t="s">
        <v>210</v>
      </c>
      <c r="C106" s="95">
        <v>85.2</v>
      </c>
      <c r="D106" s="92">
        <v>-0.1962264151</v>
      </c>
      <c r="E106" s="93">
        <v>91920990.523646533</v>
      </c>
      <c r="F106" s="35"/>
      <c r="G106" s="35"/>
      <c r="H106" s="35"/>
      <c r="I106" s="35"/>
    </row>
    <row r="107" spans="1:9">
      <c r="A107" s="40" t="s">
        <v>249</v>
      </c>
      <c r="B107" s="11" t="s">
        <v>250</v>
      </c>
      <c r="C107" s="95">
        <v>58.8</v>
      </c>
      <c r="D107" s="92">
        <v>-0.1978171896</v>
      </c>
      <c r="E107" s="93">
        <v>76048617.269793794</v>
      </c>
      <c r="F107" s="35"/>
      <c r="G107" s="35"/>
      <c r="H107" s="35"/>
      <c r="I107" s="35"/>
    </row>
    <row r="108" spans="1:9">
      <c r="A108" s="40" t="s">
        <v>213</v>
      </c>
      <c r="B108" s="11" t="s">
        <v>214</v>
      </c>
      <c r="C108" s="95">
        <v>9.1199999999999992</v>
      </c>
      <c r="D108" s="92">
        <v>-0.2</v>
      </c>
      <c r="E108" s="93">
        <v>647800585.27374256</v>
      </c>
      <c r="F108" s="35"/>
      <c r="G108" s="35"/>
      <c r="H108" s="35"/>
      <c r="I108" s="35"/>
    </row>
    <row r="109" spans="1:9">
      <c r="A109" s="40" t="s">
        <v>265</v>
      </c>
      <c r="B109" s="11" t="s">
        <v>266</v>
      </c>
      <c r="C109" s="95">
        <v>56.6</v>
      </c>
      <c r="D109" s="92">
        <v>-0.2402684564</v>
      </c>
      <c r="E109" s="41">
        <v>575076904.18140519</v>
      </c>
    </row>
    <row r="110" spans="1:9">
      <c r="A110" s="40" t="s">
        <v>161</v>
      </c>
      <c r="B110" s="11" t="s">
        <v>162</v>
      </c>
      <c r="C110" s="95">
        <v>535</v>
      </c>
      <c r="D110" s="92">
        <v>-0.2464788732</v>
      </c>
      <c r="E110" s="41">
        <v>53209625.387586713</v>
      </c>
    </row>
    <row r="111" spans="1:9">
      <c r="A111" s="40" t="s">
        <v>233</v>
      </c>
      <c r="B111" s="11" t="s">
        <v>234</v>
      </c>
      <c r="C111" s="95">
        <v>313</v>
      </c>
      <c r="D111" s="92">
        <v>-0.2918552036</v>
      </c>
      <c r="E111" s="41">
        <v>14352257.71735934</v>
      </c>
    </row>
    <row r="112" spans="1:9">
      <c r="A112" s="40" t="s">
        <v>251</v>
      </c>
      <c r="B112" s="11" t="s">
        <v>252</v>
      </c>
      <c r="C112" s="95">
        <v>116</v>
      </c>
      <c r="D112" s="92">
        <v>-0.29268292680000002</v>
      </c>
      <c r="E112" s="41">
        <v>120881435.63421781</v>
      </c>
    </row>
    <row r="113" spans="1:5">
      <c r="A113" s="40" t="s">
        <v>207</v>
      </c>
      <c r="B113" s="11" t="s">
        <v>208</v>
      </c>
      <c r="C113" s="95">
        <v>103</v>
      </c>
      <c r="D113" s="92">
        <v>-0.30872483220000002</v>
      </c>
      <c r="E113" s="41">
        <v>335619774.10546684</v>
      </c>
    </row>
    <row r="114" spans="1:5">
      <c r="A114" s="40" t="s">
        <v>235</v>
      </c>
      <c r="B114" s="11" t="s">
        <v>236</v>
      </c>
      <c r="C114" s="95">
        <v>21.8</v>
      </c>
      <c r="D114" s="92">
        <v>-0.31230283910000001</v>
      </c>
      <c r="E114" s="41">
        <v>822917661.12192822</v>
      </c>
    </row>
    <row r="115" spans="1:5">
      <c r="A115" s="40" t="s">
        <v>217</v>
      </c>
      <c r="B115" s="11" t="s">
        <v>218</v>
      </c>
      <c r="C115" s="95">
        <v>5.68</v>
      </c>
      <c r="D115" s="92">
        <v>-0.31566265059999998</v>
      </c>
      <c r="E115" s="41">
        <v>1867350762.1404951</v>
      </c>
    </row>
    <row r="116" spans="1:5">
      <c r="A116" s="40" t="s">
        <v>253</v>
      </c>
      <c r="B116" s="11" t="s">
        <v>254</v>
      </c>
      <c r="C116" s="95">
        <v>22.5</v>
      </c>
      <c r="D116" s="92">
        <v>-0.31610942250000001</v>
      </c>
      <c r="E116" s="41">
        <v>642049507.09997344</v>
      </c>
    </row>
    <row r="117" spans="1:5">
      <c r="A117" s="40" t="s">
        <v>121</v>
      </c>
      <c r="B117" s="11" t="s">
        <v>122</v>
      </c>
      <c r="C117" s="95">
        <v>27</v>
      </c>
      <c r="D117" s="92">
        <v>-0.3198992443</v>
      </c>
      <c r="E117" s="41">
        <v>514961190.9986316</v>
      </c>
    </row>
    <row r="118" spans="1:5">
      <c r="A118" s="40" t="s">
        <v>171</v>
      </c>
      <c r="B118" s="11" t="s">
        <v>172</v>
      </c>
      <c r="C118" s="95">
        <v>5.4</v>
      </c>
      <c r="D118" s="92">
        <v>-0.32075471700000002</v>
      </c>
      <c r="E118" s="41">
        <v>1654385357.885479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263</v>
      </c>
      <c r="B2" s="11" t="s">
        <v>264</v>
      </c>
      <c r="C2" s="95">
        <v>83.8</v>
      </c>
      <c r="D2" s="92">
        <v>0.13396481730000001</v>
      </c>
      <c r="E2" s="93">
        <v>2779801222.1589527</v>
      </c>
      <c r="F2" s="35"/>
      <c r="G2" s="54"/>
      <c r="H2" s="35"/>
      <c r="I2" s="35"/>
    </row>
    <row r="3" spans="1:18" ht="17.25" thickBot="1">
      <c r="A3" s="40" t="s">
        <v>163</v>
      </c>
      <c r="B3" s="11" t="s">
        <v>164</v>
      </c>
      <c r="C3" s="95">
        <v>17420</v>
      </c>
      <c r="D3" s="92">
        <v>5.44794189E-2</v>
      </c>
      <c r="E3" s="93">
        <v>3477363.6288847998</v>
      </c>
      <c r="F3" s="35"/>
      <c r="G3" s="278" t="s">
        <v>290</v>
      </c>
      <c r="H3" s="290" t="s">
        <v>366</v>
      </c>
      <c r="I3" s="290"/>
      <c r="K3" s="234" t="s">
        <v>34</v>
      </c>
      <c r="L3" s="235"/>
      <c r="M3" s="235"/>
      <c r="N3" s="236"/>
      <c r="O3" s="234" t="s">
        <v>291</v>
      </c>
      <c r="P3" s="235"/>
      <c r="Q3" s="235"/>
      <c r="R3" s="236"/>
    </row>
    <row r="4" spans="1:18" ht="17.25" thickBot="1">
      <c r="A4" s="40" t="s">
        <v>117</v>
      </c>
      <c r="B4" s="11" t="s">
        <v>118</v>
      </c>
      <c r="C4" s="95">
        <v>4255</v>
      </c>
      <c r="D4" s="92">
        <v>2.16086435E-2</v>
      </c>
      <c r="E4" s="93">
        <v>2276179.4593520202</v>
      </c>
      <c r="F4" s="35"/>
      <c r="G4" s="279"/>
      <c r="H4" s="291"/>
      <c r="I4" s="291"/>
      <c r="K4" s="271" t="s">
        <v>55</v>
      </c>
      <c r="L4" s="287">
        <f ca="1">NOW()</f>
        <v>44360.023360763887</v>
      </c>
      <c r="M4" s="288"/>
      <c r="N4" s="289"/>
      <c r="O4" s="286" t="s">
        <v>55</v>
      </c>
      <c r="P4" s="287">
        <f ca="1">NOW()</f>
        <v>44360.023360763887</v>
      </c>
      <c r="Q4" s="288"/>
      <c r="R4" s="289"/>
    </row>
    <row r="5" spans="1:18" ht="17.25" thickBot="1">
      <c r="A5" s="40" t="s">
        <v>50</v>
      </c>
      <c r="B5" s="11" t="s">
        <v>51</v>
      </c>
      <c r="C5" s="95">
        <v>380</v>
      </c>
      <c r="D5" s="92">
        <v>2.15053763E-2</v>
      </c>
      <c r="E5" s="93">
        <v>83491504.437275946</v>
      </c>
      <c r="F5" s="35"/>
      <c r="K5" s="279"/>
      <c r="L5" s="51" t="s">
        <v>58</v>
      </c>
      <c r="M5" s="73" t="s">
        <v>59</v>
      </c>
      <c r="N5" s="69" t="s">
        <v>294</v>
      </c>
      <c r="O5" s="257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95</v>
      </c>
      <c r="B6" s="11" t="s">
        <v>96</v>
      </c>
      <c r="C6" s="95">
        <v>2806000</v>
      </c>
      <c r="D6" s="92">
        <v>1.8142235100000001E-2</v>
      </c>
      <c r="E6" s="93">
        <v>134691.54374513999</v>
      </c>
      <c r="F6" s="35"/>
      <c r="G6" s="234" t="s">
        <v>52</v>
      </c>
      <c r="H6" s="235"/>
      <c r="I6" s="236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77.7</v>
      </c>
      <c r="M6" s="76">
        <f t="shared" ref="M6:M25" ca="1" si="1">_xlfn.IFNA(VLOOKUP(K6, $B$2:$D$200, 3, FALSE), "")</f>
        <v>-7.9383886299999998E-2</v>
      </c>
      <c r="N6" s="85">
        <f ca="1">_xlfn.IFNA(VLOOKUP(K6, $B$2:$E$200, 4, FALSE), "")</f>
        <v>116380264.99760117</v>
      </c>
      <c r="O6" s="72" t="s">
        <v>264</v>
      </c>
      <c r="P6" s="38">
        <f t="shared" ref="P6:P25" si="2">_xlfn.IFNA(VLOOKUP(O6, $B$2:$D$200, 2, FALSE), "")</f>
        <v>83.8</v>
      </c>
      <c r="Q6" s="76">
        <f t="shared" ref="Q6:Q25" si="3">_xlfn.IFNA(VLOOKUP(O6, $B$2:$D$200, 3, FALSE), "")</f>
        <v>0.13396481730000001</v>
      </c>
      <c r="R6" s="85">
        <f>_xlfn.IFNA(VLOOKUP(O6, $B$2:$E$200, 4, FALSE), "")</f>
        <v>2779801222.1589527</v>
      </c>
    </row>
    <row r="7" spans="1:18">
      <c r="A7" s="40" t="s">
        <v>147</v>
      </c>
      <c r="B7" s="11" t="s">
        <v>148</v>
      </c>
      <c r="C7" s="95">
        <v>97.6</v>
      </c>
      <c r="D7" s="92">
        <v>1.6666666699999999E-2</v>
      </c>
      <c r="E7" s="93">
        <v>170390386.4734993</v>
      </c>
      <c r="F7" s="35"/>
      <c r="G7" s="262" t="s">
        <v>36</v>
      </c>
      <c r="H7" s="263"/>
      <c r="I7" s="264"/>
      <c r="K7" s="56" t="str">
        <f ca="1">IFERROR(OFFSET(INDIRECT($H$3 &amp; "!A17"), 1, 0), "")</f>
        <v>메디블록</v>
      </c>
      <c r="L7" s="39">
        <f t="shared" ca="1" si="0"/>
        <v>53.3</v>
      </c>
      <c r="M7" s="77">
        <f t="shared" ca="1" si="1"/>
        <v>-0.1319218241</v>
      </c>
      <c r="N7" s="86">
        <f t="shared" ref="N7:N25" ca="1" si="4">_xlfn.IFNA(VLOOKUP(K7, $B$2:$E$200, 4, FALSE), "")</f>
        <v>1066013593.0098788</v>
      </c>
      <c r="O7" s="88" t="s">
        <v>164</v>
      </c>
      <c r="P7" s="39">
        <f t="shared" si="2"/>
        <v>17420</v>
      </c>
      <c r="Q7" s="77">
        <f t="shared" si="3"/>
        <v>5.44794189E-2</v>
      </c>
      <c r="R7" s="86">
        <f t="shared" ref="R7:R25" si="5">_xlfn.IFNA(VLOOKUP(O7, $B$2:$E$200, 4, FALSE), "")</f>
        <v>3477363.6288847998</v>
      </c>
    </row>
    <row r="8" spans="1:18" ht="17.25" thickBot="1">
      <c r="A8" s="40" t="s">
        <v>183</v>
      </c>
      <c r="B8" s="11" t="s">
        <v>184</v>
      </c>
      <c r="C8" s="95">
        <v>1340</v>
      </c>
      <c r="D8" s="92">
        <v>1.51515152E-2</v>
      </c>
      <c r="E8" s="93">
        <v>3071207.6019617701</v>
      </c>
      <c r="F8" s="35"/>
      <c r="G8" s="255"/>
      <c r="H8" s="256"/>
      <c r="I8" s="257"/>
      <c r="K8" s="56" t="str">
        <f ca="1">IFERROR(OFFSET(INDIRECT($H$3 &amp; "!A17"), 2, 0), "")</f>
        <v>메타디움</v>
      </c>
      <c r="L8" s="39">
        <f t="shared" ca="1" si="0"/>
        <v>88.6</v>
      </c>
      <c r="M8" s="77">
        <f t="shared" ca="1" si="1"/>
        <v>-0.15619047620000001</v>
      </c>
      <c r="N8" s="86">
        <f t="shared" ca="1" si="4"/>
        <v>200100102.25465202</v>
      </c>
      <c r="O8" s="88" t="s">
        <v>118</v>
      </c>
      <c r="P8" s="39">
        <f t="shared" si="2"/>
        <v>4255</v>
      </c>
      <c r="Q8" s="77">
        <f t="shared" si="3"/>
        <v>2.16086435E-2</v>
      </c>
      <c r="R8" s="86">
        <f t="shared" si="5"/>
        <v>2276179.4593520202</v>
      </c>
    </row>
    <row r="9" spans="1:18" ht="17.25" thickBot="1">
      <c r="A9" s="40" t="s">
        <v>279</v>
      </c>
      <c r="B9" s="11" t="s">
        <v>280</v>
      </c>
      <c r="C9" s="95">
        <v>903</v>
      </c>
      <c r="D9" s="92">
        <v>1.4606741600000001E-2</v>
      </c>
      <c r="E9" s="93">
        <v>46918004.073286258</v>
      </c>
      <c r="F9" s="35"/>
      <c r="G9" s="50" t="s">
        <v>38</v>
      </c>
      <c r="H9" s="235" t="s">
        <v>37</v>
      </c>
      <c r="I9" s="236"/>
      <c r="K9" s="56" t="str">
        <f ca="1">IFERROR(OFFSET(INDIRECT($H$3 &amp; "!A17"), 3, 0), "")</f>
        <v>크립토닷컴체인</v>
      </c>
      <c r="L9" s="39">
        <f t="shared" ca="1" si="0"/>
        <v>131</v>
      </c>
      <c r="M9" s="77">
        <f t="shared" ca="1" si="1"/>
        <v>-4.3795620399999999E-2</v>
      </c>
      <c r="N9" s="86">
        <f t="shared" ca="1" si="4"/>
        <v>29018283.111917429</v>
      </c>
      <c r="O9" s="88" t="s">
        <v>51</v>
      </c>
      <c r="P9" s="39">
        <f t="shared" si="2"/>
        <v>380</v>
      </c>
      <c r="Q9" s="77">
        <f t="shared" si="3"/>
        <v>2.15053763E-2</v>
      </c>
      <c r="R9" s="86">
        <f t="shared" si="5"/>
        <v>83491504.437275946</v>
      </c>
    </row>
    <row r="10" spans="1:18">
      <c r="A10" s="40" t="s">
        <v>83</v>
      </c>
      <c r="B10" s="11" t="s">
        <v>84</v>
      </c>
      <c r="C10" s="95">
        <v>1700</v>
      </c>
      <c r="D10" s="92">
        <v>8.9020772000000005E-3</v>
      </c>
      <c r="E10" s="93">
        <v>52932839.531339802</v>
      </c>
      <c r="F10" s="35"/>
      <c r="G10" s="280">
        <f>_xlfn.IFNA(VLOOKUP(G7, $B$2:$D$200, 3, FALSE), "-")</f>
        <v>-5.2176301000000001E-2</v>
      </c>
      <c r="H10" s="282">
        <f>_xlfn.IFNA(VLOOKUP(G7, $B$2:$D$200, 2, FALSE), "-")</f>
        <v>41418000</v>
      </c>
      <c r="I10" s="283"/>
      <c r="K10" s="58" t="str">
        <f ca="1">IFERROR(OFFSET(INDIRECT($H$3 &amp; "!A17"), 4, 0), "")</f>
        <v>헌트</v>
      </c>
      <c r="L10" s="44">
        <f t="shared" ca="1" si="0"/>
        <v>236</v>
      </c>
      <c r="M10" s="78">
        <f t="shared" ca="1" si="1"/>
        <v>-9.9236641200000003E-2</v>
      </c>
      <c r="N10" s="90">
        <f t="shared" ca="1" si="4"/>
        <v>90943530.361612573</v>
      </c>
      <c r="O10" s="88" t="s">
        <v>96</v>
      </c>
      <c r="P10" s="39">
        <f t="shared" si="2"/>
        <v>2806000</v>
      </c>
      <c r="Q10" s="77">
        <f t="shared" si="3"/>
        <v>1.8142235100000001E-2</v>
      </c>
      <c r="R10" s="90">
        <f t="shared" si="5"/>
        <v>134691.54374513999</v>
      </c>
    </row>
    <row r="11" spans="1:18" ht="17.25" thickBot="1">
      <c r="A11" s="40" t="s">
        <v>75</v>
      </c>
      <c r="B11" s="11" t="s">
        <v>76</v>
      </c>
      <c r="C11" s="95">
        <v>25310</v>
      </c>
      <c r="D11" s="92">
        <v>6.7621321000000002E-3</v>
      </c>
      <c r="E11" s="93">
        <v>1211512.3361613699</v>
      </c>
      <c r="F11" s="35"/>
      <c r="G11" s="281"/>
      <c r="H11" s="284"/>
      <c r="I11" s="285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148</v>
      </c>
      <c r="P11" s="45">
        <f t="shared" si="2"/>
        <v>97.6</v>
      </c>
      <c r="Q11" s="80">
        <f t="shared" si="3"/>
        <v>1.6666666699999999E-2</v>
      </c>
      <c r="R11" s="99">
        <f t="shared" si="5"/>
        <v>170390386.4734993</v>
      </c>
    </row>
    <row r="12" spans="1:18" ht="17.25" thickBot="1">
      <c r="A12" s="40" t="s">
        <v>105</v>
      </c>
      <c r="B12" s="11" t="s">
        <v>106</v>
      </c>
      <c r="C12" s="95">
        <v>1020</v>
      </c>
      <c r="D12" s="92">
        <v>4.9261084000000004E-3</v>
      </c>
      <c r="E12" s="93">
        <v>2835312.0231972402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184</v>
      </c>
      <c r="P12" s="39">
        <f t="shared" si="2"/>
        <v>1340</v>
      </c>
      <c r="Q12" s="77">
        <f t="shared" si="3"/>
        <v>1.51515152E-2</v>
      </c>
      <c r="R12" s="86">
        <f t="shared" si="5"/>
        <v>3071207.6019617701</v>
      </c>
    </row>
    <row r="13" spans="1:18" ht="17.25" thickBot="1">
      <c r="A13" s="40" t="s">
        <v>97</v>
      </c>
      <c r="B13" s="11" t="s">
        <v>98</v>
      </c>
      <c r="C13" s="95">
        <v>3670</v>
      </c>
      <c r="D13" s="92">
        <v>0</v>
      </c>
      <c r="E13" s="93">
        <v>2064022.57954887</v>
      </c>
      <c r="F13" s="35"/>
      <c r="G13" s="234" t="s">
        <v>70</v>
      </c>
      <c r="H13" s="235"/>
      <c r="I13" s="236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280</v>
      </c>
      <c r="P13" s="39">
        <f t="shared" si="2"/>
        <v>903</v>
      </c>
      <c r="Q13" s="77">
        <f t="shared" si="3"/>
        <v>1.4606741600000001E-2</v>
      </c>
      <c r="R13" s="86">
        <f t="shared" si="5"/>
        <v>46918004.073286258</v>
      </c>
    </row>
    <row r="14" spans="1:18">
      <c r="A14" s="40" t="s">
        <v>77</v>
      </c>
      <c r="B14" s="11" t="s">
        <v>78</v>
      </c>
      <c r="C14" s="95">
        <v>671200</v>
      </c>
      <c r="D14" s="92">
        <v>-5.9241705999999996E-3</v>
      </c>
      <c r="E14" s="93">
        <v>38550.936488699997</v>
      </c>
      <c r="F14" s="35"/>
      <c r="G14" s="262" t="s">
        <v>36</v>
      </c>
      <c r="H14" s="263"/>
      <c r="I14" s="264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84</v>
      </c>
      <c r="P14" s="39">
        <f t="shared" si="2"/>
        <v>1700</v>
      </c>
      <c r="Q14" s="77">
        <f t="shared" si="3"/>
        <v>8.9020772000000005E-3</v>
      </c>
      <c r="R14" s="86">
        <f t="shared" si="5"/>
        <v>52932839.531339802</v>
      </c>
    </row>
    <row r="15" spans="1:18" ht="17.25" thickBot="1">
      <c r="A15" s="40" t="s">
        <v>129</v>
      </c>
      <c r="B15" s="11" t="s">
        <v>130</v>
      </c>
      <c r="C15" s="95">
        <v>188500</v>
      </c>
      <c r="D15" s="92">
        <v>-1.10178384E-2</v>
      </c>
      <c r="E15" s="93">
        <v>70595.486459039996</v>
      </c>
      <c r="F15" s="35"/>
      <c r="G15" s="255"/>
      <c r="H15" s="256"/>
      <c r="I15" s="257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76</v>
      </c>
      <c r="P15" s="37">
        <f t="shared" si="2"/>
        <v>25310</v>
      </c>
      <c r="Q15" s="79">
        <f t="shared" si="3"/>
        <v>6.7621321000000002E-3</v>
      </c>
      <c r="R15" s="87">
        <f t="shared" si="5"/>
        <v>1211512.3361613699</v>
      </c>
    </row>
    <row r="16" spans="1:18" ht="17.25" thickBot="1">
      <c r="A16" s="40" t="s">
        <v>113</v>
      </c>
      <c r="B16" s="11" t="s">
        <v>114</v>
      </c>
      <c r="C16" s="95">
        <v>9165</v>
      </c>
      <c r="D16" s="92">
        <v>-1.3986014E-2</v>
      </c>
      <c r="E16" s="93">
        <v>2207964.5284304</v>
      </c>
      <c r="F16" s="35"/>
      <c r="G16" s="50" t="s">
        <v>38</v>
      </c>
      <c r="H16" s="235" t="s">
        <v>37</v>
      </c>
      <c r="I16" s="236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106</v>
      </c>
      <c r="P16" s="38">
        <f t="shared" si="2"/>
        <v>1020</v>
      </c>
      <c r="Q16" s="76">
        <f t="shared" si="3"/>
        <v>4.9261084000000004E-3</v>
      </c>
      <c r="R16" s="85">
        <f t="shared" si="5"/>
        <v>2835312.0231972402</v>
      </c>
    </row>
    <row r="17" spans="1:18">
      <c r="A17" s="40" t="s">
        <v>137</v>
      </c>
      <c r="B17" s="11" t="s">
        <v>138</v>
      </c>
      <c r="C17" s="95">
        <v>24120</v>
      </c>
      <c r="D17" s="92">
        <v>-1.5510204099999999E-2</v>
      </c>
      <c r="E17" s="93">
        <v>948188.19628439995</v>
      </c>
      <c r="F17" s="35"/>
      <c r="G17" s="280">
        <f>_xlfn.IFNA(VLOOKUP(G14, $B$2:$D$200, 3, FALSE), "-")</f>
        <v>-5.2176301000000001E-2</v>
      </c>
      <c r="H17" s="282">
        <f>_xlfn.IFNA(VLOOKUP(G14, $B$2:$D$200, 2, FALSE), "-")</f>
        <v>41418000</v>
      </c>
      <c r="I17" s="283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98</v>
      </c>
      <c r="P17" s="39">
        <f t="shared" si="2"/>
        <v>3670</v>
      </c>
      <c r="Q17" s="77">
        <f t="shared" si="3"/>
        <v>0</v>
      </c>
      <c r="R17" s="86">
        <f t="shared" si="5"/>
        <v>2064022.57954887</v>
      </c>
    </row>
    <row r="18" spans="1:18" ht="17.25" thickBot="1">
      <c r="A18" s="40" t="s">
        <v>131</v>
      </c>
      <c r="B18" s="11" t="s">
        <v>132</v>
      </c>
      <c r="C18" s="95">
        <v>121</v>
      </c>
      <c r="D18" s="92">
        <v>-1.6260162599999999E-2</v>
      </c>
      <c r="E18" s="93">
        <v>920314254.51790357</v>
      </c>
      <c r="F18" s="35"/>
      <c r="G18" s="281"/>
      <c r="H18" s="284"/>
      <c r="I18" s="285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78</v>
      </c>
      <c r="P18" s="39">
        <f t="shared" si="2"/>
        <v>671200</v>
      </c>
      <c r="Q18" s="77">
        <f t="shared" si="3"/>
        <v>-5.9241705999999996E-3</v>
      </c>
      <c r="R18" s="86">
        <f t="shared" si="5"/>
        <v>38550.936488699997</v>
      </c>
    </row>
    <row r="19" spans="1:18" ht="17.25" thickBot="1">
      <c r="A19" s="40" t="s">
        <v>155</v>
      </c>
      <c r="B19" s="11" t="s">
        <v>156</v>
      </c>
      <c r="C19" s="95">
        <v>79.400000000000006</v>
      </c>
      <c r="D19" s="92">
        <v>-1.85414091E-2</v>
      </c>
      <c r="E19" s="93">
        <v>156292154.59634018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130</v>
      </c>
      <c r="P19" s="39">
        <f t="shared" si="2"/>
        <v>188500</v>
      </c>
      <c r="Q19" s="77">
        <f t="shared" si="3"/>
        <v>-1.10178384E-2</v>
      </c>
      <c r="R19" s="86">
        <f t="shared" si="5"/>
        <v>70595.486459039996</v>
      </c>
    </row>
    <row r="20" spans="1:18" ht="17.25" thickBot="1">
      <c r="A20" s="40" t="s">
        <v>109</v>
      </c>
      <c r="B20" s="11" t="s">
        <v>110</v>
      </c>
      <c r="C20" s="95">
        <v>1040</v>
      </c>
      <c r="D20" s="92">
        <v>-1.8867924500000001E-2</v>
      </c>
      <c r="E20" s="93">
        <v>3425591.41827715</v>
      </c>
      <c r="F20" s="35"/>
      <c r="G20" s="234" t="s">
        <v>286</v>
      </c>
      <c r="H20" s="235"/>
      <c r="I20" s="236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114</v>
      </c>
      <c r="P20" s="39">
        <f t="shared" si="2"/>
        <v>9165</v>
      </c>
      <c r="Q20" s="77">
        <f t="shared" si="3"/>
        <v>-1.3986014E-2</v>
      </c>
      <c r="R20" s="90">
        <f t="shared" si="5"/>
        <v>2207964.5284304</v>
      </c>
    </row>
    <row r="21" spans="1:18">
      <c r="A21" s="40" t="s">
        <v>89</v>
      </c>
      <c r="B21" s="11" t="s">
        <v>90</v>
      </c>
      <c r="C21" s="95">
        <v>188350</v>
      </c>
      <c r="D21" s="92">
        <v>-2.0540821599999998E-2</v>
      </c>
      <c r="E21" s="93">
        <v>25397.67065706</v>
      </c>
      <c r="F21" s="35"/>
      <c r="G21" s="262" t="s">
        <v>36</v>
      </c>
      <c r="H21" s="263"/>
      <c r="I21" s="264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138</v>
      </c>
      <c r="P21" s="45">
        <f t="shared" si="2"/>
        <v>24120</v>
      </c>
      <c r="Q21" s="80">
        <f t="shared" si="3"/>
        <v>-1.5510204099999999E-2</v>
      </c>
      <c r="R21" s="99">
        <f t="shared" si="5"/>
        <v>948188.19628439995</v>
      </c>
    </row>
    <row r="22" spans="1:18" ht="17.25" thickBot="1">
      <c r="A22" s="40" t="s">
        <v>91</v>
      </c>
      <c r="B22" s="11" t="s">
        <v>92</v>
      </c>
      <c r="C22" s="95">
        <v>969</v>
      </c>
      <c r="D22" s="92">
        <v>-2.12121212E-2</v>
      </c>
      <c r="E22" s="93">
        <v>289217720.96687055</v>
      </c>
      <c r="F22" s="35"/>
      <c r="G22" s="255"/>
      <c r="H22" s="256"/>
      <c r="I22" s="257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132</v>
      </c>
      <c r="P22" s="39">
        <f t="shared" si="2"/>
        <v>121</v>
      </c>
      <c r="Q22" s="77">
        <f t="shared" si="3"/>
        <v>-1.6260162599999999E-2</v>
      </c>
      <c r="R22" s="86">
        <f t="shared" si="5"/>
        <v>920314254.51790357</v>
      </c>
    </row>
    <row r="23" spans="1:18" ht="17.25" thickBot="1">
      <c r="A23" s="40" t="s">
        <v>85</v>
      </c>
      <c r="B23" s="11" t="s">
        <v>86</v>
      </c>
      <c r="C23" s="95">
        <v>5620</v>
      </c>
      <c r="D23" s="92">
        <v>-2.3457862699999998E-2</v>
      </c>
      <c r="E23" s="93">
        <v>11173562.16587159</v>
      </c>
      <c r="F23" s="35"/>
      <c r="G23" s="50" t="s">
        <v>38</v>
      </c>
      <c r="H23" s="235" t="s">
        <v>37</v>
      </c>
      <c r="I23" s="236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156</v>
      </c>
      <c r="P23" s="39">
        <f t="shared" si="2"/>
        <v>79.400000000000006</v>
      </c>
      <c r="Q23" s="77">
        <f t="shared" si="3"/>
        <v>-1.85414091E-2</v>
      </c>
      <c r="R23" s="86">
        <f t="shared" si="5"/>
        <v>156292154.59634018</v>
      </c>
    </row>
    <row r="24" spans="1:18">
      <c r="A24" s="40" t="s">
        <v>141</v>
      </c>
      <c r="B24" s="11" t="s">
        <v>142</v>
      </c>
      <c r="C24" s="95">
        <v>525</v>
      </c>
      <c r="D24" s="92">
        <v>-2.41635688E-2</v>
      </c>
      <c r="E24" s="93">
        <v>168961253.33321571</v>
      </c>
      <c r="F24" s="35"/>
      <c r="G24" s="280">
        <f>_xlfn.IFNA(VLOOKUP(G21, $B$2:$D$200, 3, FALSE), "-")</f>
        <v>-5.2176301000000001E-2</v>
      </c>
      <c r="H24" s="282">
        <f>_xlfn.IFNA(VLOOKUP(G21, $B$2:$D$200, 2, FALSE), "-")</f>
        <v>41418000</v>
      </c>
      <c r="I24" s="28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110</v>
      </c>
      <c r="P24" s="39">
        <f t="shared" si="2"/>
        <v>1040</v>
      </c>
      <c r="Q24" s="77">
        <f t="shared" si="3"/>
        <v>-1.8867924500000001E-2</v>
      </c>
      <c r="R24" s="86">
        <f t="shared" si="5"/>
        <v>3425591.41827715</v>
      </c>
    </row>
    <row r="25" spans="1:18" ht="17.25" thickBot="1">
      <c r="A25" s="40" t="s">
        <v>73</v>
      </c>
      <c r="B25" s="11" t="s">
        <v>74</v>
      </c>
      <c r="C25" s="95">
        <v>13570</v>
      </c>
      <c r="D25" s="92">
        <v>-2.58435032E-2</v>
      </c>
      <c r="E25" s="93">
        <v>262715.70338265999</v>
      </c>
      <c r="F25" s="35"/>
      <c r="G25" s="281"/>
      <c r="H25" s="284"/>
      <c r="I25" s="285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90</v>
      </c>
      <c r="P25" s="37">
        <f t="shared" si="2"/>
        <v>188350</v>
      </c>
      <c r="Q25" s="79">
        <f t="shared" si="3"/>
        <v>-2.0540821599999998E-2</v>
      </c>
      <c r="R25" s="87">
        <f t="shared" si="5"/>
        <v>25397.67065706</v>
      </c>
    </row>
    <row r="26" spans="1:18">
      <c r="A26" s="40" t="s">
        <v>62</v>
      </c>
      <c r="B26" s="11" t="s">
        <v>63</v>
      </c>
      <c r="C26" s="95">
        <v>54250</v>
      </c>
      <c r="D26" s="92">
        <v>-2.6556612199999999E-2</v>
      </c>
      <c r="E26" s="93">
        <v>396023.50582319999</v>
      </c>
      <c r="F26" s="35"/>
    </row>
    <row r="27" spans="1:18" ht="17.25" thickBot="1">
      <c r="A27" s="40" t="s">
        <v>295</v>
      </c>
      <c r="B27" s="11" t="s">
        <v>296</v>
      </c>
      <c r="C27" s="95">
        <v>363</v>
      </c>
      <c r="D27" s="92">
        <v>-2.68096515E-2</v>
      </c>
      <c r="E27" s="93">
        <v>331991085.32999915</v>
      </c>
      <c r="F27" s="35"/>
    </row>
    <row r="28" spans="1:18" ht="17.25" thickBot="1">
      <c r="A28" s="40" t="s">
        <v>143</v>
      </c>
      <c r="B28" s="11" t="s">
        <v>144</v>
      </c>
      <c r="C28" s="95">
        <v>5435</v>
      </c>
      <c r="D28" s="92">
        <v>-2.7728085900000001E-2</v>
      </c>
      <c r="E28" s="93">
        <v>1795207.04038541</v>
      </c>
      <c r="F28" s="35"/>
      <c r="G28" s="234" t="s">
        <v>46</v>
      </c>
      <c r="H28" s="235"/>
      <c r="I28" s="235"/>
      <c r="J28" s="236"/>
      <c r="K28" s="234" t="s">
        <v>44</v>
      </c>
      <c r="L28" s="235"/>
      <c r="M28" s="235"/>
      <c r="N28" s="236"/>
      <c r="O28" s="234" t="s">
        <v>45</v>
      </c>
      <c r="P28" s="235"/>
      <c r="Q28" s="235"/>
      <c r="R28" s="236"/>
    </row>
    <row r="29" spans="1:18" ht="17.25" thickBot="1">
      <c r="A29" s="40" t="s">
        <v>149</v>
      </c>
      <c r="B29" s="11" t="s">
        <v>150</v>
      </c>
      <c r="C29" s="95">
        <v>1985</v>
      </c>
      <c r="D29" s="92">
        <v>-2.93398533E-2</v>
      </c>
      <c r="E29" s="93">
        <v>5246526.2007177696</v>
      </c>
      <c r="F29" s="35"/>
      <c r="G29" s="271" t="s">
        <v>55</v>
      </c>
      <c r="H29" s="287">
        <f ca="1">NOW()</f>
        <v>44360.023360763887</v>
      </c>
      <c r="I29" s="288"/>
      <c r="J29" s="289"/>
      <c r="K29" s="286" t="s">
        <v>55</v>
      </c>
      <c r="L29" s="287">
        <f ca="1">NOW()</f>
        <v>44360.023360763887</v>
      </c>
      <c r="M29" s="288"/>
      <c r="N29" s="289"/>
      <c r="O29" s="286" t="s">
        <v>55</v>
      </c>
      <c r="P29" s="287">
        <f ca="1">NOW()</f>
        <v>44360.023360763887</v>
      </c>
      <c r="Q29" s="288"/>
      <c r="R29" s="289"/>
    </row>
    <row r="30" spans="1:18" ht="17.25" thickBot="1">
      <c r="A30" s="40" t="s">
        <v>241</v>
      </c>
      <c r="B30" s="11" t="s">
        <v>242</v>
      </c>
      <c r="C30" s="95">
        <v>3215</v>
      </c>
      <c r="D30" s="92">
        <v>-3.0165912499999999E-2</v>
      </c>
      <c r="E30" s="93">
        <v>1631400.3468968901</v>
      </c>
      <c r="F30" s="35"/>
      <c r="G30" s="279"/>
      <c r="H30" s="51" t="s">
        <v>58</v>
      </c>
      <c r="I30" s="73" t="s">
        <v>59</v>
      </c>
      <c r="J30" s="69" t="s">
        <v>294</v>
      </c>
      <c r="K30" s="257"/>
      <c r="L30" s="51" t="s">
        <v>58</v>
      </c>
      <c r="M30" s="73" t="s">
        <v>59</v>
      </c>
      <c r="N30" s="91" t="s">
        <v>294</v>
      </c>
      <c r="O30" s="257"/>
      <c r="P30" s="51" t="s">
        <v>58</v>
      </c>
      <c r="Q30" s="73" t="s">
        <v>59</v>
      </c>
      <c r="R30" s="91" t="s">
        <v>294</v>
      </c>
    </row>
    <row r="31" spans="1:18">
      <c r="A31" s="40" t="s">
        <v>79</v>
      </c>
      <c r="B31" s="11" t="s">
        <v>80</v>
      </c>
      <c r="C31" s="95">
        <v>731</v>
      </c>
      <c r="D31" s="92">
        <v>-3.0503978800000001E-2</v>
      </c>
      <c r="E31" s="93">
        <v>4222800.9050395004</v>
      </c>
      <c r="F31" s="35"/>
      <c r="G31" s="52" t="s">
        <v>264</v>
      </c>
      <c r="H31" s="38">
        <f t="shared" ref="H31:H50" si="6">_xlfn.IFNA(VLOOKUP(G31, $B$2:$D$200, 2, FALSE), "")</f>
        <v>83.8</v>
      </c>
      <c r="I31" s="76">
        <f t="shared" ref="I31:I50" si="7">_xlfn.IFNA(VLOOKUP(G31, $B$2:$D$200, 3, FALSE), "")</f>
        <v>0.13396481730000001</v>
      </c>
      <c r="J31" s="85">
        <f>_xlfn.IFNA(VLOOKUP(G31, $B$2:$E$200, 4, FALSE), "")</f>
        <v>2779801222.1589527</v>
      </c>
      <c r="K31" s="81" t="s">
        <v>264</v>
      </c>
      <c r="L31" s="38">
        <f t="shared" ref="L31:L50" si="8">_xlfn.IFNA(VLOOKUP(K31, $B$2:$D$200, 2, FALSE), "")</f>
        <v>83.8</v>
      </c>
      <c r="M31" s="76">
        <f t="shared" ref="M31:M50" si="9">_xlfn.IFNA(VLOOKUP(K31, $B$2:$D$200, 3, FALSE), "")</f>
        <v>0.13396481730000001</v>
      </c>
      <c r="N31" s="85">
        <f>_xlfn.IFNA(VLOOKUP(K31, $B$2:$E$200, 4, FALSE), "")</f>
        <v>2779801222.1589527</v>
      </c>
      <c r="O31" s="81" t="s">
        <v>51</v>
      </c>
      <c r="P31" s="38">
        <f t="shared" ref="P31:P50" si="10">_xlfn.IFNA(VLOOKUP(O31, $B$2:$D$200, 2, FALSE), "")</f>
        <v>380</v>
      </c>
      <c r="Q31" s="76">
        <f t="shared" ref="Q31:Q50" si="11">_xlfn.IFNA(VLOOKUP(O31, $B$2:$D$200, 3, FALSE), "")</f>
        <v>2.15053763E-2</v>
      </c>
      <c r="R31" s="85">
        <f>_xlfn.IFNA(VLOOKUP(O31, $B$2:$E$200, 4, FALSE), "")</f>
        <v>83491504.437275946</v>
      </c>
    </row>
    <row r="32" spans="1:18">
      <c r="A32" s="40" t="s">
        <v>101</v>
      </c>
      <c r="B32" s="11" t="s">
        <v>102</v>
      </c>
      <c r="C32" s="95">
        <v>64440</v>
      </c>
      <c r="D32" s="92">
        <v>-3.0831704000000001E-2</v>
      </c>
      <c r="E32" s="93">
        <v>3345649.6018456002</v>
      </c>
      <c r="F32" s="35"/>
      <c r="G32" s="47" t="s">
        <v>164</v>
      </c>
      <c r="H32" s="39">
        <f t="shared" si="6"/>
        <v>17420</v>
      </c>
      <c r="I32" s="77">
        <f t="shared" si="7"/>
        <v>5.44794189E-2</v>
      </c>
      <c r="J32" s="86">
        <f t="shared" ref="J32:J50" si="12">_xlfn.IFNA(VLOOKUP(G32, $B$2:$E$200, 4, FALSE), "")</f>
        <v>3477363.6288847998</v>
      </c>
      <c r="K32" s="82" t="s">
        <v>148</v>
      </c>
      <c r="L32" s="39">
        <f t="shared" si="8"/>
        <v>97.6</v>
      </c>
      <c r="M32" s="77">
        <f t="shared" si="9"/>
        <v>1.6666666699999999E-2</v>
      </c>
      <c r="N32" s="86">
        <f t="shared" ref="N32:N50" si="13">_xlfn.IFNA(VLOOKUP(K32, $B$2:$E$200, 4, FALSE), "")</f>
        <v>170390386.4734993</v>
      </c>
      <c r="O32" s="82" t="s">
        <v>280</v>
      </c>
      <c r="P32" s="39">
        <f t="shared" si="10"/>
        <v>903</v>
      </c>
      <c r="Q32" s="77">
        <f t="shared" si="11"/>
        <v>1.4606741600000001E-2</v>
      </c>
      <c r="R32" s="86">
        <f t="shared" ref="R32:R50" si="14">_xlfn.IFNA(VLOOKUP(O32, $B$2:$E$200, 4, FALSE), "")</f>
        <v>46918004.073286258</v>
      </c>
    </row>
    <row r="33" spans="1:18">
      <c r="A33" s="40" t="s">
        <v>165</v>
      </c>
      <c r="B33" s="11" t="s">
        <v>166</v>
      </c>
      <c r="C33" s="95">
        <v>1060</v>
      </c>
      <c r="D33" s="92">
        <v>-3.1963470299999998E-2</v>
      </c>
      <c r="E33" s="93">
        <v>1958943.68481198</v>
      </c>
      <c r="F33" s="35"/>
      <c r="G33" s="47" t="s">
        <v>118</v>
      </c>
      <c r="H33" s="39">
        <f t="shared" si="6"/>
        <v>4255</v>
      </c>
      <c r="I33" s="77">
        <f t="shared" si="7"/>
        <v>2.16086435E-2</v>
      </c>
      <c r="J33" s="86">
        <f t="shared" si="12"/>
        <v>2276179.4593520202</v>
      </c>
      <c r="K33" s="82" t="s">
        <v>156</v>
      </c>
      <c r="L33" s="39">
        <f t="shared" si="8"/>
        <v>79.400000000000006</v>
      </c>
      <c r="M33" s="77">
        <f t="shared" si="9"/>
        <v>-1.85414091E-2</v>
      </c>
      <c r="N33" s="86">
        <f t="shared" si="13"/>
        <v>156292154.59634018</v>
      </c>
      <c r="O33" s="82" t="s">
        <v>132</v>
      </c>
      <c r="P33" s="39">
        <f t="shared" si="10"/>
        <v>121</v>
      </c>
      <c r="Q33" s="77">
        <f t="shared" si="11"/>
        <v>-1.6260162599999999E-2</v>
      </c>
      <c r="R33" s="86">
        <f t="shared" si="14"/>
        <v>920314254.51790357</v>
      </c>
    </row>
    <row r="34" spans="1:18">
      <c r="A34" s="40" t="s">
        <v>99</v>
      </c>
      <c r="B34" s="11" t="s">
        <v>100</v>
      </c>
      <c r="C34" s="95">
        <v>3.93</v>
      </c>
      <c r="D34" s="92">
        <v>-3.2019704400000001E-2</v>
      </c>
      <c r="E34" s="93">
        <v>18598009964.304138</v>
      </c>
      <c r="F34" s="35"/>
      <c r="G34" s="47" t="s">
        <v>51</v>
      </c>
      <c r="H34" s="39">
        <f t="shared" si="6"/>
        <v>380</v>
      </c>
      <c r="I34" s="77">
        <f t="shared" si="7"/>
        <v>2.15053763E-2</v>
      </c>
      <c r="J34" s="86">
        <f t="shared" si="12"/>
        <v>83491504.437275946</v>
      </c>
      <c r="K34" s="82" t="s">
        <v>100</v>
      </c>
      <c r="L34" s="39">
        <f t="shared" si="8"/>
        <v>3.93</v>
      </c>
      <c r="M34" s="77">
        <f t="shared" si="9"/>
        <v>-3.2019704400000001E-2</v>
      </c>
      <c r="N34" s="86">
        <f t="shared" si="13"/>
        <v>18598009964.304138</v>
      </c>
      <c r="O34" s="82" t="s">
        <v>92</v>
      </c>
      <c r="P34" s="39">
        <f t="shared" si="10"/>
        <v>969</v>
      </c>
      <c r="Q34" s="77">
        <f t="shared" si="11"/>
        <v>-2.12121212E-2</v>
      </c>
      <c r="R34" s="86">
        <f t="shared" si="14"/>
        <v>289217720.96687055</v>
      </c>
    </row>
    <row r="35" spans="1:18">
      <c r="A35" s="40" t="s">
        <v>135</v>
      </c>
      <c r="B35" s="11" t="s">
        <v>136</v>
      </c>
      <c r="C35" s="95">
        <v>115</v>
      </c>
      <c r="D35" s="92">
        <v>-3.3613445399999997E-2</v>
      </c>
      <c r="E35" s="93">
        <v>52364083.367535003</v>
      </c>
      <c r="F35" s="35"/>
      <c r="G35" s="47" t="s">
        <v>96</v>
      </c>
      <c r="H35" s="44">
        <f t="shared" si="6"/>
        <v>2806000</v>
      </c>
      <c r="I35" s="78">
        <f t="shared" si="7"/>
        <v>1.8142235100000001E-2</v>
      </c>
      <c r="J35" s="90">
        <f t="shared" si="12"/>
        <v>134691.54374513999</v>
      </c>
      <c r="K35" s="83" t="s">
        <v>278</v>
      </c>
      <c r="L35" s="44">
        <f t="shared" si="8"/>
        <v>69.099999999999994</v>
      </c>
      <c r="M35" s="78">
        <f t="shared" si="9"/>
        <v>-3.6262203600000001E-2</v>
      </c>
      <c r="N35" s="90">
        <f t="shared" si="13"/>
        <v>39839433.275413349</v>
      </c>
      <c r="O35" s="83" t="s">
        <v>142</v>
      </c>
      <c r="P35" s="44">
        <f t="shared" si="10"/>
        <v>525</v>
      </c>
      <c r="Q35" s="78">
        <f t="shared" si="11"/>
        <v>-2.41635688E-2</v>
      </c>
      <c r="R35" s="90">
        <f t="shared" si="14"/>
        <v>168961253.33321571</v>
      </c>
    </row>
    <row r="36" spans="1:18">
      <c r="A36" s="40" t="s">
        <v>277</v>
      </c>
      <c r="B36" s="11" t="s">
        <v>278</v>
      </c>
      <c r="C36" s="95">
        <v>69.099999999999994</v>
      </c>
      <c r="D36" s="92">
        <v>-3.6262203600000001E-2</v>
      </c>
      <c r="E36" s="93">
        <v>39839433.275413349</v>
      </c>
      <c r="F36" s="35"/>
      <c r="G36" s="49" t="s">
        <v>148</v>
      </c>
      <c r="H36" s="39">
        <f t="shared" si="6"/>
        <v>97.6</v>
      </c>
      <c r="I36" s="77">
        <f t="shared" si="7"/>
        <v>1.6666666699999999E-2</v>
      </c>
      <c r="J36" s="99">
        <f t="shared" si="12"/>
        <v>170390386.4734993</v>
      </c>
      <c r="K36" s="82" t="s">
        <v>65</v>
      </c>
      <c r="L36" s="39">
        <f t="shared" si="8"/>
        <v>31.3</v>
      </c>
      <c r="M36" s="77">
        <f t="shared" si="9"/>
        <v>-3.9877300599999999E-2</v>
      </c>
      <c r="N36" s="99">
        <f t="shared" si="13"/>
        <v>72133797.175267249</v>
      </c>
      <c r="O36" s="82" t="s">
        <v>296</v>
      </c>
      <c r="P36" s="39">
        <f t="shared" si="10"/>
        <v>363</v>
      </c>
      <c r="Q36" s="77">
        <f t="shared" si="11"/>
        <v>-2.68096515E-2</v>
      </c>
      <c r="R36" s="99">
        <f t="shared" si="14"/>
        <v>331991085.32999915</v>
      </c>
    </row>
    <row r="37" spans="1:18">
      <c r="A37" s="40" t="s">
        <v>127</v>
      </c>
      <c r="B37" s="11" t="s">
        <v>128</v>
      </c>
      <c r="C37" s="95">
        <v>298</v>
      </c>
      <c r="D37" s="92">
        <v>-3.8709677400000003E-2</v>
      </c>
      <c r="E37" s="93">
        <v>8278610.3126347698</v>
      </c>
      <c r="F37" s="35"/>
      <c r="G37" s="47" t="s">
        <v>184</v>
      </c>
      <c r="H37" s="39">
        <f t="shared" si="6"/>
        <v>1340</v>
      </c>
      <c r="I37" s="77">
        <f t="shared" si="7"/>
        <v>1.51515152E-2</v>
      </c>
      <c r="J37" s="86">
        <f t="shared" si="12"/>
        <v>3071207.6019617701</v>
      </c>
      <c r="K37" s="82" t="s">
        <v>152</v>
      </c>
      <c r="L37" s="39">
        <f t="shared" si="8"/>
        <v>17.2</v>
      </c>
      <c r="M37" s="77">
        <f t="shared" si="9"/>
        <v>-4.9723756899999999E-2</v>
      </c>
      <c r="N37" s="86">
        <f t="shared" si="13"/>
        <v>319501725.16470218</v>
      </c>
      <c r="O37" s="82" t="s">
        <v>80</v>
      </c>
      <c r="P37" s="39">
        <f t="shared" si="10"/>
        <v>731</v>
      </c>
      <c r="Q37" s="77">
        <f t="shared" si="11"/>
        <v>-3.0503978800000001E-2</v>
      </c>
      <c r="R37" s="86">
        <f t="shared" si="14"/>
        <v>4222800.9050395004</v>
      </c>
    </row>
    <row r="38" spans="1:18">
      <c r="A38" s="40" t="s">
        <v>64</v>
      </c>
      <c r="B38" s="11" t="s">
        <v>65</v>
      </c>
      <c r="C38" s="95">
        <v>31.3</v>
      </c>
      <c r="D38" s="92">
        <v>-3.9877300599999999E-2</v>
      </c>
      <c r="E38" s="93">
        <v>72133797.175267249</v>
      </c>
      <c r="F38" s="35"/>
      <c r="G38" s="47" t="s">
        <v>280</v>
      </c>
      <c r="H38" s="39">
        <f t="shared" si="6"/>
        <v>903</v>
      </c>
      <c r="I38" s="77">
        <f t="shared" si="7"/>
        <v>1.4606741600000001E-2</v>
      </c>
      <c r="J38" s="86">
        <f t="shared" si="12"/>
        <v>46918004.073286258</v>
      </c>
      <c r="K38" s="82" t="s">
        <v>220</v>
      </c>
      <c r="L38" s="39">
        <f t="shared" si="8"/>
        <v>10</v>
      </c>
      <c r="M38" s="77">
        <f t="shared" si="9"/>
        <v>-6.5420560700000005E-2</v>
      </c>
      <c r="N38" s="86">
        <f t="shared" si="13"/>
        <v>471894023.98040873</v>
      </c>
      <c r="O38" s="82" t="s">
        <v>136</v>
      </c>
      <c r="P38" s="39">
        <f t="shared" si="10"/>
        <v>115</v>
      </c>
      <c r="Q38" s="77">
        <f t="shared" si="11"/>
        <v>-3.3613445399999997E-2</v>
      </c>
      <c r="R38" s="86">
        <f t="shared" si="14"/>
        <v>52364083.367535003</v>
      </c>
    </row>
    <row r="39" spans="1:18">
      <c r="A39" s="40" t="s">
        <v>87</v>
      </c>
      <c r="B39" s="11" t="s">
        <v>88</v>
      </c>
      <c r="C39" s="95">
        <v>333</v>
      </c>
      <c r="D39" s="92">
        <v>-4.0345821300000001E-2</v>
      </c>
      <c r="E39" s="93">
        <v>600493050.68891382</v>
      </c>
      <c r="F39" s="35"/>
      <c r="G39" s="47" t="s">
        <v>84</v>
      </c>
      <c r="H39" s="39">
        <f t="shared" si="6"/>
        <v>1700</v>
      </c>
      <c r="I39" s="77">
        <f t="shared" si="7"/>
        <v>8.9020772000000005E-3</v>
      </c>
      <c r="J39" s="86">
        <f t="shared" si="12"/>
        <v>52932839.531339802</v>
      </c>
      <c r="K39" s="82" t="s">
        <v>126</v>
      </c>
      <c r="L39" s="39">
        <f t="shared" si="8"/>
        <v>24.2</v>
      </c>
      <c r="M39" s="77">
        <f t="shared" si="9"/>
        <v>-6.5637065600000002E-2</v>
      </c>
      <c r="N39" s="86">
        <f t="shared" si="13"/>
        <v>188651176.31373924</v>
      </c>
      <c r="O39" s="82" t="s">
        <v>128</v>
      </c>
      <c r="P39" s="39">
        <f t="shared" si="10"/>
        <v>298</v>
      </c>
      <c r="Q39" s="77">
        <f t="shared" si="11"/>
        <v>-3.8709677400000003E-2</v>
      </c>
      <c r="R39" s="86">
        <f t="shared" si="14"/>
        <v>8278610.3126347698</v>
      </c>
    </row>
    <row r="40" spans="1:18" ht="17.25" thickBot="1">
      <c r="A40" s="40" t="s">
        <v>103</v>
      </c>
      <c r="B40" s="11" t="s">
        <v>104</v>
      </c>
      <c r="C40" s="95">
        <v>1040</v>
      </c>
      <c r="D40" s="92">
        <v>-4.1474654399999998E-2</v>
      </c>
      <c r="E40" s="93">
        <v>5343689.3847843101</v>
      </c>
      <c r="F40" s="35"/>
      <c r="G40" s="53" t="s">
        <v>76</v>
      </c>
      <c r="H40" s="37">
        <f t="shared" si="6"/>
        <v>25310</v>
      </c>
      <c r="I40" s="79">
        <f t="shared" si="7"/>
        <v>6.7621321000000002E-3</v>
      </c>
      <c r="J40" s="87">
        <f t="shared" si="12"/>
        <v>1211512.3361613699</v>
      </c>
      <c r="K40" s="84" t="s">
        <v>260</v>
      </c>
      <c r="L40" s="37">
        <f t="shared" si="8"/>
        <v>56.4</v>
      </c>
      <c r="M40" s="79">
        <f t="shared" si="9"/>
        <v>-7.5409836100000002E-2</v>
      </c>
      <c r="N40" s="87">
        <f t="shared" si="13"/>
        <v>2890278313.8215208</v>
      </c>
      <c r="O40" s="84" t="s">
        <v>88</v>
      </c>
      <c r="P40" s="37">
        <f t="shared" si="10"/>
        <v>333</v>
      </c>
      <c r="Q40" s="79">
        <f t="shared" si="11"/>
        <v>-4.0345821300000001E-2</v>
      </c>
      <c r="R40" s="87">
        <f t="shared" si="14"/>
        <v>600493050.68891382</v>
      </c>
    </row>
    <row r="41" spans="1:18">
      <c r="A41" s="40" t="s">
        <v>179</v>
      </c>
      <c r="B41" s="11" t="s">
        <v>180</v>
      </c>
      <c r="C41" s="95">
        <v>2530</v>
      </c>
      <c r="D41" s="92">
        <v>-4.16666667E-2</v>
      </c>
      <c r="E41" s="93">
        <v>3916781.3524666401</v>
      </c>
      <c r="F41" s="35"/>
      <c r="G41" s="52" t="s">
        <v>106</v>
      </c>
      <c r="H41" s="38">
        <f t="shared" si="6"/>
        <v>1020</v>
      </c>
      <c r="I41" s="76">
        <f t="shared" si="7"/>
        <v>4.9261084000000004E-3</v>
      </c>
      <c r="J41" s="85">
        <f t="shared" si="12"/>
        <v>2835312.0231972402</v>
      </c>
      <c r="K41" s="81" t="s">
        <v>134</v>
      </c>
      <c r="L41" s="38">
        <f t="shared" si="8"/>
        <v>77.7</v>
      </c>
      <c r="M41" s="76">
        <f t="shared" si="9"/>
        <v>-7.9383886299999998E-2</v>
      </c>
      <c r="N41" s="85">
        <f t="shared" si="13"/>
        <v>116380264.99760117</v>
      </c>
      <c r="O41" s="81" t="s">
        <v>57</v>
      </c>
      <c r="P41" s="38">
        <f t="shared" si="10"/>
        <v>184</v>
      </c>
      <c r="Q41" s="76">
        <f t="shared" si="11"/>
        <v>-4.16666667E-2</v>
      </c>
      <c r="R41" s="85">
        <f t="shared" si="14"/>
        <v>39263633.233017147</v>
      </c>
    </row>
    <row r="42" spans="1:18">
      <c r="A42" s="40" t="s">
        <v>56</v>
      </c>
      <c r="B42" s="11" t="s">
        <v>57</v>
      </c>
      <c r="C42" s="95">
        <v>184</v>
      </c>
      <c r="D42" s="92">
        <v>-4.16666667E-2</v>
      </c>
      <c r="E42" s="93">
        <v>39263633.233017147</v>
      </c>
      <c r="F42" s="35"/>
      <c r="G42" s="47" t="s">
        <v>98</v>
      </c>
      <c r="H42" s="39">
        <f t="shared" si="6"/>
        <v>3670</v>
      </c>
      <c r="I42" s="77">
        <f t="shared" si="7"/>
        <v>0</v>
      </c>
      <c r="J42" s="86">
        <f t="shared" si="12"/>
        <v>2064022.57954887</v>
      </c>
      <c r="K42" s="82" t="s">
        <v>168</v>
      </c>
      <c r="L42" s="39">
        <f t="shared" si="8"/>
        <v>80.8</v>
      </c>
      <c r="M42" s="77">
        <f t="shared" si="9"/>
        <v>-8.7005649700000007E-2</v>
      </c>
      <c r="N42" s="86">
        <f t="shared" si="13"/>
        <v>86148365.364008129</v>
      </c>
      <c r="O42" s="82" t="s">
        <v>61</v>
      </c>
      <c r="P42" s="39">
        <f t="shared" si="10"/>
        <v>778</v>
      </c>
      <c r="Q42" s="77">
        <f t="shared" si="11"/>
        <v>-4.30504305E-2</v>
      </c>
      <c r="R42" s="86">
        <f t="shared" si="14"/>
        <v>28370453.832473829</v>
      </c>
    </row>
    <row r="43" spans="1:18">
      <c r="A43" s="40" t="s">
        <v>60</v>
      </c>
      <c r="B43" s="11" t="s">
        <v>61</v>
      </c>
      <c r="C43" s="95">
        <v>778</v>
      </c>
      <c r="D43" s="92">
        <v>-4.30504305E-2</v>
      </c>
      <c r="E43" s="93">
        <v>28370453.832473829</v>
      </c>
      <c r="F43" s="35"/>
      <c r="G43" s="47" t="s">
        <v>78</v>
      </c>
      <c r="H43" s="39">
        <f t="shared" si="6"/>
        <v>671200</v>
      </c>
      <c r="I43" s="77">
        <f t="shared" si="7"/>
        <v>-5.9241705999999996E-3</v>
      </c>
      <c r="J43" s="86">
        <f t="shared" si="12"/>
        <v>38550.936488699997</v>
      </c>
      <c r="K43" s="82" t="s">
        <v>186</v>
      </c>
      <c r="L43" s="39">
        <f t="shared" si="8"/>
        <v>13.3</v>
      </c>
      <c r="M43" s="77">
        <f t="shared" si="9"/>
        <v>-0.119205298</v>
      </c>
      <c r="N43" s="86">
        <f t="shared" si="13"/>
        <v>529229709.01267904</v>
      </c>
      <c r="O43" s="82" t="s">
        <v>120</v>
      </c>
      <c r="P43" s="39">
        <f t="shared" si="10"/>
        <v>131</v>
      </c>
      <c r="Q43" s="77">
        <f t="shared" si="11"/>
        <v>-4.3795620399999999E-2</v>
      </c>
      <c r="R43" s="86">
        <f t="shared" si="14"/>
        <v>29018283.111917429</v>
      </c>
    </row>
    <row r="44" spans="1:18">
      <c r="A44" s="40" t="s">
        <v>119</v>
      </c>
      <c r="B44" s="11" t="s">
        <v>120</v>
      </c>
      <c r="C44" s="95">
        <v>131</v>
      </c>
      <c r="D44" s="92">
        <v>-4.3795620399999999E-2</v>
      </c>
      <c r="E44" s="93">
        <v>29018283.111917429</v>
      </c>
      <c r="F44" s="35"/>
      <c r="G44" s="47" t="s">
        <v>130</v>
      </c>
      <c r="H44" s="39">
        <f t="shared" si="6"/>
        <v>188500</v>
      </c>
      <c r="I44" s="77">
        <f t="shared" si="7"/>
        <v>-1.10178384E-2</v>
      </c>
      <c r="J44" s="86">
        <f t="shared" si="12"/>
        <v>70595.486459039996</v>
      </c>
      <c r="K44" s="82" t="s">
        <v>212</v>
      </c>
      <c r="L44" s="39">
        <f t="shared" si="8"/>
        <v>53.3</v>
      </c>
      <c r="M44" s="77">
        <f t="shared" si="9"/>
        <v>-0.1319218241</v>
      </c>
      <c r="N44" s="86">
        <f t="shared" si="13"/>
        <v>1066013593.0098788</v>
      </c>
      <c r="O44" s="82" t="s">
        <v>176</v>
      </c>
      <c r="P44" s="39">
        <f t="shared" si="10"/>
        <v>981</v>
      </c>
      <c r="Q44" s="77">
        <f t="shared" si="11"/>
        <v>-5.6730769200000003E-2</v>
      </c>
      <c r="R44" s="86">
        <f t="shared" si="14"/>
        <v>5554939.7307762504</v>
      </c>
    </row>
    <row r="45" spans="1:18">
      <c r="A45" s="40" t="s">
        <v>187</v>
      </c>
      <c r="B45" s="11" t="s">
        <v>188</v>
      </c>
      <c r="C45" s="95">
        <v>10100</v>
      </c>
      <c r="D45" s="92">
        <v>-4.8067860499999997E-2</v>
      </c>
      <c r="E45" s="93">
        <v>2205429.4033921501</v>
      </c>
      <c r="F45" s="35"/>
      <c r="G45" s="47" t="s">
        <v>114</v>
      </c>
      <c r="H45" s="44">
        <f t="shared" si="6"/>
        <v>9165</v>
      </c>
      <c r="I45" s="78">
        <f t="shared" si="7"/>
        <v>-1.3986014E-2</v>
      </c>
      <c r="J45" s="90">
        <f t="shared" si="12"/>
        <v>2207964.5284304</v>
      </c>
      <c r="K45" s="83" t="s">
        <v>228</v>
      </c>
      <c r="L45" s="44">
        <f t="shared" si="8"/>
        <v>7.77</v>
      </c>
      <c r="M45" s="78">
        <f t="shared" si="9"/>
        <v>-0.1328125</v>
      </c>
      <c r="N45" s="90">
        <f t="shared" si="13"/>
        <v>1374643097.338558</v>
      </c>
      <c r="O45" s="83" t="s">
        <v>270</v>
      </c>
      <c r="P45" s="44">
        <f t="shared" si="10"/>
        <v>301</v>
      </c>
      <c r="Q45" s="78">
        <f t="shared" si="11"/>
        <v>-5.9374999999999997E-2</v>
      </c>
      <c r="R45" s="90">
        <f t="shared" si="14"/>
        <v>4760061.3022985999</v>
      </c>
    </row>
    <row r="46" spans="1:18">
      <c r="A46" s="40" t="s">
        <v>151</v>
      </c>
      <c r="B46" s="11" t="s">
        <v>152</v>
      </c>
      <c r="C46" s="95">
        <v>17.2</v>
      </c>
      <c r="D46" s="92">
        <v>-4.9723756899999999E-2</v>
      </c>
      <c r="E46" s="93">
        <v>319501725.16470218</v>
      </c>
      <c r="F46" s="35"/>
      <c r="G46" s="49" t="s">
        <v>138</v>
      </c>
      <c r="H46" s="39">
        <f t="shared" si="6"/>
        <v>24120</v>
      </c>
      <c r="I46" s="77">
        <f t="shared" si="7"/>
        <v>-1.5510204099999999E-2</v>
      </c>
      <c r="J46" s="99">
        <f t="shared" si="12"/>
        <v>948188.19628439995</v>
      </c>
      <c r="K46" s="82" t="s">
        <v>230</v>
      </c>
      <c r="L46" s="39">
        <f t="shared" si="8"/>
        <v>90.1</v>
      </c>
      <c r="M46" s="77">
        <f t="shared" si="9"/>
        <v>-0.14190476190000001</v>
      </c>
      <c r="N46" s="99">
        <f t="shared" si="13"/>
        <v>101190976.76356269</v>
      </c>
      <c r="O46" s="82" t="s">
        <v>284</v>
      </c>
      <c r="P46" s="39">
        <f t="shared" si="10"/>
        <v>197</v>
      </c>
      <c r="Q46" s="77">
        <f t="shared" si="11"/>
        <v>-7.5117370899999994E-2</v>
      </c>
      <c r="R46" s="99">
        <f t="shared" si="14"/>
        <v>14503789.256874951</v>
      </c>
    </row>
    <row r="47" spans="1:18">
      <c r="A47" s="40" t="s">
        <v>48</v>
      </c>
      <c r="B47" s="11" t="s">
        <v>49</v>
      </c>
      <c r="C47" s="95">
        <v>41418000</v>
      </c>
      <c r="D47" s="92">
        <v>-5.2176301000000001E-2</v>
      </c>
      <c r="E47" s="93">
        <v>14330.45574317</v>
      </c>
      <c r="F47" s="35"/>
      <c r="G47" s="47" t="s">
        <v>132</v>
      </c>
      <c r="H47" s="39">
        <f t="shared" si="6"/>
        <v>121</v>
      </c>
      <c r="I47" s="77">
        <f t="shared" si="7"/>
        <v>-1.6260162599999999E-2</v>
      </c>
      <c r="J47" s="86">
        <f t="shared" si="12"/>
        <v>920314254.51790357</v>
      </c>
      <c r="K47" s="82" t="s">
        <v>72</v>
      </c>
      <c r="L47" s="39">
        <f t="shared" si="8"/>
        <v>18.100000000000001</v>
      </c>
      <c r="M47" s="77">
        <f t="shared" si="9"/>
        <v>-0.15023474179999999</v>
      </c>
      <c r="N47" s="86">
        <f t="shared" si="13"/>
        <v>361371600.33733028</v>
      </c>
      <c r="O47" s="82" t="s">
        <v>54</v>
      </c>
      <c r="P47" s="39">
        <f t="shared" si="10"/>
        <v>216</v>
      </c>
      <c r="Q47" s="77">
        <f t="shared" si="11"/>
        <v>-8.0851063799999998E-2</v>
      </c>
      <c r="R47" s="86">
        <f t="shared" si="14"/>
        <v>22703050.638212848</v>
      </c>
    </row>
    <row r="48" spans="1:18">
      <c r="A48" s="40" t="s">
        <v>68</v>
      </c>
      <c r="B48" s="11" t="s">
        <v>69</v>
      </c>
      <c r="C48" s="95">
        <v>4265</v>
      </c>
      <c r="D48" s="92">
        <v>-5.5370985599999999E-2</v>
      </c>
      <c r="E48" s="93">
        <v>1045259.07265367</v>
      </c>
      <c r="F48" s="35"/>
      <c r="G48" s="47" t="s">
        <v>156</v>
      </c>
      <c r="H48" s="39">
        <f t="shared" si="6"/>
        <v>79.400000000000006</v>
      </c>
      <c r="I48" s="77">
        <f t="shared" si="7"/>
        <v>-1.85414091E-2</v>
      </c>
      <c r="J48" s="86">
        <f t="shared" si="12"/>
        <v>156292154.59634018</v>
      </c>
      <c r="K48" s="82" t="s">
        <v>202</v>
      </c>
      <c r="L48" s="39">
        <f t="shared" si="8"/>
        <v>88.6</v>
      </c>
      <c r="M48" s="77">
        <f t="shared" si="9"/>
        <v>-0.15619047620000001</v>
      </c>
      <c r="N48" s="86">
        <f t="shared" si="13"/>
        <v>200100102.25465202</v>
      </c>
      <c r="O48" s="82" t="s">
        <v>258</v>
      </c>
      <c r="P48" s="39">
        <f t="shared" si="10"/>
        <v>380</v>
      </c>
      <c r="Q48" s="77">
        <f t="shared" si="11"/>
        <v>-8.2125603899999997E-2</v>
      </c>
      <c r="R48" s="86">
        <f t="shared" si="14"/>
        <v>7634595.8067973498</v>
      </c>
    </row>
    <row r="49" spans="1:18">
      <c r="A49" s="40" t="s">
        <v>175</v>
      </c>
      <c r="B49" s="11" t="s">
        <v>176</v>
      </c>
      <c r="C49" s="95">
        <v>981</v>
      </c>
      <c r="D49" s="92">
        <v>-5.6730769200000003E-2</v>
      </c>
      <c r="E49" s="93">
        <v>5554939.7307762504</v>
      </c>
      <c r="F49" s="35"/>
      <c r="G49" s="47" t="s">
        <v>110</v>
      </c>
      <c r="H49" s="39">
        <f t="shared" si="6"/>
        <v>1040</v>
      </c>
      <c r="I49" s="77">
        <f t="shared" si="7"/>
        <v>-1.8867924500000001E-2</v>
      </c>
      <c r="J49" s="86">
        <f t="shared" si="12"/>
        <v>3425591.41827715</v>
      </c>
      <c r="K49" s="82" t="s">
        <v>154</v>
      </c>
      <c r="L49" s="39">
        <f t="shared" si="8"/>
        <v>8.5</v>
      </c>
      <c r="M49" s="77">
        <f t="shared" si="9"/>
        <v>-0.1584158416</v>
      </c>
      <c r="N49" s="86">
        <f t="shared" si="13"/>
        <v>905743115.75887871</v>
      </c>
      <c r="O49" s="82" t="s">
        <v>216</v>
      </c>
      <c r="P49" s="39">
        <f t="shared" si="10"/>
        <v>231</v>
      </c>
      <c r="Q49" s="77">
        <f t="shared" si="11"/>
        <v>-8.6956521699999997E-2</v>
      </c>
      <c r="R49" s="86">
        <f t="shared" si="14"/>
        <v>93541915.398542032</v>
      </c>
    </row>
    <row r="50" spans="1:18" ht="17.25" thickBot="1">
      <c r="A50" s="40" t="s">
        <v>159</v>
      </c>
      <c r="B50" s="11" t="s">
        <v>160</v>
      </c>
      <c r="C50" s="95">
        <v>1440</v>
      </c>
      <c r="D50" s="92">
        <v>-5.8823529399999998E-2</v>
      </c>
      <c r="E50" s="93">
        <v>10672695.2614825</v>
      </c>
      <c r="F50" s="35"/>
      <c r="G50" s="53" t="s">
        <v>90</v>
      </c>
      <c r="H50" s="37">
        <f t="shared" si="6"/>
        <v>188350</v>
      </c>
      <c r="I50" s="79">
        <f t="shared" si="7"/>
        <v>-2.0540821599999998E-2</v>
      </c>
      <c r="J50" s="87">
        <f t="shared" si="12"/>
        <v>25397.67065706</v>
      </c>
      <c r="K50" s="84" t="s">
        <v>196</v>
      </c>
      <c r="L50" s="37">
        <f t="shared" si="8"/>
        <v>8.3699999999999992</v>
      </c>
      <c r="M50" s="79">
        <f t="shared" si="9"/>
        <v>-0.15879396979999999</v>
      </c>
      <c r="N50" s="87">
        <f t="shared" si="13"/>
        <v>578964879.49176192</v>
      </c>
      <c r="O50" s="84" t="s">
        <v>170</v>
      </c>
      <c r="P50" s="37">
        <f t="shared" si="10"/>
        <v>237</v>
      </c>
      <c r="Q50" s="79">
        <f t="shared" si="11"/>
        <v>-9.5419847299999999E-2</v>
      </c>
      <c r="R50" s="87">
        <f t="shared" si="14"/>
        <v>11538212.68123243</v>
      </c>
    </row>
    <row r="51" spans="1:18">
      <c r="A51" s="40" t="s">
        <v>269</v>
      </c>
      <c r="B51" s="11" t="s">
        <v>270</v>
      </c>
      <c r="C51" s="95">
        <v>301</v>
      </c>
      <c r="D51" s="92">
        <v>-5.9374999999999997E-2</v>
      </c>
      <c r="E51" s="93">
        <v>4760061.3022985999</v>
      </c>
      <c r="F51" s="35"/>
    </row>
    <row r="52" spans="1:18" ht="17.25" thickBot="1">
      <c r="A52" s="40" t="s">
        <v>177</v>
      </c>
      <c r="B52" s="11" t="s">
        <v>178</v>
      </c>
      <c r="C52" s="95">
        <v>21810</v>
      </c>
      <c r="D52" s="92">
        <v>-5.9913793100000001E-2</v>
      </c>
      <c r="E52" s="93">
        <v>166836.13320996001</v>
      </c>
      <c r="F52" s="35"/>
    </row>
    <row r="53" spans="1:18" ht="17.25" thickBot="1">
      <c r="A53" s="40" t="s">
        <v>219</v>
      </c>
      <c r="B53" s="11" t="s">
        <v>220</v>
      </c>
      <c r="C53" s="95">
        <v>10</v>
      </c>
      <c r="D53" s="92">
        <v>-6.5420560700000005E-2</v>
      </c>
      <c r="E53" s="93">
        <v>471894023.98040873</v>
      </c>
      <c r="F53" s="35"/>
      <c r="G53" s="234" t="s">
        <v>285</v>
      </c>
      <c r="H53" s="235"/>
      <c r="I53" s="235"/>
      <c r="J53" s="236"/>
      <c r="K53" s="234" t="s">
        <v>288</v>
      </c>
      <c r="L53" s="235"/>
      <c r="M53" s="235"/>
      <c r="N53" s="236"/>
      <c r="O53" s="234" t="s">
        <v>289</v>
      </c>
      <c r="P53" s="235"/>
      <c r="Q53" s="235"/>
      <c r="R53" s="236"/>
    </row>
    <row r="54" spans="1:18" ht="17.25" thickBot="1">
      <c r="A54" s="40" t="s">
        <v>125</v>
      </c>
      <c r="B54" s="11" t="s">
        <v>126</v>
      </c>
      <c r="C54" s="95">
        <v>24.2</v>
      </c>
      <c r="D54" s="92">
        <v>-6.5637065600000002E-2</v>
      </c>
      <c r="E54" s="93">
        <v>188651176.31373924</v>
      </c>
      <c r="F54" s="35"/>
      <c r="G54" s="271" t="s">
        <v>55</v>
      </c>
      <c r="H54" s="287">
        <f ca="1">NOW()</f>
        <v>44360.023360763887</v>
      </c>
      <c r="I54" s="288"/>
      <c r="J54" s="289"/>
      <c r="K54" s="286" t="s">
        <v>55</v>
      </c>
      <c r="L54" s="287">
        <f ca="1">NOW()</f>
        <v>44360.023360763887</v>
      </c>
      <c r="M54" s="288"/>
      <c r="N54" s="289"/>
      <c r="O54" s="286" t="s">
        <v>55</v>
      </c>
      <c r="P54" s="287">
        <f ca="1">NOW()</f>
        <v>44360.023360763887</v>
      </c>
      <c r="Q54" s="288"/>
      <c r="R54" s="289"/>
    </row>
    <row r="55" spans="1:18" ht="17.25" thickBot="1">
      <c r="A55" s="40" t="s">
        <v>139</v>
      </c>
      <c r="B55" s="11" t="s">
        <v>140</v>
      </c>
      <c r="C55" s="95">
        <v>1950</v>
      </c>
      <c r="D55" s="92">
        <v>-6.6985645900000002E-2</v>
      </c>
      <c r="E55" s="93">
        <v>1113612.6069737801</v>
      </c>
      <c r="F55" s="35"/>
      <c r="G55" s="279"/>
      <c r="H55" s="51" t="s">
        <v>58</v>
      </c>
      <c r="I55" s="73" t="s">
        <v>59</v>
      </c>
      <c r="J55" s="69" t="s">
        <v>294</v>
      </c>
      <c r="K55" s="257"/>
      <c r="L55" s="51" t="s">
        <v>58</v>
      </c>
      <c r="M55" s="73" t="s">
        <v>59</v>
      </c>
      <c r="N55" s="69" t="s">
        <v>294</v>
      </c>
      <c r="O55" s="257"/>
      <c r="P55" s="51" t="s">
        <v>58</v>
      </c>
      <c r="Q55" s="73" t="s">
        <v>59</v>
      </c>
      <c r="R55" s="69" t="s">
        <v>294</v>
      </c>
    </row>
    <row r="56" spans="1:18">
      <c r="A56" s="40" t="s">
        <v>107</v>
      </c>
      <c r="B56" s="11" t="s">
        <v>108</v>
      </c>
      <c r="C56" s="95">
        <v>28410</v>
      </c>
      <c r="D56" s="92">
        <v>-7.2780678900000007E-2</v>
      </c>
      <c r="E56" s="93">
        <v>364409.22926143999</v>
      </c>
      <c r="F56" s="35"/>
      <c r="G56" s="55" t="s">
        <v>238</v>
      </c>
      <c r="H56" s="38">
        <f t="shared" ref="H56:H75" si="15">_xlfn.IFNA(VLOOKUP(G56, $B$2:$D$200, 2, FALSE), "")</f>
        <v>88</v>
      </c>
      <c r="I56" s="76">
        <f t="shared" ref="I56:I65" si="16">_xlfn.IFNA(VLOOKUP(G56, $B$2:$D$200, 3, FALSE), "")</f>
        <v>-0.18518518519999999</v>
      </c>
      <c r="J56" s="85">
        <f>_xlfn.IFNA(VLOOKUP(G56, $B$2:$E$200, 4, FALSE), "")</f>
        <v>77662002.41041781</v>
      </c>
      <c r="K56" s="81" t="s">
        <v>72</v>
      </c>
      <c r="L56" s="38">
        <f t="shared" ref="L56:L75" si="17">_xlfn.IFNA(VLOOKUP(K56, $B$2:$D$200, 2, FALSE), "")</f>
        <v>18.100000000000001</v>
      </c>
      <c r="M56" s="76">
        <f t="shared" ref="M56:M75" si="18">_xlfn.IFNA(VLOOKUP(K56, $B$2:$D$200, 3, FALSE), "")</f>
        <v>-0.15023474179999999</v>
      </c>
      <c r="N56" s="85">
        <f>_xlfn.IFNA(VLOOKUP(K56, $B$2:$E$200, 4, FALSE), "")</f>
        <v>361371600.33733028</v>
      </c>
      <c r="O56" s="81" t="s">
        <v>284</v>
      </c>
      <c r="P56" s="38">
        <f t="shared" ref="P56:P75" si="19">_xlfn.IFNA(VLOOKUP(O56, $B$2:$D$200, 2, FALSE), "")</f>
        <v>197</v>
      </c>
      <c r="Q56" s="76">
        <f t="shared" ref="Q56:Q75" si="20">_xlfn.IFNA(VLOOKUP(O56, $B$2:$D$200, 3, FALSE), "")</f>
        <v>-7.5117370899999994E-2</v>
      </c>
      <c r="R56" s="85">
        <f>_xlfn.IFNA(VLOOKUP(O56, $B$2:$E$200, 4, FALSE), "")</f>
        <v>14503789.256874951</v>
      </c>
    </row>
    <row r="57" spans="1:18">
      <c r="A57" s="40" t="s">
        <v>271</v>
      </c>
      <c r="B57" s="11" t="s">
        <v>272</v>
      </c>
      <c r="C57" s="95">
        <v>1190</v>
      </c>
      <c r="D57" s="92">
        <v>-7.3929961099999997E-2</v>
      </c>
      <c r="E57" s="93">
        <v>2095176.77376776</v>
      </c>
      <c r="F57" s="35"/>
      <c r="G57" s="56" t="s">
        <v>240</v>
      </c>
      <c r="H57" s="39">
        <f t="shared" si="15"/>
        <v>84.6</v>
      </c>
      <c r="I57" s="77">
        <f t="shared" si="16"/>
        <v>-0.1865384615</v>
      </c>
      <c r="J57" s="86">
        <f t="shared" ref="J57:J75" si="21">_xlfn.IFNA(VLOOKUP(G57, $B$2:$E$200, 4, FALSE), "")</f>
        <v>101030419.7540309</v>
      </c>
      <c r="K57" s="82" t="s">
        <v>202</v>
      </c>
      <c r="L57" s="39">
        <f t="shared" si="17"/>
        <v>88.6</v>
      </c>
      <c r="M57" s="77">
        <f t="shared" si="18"/>
        <v>-0.15619047620000001</v>
      </c>
      <c r="N57" s="86">
        <f t="shared" ref="N57:N75" si="22">_xlfn.IFNA(VLOOKUP(K57, $B$2:$E$200, 4, FALSE), "")</f>
        <v>200100102.25465202</v>
      </c>
      <c r="O57" s="82" t="s">
        <v>54</v>
      </c>
      <c r="P57" s="39">
        <f t="shared" si="19"/>
        <v>216</v>
      </c>
      <c r="Q57" s="77">
        <f t="shared" si="20"/>
        <v>-8.0851063799999998E-2</v>
      </c>
      <c r="R57" s="86">
        <f t="shared" ref="R57:R75" si="23">_xlfn.IFNA(VLOOKUP(O57, $B$2:$E$200, 4, FALSE), "")</f>
        <v>22703050.638212848</v>
      </c>
    </row>
    <row r="58" spans="1:18">
      <c r="A58" s="40" t="s">
        <v>283</v>
      </c>
      <c r="B58" s="11" t="s">
        <v>284</v>
      </c>
      <c r="C58" s="95">
        <v>197</v>
      </c>
      <c r="D58" s="92">
        <v>-7.5117370899999994E-2</v>
      </c>
      <c r="E58" s="93">
        <v>14503789.256874951</v>
      </c>
      <c r="F58" s="35"/>
      <c r="G58" s="56" t="s">
        <v>222</v>
      </c>
      <c r="H58" s="39">
        <f t="shared" si="15"/>
        <v>8.2100000000000009</v>
      </c>
      <c r="I58" s="77">
        <f t="shared" si="16"/>
        <v>-0.18712871289999999</v>
      </c>
      <c r="J58" s="86">
        <f t="shared" si="21"/>
        <v>543458466.00307095</v>
      </c>
      <c r="K58" s="82" t="s">
        <v>154</v>
      </c>
      <c r="L58" s="39">
        <f t="shared" si="17"/>
        <v>8.5</v>
      </c>
      <c r="M58" s="77">
        <f t="shared" si="18"/>
        <v>-0.1584158416</v>
      </c>
      <c r="N58" s="86">
        <f t="shared" si="22"/>
        <v>905743115.75887871</v>
      </c>
      <c r="O58" s="82" t="s">
        <v>258</v>
      </c>
      <c r="P58" s="39">
        <f t="shared" si="19"/>
        <v>380</v>
      </c>
      <c r="Q58" s="77">
        <f t="shared" si="20"/>
        <v>-8.2125603899999997E-2</v>
      </c>
      <c r="R58" s="86">
        <f t="shared" si="23"/>
        <v>7634595.8067973498</v>
      </c>
    </row>
    <row r="59" spans="1:18">
      <c r="A59" s="40" t="s">
        <v>259</v>
      </c>
      <c r="B59" s="11" t="s">
        <v>260</v>
      </c>
      <c r="C59" s="95">
        <v>56.4</v>
      </c>
      <c r="D59" s="92">
        <v>-7.5409836100000002E-2</v>
      </c>
      <c r="E59" s="93">
        <v>2890278313.8215208</v>
      </c>
      <c r="F59" s="35"/>
      <c r="G59" s="56" t="s">
        <v>124</v>
      </c>
      <c r="H59" s="39">
        <f t="shared" si="15"/>
        <v>2445</v>
      </c>
      <c r="I59" s="77">
        <f t="shared" si="16"/>
        <v>-0.1877076412</v>
      </c>
      <c r="J59" s="86">
        <f t="shared" si="21"/>
        <v>5953997.20220578</v>
      </c>
      <c r="K59" s="82" t="s">
        <v>196</v>
      </c>
      <c r="L59" s="39">
        <f t="shared" si="17"/>
        <v>8.3699999999999992</v>
      </c>
      <c r="M59" s="77">
        <f t="shared" si="18"/>
        <v>-0.15879396979999999</v>
      </c>
      <c r="N59" s="86">
        <f t="shared" si="22"/>
        <v>578964879.49176192</v>
      </c>
      <c r="O59" s="82" t="s">
        <v>216</v>
      </c>
      <c r="P59" s="39">
        <f t="shared" si="19"/>
        <v>231</v>
      </c>
      <c r="Q59" s="77">
        <f t="shared" si="20"/>
        <v>-8.6956521699999997E-2</v>
      </c>
      <c r="R59" s="86">
        <f t="shared" si="23"/>
        <v>93541915.398542032</v>
      </c>
    </row>
    <row r="60" spans="1:18">
      <c r="A60" s="40" t="s">
        <v>133</v>
      </c>
      <c r="B60" s="11" t="s">
        <v>134</v>
      </c>
      <c r="C60" s="95">
        <v>77.7</v>
      </c>
      <c r="D60" s="92">
        <v>-7.9383886299999998E-2</v>
      </c>
      <c r="E60" s="93">
        <v>116380264.99760117</v>
      </c>
      <c r="F60" s="35"/>
      <c r="G60" s="56" t="s">
        <v>226</v>
      </c>
      <c r="H60" s="39">
        <f t="shared" si="15"/>
        <v>200</v>
      </c>
      <c r="I60" s="77">
        <f t="shared" si="16"/>
        <v>-0.1902834008</v>
      </c>
      <c r="J60" s="90">
        <f t="shared" si="21"/>
        <v>25495072.058842361</v>
      </c>
      <c r="K60" s="83" t="s">
        <v>232</v>
      </c>
      <c r="L60" s="44">
        <f t="shared" si="17"/>
        <v>85.7</v>
      </c>
      <c r="M60" s="78">
        <f t="shared" si="18"/>
        <v>-0.167961165</v>
      </c>
      <c r="N60" s="90">
        <f t="shared" si="22"/>
        <v>125945292.08821125</v>
      </c>
      <c r="O60" s="83" t="s">
        <v>170</v>
      </c>
      <c r="P60" s="44">
        <f t="shared" si="19"/>
        <v>237</v>
      </c>
      <c r="Q60" s="78">
        <f t="shared" si="20"/>
        <v>-9.5419847299999999E-2</v>
      </c>
      <c r="R60" s="90">
        <f t="shared" si="23"/>
        <v>11538212.68123243</v>
      </c>
    </row>
    <row r="61" spans="1:18">
      <c r="A61" s="40" t="s">
        <v>53</v>
      </c>
      <c r="B61" s="11" t="s">
        <v>54</v>
      </c>
      <c r="C61" s="95">
        <v>216</v>
      </c>
      <c r="D61" s="92">
        <v>-8.0851063799999998E-2</v>
      </c>
      <c r="E61" s="93">
        <v>22703050.638212848</v>
      </c>
      <c r="F61" s="35"/>
      <c r="G61" s="60" t="s">
        <v>67</v>
      </c>
      <c r="H61" s="45">
        <f t="shared" si="15"/>
        <v>3515</v>
      </c>
      <c r="I61" s="80">
        <f t="shared" si="16"/>
        <v>-0.1928817451</v>
      </c>
      <c r="J61" s="99">
        <f t="shared" si="21"/>
        <v>2040412.14217663</v>
      </c>
      <c r="K61" s="82" t="s">
        <v>268</v>
      </c>
      <c r="L61" s="39">
        <f t="shared" si="17"/>
        <v>31.9</v>
      </c>
      <c r="M61" s="77">
        <f t="shared" si="18"/>
        <v>-0.16927083330000001</v>
      </c>
      <c r="N61" s="99">
        <f t="shared" si="22"/>
        <v>594412351.48614883</v>
      </c>
      <c r="O61" s="82" t="s">
        <v>192</v>
      </c>
      <c r="P61" s="39">
        <f t="shared" si="19"/>
        <v>909</v>
      </c>
      <c r="Q61" s="77">
        <f t="shared" si="20"/>
        <v>-9.5522388099999994E-2</v>
      </c>
      <c r="R61" s="99">
        <f t="shared" si="23"/>
        <v>10911538.376939099</v>
      </c>
    </row>
    <row r="62" spans="1:18">
      <c r="A62" s="40" t="s">
        <v>257</v>
      </c>
      <c r="B62" s="11" t="s">
        <v>258</v>
      </c>
      <c r="C62" s="95">
        <v>380</v>
      </c>
      <c r="D62" s="92">
        <v>-8.2125603899999997E-2</v>
      </c>
      <c r="E62" s="93">
        <v>7634595.8067973498</v>
      </c>
      <c r="F62" s="35"/>
      <c r="G62" s="56" t="s">
        <v>174</v>
      </c>
      <c r="H62" s="39">
        <f t="shared" si="15"/>
        <v>115</v>
      </c>
      <c r="I62" s="77">
        <f t="shared" si="16"/>
        <v>-0.1958041958</v>
      </c>
      <c r="J62" s="86">
        <f t="shared" si="21"/>
        <v>116266251.15430224</v>
      </c>
      <c r="K62" s="82" t="s">
        <v>282</v>
      </c>
      <c r="L62" s="39">
        <f t="shared" si="17"/>
        <v>55.9</v>
      </c>
      <c r="M62" s="77">
        <f t="shared" si="18"/>
        <v>-0.1693907875</v>
      </c>
      <c r="N62" s="86">
        <f t="shared" si="22"/>
        <v>59616647.661793917</v>
      </c>
      <c r="O62" s="82" t="s">
        <v>182</v>
      </c>
      <c r="P62" s="39">
        <f t="shared" si="19"/>
        <v>226</v>
      </c>
      <c r="Q62" s="77">
        <f t="shared" si="20"/>
        <v>-9.6000000000000002E-2</v>
      </c>
      <c r="R62" s="86">
        <f t="shared" si="23"/>
        <v>17507049.356700052</v>
      </c>
    </row>
    <row r="63" spans="1:18">
      <c r="A63" s="40" t="s">
        <v>243</v>
      </c>
      <c r="B63" s="11" t="s">
        <v>244</v>
      </c>
      <c r="C63" s="95">
        <v>1475</v>
      </c>
      <c r="D63" s="92">
        <v>-8.3850931700000006E-2</v>
      </c>
      <c r="E63" s="93">
        <v>4496175.4309606999</v>
      </c>
      <c r="F63" s="35"/>
      <c r="G63" s="56" t="s">
        <v>210</v>
      </c>
      <c r="H63" s="39">
        <f t="shared" si="15"/>
        <v>85.2</v>
      </c>
      <c r="I63" s="77">
        <f t="shared" si="16"/>
        <v>-0.1962264151</v>
      </c>
      <c r="J63" s="86">
        <f t="shared" si="21"/>
        <v>91920990.523646533</v>
      </c>
      <c r="K63" s="82" t="s">
        <v>198</v>
      </c>
      <c r="L63" s="39">
        <f t="shared" si="17"/>
        <v>11</v>
      </c>
      <c r="M63" s="77">
        <f t="shared" si="18"/>
        <v>-0.17293233080000001</v>
      </c>
      <c r="N63" s="86">
        <f t="shared" si="22"/>
        <v>1061761129.2827902</v>
      </c>
      <c r="O63" s="82" t="s">
        <v>256</v>
      </c>
      <c r="P63" s="39">
        <f t="shared" si="19"/>
        <v>138</v>
      </c>
      <c r="Q63" s="77">
        <f t="shared" si="20"/>
        <v>-9.8039215700000001E-2</v>
      </c>
      <c r="R63" s="86">
        <f t="shared" si="23"/>
        <v>10860603.93876237</v>
      </c>
    </row>
    <row r="64" spans="1:18">
      <c r="A64" s="40" t="s">
        <v>247</v>
      </c>
      <c r="B64" s="11" t="s">
        <v>248</v>
      </c>
      <c r="C64" s="95">
        <v>1250</v>
      </c>
      <c r="D64" s="92">
        <v>-8.4249084200000005E-2</v>
      </c>
      <c r="E64" s="93">
        <v>5234935.1874830201</v>
      </c>
      <c r="F64" s="35"/>
      <c r="G64" s="56" t="s">
        <v>250</v>
      </c>
      <c r="H64" s="39">
        <f t="shared" si="15"/>
        <v>58.8</v>
      </c>
      <c r="I64" s="77">
        <f t="shared" si="16"/>
        <v>-0.1978171896</v>
      </c>
      <c r="J64" s="86">
        <f t="shared" si="21"/>
        <v>76048617.269793794</v>
      </c>
      <c r="K64" s="82" t="s">
        <v>238</v>
      </c>
      <c r="L64" s="39">
        <f t="shared" si="17"/>
        <v>88</v>
      </c>
      <c r="M64" s="77">
        <f t="shared" si="18"/>
        <v>-0.18518518519999999</v>
      </c>
      <c r="N64" s="86">
        <f t="shared" si="22"/>
        <v>77662002.41041781</v>
      </c>
      <c r="O64" s="82" t="s">
        <v>246</v>
      </c>
      <c r="P64" s="39">
        <f t="shared" si="19"/>
        <v>236</v>
      </c>
      <c r="Q64" s="77">
        <f t="shared" si="20"/>
        <v>-9.9236641200000003E-2</v>
      </c>
      <c r="R64" s="86">
        <f t="shared" si="23"/>
        <v>90943530.361612573</v>
      </c>
    </row>
    <row r="65" spans="1:18" ht="17.25" thickBot="1">
      <c r="A65" s="40" t="s">
        <v>215</v>
      </c>
      <c r="B65" s="11" t="s">
        <v>216</v>
      </c>
      <c r="C65" s="95">
        <v>231</v>
      </c>
      <c r="D65" s="92">
        <v>-8.6956521699999997E-2</v>
      </c>
      <c r="E65" s="93">
        <v>93541915.398542032</v>
      </c>
      <c r="F65" s="35"/>
      <c r="G65" s="57" t="s">
        <v>214</v>
      </c>
      <c r="H65" s="37">
        <f t="shared" si="15"/>
        <v>9.1199999999999992</v>
      </c>
      <c r="I65" s="79">
        <f t="shared" si="16"/>
        <v>-0.2</v>
      </c>
      <c r="J65" s="87">
        <f t="shared" si="21"/>
        <v>647800585.27374256</v>
      </c>
      <c r="K65" s="84" t="s">
        <v>240</v>
      </c>
      <c r="L65" s="37">
        <f t="shared" si="17"/>
        <v>84.6</v>
      </c>
      <c r="M65" s="79">
        <f t="shared" si="18"/>
        <v>-0.1865384615</v>
      </c>
      <c r="N65" s="87">
        <f t="shared" si="22"/>
        <v>101030419.7540309</v>
      </c>
      <c r="O65" s="84" t="s">
        <v>200</v>
      </c>
      <c r="P65" s="37">
        <f t="shared" si="19"/>
        <v>151</v>
      </c>
      <c r="Q65" s="79">
        <f t="shared" si="20"/>
        <v>-0.12716763010000001</v>
      </c>
      <c r="R65" s="87">
        <f t="shared" si="23"/>
        <v>19821432.373906661</v>
      </c>
    </row>
    <row r="66" spans="1:18">
      <c r="A66" s="40" t="s">
        <v>167</v>
      </c>
      <c r="B66" s="11" t="s">
        <v>168</v>
      </c>
      <c r="C66" s="95">
        <v>80.8</v>
      </c>
      <c r="D66" s="92">
        <v>-8.7005649700000007E-2</v>
      </c>
      <c r="E66" s="93">
        <v>86148365.364008129</v>
      </c>
      <c r="F66" s="35"/>
      <c r="G66" s="56" t="s">
        <v>266</v>
      </c>
      <c r="H66" s="38">
        <f t="shared" si="15"/>
        <v>56.6</v>
      </c>
      <c r="I66" s="76">
        <f t="shared" ref="I66:I75" si="24">_xlfn.IFNA(VLOOKUP(G66, $B$2:$D$200, 3, FALSE), "")</f>
        <v>-0.2402684564</v>
      </c>
      <c r="J66" s="85">
        <f t="shared" si="21"/>
        <v>575076904.18140519</v>
      </c>
      <c r="K66" s="81" t="s">
        <v>222</v>
      </c>
      <c r="L66" s="38">
        <f t="shared" si="17"/>
        <v>8.2100000000000009</v>
      </c>
      <c r="M66" s="76">
        <f t="shared" si="18"/>
        <v>-0.18712871289999999</v>
      </c>
      <c r="N66" s="85">
        <f t="shared" si="22"/>
        <v>543458466.00307095</v>
      </c>
      <c r="O66" s="81" t="s">
        <v>116</v>
      </c>
      <c r="P66" s="38">
        <f t="shared" si="19"/>
        <v>313</v>
      </c>
      <c r="Q66" s="76">
        <f t="shared" si="20"/>
        <v>-0.13055555560000001</v>
      </c>
      <c r="R66" s="85">
        <f t="shared" si="23"/>
        <v>32359110.440553728</v>
      </c>
    </row>
    <row r="67" spans="1:18">
      <c r="A67" s="40" t="s">
        <v>205</v>
      </c>
      <c r="B67" s="11" t="s">
        <v>206</v>
      </c>
      <c r="C67" s="95">
        <v>13780</v>
      </c>
      <c r="D67" s="92">
        <v>-9.1628213599999994E-2</v>
      </c>
      <c r="E67" s="93">
        <v>411900.21245757001</v>
      </c>
      <c r="F67" s="35"/>
      <c r="G67" s="56" t="s">
        <v>162</v>
      </c>
      <c r="H67" s="39">
        <f t="shared" si="15"/>
        <v>535</v>
      </c>
      <c r="I67" s="77">
        <f t="shared" si="24"/>
        <v>-0.2464788732</v>
      </c>
      <c r="J67" s="86">
        <f t="shared" si="21"/>
        <v>53209625.387586713</v>
      </c>
      <c r="K67" s="82" t="s">
        <v>210</v>
      </c>
      <c r="L67" s="39">
        <f t="shared" si="17"/>
        <v>85.2</v>
      </c>
      <c r="M67" s="77">
        <f t="shared" si="18"/>
        <v>-0.1962264151</v>
      </c>
      <c r="N67" s="86">
        <f t="shared" si="22"/>
        <v>91920990.523646533</v>
      </c>
      <c r="O67" s="82" t="s">
        <v>262</v>
      </c>
      <c r="P67" s="39">
        <f t="shared" si="19"/>
        <v>458</v>
      </c>
      <c r="Q67" s="77">
        <f t="shared" si="20"/>
        <v>-0.13257575760000001</v>
      </c>
      <c r="R67" s="86">
        <f t="shared" si="23"/>
        <v>22195367.789747909</v>
      </c>
    </row>
    <row r="68" spans="1:18">
      <c r="A68" s="40" t="s">
        <v>169</v>
      </c>
      <c r="B68" s="11" t="s">
        <v>170</v>
      </c>
      <c r="C68" s="95">
        <v>237</v>
      </c>
      <c r="D68" s="92">
        <v>-9.5419847299999999E-2</v>
      </c>
      <c r="E68" s="93">
        <v>11538212.68123243</v>
      </c>
      <c r="F68" s="35"/>
      <c r="G68" s="56" t="s">
        <v>234</v>
      </c>
      <c r="H68" s="39">
        <f t="shared" si="15"/>
        <v>313</v>
      </c>
      <c r="I68" s="77">
        <f t="shared" si="24"/>
        <v>-0.2918552036</v>
      </c>
      <c r="J68" s="86">
        <f t="shared" si="21"/>
        <v>14352257.71735934</v>
      </c>
      <c r="K68" s="82" t="s">
        <v>250</v>
      </c>
      <c r="L68" s="39">
        <f t="shared" si="17"/>
        <v>58.8</v>
      </c>
      <c r="M68" s="77">
        <f t="shared" si="18"/>
        <v>-0.1978171896</v>
      </c>
      <c r="N68" s="86">
        <f t="shared" si="22"/>
        <v>76048617.269793794</v>
      </c>
      <c r="O68" s="82" t="s">
        <v>112</v>
      </c>
      <c r="P68" s="39">
        <f t="shared" si="19"/>
        <v>132</v>
      </c>
      <c r="Q68" s="77">
        <f t="shared" si="20"/>
        <v>-0.14838709680000001</v>
      </c>
      <c r="R68" s="86">
        <f t="shared" si="23"/>
        <v>191172127.73086083</v>
      </c>
    </row>
    <row r="69" spans="1:18">
      <c r="A69" s="40" t="s">
        <v>191</v>
      </c>
      <c r="B69" s="11" t="s">
        <v>192</v>
      </c>
      <c r="C69" s="95">
        <v>909</v>
      </c>
      <c r="D69" s="92">
        <v>-9.5522388099999994E-2</v>
      </c>
      <c r="E69" s="93">
        <v>10911538.376939099</v>
      </c>
      <c r="F69" s="35"/>
      <c r="G69" s="56" t="s">
        <v>252</v>
      </c>
      <c r="H69" s="39">
        <f t="shared" si="15"/>
        <v>116</v>
      </c>
      <c r="I69" s="77">
        <f t="shared" si="24"/>
        <v>-0.29268292680000002</v>
      </c>
      <c r="J69" s="86">
        <f t="shared" si="21"/>
        <v>120881435.63421781</v>
      </c>
      <c r="K69" s="82" t="s">
        <v>214</v>
      </c>
      <c r="L69" s="39">
        <f t="shared" si="17"/>
        <v>9.1199999999999992</v>
      </c>
      <c r="M69" s="77">
        <f t="shared" si="18"/>
        <v>-0.2</v>
      </c>
      <c r="N69" s="86">
        <f t="shared" si="22"/>
        <v>647800585.27374256</v>
      </c>
      <c r="O69" s="82" t="s">
        <v>82</v>
      </c>
      <c r="P69" s="39">
        <f t="shared" si="19"/>
        <v>810</v>
      </c>
      <c r="Q69" s="77">
        <f t="shared" si="20"/>
        <v>-0.1553701773</v>
      </c>
      <c r="R69" s="86">
        <f t="shared" si="23"/>
        <v>2068438.27768473</v>
      </c>
    </row>
    <row r="70" spans="1:18">
      <c r="A70" s="40" t="s">
        <v>181</v>
      </c>
      <c r="B70" s="11" t="s">
        <v>182</v>
      </c>
      <c r="C70" s="95">
        <v>226</v>
      </c>
      <c r="D70" s="92">
        <v>-9.6000000000000002E-2</v>
      </c>
      <c r="E70" s="93">
        <v>17507049.356700052</v>
      </c>
      <c r="F70" s="35"/>
      <c r="G70" s="56" t="s">
        <v>208</v>
      </c>
      <c r="H70" s="39">
        <f t="shared" si="15"/>
        <v>103</v>
      </c>
      <c r="I70" s="77">
        <f t="shared" si="24"/>
        <v>-0.30872483220000002</v>
      </c>
      <c r="J70" s="90">
        <f t="shared" si="21"/>
        <v>335619774.10546684</v>
      </c>
      <c r="K70" s="83" t="s">
        <v>266</v>
      </c>
      <c r="L70" s="44">
        <f t="shared" si="17"/>
        <v>56.6</v>
      </c>
      <c r="M70" s="78">
        <f t="shared" si="18"/>
        <v>-0.2402684564</v>
      </c>
      <c r="N70" s="90">
        <f t="shared" si="22"/>
        <v>575076904.18140519</v>
      </c>
      <c r="O70" s="83" t="s">
        <v>226</v>
      </c>
      <c r="P70" s="44">
        <f t="shared" si="19"/>
        <v>200</v>
      </c>
      <c r="Q70" s="78">
        <f t="shared" si="20"/>
        <v>-0.1902834008</v>
      </c>
      <c r="R70" s="90">
        <f t="shared" si="23"/>
        <v>25495072.058842361</v>
      </c>
    </row>
    <row r="71" spans="1:18">
      <c r="A71" s="40" t="s">
        <v>255</v>
      </c>
      <c r="B71" s="11" t="s">
        <v>256</v>
      </c>
      <c r="C71" s="95">
        <v>138</v>
      </c>
      <c r="D71" s="92">
        <v>-9.8039215700000001E-2</v>
      </c>
      <c r="E71" s="93">
        <v>10860603.93876237</v>
      </c>
      <c r="F71" s="35"/>
      <c r="G71" s="60" t="s">
        <v>236</v>
      </c>
      <c r="H71" s="45">
        <f t="shared" si="15"/>
        <v>21.8</v>
      </c>
      <c r="I71" s="80">
        <f t="shared" si="24"/>
        <v>-0.31230283910000001</v>
      </c>
      <c r="J71" s="99">
        <f t="shared" si="21"/>
        <v>822917661.12192822</v>
      </c>
      <c r="K71" s="82" t="s">
        <v>236</v>
      </c>
      <c r="L71" s="39">
        <f t="shared" si="17"/>
        <v>21.8</v>
      </c>
      <c r="M71" s="77">
        <f t="shared" si="18"/>
        <v>-0.31230283910000001</v>
      </c>
      <c r="N71" s="99">
        <f t="shared" si="22"/>
        <v>822917661.12192822</v>
      </c>
      <c r="O71" s="82" t="s">
        <v>174</v>
      </c>
      <c r="P71" s="39">
        <f t="shared" si="19"/>
        <v>115</v>
      </c>
      <c r="Q71" s="77">
        <f t="shared" si="20"/>
        <v>-0.1958041958</v>
      </c>
      <c r="R71" s="99">
        <f t="shared" si="23"/>
        <v>116266251.15430224</v>
      </c>
    </row>
    <row r="72" spans="1:18">
      <c r="A72" s="40" t="s">
        <v>245</v>
      </c>
      <c r="B72" s="11" t="s">
        <v>246</v>
      </c>
      <c r="C72" s="95">
        <v>236</v>
      </c>
      <c r="D72" s="92">
        <v>-9.9236641200000003E-2</v>
      </c>
      <c r="E72" s="93">
        <v>90943530.361612573</v>
      </c>
      <c r="F72" s="35"/>
      <c r="G72" s="56" t="s">
        <v>218</v>
      </c>
      <c r="H72" s="39">
        <f t="shared" si="15"/>
        <v>5.68</v>
      </c>
      <c r="I72" s="77">
        <f t="shared" si="24"/>
        <v>-0.31566265059999998</v>
      </c>
      <c r="J72" s="86">
        <f t="shared" si="21"/>
        <v>1867350762.1404951</v>
      </c>
      <c r="K72" s="82" t="s">
        <v>218</v>
      </c>
      <c r="L72" s="39">
        <f t="shared" si="17"/>
        <v>5.68</v>
      </c>
      <c r="M72" s="77">
        <f t="shared" si="18"/>
        <v>-0.31566265059999998</v>
      </c>
      <c r="N72" s="86">
        <f t="shared" si="22"/>
        <v>1867350762.1404951</v>
      </c>
      <c r="O72" s="82" t="s">
        <v>162</v>
      </c>
      <c r="P72" s="39">
        <f t="shared" si="19"/>
        <v>535</v>
      </c>
      <c r="Q72" s="77">
        <f t="shared" si="20"/>
        <v>-0.2464788732</v>
      </c>
      <c r="R72" s="86">
        <f t="shared" si="23"/>
        <v>53209625.387586713</v>
      </c>
    </row>
    <row r="73" spans="1:18">
      <c r="A73" s="40" t="s">
        <v>189</v>
      </c>
      <c r="B73" s="11" t="s">
        <v>190</v>
      </c>
      <c r="C73" s="95">
        <v>46880</v>
      </c>
      <c r="D73" s="92">
        <v>-9.9673516399999995E-2</v>
      </c>
      <c r="E73" s="93">
        <v>346684.68180953001</v>
      </c>
      <c r="F73" s="35"/>
      <c r="G73" s="56" t="s">
        <v>254</v>
      </c>
      <c r="H73" s="39">
        <f t="shared" si="15"/>
        <v>22.5</v>
      </c>
      <c r="I73" s="77">
        <f t="shared" si="24"/>
        <v>-0.31610942250000001</v>
      </c>
      <c r="J73" s="86">
        <f t="shared" si="21"/>
        <v>642049507.09997344</v>
      </c>
      <c r="K73" s="82" t="s">
        <v>254</v>
      </c>
      <c r="L73" s="39">
        <f t="shared" si="17"/>
        <v>22.5</v>
      </c>
      <c r="M73" s="77">
        <f t="shared" si="18"/>
        <v>-0.31610942250000001</v>
      </c>
      <c r="N73" s="86">
        <f t="shared" si="22"/>
        <v>642049507.09997344</v>
      </c>
      <c r="O73" s="82" t="s">
        <v>234</v>
      </c>
      <c r="P73" s="39">
        <f t="shared" si="19"/>
        <v>313</v>
      </c>
      <c r="Q73" s="77">
        <f t="shared" si="20"/>
        <v>-0.2918552036</v>
      </c>
      <c r="R73" s="86">
        <f t="shared" si="23"/>
        <v>14352257.71735934</v>
      </c>
    </row>
    <row r="74" spans="1:18">
      <c r="A74" s="40" t="s">
        <v>275</v>
      </c>
      <c r="B74" s="11" t="s">
        <v>276</v>
      </c>
      <c r="C74" s="95">
        <v>2365</v>
      </c>
      <c r="D74" s="92">
        <v>-0.1007604563</v>
      </c>
      <c r="E74" s="93">
        <v>1836083.07469941</v>
      </c>
      <c r="F74" s="35"/>
      <c r="G74" s="56" t="s">
        <v>122</v>
      </c>
      <c r="H74" s="39">
        <f t="shared" si="15"/>
        <v>27</v>
      </c>
      <c r="I74" s="77">
        <f t="shared" si="24"/>
        <v>-0.3198992443</v>
      </c>
      <c r="J74" s="86">
        <f t="shared" si="21"/>
        <v>514961190.9986316</v>
      </c>
      <c r="K74" s="82" t="s">
        <v>122</v>
      </c>
      <c r="L74" s="39">
        <f t="shared" si="17"/>
        <v>27</v>
      </c>
      <c r="M74" s="77">
        <f t="shared" si="18"/>
        <v>-0.3198992443</v>
      </c>
      <c r="N74" s="86">
        <f t="shared" si="22"/>
        <v>514961190.9986316</v>
      </c>
      <c r="O74" s="82" t="s">
        <v>252</v>
      </c>
      <c r="P74" s="39">
        <f t="shared" si="19"/>
        <v>116</v>
      </c>
      <c r="Q74" s="77">
        <f t="shared" si="20"/>
        <v>-0.29268292680000002</v>
      </c>
      <c r="R74" s="86">
        <f t="shared" si="23"/>
        <v>120881435.63421781</v>
      </c>
    </row>
    <row r="75" spans="1:18" ht="17.25" thickBot="1">
      <c r="A75" s="40" t="s">
        <v>93</v>
      </c>
      <c r="B75" s="11" t="s">
        <v>94</v>
      </c>
      <c r="C75" s="95">
        <v>63830</v>
      </c>
      <c r="D75" s="92">
        <v>-0.1028812368</v>
      </c>
      <c r="E75" s="93">
        <v>736189.47532116005</v>
      </c>
      <c r="F75" s="35"/>
      <c r="G75" s="57" t="s">
        <v>172</v>
      </c>
      <c r="H75" s="37">
        <f t="shared" si="15"/>
        <v>5.4</v>
      </c>
      <c r="I75" s="79">
        <f t="shared" si="24"/>
        <v>-0.32075471700000002</v>
      </c>
      <c r="J75" s="87">
        <f t="shared" si="21"/>
        <v>1654385357.885479</v>
      </c>
      <c r="K75" s="84" t="s">
        <v>172</v>
      </c>
      <c r="L75" s="37">
        <f t="shared" si="17"/>
        <v>5.4</v>
      </c>
      <c r="M75" s="79">
        <f t="shared" si="18"/>
        <v>-0.32075471700000002</v>
      </c>
      <c r="N75" s="87">
        <f t="shared" si="22"/>
        <v>1654385357.885479</v>
      </c>
      <c r="O75" s="84" t="s">
        <v>208</v>
      </c>
      <c r="P75" s="37">
        <f t="shared" si="19"/>
        <v>103</v>
      </c>
      <c r="Q75" s="79">
        <f t="shared" si="20"/>
        <v>-0.30872483220000002</v>
      </c>
      <c r="R75" s="87">
        <f t="shared" si="23"/>
        <v>335619774.10546684</v>
      </c>
    </row>
    <row r="76" spans="1:18">
      <c r="A76" s="40" t="s">
        <v>223</v>
      </c>
      <c r="B76" s="11" t="s">
        <v>224</v>
      </c>
      <c r="C76" s="95">
        <v>1095</v>
      </c>
      <c r="D76" s="92">
        <v>-0.10612244899999999</v>
      </c>
      <c r="E76" s="93">
        <v>23399456.076692369</v>
      </c>
      <c r="F76" s="35"/>
      <c r="G76" s="35"/>
      <c r="H76" s="35"/>
      <c r="I76" s="35"/>
    </row>
    <row r="77" spans="1:18">
      <c r="A77" s="40" t="s">
        <v>145</v>
      </c>
      <c r="B77" s="11" t="s">
        <v>146</v>
      </c>
      <c r="C77" s="95">
        <v>8730</v>
      </c>
      <c r="D77" s="92">
        <v>-0.10736196319999999</v>
      </c>
      <c r="E77" s="93">
        <v>780150.07241482998</v>
      </c>
      <c r="F77" s="35"/>
      <c r="G77" s="35"/>
      <c r="H77" s="35"/>
      <c r="I77" s="35"/>
    </row>
    <row r="78" spans="1:18">
      <c r="A78" s="40" t="s">
        <v>157</v>
      </c>
      <c r="B78" s="11" t="s">
        <v>158</v>
      </c>
      <c r="C78" s="95">
        <v>4480</v>
      </c>
      <c r="D78" s="92">
        <v>-0.1128712871</v>
      </c>
      <c r="E78" s="93">
        <v>1481777.1543630799</v>
      </c>
      <c r="F78" s="35"/>
      <c r="G78" s="35"/>
      <c r="H78" s="35"/>
      <c r="I78" s="35"/>
    </row>
    <row r="79" spans="1:18">
      <c r="A79" s="40" t="s">
        <v>193</v>
      </c>
      <c r="B79" s="11" t="s">
        <v>194</v>
      </c>
      <c r="C79" s="95">
        <v>6430</v>
      </c>
      <c r="D79" s="92">
        <v>-0.1161512027</v>
      </c>
      <c r="E79" s="93">
        <v>2396984.7074552299</v>
      </c>
      <c r="F79" s="35"/>
      <c r="G79" s="35"/>
      <c r="H79" s="35"/>
      <c r="I79" s="35"/>
    </row>
    <row r="80" spans="1:18">
      <c r="A80" s="40" t="s">
        <v>185</v>
      </c>
      <c r="B80" s="11" t="s">
        <v>186</v>
      </c>
      <c r="C80" s="95">
        <v>13.3</v>
      </c>
      <c r="D80" s="92">
        <v>-0.119205298</v>
      </c>
      <c r="E80" s="93">
        <v>529229709.01267904</v>
      </c>
      <c r="F80" s="35"/>
      <c r="G80" s="35"/>
      <c r="H80" s="35"/>
      <c r="I80" s="35"/>
    </row>
    <row r="81" spans="1:9">
      <c r="A81" s="40" t="s">
        <v>203</v>
      </c>
      <c r="B81" s="11" t="s">
        <v>204</v>
      </c>
      <c r="C81" s="95">
        <v>2970</v>
      </c>
      <c r="D81" s="92">
        <v>-0.12</v>
      </c>
      <c r="E81" s="93">
        <v>4586162.47722858</v>
      </c>
      <c r="F81" s="35"/>
      <c r="G81" s="35"/>
      <c r="H81" s="35"/>
      <c r="I81" s="35"/>
    </row>
    <row r="82" spans="1:9">
      <c r="A82" s="40" t="s">
        <v>273</v>
      </c>
      <c r="B82" s="11" t="s">
        <v>274</v>
      </c>
      <c r="C82" s="95">
        <v>6580</v>
      </c>
      <c r="D82" s="92">
        <v>-0.1226666667</v>
      </c>
      <c r="E82" s="93">
        <v>1500099.2541451801</v>
      </c>
      <c r="F82" s="35"/>
      <c r="G82" s="35"/>
      <c r="H82" s="35"/>
      <c r="I82" s="35"/>
    </row>
    <row r="83" spans="1:9">
      <c r="A83" s="40" t="s">
        <v>199</v>
      </c>
      <c r="B83" s="11" t="s">
        <v>200</v>
      </c>
      <c r="C83" s="95">
        <v>151</v>
      </c>
      <c r="D83" s="92">
        <v>-0.12716763010000001</v>
      </c>
      <c r="E83" s="93">
        <v>19821432.373906661</v>
      </c>
      <c r="F83" s="35"/>
      <c r="G83" s="35"/>
      <c r="H83" s="35"/>
      <c r="I83" s="35"/>
    </row>
    <row r="84" spans="1:9">
      <c r="A84" s="40" t="s">
        <v>115</v>
      </c>
      <c r="B84" s="11" t="s">
        <v>116</v>
      </c>
      <c r="C84" s="95">
        <v>313</v>
      </c>
      <c r="D84" s="92">
        <v>-0.13055555560000001</v>
      </c>
      <c r="E84" s="93">
        <v>32359110.440553728</v>
      </c>
      <c r="F84" s="35"/>
      <c r="G84" s="35"/>
      <c r="H84" s="35"/>
      <c r="I84" s="35"/>
    </row>
    <row r="85" spans="1:9">
      <c r="A85" s="40" t="s">
        <v>211</v>
      </c>
      <c r="B85" s="11" t="s">
        <v>212</v>
      </c>
      <c r="C85" s="95">
        <v>53.3</v>
      </c>
      <c r="D85" s="92">
        <v>-0.1319218241</v>
      </c>
      <c r="E85" s="93">
        <v>1066013593.0098788</v>
      </c>
      <c r="F85" s="35"/>
      <c r="G85" s="35"/>
      <c r="H85" s="35"/>
      <c r="I85" s="35"/>
    </row>
    <row r="86" spans="1:9">
      <c r="A86" s="40" t="s">
        <v>261</v>
      </c>
      <c r="B86" s="11" t="s">
        <v>262</v>
      </c>
      <c r="C86" s="95">
        <v>458</v>
      </c>
      <c r="D86" s="92">
        <v>-0.13257575760000001</v>
      </c>
      <c r="E86" s="93">
        <v>22195367.789747909</v>
      </c>
      <c r="F86" s="35"/>
      <c r="G86" s="35"/>
      <c r="H86" s="35"/>
      <c r="I86" s="35"/>
    </row>
    <row r="87" spans="1:9">
      <c r="A87" s="40" t="s">
        <v>227</v>
      </c>
      <c r="B87" s="11" t="s">
        <v>228</v>
      </c>
      <c r="C87" s="95">
        <v>7.77</v>
      </c>
      <c r="D87" s="92">
        <v>-0.1328125</v>
      </c>
      <c r="E87" s="93">
        <v>1374643097.338558</v>
      </c>
      <c r="F87" s="35"/>
      <c r="G87" s="35"/>
      <c r="H87" s="35"/>
      <c r="I87" s="35"/>
    </row>
    <row r="88" spans="1:9">
      <c r="A88" s="40" t="s">
        <v>229</v>
      </c>
      <c r="B88" s="11" t="s">
        <v>230</v>
      </c>
      <c r="C88" s="95">
        <v>90.1</v>
      </c>
      <c r="D88" s="92">
        <v>-0.14190476190000001</v>
      </c>
      <c r="E88" s="93">
        <v>101190976.76356269</v>
      </c>
      <c r="F88" s="35"/>
      <c r="G88" s="35"/>
      <c r="H88" s="35"/>
      <c r="I88" s="35"/>
    </row>
    <row r="89" spans="1:9">
      <c r="A89" s="40" t="s">
        <v>111</v>
      </c>
      <c r="B89" s="11" t="s">
        <v>112</v>
      </c>
      <c r="C89" s="95">
        <v>132</v>
      </c>
      <c r="D89" s="92">
        <v>-0.14838709680000001</v>
      </c>
      <c r="E89" s="93">
        <v>191172127.73086083</v>
      </c>
      <c r="F89" s="35"/>
      <c r="G89" s="35"/>
      <c r="H89" s="35"/>
      <c r="I89" s="35"/>
    </row>
    <row r="90" spans="1:9">
      <c r="A90" s="40" t="s">
        <v>71</v>
      </c>
      <c r="B90" s="11" t="s">
        <v>72</v>
      </c>
      <c r="C90" s="95">
        <v>18.100000000000001</v>
      </c>
      <c r="D90" s="92">
        <v>-0.15023474179999999</v>
      </c>
      <c r="E90" s="93">
        <v>361371600.33733028</v>
      </c>
      <c r="F90" s="35"/>
      <c r="G90" s="35"/>
      <c r="H90" s="35"/>
      <c r="I90" s="35"/>
    </row>
    <row r="91" spans="1:9">
      <c r="A91" s="40" t="s">
        <v>81</v>
      </c>
      <c r="B91" s="11" t="s">
        <v>82</v>
      </c>
      <c r="C91" s="95">
        <v>810</v>
      </c>
      <c r="D91" s="92">
        <v>-0.1553701773</v>
      </c>
      <c r="E91" s="93">
        <v>2068438.27768473</v>
      </c>
      <c r="F91" s="35"/>
      <c r="G91" s="35"/>
      <c r="H91" s="35"/>
      <c r="I91" s="35"/>
    </row>
    <row r="92" spans="1:9">
      <c r="A92" s="40" t="s">
        <v>201</v>
      </c>
      <c r="B92" s="11" t="s">
        <v>202</v>
      </c>
      <c r="C92" s="95">
        <v>88.6</v>
      </c>
      <c r="D92" s="92">
        <v>-0.15619047620000001</v>
      </c>
      <c r="E92" s="93">
        <v>200100102.25465202</v>
      </c>
      <c r="F92" s="35"/>
      <c r="G92" s="35"/>
      <c r="H92" s="35"/>
      <c r="I92" s="35"/>
    </row>
    <row r="93" spans="1:9">
      <c r="A93" s="40" t="s">
        <v>153</v>
      </c>
      <c r="B93" s="11" t="s">
        <v>154</v>
      </c>
      <c r="C93" s="95">
        <v>8.5</v>
      </c>
      <c r="D93" s="92">
        <v>-0.1584158416</v>
      </c>
      <c r="E93" s="93">
        <v>905743115.75887871</v>
      </c>
      <c r="F93" s="35"/>
      <c r="G93" s="35"/>
      <c r="H93" s="35"/>
      <c r="I93" s="35"/>
    </row>
    <row r="94" spans="1:9">
      <c r="A94" s="40" t="s">
        <v>195</v>
      </c>
      <c r="B94" s="11" t="s">
        <v>196</v>
      </c>
      <c r="C94" s="95">
        <v>8.3699999999999992</v>
      </c>
      <c r="D94" s="92">
        <v>-0.15879396979999999</v>
      </c>
      <c r="E94" s="93">
        <v>578964879.49176192</v>
      </c>
      <c r="F94" s="35"/>
      <c r="G94" s="35"/>
      <c r="H94" s="35"/>
      <c r="I94" s="35"/>
    </row>
    <row r="95" spans="1:9">
      <c r="A95" s="40" t="s">
        <v>231</v>
      </c>
      <c r="B95" s="11" t="s">
        <v>232</v>
      </c>
      <c r="C95" s="95">
        <v>85.7</v>
      </c>
      <c r="D95" s="92">
        <v>-0.167961165</v>
      </c>
      <c r="E95" s="93">
        <v>125945292.08821125</v>
      </c>
      <c r="F95" s="35"/>
      <c r="G95" s="35"/>
      <c r="H95" s="35"/>
      <c r="I95" s="35"/>
    </row>
    <row r="96" spans="1:9">
      <c r="A96" s="40" t="s">
        <v>267</v>
      </c>
      <c r="B96" s="11" t="s">
        <v>268</v>
      </c>
      <c r="C96" s="95">
        <v>31.9</v>
      </c>
      <c r="D96" s="92">
        <v>-0.16927083330000001</v>
      </c>
      <c r="E96" s="93">
        <v>594412351.48614883</v>
      </c>
      <c r="F96" s="35"/>
      <c r="G96" s="35"/>
      <c r="H96" s="35"/>
      <c r="I96" s="35"/>
    </row>
    <row r="97" spans="1:9">
      <c r="A97" s="40" t="s">
        <v>281</v>
      </c>
      <c r="B97" s="11" t="s">
        <v>282</v>
      </c>
      <c r="C97" s="95">
        <v>55.9</v>
      </c>
      <c r="D97" s="92">
        <v>-0.1693907875</v>
      </c>
      <c r="E97" s="93">
        <v>59616647.661793917</v>
      </c>
      <c r="F97" s="35"/>
      <c r="G97" s="35"/>
      <c r="H97" s="35"/>
      <c r="I97" s="35"/>
    </row>
    <row r="98" spans="1:9">
      <c r="A98" s="40" t="s">
        <v>197</v>
      </c>
      <c r="B98" s="11" t="s">
        <v>198</v>
      </c>
      <c r="C98" s="95">
        <v>11</v>
      </c>
      <c r="D98" s="92">
        <v>-0.17293233080000001</v>
      </c>
      <c r="E98" s="93">
        <v>1061761129.2827902</v>
      </c>
      <c r="F98" s="35"/>
      <c r="G98" s="35"/>
      <c r="H98" s="35"/>
      <c r="I98" s="35"/>
    </row>
    <row r="99" spans="1:9">
      <c r="A99" s="40" t="s">
        <v>237</v>
      </c>
      <c r="B99" s="11" t="s">
        <v>238</v>
      </c>
      <c r="C99" s="95">
        <v>88</v>
      </c>
      <c r="D99" s="92">
        <v>-0.18518518519999999</v>
      </c>
      <c r="E99" s="93">
        <v>77662002.41041781</v>
      </c>
      <c r="F99" s="35"/>
      <c r="G99" s="35"/>
      <c r="H99" s="35"/>
      <c r="I99" s="35"/>
    </row>
    <row r="100" spans="1:9">
      <c r="A100" s="40" t="s">
        <v>239</v>
      </c>
      <c r="B100" s="11" t="s">
        <v>240</v>
      </c>
      <c r="C100" s="95">
        <v>84.6</v>
      </c>
      <c r="D100" s="92">
        <v>-0.1865384615</v>
      </c>
      <c r="E100" s="93">
        <v>101030419.7540309</v>
      </c>
      <c r="F100" s="35"/>
      <c r="G100" s="35"/>
      <c r="H100" s="35"/>
      <c r="I100" s="35"/>
    </row>
    <row r="101" spans="1:9">
      <c r="A101" s="40" t="s">
        <v>221</v>
      </c>
      <c r="B101" s="11" t="s">
        <v>222</v>
      </c>
      <c r="C101" s="95">
        <v>8.2100000000000009</v>
      </c>
      <c r="D101" s="92">
        <v>-0.18712871289999999</v>
      </c>
      <c r="E101" s="93">
        <v>543458466.00307095</v>
      </c>
      <c r="F101" s="35"/>
      <c r="G101" s="35"/>
      <c r="H101" s="35"/>
      <c r="I101" s="35"/>
    </row>
    <row r="102" spans="1:9">
      <c r="A102" s="40" t="s">
        <v>123</v>
      </c>
      <c r="B102" s="11" t="s">
        <v>124</v>
      </c>
      <c r="C102" s="95">
        <v>2445</v>
      </c>
      <c r="D102" s="92">
        <v>-0.1877076412</v>
      </c>
      <c r="E102" s="93">
        <v>5953997.20220578</v>
      </c>
      <c r="F102" s="35"/>
      <c r="G102" s="35"/>
      <c r="H102" s="35"/>
      <c r="I102" s="35"/>
    </row>
    <row r="103" spans="1:9">
      <c r="A103" s="40" t="s">
        <v>225</v>
      </c>
      <c r="B103" s="11" t="s">
        <v>226</v>
      </c>
      <c r="C103" s="95">
        <v>200</v>
      </c>
      <c r="D103" s="92">
        <v>-0.1902834008</v>
      </c>
      <c r="E103" s="93">
        <v>25495072.058842361</v>
      </c>
      <c r="F103" s="35"/>
      <c r="G103" s="35"/>
      <c r="H103" s="35"/>
      <c r="I103" s="35"/>
    </row>
    <row r="104" spans="1:9">
      <c r="A104" s="40" t="s">
        <v>66</v>
      </c>
      <c r="B104" s="11" t="s">
        <v>67</v>
      </c>
      <c r="C104" s="95">
        <v>3515</v>
      </c>
      <c r="D104" s="92">
        <v>-0.1928817451</v>
      </c>
      <c r="E104" s="93">
        <v>2040412.14217663</v>
      </c>
      <c r="F104" s="35"/>
      <c r="G104" s="35"/>
      <c r="H104" s="35"/>
      <c r="I104" s="35"/>
    </row>
    <row r="105" spans="1:9">
      <c r="A105" s="40" t="s">
        <v>173</v>
      </c>
      <c r="B105" s="11" t="s">
        <v>174</v>
      </c>
      <c r="C105" s="95">
        <v>115</v>
      </c>
      <c r="D105" s="92">
        <v>-0.1958041958</v>
      </c>
      <c r="E105" s="93">
        <v>116266251.15430224</v>
      </c>
      <c r="F105" s="35"/>
      <c r="G105" s="35"/>
      <c r="H105" s="35"/>
      <c r="I105" s="35"/>
    </row>
    <row r="106" spans="1:9">
      <c r="A106" s="40" t="s">
        <v>209</v>
      </c>
      <c r="B106" s="11" t="s">
        <v>210</v>
      </c>
      <c r="C106" s="95">
        <v>85.2</v>
      </c>
      <c r="D106" s="92">
        <v>-0.1962264151</v>
      </c>
      <c r="E106" s="93">
        <v>91920990.523646533</v>
      </c>
      <c r="F106" s="35"/>
      <c r="G106" s="35"/>
      <c r="H106" s="35"/>
      <c r="I106" s="35"/>
    </row>
    <row r="107" spans="1:9">
      <c r="A107" s="40" t="s">
        <v>249</v>
      </c>
      <c r="B107" s="11" t="s">
        <v>250</v>
      </c>
      <c r="C107" s="95">
        <v>58.8</v>
      </c>
      <c r="D107" s="92">
        <v>-0.1978171896</v>
      </c>
      <c r="E107" s="93">
        <v>76048617.269793794</v>
      </c>
      <c r="F107" s="35"/>
      <c r="G107" s="35"/>
      <c r="H107" s="35"/>
      <c r="I107" s="35"/>
    </row>
    <row r="108" spans="1:9">
      <c r="A108" s="40" t="s">
        <v>213</v>
      </c>
      <c r="B108" s="11" t="s">
        <v>214</v>
      </c>
      <c r="C108" s="95">
        <v>9.1199999999999992</v>
      </c>
      <c r="D108" s="92">
        <v>-0.2</v>
      </c>
      <c r="E108" s="93">
        <v>647800585.27374256</v>
      </c>
      <c r="F108" s="35"/>
      <c r="G108" s="35"/>
      <c r="H108" s="35"/>
      <c r="I108" s="35"/>
    </row>
    <row r="109" spans="1:9">
      <c r="A109" s="40" t="s">
        <v>265</v>
      </c>
      <c r="B109" s="11" t="s">
        <v>266</v>
      </c>
      <c r="C109" s="95">
        <v>56.6</v>
      </c>
      <c r="D109" s="92">
        <v>-0.2402684564</v>
      </c>
      <c r="E109" s="41">
        <v>575076904.18140519</v>
      </c>
    </row>
    <row r="110" spans="1:9">
      <c r="A110" s="40" t="s">
        <v>161</v>
      </c>
      <c r="B110" s="11" t="s">
        <v>162</v>
      </c>
      <c r="C110" s="95">
        <v>535</v>
      </c>
      <c r="D110" s="92">
        <v>-0.2464788732</v>
      </c>
      <c r="E110" s="41">
        <v>53209625.387586713</v>
      </c>
    </row>
    <row r="111" spans="1:9">
      <c r="A111" s="40" t="s">
        <v>233</v>
      </c>
      <c r="B111" s="11" t="s">
        <v>234</v>
      </c>
      <c r="C111" s="95">
        <v>313</v>
      </c>
      <c r="D111" s="92">
        <v>-0.2918552036</v>
      </c>
      <c r="E111" s="41">
        <v>14352257.71735934</v>
      </c>
    </row>
    <row r="112" spans="1:9">
      <c r="A112" s="40" t="s">
        <v>251</v>
      </c>
      <c r="B112" s="11" t="s">
        <v>252</v>
      </c>
      <c r="C112" s="95">
        <v>116</v>
      </c>
      <c r="D112" s="92">
        <v>-0.29268292680000002</v>
      </c>
      <c r="E112" s="41">
        <v>120881435.63421781</v>
      </c>
    </row>
    <row r="113" spans="1:5">
      <c r="A113" s="40" t="s">
        <v>207</v>
      </c>
      <c r="B113" s="11" t="s">
        <v>208</v>
      </c>
      <c r="C113" s="95">
        <v>103</v>
      </c>
      <c r="D113" s="92">
        <v>-0.30872483220000002</v>
      </c>
      <c r="E113" s="41">
        <v>335619774.10546684</v>
      </c>
    </row>
    <row r="114" spans="1:5">
      <c r="A114" s="40" t="s">
        <v>235</v>
      </c>
      <c r="B114" s="11" t="s">
        <v>236</v>
      </c>
      <c r="C114" s="95">
        <v>21.8</v>
      </c>
      <c r="D114" s="92">
        <v>-0.31230283910000001</v>
      </c>
      <c r="E114" s="41">
        <v>822917661.12192822</v>
      </c>
    </row>
    <row r="115" spans="1:5">
      <c r="A115" s="40" t="s">
        <v>217</v>
      </c>
      <c r="B115" s="11" t="s">
        <v>218</v>
      </c>
      <c r="C115" s="95">
        <v>5.68</v>
      </c>
      <c r="D115" s="92">
        <v>-0.31566265059999998</v>
      </c>
      <c r="E115" s="41">
        <v>1867350762.1404951</v>
      </c>
    </row>
    <row r="116" spans="1:5">
      <c r="A116" s="40" t="s">
        <v>253</v>
      </c>
      <c r="B116" s="11" t="s">
        <v>254</v>
      </c>
      <c r="C116" s="95">
        <v>22.5</v>
      </c>
      <c r="D116" s="92">
        <v>-0.31610942250000001</v>
      </c>
      <c r="E116" s="41">
        <v>642049507.09997344</v>
      </c>
    </row>
    <row r="117" spans="1:5">
      <c r="A117" s="40" t="s">
        <v>121</v>
      </c>
      <c r="B117" s="11" t="s">
        <v>122</v>
      </c>
      <c r="C117" s="95">
        <v>27</v>
      </c>
      <c r="D117" s="92">
        <v>-0.3198992443</v>
      </c>
      <c r="E117" s="41">
        <v>514961190.9986316</v>
      </c>
    </row>
    <row r="118" spans="1:5">
      <c r="A118" s="40" t="s">
        <v>171</v>
      </c>
      <c r="B118" s="11" t="s">
        <v>172</v>
      </c>
      <c r="C118" s="95">
        <v>5.4</v>
      </c>
      <c r="D118" s="92">
        <v>-0.32075471700000002</v>
      </c>
      <c r="E118" s="41">
        <v>1654385357.885479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65" t="str">
        <f>TEXT(투자전략!$G$1, "[$-ko-KR]yyyy년 mm월") &amp; " 총결산"</f>
        <v>2021년 06월 총결산</v>
      </c>
      <c r="B1" s="266"/>
      <c r="C1" s="266"/>
      <c r="D1" s="266"/>
      <c r="E1" s="266"/>
      <c r="F1" s="266"/>
      <c r="G1" s="266"/>
      <c r="H1" s="266"/>
      <c r="I1" s="266"/>
      <c r="J1" s="266"/>
      <c r="K1" s="266"/>
      <c r="L1" s="266"/>
      <c r="M1" s="266"/>
      <c r="N1" s="266"/>
      <c r="O1" s="267"/>
    </row>
    <row r="2" spans="1:15" ht="16.5" customHeight="1" thickBot="1">
      <c r="A2" s="262" t="s">
        <v>319</v>
      </c>
      <c r="B2" s="263"/>
      <c r="C2" s="263"/>
      <c r="D2" s="235" t="s">
        <v>315</v>
      </c>
      <c r="E2" s="235"/>
      <c r="F2" s="236"/>
      <c r="G2" s="265" t="s">
        <v>316</v>
      </c>
      <c r="H2" s="266"/>
      <c r="I2" s="267"/>
      <c r="J2" s="234" t="s">
        <v>317</v>
      </c>
      <c r="K2" s="235"/>
      <c r="L2" s="235"/>
      <c r="M2" s="235" t="s">
        <v>318</v>
      </c>
      <c r="N2" s="235"/>
      <c r="O2" s="236"/>
    </row>
    <row r="3" spans="1:15" ht="16.5" customHeight="1">
      <c r="A3" s="292">
        <v>1</v>
      </c>
      <c r="B3" s="2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3" s="264"/>
      <c r="D3" s="262" t="s">
        <v>320</v>
      </c>
      <c r="E3" s="263"/>
      <c r="F3" s="264"/>
      <c r="G3" s="262" t="s">
        <v>327</v>
      </c>
      <c r="H3" s="263"/>
      <c r="I3" s="264"/>
      <c r="J3" s="262" t="s">
        <v>334</v>
      </c>
      <c r="K3" s="263"/>
      <c r="L3" s="264"/>
      <c r="M3" s="262" t="s">
        <v>341</v>
      </c>
      <c r="N3" s="263"/>
      <c r="O3" s="264"/>
    </row>
    <row r="4" spans="1:15" ht="16.5" customHeight="1" thickBot="1">
      <c r="A4" s="293"/>
      <c r="B4" s="25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128,395 KRW (6.42%)</v>
      </c>
      <c r="C4" s="257"/>
      <c r="D4" s="255" t="str">
        <f ca="1" xml:space="preserve"> TEXT($F$92, "#,##0") &amp; " KRW (" &amp; TEXT($E$92, "0.00%)")</f>
        <v>128,395 KRW (6.42%)</v>
      </c>
      <c r="E4" s="256"/>
      <c r="F4" s="257"/>
      <c r="G4" s="255" t="str">
        <f ca="1" xml:space="preserve"> TEXT($I$92, "#,##0") &amp; " KRW (" &amp; TEXT($H$92, "0.00%)")</f>
        <v>-285,709 KRW (-14.29%)</v>
      </c>
      <c r="H4" s="256"/>
      <c r="I4" s="257"/>
      <c r="J4" s="255" t="str">
        <f ca="1" xml:space="preserve"> TEXT($L$92, "#,##0") &amp; " KRW (" &amp; TEXT($K$92, "0.00%)")</f>
        <v>-337,306 KRW (-16.87%)</v>
      </c>
      <c r="K4" s="256"/>
      <c r="L4" s="257"/>
      <c r="M4" s="255" t="str">
        <f ca="1" xml:space="preserve"> TEXT($O$92, "#,##0") &amp; " KRW (" &amp; TEXT($N$92, "0.00%)")</f>
        <v>-508,796 KRW (-25.44%)</v>
      </c>
      <c r="N4" s="256"/>
      <c r="O4" s="257"/>
    </row>
    <row r="5" spans="1:15" ht="16.5" customHeight="1">
      <c r="A5" s="292">
        <v>2</v>
      </c>
      <c r="B5" s="26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전일대비 상승률 Top20</v>
      </c>
      <c r="C5" s="264"/>
      <c r="D5" s="262" t="s">
        <v>321</v>
      </c>
      <c r="E5" s="263"/>
      <c r="F5" s="264"/>
      <c r="G5" s="262" t="s">
        <v>328</v>
      </c>
      <c r="H5" s="263"/>
      <c r="I5" s="264"/>
      <c r="J5" s="262" t="s">
        <v>335</v>
      </c>
      <c r="K5" s="263"/>
      <c r="L5" s="264"/>
      <c r="M5" s="262" t="s">
        <v>342</v>
      </c>
      <c r="N5" s="263"/>
      <c r="O5" s="264"/>
    </row>
    <row r="6" spans="1:15" ht="16.5" customHeight="1" thickBot="1">
      <c r="A6" s="293"/>
      <c r="B6" s="25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108,198 KRW (5.41%)</v>
      </c>
      <c r="C6" s="257"/>
      <c r="D6" s="255" t="str">
        <f ca="1" xml:space="preserve"> TEXT($F$130, "#,##0") &amp; " KRW (" &amp; TEXT($E$130, "0.00%)")</f>
        <v>-81,343 KRW (-4.07%)</v>
      </c>
      <c r="E6" s="256"/>
      <c r="F6" s="257"/>
      <c r="G6" s="255" t="str">
        <f ca="1" xml:space="preserve"> TEXT($I$130, "#,##0") &amp; " KRW (" &amp; TEXT($H$130, "0.00%)")</f>
        <v>-428,300 KRW (-21.41%)</v>
      </c>
      <c r="H6" s="256"/>
      <c r="I6" s="257"/>
      <c r="J6" s="255" t="str">
        <f ca="1" xml:space="preserve"> TEXT($L$130, "#,##0") &amp; " KRW (" &amp; TEXT($K$130, "0.00%)")</f>
        <v>-496,045 KRW (-24.80%)</v>
      </c>
      <c r="K6" s="256"/>
      <c r="L6" s="257"/>
      <c r="M6" s="255" t="str">
        <f ca="1" xml:space="preserve"> TEXT($O$130, "#,##0") &amp; " KRW (" &amp; TEXT($N$130, "0.00%)")</f>
        <v>-564,746 KRW (-28.24%)</v>
      </c>
      <c r="N6" s="256"/>
      <c r="O6" s="257"/>
    </row>
    <row r="7" spans="1:15" ht="16.5" customHeight="1">
      <c r="A7" s="292">
        <v>3</v>
      </c>
      <c r="B7" s="26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실거래종목</v>
      </c>
      <c r="C7" s="264"/>
      <c r="D7" s="262" t="s">
        <v>322</v>
      </c>
      <c r="E7" s="263"/>
      <c r="F7" s="264"/>
      <c r="G7" s="262" t="s">
        <v>329</v>
      </c>
      <c r="H7" s="263"/>
      <c r="I7" s="264"/>
      <c r="J7" s="262" t="s">
        <v>336</v>
      </c>
      <c r="K7" s="263"/>
      <c r="L7" s="264"/>
      <c r="M7" s="262" t="s">
        <v>343</v>
      </c>
      <c r="N7" s="263"/>
      <c r="O7" s="264"/>
    </row>
    <row r="8" spans="1:15" ht="16.5" customHeight="1" thickBot="1">
      <c r="A8" s="293"/>
      <c r="B8" s="25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76,158 KRW (10.10%)</v>
      </c>
      <c r="C8" s="257"/>
      <c r="D8" s="255" t="str">
        <f ca="1" xml:space="preserve"> TEXT($F$206, "#,##0") &amp; " KRW (" &amp; TEXT($E$206, "0.00%)")</f>
        <v>-97,822 KRW (-4.89%)</v>
      </c>
      <c r="E8" s="256"/>
      <c r="F8" s="257"/>
      <c r="G8" s="255" t="str">
        <f ca="1" xml:space="preserve"> TEXT($I$206, "#,##0") &amp; " KRW (" &amp; TEXT($H$206, "0.00%)")</f>
        <v>-382,435 KRW (-19.12%)</v>
      </c>
      <c r="H8" s="256"/>
      <c r="I8" s="257"/>
      <c r="J8" s="255" t="str">
        <f ca="1" xml:space="preserve"> TEXT($L$206, "#,##0") &amp; " KRW (" &amp; TEXT($K$206, "0.00%)")</f>
        <v>-429,756 KRW (-21.49%)</v>
      </c>
      <c r="K8" s="256"/>
      <c r="L8" s="257"/>
      <c r="M8" s="255" t="str">
        <f ca="1" xml:space="preserve"> TEXT($O$206, "#,##0") &amp; " KRW (" &amp; TEXT($N$206, "0.00%)")</f>
        <v>-589,493 KRW (-29.47%)</v>
      </c>
      <c r="N8" s="256"/>
      <c r="O8" s="257"/>
    </row>
    <row r="9" spans="1:15" ht="16.5" customHeight="1">
      <c r="A9" s="292">
        <v>4</v>
      </c>
      <c r="B9" s="26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실거래종목</v>
      </c>
      <c r="C9" s="264"/>
      <c r="D9" s="262" t="s">
        <v>323</v>
      </c>
      <c r="E9" s="263"/>
      <c r="F9" s="264"/>
      <c r="G9" s="262" t="s">
        <v>330</v>
      </c>
      <c r="H9" s="263"/>
      <c r="I9" s="264"/>
      <c r="J9" s="262" t="s">
        <v>337</v>
      </c>
      <c r="K9" s="263"/>
      <c r="L9" s="264"/>
      <c r="M9" s="262" t="s">
        <v>344</v>
      </c>
      <c r="N9" s="263"/>
      <c r="O9" s="264"/>
    </row>
    <row r="10" spans="1:15" ht="16.5" customHeight="1" thickBot="1">
      <c r="A10" s="293"/>
      <c r="B10" s="25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71,504 KRW (9.49%)</v>
      </c>
      <c r="C10" s="257"/>
      <c r="D10" s="255" t="str">
        <f ca="1" xml:space="preserve"> TEXT($F$244, "#,##0") &amp; " KRW (" &amp; TEXT($E$244, "0.00%)")</f>
        <v>-248,819 KRW (-12.44%)</v>
      </c>
      <c r="E10" s="256"/>
      <c r="F10" s="257"/>
      <c r="G10" s="255" t="str">
        <f ca="1" xml:space="preserve"> TEXT($I$244, "#,##0") &amp; " KRW (" &amp; TEXT($H$244, "0.00%)")</f>
        <v>-313,642 KRW (-15.68%)</v>
      </c>
      <c r="H10" s="256"/>
      <c r="I10" s="257"/>
      <c r="J10" s="255" t="str">
        <f ca="1" xml:space="preserve"> TEXT($L$244, "#,##0") &amp; " KRW (" &amp; TEXT($K$244, "0.00%)")</f>
        <v>-349,463 KRW (-17.47%)</v>
      </c>
      <c r="K10" s="256"/>
      <c r="L10" s="257"/>
      <c r="M10" s="255" t="str">
        <f ca="1" xml:space="preserve"> TEXT($O$244, "#,##0") &amp; " KRW (" &amp; TEXT($N$244, "0.00%)")</f>
        <v>-452,402 KRW (-22.62%)</v>
      </c>
      <c r="N10" s="256"/>
      <c r="O10" s="257"/>
    </row>
    <row r="11" spans="1:15" ht="16.5" customHeight="1">
      <c r="A11" s="292">
        <v>5</v>
      </c>
      <c r="B11" s="26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실거래종목</v>
      </c>
      <c r="C11" s="264"/>
      <c r="D11" s="262" t="s">
        <v>324</v>
      </c>
      <c r="E11" s="263"/>
      <c r="F11" s="264"/>
      <c r="G11" s="262" t="s">
        <v>331</v>
      </c>
      <c r="H11" s="263"/>
      <c r="I11" s="264"/>
      <c r="J11" s="262" t="s">
        <v>338</v>
      </c>
      <c r="K11" s="263"/>
      <c r="L11" s="264"/>
      <c r="M11" s="262" t="s">
        <v>345</v>
      </c>
      <c r="N11" s="263"/>
      <c r="O11" s="264"/>
    </row>
    <row r="12" spans="1:15" ht="16.5" customHeight="1" thickBot="1">
      <c r="A12" s="293"/>
      <c r="B12" s="25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48,973 KRW (6.50%)</v>
      </c>
      <c r="C12" s="257"/>
      <c r="D12" s="255" t="str">
        <f ca="1" xml:space="preserve"> TEXT($F$168, "#,##0") &amp; " KRW (" &amp; TEXT($E$168, "0.00%)")</f>
        <v>108,198 KRW (5.41%)</v>
      </c>
      <c r="E12" s="256"/>
      <c r="F12" s="257"/>
      <c r="G12" s="255" t="str">
        <f ca="1" xml:space="preserve"> TEXT($I$168, "#,##0") &amp; " KRW (" &amp; TEXT($H$168, "0.00%)")</f>
        <v>-410,756 KRW (-20.54%)</v>
      </c>
      <c r="H12" s="256"/>
      <c r="I12" s="257"/>
      <c r="J12" s="255" t="str">
        <f ca="1" xml:space="preserve"> TEXT($L$168, "#,##0") &amp; " KRW (" &amp; TEXT($K$168, "0.00%)")</f>
        <v>-513,189 KRW (-25.66%)</v>
      </c>
      <c r="K12" s="256"/>
      <c r="L12" s="257"/>
      <c r="M12" s="255" t="str">
        <f ca="1" xml:space="preserve"> TEXT($O$168, "#,##0") &amp; " KRW (" &amp; TEXT($N$168, "0.00%)")</f>
        <v>-572,992 KRW (-28.65%)</v>
      </c>
      <c r="N12" s="256"/>
      <c r="O12" s="257"/>
    </row>
    <row r="13" spans="1:15" ht="16.5" customHeight="1">
      <c r="A13" s="292">
        <v>6</v>
      </c>
      <c r="B13" s="26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실거래종목</v>
      </c>
      <c r="C13" s="264"/>
      <c r="D13" s="262" t="s">
        <v>325</v>
      </c>
      <c r="E13" s="263"/>
      <c r="F13" s="264"/>
      <c r="G13" s="262" t="s">
        <v>332</v>
      </c>
      <c r="H13" s="263"/>
      <c r="I13" s="264"/>
      <c r="J13" s="262" t="s">
        <v>339</v>
      </c>
      <c r="K13" s="263"/>
      <c r="L13" s="264"/>
      <c r="M13" s="262" t="s">
        <v>346</v>
      </c>
      <c r="N13" s="263"/>
      <c r="O13" s="264"/>
    </row>
    <row r="14" spans="1:15" ht="16.5" customHeight="1" thickBot="1">
      <c r="A14" s="293"/>
      <c r="B14" s="25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2,641 KRW (0.35%)</v>
      </c>
      <c r="C14" s="257"/>
      <c r="D14" s="255" t="str">
        <f ca="1" xml:space="preserve"> TEXT($F$282, "#,##0") &amp; " KRW (" &amp; TEXT($E$282, "0.00%)")</f>
        <v>-379,262 KRW (-18.96%)</v>
      </c>
      <c r="E14" s="256"/>
      <c r="F14" s="257"/>
      <c r="G14" s="255" t="str">
        <f ca="1" xml:space="preserve"> TEXT($I$282, "#,##0") &amp; " KRW (" &amp; TEXT($H$282, "0.00%)")</f>
        <v>-445,680 KRW (-22.28%)</v>
      </c>
      <c r="H14" s="256"/>
      <c r="I14" s="257"/>
      <c r="J14" s="255" t="str">
        <f ca="1" xml:space="preserve"> TEXT($L$282, "#,##0") &amp; " KRW (" &amp; TEXT($K$282, "0.00%)")</f>
        <v>-543,697 KRW (-27.18%)</v>
      </c>
      <c r="K14" s="256"/>
      <c r="L14" s="257"/>
      <c r="M14" s="255" t="str">
        <f ca="1" xml:space="preserve"> TEXT($O$282, "#,##0") &amp; " KRW (" &amp; TEXT($N$282, "0.00%)")</f>
        <v>-617,500 KRW (-30.87%)</v>
      </c>
      <c r="N14" s="256"/>
      <c r="O14" s="257"/>
    </row>
    <row r="15" spans="1:15" ht="16.5" customHeight="1">
      <c r="A15" s="292">
        <v>7</v>
      </c>
      <c r="B15" s="26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동전코인 Top20</v>
      </c>
      <c r="C15" s="264"/>
      <c r="D15" s="262" t="s">
        <v>326</v>
      </c>
      <c r="E15" s="263"/>
      <c r="F15" s="264"/>
      <c r="G15" s="262" t="s">
        <v>333</v>
      </c>
      <c r="H15" s="263"/>
      <c r="I15" s="264"/>
      <c r="J15" s="262" t="s">
        <v>340</v>
      </c>
      <c r="K15" s="263"/>
      <c r="L15" s="264"/>
      <c r="M15" s="262" t="s">
        <v>347</v>
      </c>
      <c r="N15" s="263"/>
      <c r="O15" s="264"/>
    </row>
    <row r="16" spans="1:15" ht="16.5" customHeight="1" thickBot="1">
      <c r="A16" s="293"/>
      <c r="B16" s="25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-81,343 KRW (-4.07%)</v>
      </c>
      <c r="C16" s="257"/>
      <c r="D16" s="255" t="str">
        <f ca="1" xml:space="preserve"> TEXT($F$54, "#,##0") &amp; " KRW (" &amp; TEXT($E$54, "0.00%)")</f>
        <v>76,158 KRW (10.10%)</v>
      </c>
      <c r="E16" s="256"/>
      <c r="F16" s="257"/>
      <c r="G16" s="255" t="str">
        <f ca="1" xml:space="preserve"> TEXT($I$54, "#,##0") &amp; " KRW (" &amp; TEXT($H$54, "0.00%)")</f>
        <v>71,504 KRW (9.49%)</v>
      </c>
      <c r="H16" s="256"/>
      <c r="I16" s="257"/>
      <c r="J16" s="255" t="str">
        <f ca="1" xml:space="preserve"> TEXT($L$54, "#,##0") &amp; " KRW (" &amp; TEXT($K$54, "0.00%)")</f>
        <v>48,973 KRW (6.50%)</v>
      </c>
      <c r="K16" s="256"/>
      <c r="L16" s="257"/>
      <c r="M16" s="255" t="str">
        <f ca="1" xml:space="preserve"> TEXT($O$54, "#,##0") &amp; " KRW (" &amp; TEXT($N$54, "0.00%)")</f>
        <v>2,641 KRW (0.35%)</v>
      </c>
      <c r="N16" s="256"/>
      <c r="O16" s="257"/>
    </row>
    <row r="18" spans="1:15" ht="16.5" customHeight="1" thickBot="1"/>
    <row r="19" spans="1:15" ht="16.5" customHeight="1" thickBot="1">
      <c r="A19" s="234" t="str">
        <f>TEXT(투자전략!$G$1, "[$-ko-KR]yyyy년 mm월 ") &amp; "실거래 월말결산"</f>
        <v>2021년 06월 실거래 월말결산</v>
      </c>
      <c r="B19" s="235"/>
      <c r="C19" s="235"/>
      <c r="D19" s="235"/>
      <c r="E19" s="235"/>
      <c r="F19" s="235"/>
      <c r="G19" s="235"/>
      <c r="H19" s="235"/>
      <c r="I19" s="235"/>
      <c r="J19" s="235"/>
      <c r="K19" s="235"/>
      <c r="L19" s="235"/>
      <c r="M19" s="235"/>
      <c r="N19" s="235"/>
      <c r="O19" s="236"/>
    </row>
    <row r="20" spans="1:15" ht="16.5" customHeight="1" thickBot="1">
      <c r="A20" s="278" t="s">
        <v>314</v>
      </c>
      <c r="B20" s="255" t="s">
        <v>312</v>
      </c>
      <c r="C20" s="257"/>
      <c r="D20" s="255" t="s">
        <v>304</v>
      </c>
      <c r="E20" s="256"/>
      <c r="F20" s="257"/>
      <c r="G20" s="255" t="s">
        <v>305</v>
      </c>
      <c r="H20" s="256"/>
      <c r="I20" s="257"/>
      <c r="J20" s="255" t="s">
        <v>306</v>
      </c>
      <c r="K20" s="256"/>
      <c r="L20" s="257"/>
      <c r="M20" s="255" t="s">
        <v>307</v>
      </c>
      <c r="N20" s="256"/>
      <c r="O20" s="257"/>
    </row>
    <row r="21" spans="1:15" ht="16.5" customHeight="1" thickBot="1">
      <c r="A21" s="271"/>
      <c r="B21" s="146" t="s">
        <v>302</v>
      </c>
      <c r="C21" s="146" t="s">
        <v>42</v>
      </c>
      <c r="D21" s="121" t="s">
        <v>303</v>
      </c>
      <c r="E21" s="133" t="s">
        <v>40</v>
      </c>
      <c r="F21" s="149" t="s">
        <v>41</v>
      </c>
      <c r="G21" s="121" t="s">
        <v>303</v>
      </c>
      <c r="H21" s="133" t="s">
        <v>40</v>
      </c>
      <c r="I21" s="149" t="s">
        <v>41</v>
      </c>
      <c r="J21" s="121" t="s">
        <v>303</v>
      </c>
      <c r="K21" s="133" t="s">
        <v>40</v>
      </c>
      <c r="L21" s="149" t="s">
        <v>41</v>
      </c>
      <c r="M21" s="121" t="s">
        <v>303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431644.9985509133</v>
      </c>
      <c r="E29" s="76">
        <f t="shared" ca="1" si="2"/>
        <v>-0.13671000289817342</v>
      </c>
      <c r="F29" s="141">
        <f t="shared" ca="1" si="3"/>
        <v>-68355.001449086718</v>
      </c>
      <c r="G29" s="142">
        <f t="shared" ca="1" si="4"/>
        <v>431973.23193609988</v>
      </c>
      <c r="H29" s="76">
        <f t="shared" ca="1" si="5"/>
        <v>-0.13605353612780022</v>
      </c>
      <c r="I29" s="141">
        <f t="shared" ca="1" si="6"/>
        <v>-68026.768063900105</v>
      </c>
      <c r="J29" s="142">
        <f t="shared" ca="1" si="7"/>
        <v>433611.58654301101</v>
      </c>
      <c r="K29" s="76">
        <f t="shared" ca="1" si="8"/>
        <v>-0.13277682691397796</v>
      </c>
      <c r="L29" s="141">
        <f t="shared" ca="1" si="9"/>
        <v>-66388.413456988987</v>
      </c>
      <c r="M29" s="142">
        <f t="shared" ca="1" si="10"/>
        <v>407255.48938063846</v>
      </c>
      <c r="N29" s="76">
        <f t="shared" ca="1" si="11"/>
        <v>-0.18548902123872302</v>
      </c>
      <c r="O29" s="141">
        <f t="shared" ca="1" si="12"/>
        <v>-92744.510619361507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>
        <f t="shared" ca="1" si="0"/>
        <v>500000</v>
      </c>
      <c r="D30" s="139">
        <f t="shared" ca="1" si="1"/>
        <v>513587.07536071492</v>
      </c>
      <c r="E30" s="77">
        <f t="shared" ca="1" si="2"/>
        <v>2.7174150721429764E-2</v>
      </c>
      <c r="F30" s="137">
        <f t="shared" ca="1" si="3"/>
        <v>13587.075360714884</v>
      </c>
      <c r="G30" s="139">
        <f t="shared" ca="1" si="4"/>
        <v>514331.43887803925</v>
      </c>
      <c r="H30" s="77">
        <f t="shared" ca="1" si="5"/>
        <v>2.8662877756078498E-2</v>
      </c>
      <c r="I30" s="137">
        <f t="shared" ca="1" si="6"/>
        <v>14331.438878039249</v>
      </c>
      <c r="J30" s="139">
        <f t="shared" ca="1" si="7"/>
        <v>526006.06854467711</v>
      </c>
      <c r="K30" s="77">
        <f t="shared" ca="1" si="8"/>
        <v>5.2012137089354218E-2</v>
      </c>
      <c r="L30" s="137">
        <f t="shared" ca="1" si="9"/>
        <v>26006.068544677106</v>
      </c>
      <c r="M30" s="139">
        <f t="shared" ca="1" si="10"/>
        <v>520752.36059418664</v>
      </c>
      <c r="N30" s="77">
        <f t="shared" ca="1" si="11"/>
        <v>4.1504721188373318E-2</v>
      </c>
      <c r="O30" s="137">
        <f t="shared" ca="1" si="12"/>
        <v>20752.360594186655</v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>
        <f t="shared" ca="1" si="0"/>
        <v>1500000</v>
      </c>
      <c r="D31" s="139">
        <f t="shared" ca="1" si="1"/>
        <v>1544052.4903748021</v>
      </c>
      <c r="E31" s="77">
        <f t="shared" ca="1" si="2"/>
        <v>2.9368326916534796E-2</v>
      </c>
      <c r="F31" s="137">
        <f t="shared" ca="1" si="3"/>
        <v>44052.49037480219</v>
      </c>
      <c r="G31" s="139">
        <f t="shared" ca="1" si="4"/>
        <v>1578752.9392504659</v>
      </c>
      <c r="H31" s="77">
        <f t="shared" ca="1" si="5"/>
        <v>5.250195950031071E-2</v>
      </c>
      <c r="I31" s="137">
        <f t="shared" ca="1" si="6"/>
        <v>78752.939250466065</v>
      </c>
      <c r="J31" s="139">
        <f t="shared" ca="1" si="7"/>
        <v>1574966.0847093908</v>
      </c>
      <c r="K31" s="77">
        <f t="shared" ca="1" si="8"/>
        <v>4.9977389806260632E-2</v>
      </c>
      <c r="L31" s="137">
        <f t="shared" ca="1" si="9"/>
        <v>74966.084709390954</v>
      </c>
      <c r="M31" s="139">
        <f t="shared" ca="1" si="10"/>
        <v>1548627.8078033407</v>
      </c>
      <c r="N31" s="77">
        <f t="shared" ca="1" si="11"/>
        <v>3.2418538535560412E-2</v>
      </c>
      <c r="O31" s="137">
        <f t="shared" ca="1" si="12"/>
        <v>48627.80780334062</v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>
        <f t="shared" ca="1" si="0"/>
        <v>500000</v>
      </c>
      <c r="D32" s="139">
        <f t="shared" ca="1" si="1"/>
        <v>538862.57614539121</v>
      </c>
      <c r="E32" s="77">
        <f t="shared" ca="1" si="2"/>
        <v>7.7725152290782543E-2</v>
      </c>
      <c r="F32" s="137">
        <f t="shared" ca="1" si="3"/>
        <v>38862.576145391278</v>
      </c>
      <c r="G32" s="139">
        <f t="shared" ca="1" si="4"/>
        <v>493972.55984363373</v>
      </c>
      <c r="H32" s="77">
        <f t="shared" ca="1" si="5"/>
        <v>-1.2054880312732524E-2</v>
      </c>
      <c r="I32" s="137">
        <f t="shared" ca="1" si="6"/>
        <v>-6027.4401563662623</v>
      </c>
      <c r="J32" s="139">
        <f t="shared" ca="1" si="7"/>
        <v>477158.4456661478</v>
      </c>
      <c r="K32" s="77">
        <f t="shared" ca="1" si="8"/>
        <v>-4.5683108667704468E-2</v>
      </c>
      <c r="L32" s="137">
        <f t="shared" ca="1" si="9"/>
        <v>-22841.554333852233</v>
      </c>
      <c r="M32" s="139">
        <f t="shared" ca="1" si="10"/>
        <v>474658.16463921935</v>
      </c>
      <c r="N32" s="77">
        <f t="shared" ca="1" si="11"/>
        <v>-5.0683670721561325E-2</v>
      </c>
      <c r="O32" s="137">
        <f t="shared" ca="1" si="12"/>
        <v>-25341.835360780664</v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>
        <f t="shared" ca="1" si="0"/>
        <v>500000</v>
      </c>
      <c r="D33" s="139">
        <f t="shared" ca="1" si="1"/>
        <v>442800.05320660211</v>
      </c>
      <c r="E33" s="77">
        <f t="shared" ca="1" si="2"/>
        <v>-0.11439989358679584</v>
      </c>
      <c r="F33" s="137">
        <f t="shared" ca="1" si="3"/>
        <v>-57199.946793397918</v>
      </c>
      <c r="G33" s="139">
        <f t="shared" ca="1" si="4"/>
        <v>436133.67622363684</v>
      </c>
      <c r="H33" s="77">
        <f t="shared" ca="1" si="5"/>
        <v>-0.12773264755272631</v>
      </c>
      <c r="I33" s="137">
        <f t="shared" ca="1" si="6"/>
        <v>-63866.323776363148</v>
      </c>
      <c r="J33" s="139">
        <f t="shared" ca="1" si="7"/>
        <v>440699.79761227476</v>
      </c>
      <c r="K33" s="77">
        <f t="shared" ca="1" si="8"/>
        <v>-0.11860040477545046</v>
      </c>
      <c r="L33" s="137">
        <f t="shared" ca="1" si="9"/>
        <v>-59300.202387725236</v>
      </c>
      <c r="M33" s="139">
        <f t="shared" ca="1" si="10"/>
        <v>445563.3168025685</v>
      </c>
      <c r="N33" s="77">
        <f t="shared" ca="1" si="11"/>
        <v>-0.10887336639486297</v>
      </c>
      <c r="O33" s="137">
        <f t="shared" ca="1" si="12"/>
        <v>-54436.683197431499</v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>
        <f t="shared" ca="1" si="0"/>
        <v>500000</v>
      </c>
      <c r="D34" s="139">
        <f t="shared" ca="1" si="1"/>
        <v>500000</v>
      </c>
      <c r="E34" s="77">
        <f t="shared" ca="1" si="2"/>
        <v>0</v>
      </c>
      <c r="F34" s="137">
        <f t="shared" ca="1" si="3"/>
        <v>0</v>
      </c>
      <c r="G34" s="139">
        <f t="shared" ca="1" si="4"/>
        <v>500000</v>
      </c>
      <c r="H34" s="77">
        <f t="shared" ca="1" si="5"/>
        <v>0</v>
      </c>
      <c r="I34" s="137">
        <f t="shared" ca="1" si="6"/>
        <v>0</v>
      </c>
      <c r="J34" s="139">
        <f t="shared" ca="1" si="7"/>
        <v>500000</v>
      </c>
      <c r="K34" s="77">
        <f t="shared" ca="1" si="8"/>
        <v>0</v>
      </c>
      <c r="L34" s="137">
        <f t="shared" ca="1" si="9"/>
        <v>0</v>
      </c>
      <c r="M34" s="139">
        <f t="shared" ca="1" si="10"/>
        <v>500000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62" t="s">
        <v>313</v>
      </c>
      <c r="B53" s="264"/>
      <c r="C53" s="132" t="s">
        <v>308</v>
      </c>
      <c r="D53" s="143" t="s">
        <v>309</v>
      </c>
      <c r="E53" s="144" t="s">
        <v>310</v>
      </c>
      <c r="F53" s="145" t="s">
        <v>311</v>
      </c>
      <c r="G53" s="143" t="s">
        <v>309</v>
      </c>
      <c r="H53" s="144" t="s">
        <v>310</v>
      </c>
      <c r="I53" s="145" t="s">
        <v>311</v>
      </c>
      <c r="J53" s="143" t="s">
        <v>309</v>
      </c>
      <c r="K53" s="144" t="s">
        <v>310</v>
      </c>
      <c r="L53" s="145" t="s">
        <v>311</v>
      </c>
      <c r="M53" s="143" t="s">
        <v>309</v>
      </c>
      <c r="N53" s="144" t="s">
        <v>310</v>
      </c>
      <c r="O53" s="145" t="s">
        <v>311</v>
      </c>
    </row>
    <row r="54" spans="1:15" ht="16.5" customHeight="1" thickBot="1">
      <c r="A54" s="255"/>
      <c r="B54" s="257"/>
      <c r="C54" s="136">
        <f ca="1">SUM(C22:C52)</f>
        <v>9800000</v>
      </c>
      <c r="D54" s="140">
        <f ca="1">SUM(D22:D52)</f>
        <v>9876157.6621670406</v>
      </c>
      <c r="E54" s="79">
        <f ca="1">IFERROR(F54 / (SUM($C22:$C52) / COUNT($C22:$C52)), 0)</f>
        <v>0.10102547022158459</v>
      </c>
      <c r="F54" s="138">
        <f ca="1">SUM(F22:F52)</f>
        <v>76157.662167040689</v>
      </c>
      <c r="G54" s="140">
        <f ca="1">SUM(G22:G52)</f>
        <v>9871503.7234424558</v>
      </c>
      <c r="H54" s="79">
        <f ca="1">IFERROR(I54 / (SUM($C22:$C52) / COUNT($C22:$C52)), 0)</f>
        <v>9.4851878035910137E-2</v>
      </c>
      <c r="I54" s="138">
        <f ca="1">SUM(I22:I52)</f>
        <v>71503.723442455332</v>
      </c>
      <c r="J54" s="140">
        <f ca="1">SUM(J22:J52)</f>
        <v>9848973.1791090611</v>
      </c>
      <c r="K54" s="79">
        <f ca="1">IFERROR(L54 / (SUM($C22:$C52) / COUNT($C22:$C52)), 0)</f>
        <v>6.4964421267123415E-2</v>
      </c>
      <c r="L54" s="138">
        <f ca="1">SUM(L22:L52)</f>
        <v>48973.179109062272</v>
      </c>
      <c r="M54" s="140">
        <f ca="1">SUM(M22:M52)</f>
        <v>9802641.4081526119</v>
      </c>
      <c r="N54" s="79">
        <f ca="1">IFERROR(O54 / (SUM($C22:$C52) / COUNT($C22:$C52)), 0)</f>
        <v>3.5039087738720559E-3</v>
      </c>
      <c r="O54" s="138">
        <f ca="1">SUM(O22:O52)</f>
        <v>2641.4081526112423</v>
      </c>
    </row>
    <row r="56" spans="1:15" ht="16.5" customHeight="1" thickBot="1"/>
    <row r="57" spans="1:15" ht="16.5" customHeight="1" thickBot="1">
      <c r="A57" s="234" t="str">
        <f>TEXT(투자전략!$G$1, "[$-ko-KR]yyyy년 mm월 ") &amp; "[엽전코인] 전일대비 상승률 Top20 월말결산"</f>
        <v>2021년 06월 [엽전코인] 전일대비 상승률 Top20 월말결산</v>
      </c>
      <c r="B57" s="235"/>
      <c r="C57" s="235"/>
      <c r="D57" s="235"/>
      <c r="E57" s="235"/>
      <c r="F57" s="235"/>
      <c r="G57" s="235"/>
      <c r="H57" s="235"/>
      <c r="I57" s="235"/>
      <c r="J57" s="235"/>
      <c r="K57" s="235"/>
      <c r="L57" s="235"/>
      <c r="M57" s="235"/>
      <c r="N57" s="235"/>
      <c r="O57" s="236"/>
    </row>
    <row r="58" spans="1:15" ht="16.5" customHeight="1" thickBot="1">
      <c r="A58" s="278" t="s">
        <v>314</v>
      </c>
      <c r="B58" s="255" t="s">
        <v>312</v>
      </c>
      <c r="C58" s="257"/>
      <c r="D58" s="255" t="s">
        <v>304</v>
      </c>
      <c r="E58" s="256"/>
      <c r="F58" s="257"/>
      <c r="G58" s="255" t="s">
        <v>305</v>
      </c>
      <c r="H58" s="256"/>
      <c r="I58" s="257"/>
      <c r="J58" s="255" t="s">
        <v>306</v>
      </c>
      <c r="K58" s="256"/>
      <c r="L58" s="257"/>
      <c r="M58" s="255" t="s">
        <v>307</v>
      </c>
      <c r="N58" s="256"/>
      <c r="O58" s="257"/>
    </row>
    <row r="59" spans="1:15" ht="16.5" customHeight="1" thickBot="1">
      <c r="A59" s="271"/>
      <c r="B59" s="154" t="s">
        <v>302</v>
      </c>
      <c r="C59" s="154" t="s">
        <v>42</v>
      </c>
      <c r="D59" s="121" t="s">
        <v>303</v>
      </c>
      <c r="E59" s="133" t="s">
        <v>40</v>
      </c>
      <c r="F59" s="156" t="s">
        <v>41</v>
      </c>
      <c r="G59" s="121" t="s">
        <v>303</v>
      </c>
      <c r="H59" s="133" t="s">
        <v>40</v>
      </c>
      <c r="I59" s="156" t="s">
        <v>41</v>
      </c>
      <c r="J59" s="121" t="s">
        <v>303</v>
      </c>
      <c r="K59" s="133" t="s">
        <v>40</v>
      </c>
      <c r="L59" s="156" t="s">
        <v>41</v>
      </c>
      <c r="M59" s="121" t="s">
        <v>303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1739430.9545309471</v>
      </c>
      <c r="E67" s="76">
        <f t="shared" ca="1" si="15"/>
        <v>-0.13028452273452634</v>
      </c>
      <c r="F67" s="141">
        <f t="shared" ca="1" si="16"/>
        <v>-260569.04546905271</v>
      </c>
      <c r="G67" s="142">
        <f t="shared" ca="1" si="17"/>
        <v>1745253.1594896172</v>
      </c>
      <c r="H67" s="76">
        <f t="shared" ca="1" si="18"/>
        <v>-0.12737342025519136</v>
      </c>
      <c r="I67" s="141">
        <f t="shared" ca="1" si="19"/>
        <v>-254746.84051038272</v>
      </c>
      <c r="J67" s="142">
        <f t="shared" ca="1" si="20"/>
        <v>1755855.4640404535</v>
      </c>
      <c r="K67" s="76">
        <f t="shared" ca="1" si="21"/>
        <v>-0.12207226797977319</v>
      </c>
      <c r="L67" s="141">
        <f t="shared" ca="1" si="22"/>
        <v>-244144.53595954643</v>
      </c>
      <c r="M67" s="142">
        <f t="shared" ca="1" si="23"/>
        <v>1637009.1872832079</v>
      </c>
      <c r="N67" s="76">
        <f t="shared" ca="1" si="24"/>
        <v>-0.18149540635839603</v>
      </c>
      <c r="O67" s="141">
        <f t="shared" ca="1" si="25"/>
        <v>-362990.8127167921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>
        <f t="shared" ca="1" si="13"/>
        <v>2000000</v>
      </c>
      <c r="D68" s="139">
        <f t="shared" ca="1" si="14"/>
        <v>2025954.3629815364</v>
      </c>
      <c r="E68" s="77">
        <f t="shared" ca="1" si="15"/>
        <v>1.2977181490768135E-2</v>
      </c>
      <c r="F68" s="137">
        <f t="shared" ca="1" si="16"/>
        <v>25954.362981536276</v>
      </c>
      <c r="G68" s="139">
        <f t="shared" ca="1" si="17"/>
        <v>2047516.9450837907</v>
      </c>
      <c r="H68" s="77">
        <f t="shared" ca="1" si="18"/>
        <v>2.3758472541895399E-2</v>
      </c>
      <c r="I68" s="137">
        <f t="shared" ca="1" si="19"/>
        <v>47516.945083790808</v>
      </c>
      <c r="J68" s="139">
        <f t="shared" ca="1" si="20"/>
        <v>2094597.6014376546</v>
      </c>
      <c r="K68" s="77">
        <f t="shared" ca="1" si="21"/>
        <v>4.729880071882727E-2</v>
      </c>
      <c r="L68" s="137">
        <f t="shared" ca="1" si="22"/>
        <v>94597.601437654565</v>
      </c>
      <c r="M68" s="139">
        <f t="shared" ca="1" si="23"/>
        <v>2065617.4951182536</v>
      </c>
      <c r="N68" s="77">
        <f t="shared" ca="1" si="24"/>
        <v>3.2808747559126723E-2</v>
      </c>
      <c r="O68" s="137">
        <f t="shared" ca="1" si="25"/>
        <v>65617.495118253428</v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>
        <f t="shared" ca="1" si="13"/>
        <v>2000000</v>
      </c>
      <c r="D69" s="139">
        <f t="shared" ca="1" si="14"/>
        <v>2158165.3331615906</v>
      </c>
      <c r="E69" s="77">
        <f t="shared" ca="1" si="15"/>
        <v>7.9082666580795408E-2</v>
      </c>
      <c r="F69" s="137">
        <f t="shared" ca="1" si="16"/>
        <v>158165.3331615908</v>
      </c>
      <c r="G69" s="139">
        <f t="shared" ca="1" si="17"/>
        <v>2244757.8631221042</v>
      </c>
      <c r="H69" s="77">
        <f t="shared" ca="1" si="18"/>
        <v>0.12237893156105209</v>
      </c>
      <c r="I69" s="137">
        <f t="shared" ca="1" si="19"/>
        <v>244757.86312210411</v>
      </c>
      <c r="J69" s="139">
        <f t="shared" ca="1" si="20"/>
        <v>2226854.5348932031</v>
      </c>
      <c r="K69" s="77">
        <f t="shared" ca="1" si="21"/>
        <v>0.11342726744660152</v>
      </c>
      <c r="L69" s="137">
        <f t="shared" ca="1" si="22"/>
        <v>226854.53489320306</v>
      </c>
      <c r="M69" s="139">
        <f t="shared" ca="1" si="23"/>
        <v>2169572.9059073608</v>
      </c>
      <c r="N69" s="77">
        <f t="shared" ca="1" si="24"/>
        <v>8.4786452953680466E-2</v>
      </c>
      <c r="O69" s="137">
        <f t="shared" ca="1" si="25"/>
        <v>169572.9059073609</v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>
        <f t="shared" ca="1" si="13"/>
        <v>2000000</v>
      </c>
      <c r="D70" s="139">
        <f t="shared" ca="1" si="14"/>
        <v>2207651.8271824135</v>
      </c>
      <c r="E70" s="77">
        <f t="shared" ca="1" si="15"/>
        <v>0.10382591359120666</v>
      </c>
      <c r="F70" s="137">
        <f t="shared" ca="1" si="16"/>
        <v>207651.82718241334</v>
      </c>
      <c r="G70" s="139">
        <f t="shared" ca="1" si="17"/>
        <v>1786516.6722146282</v>
      </c>
      <c r="H70" s="77">
        <f t="shared" ca="1" si="18"/>
        <v>-0.10674166389268595</v>
      </c>
      <c r="I70" s="137">
        <f t="shared" ca="1" si="19"/>
        <v>-213483.32778537189</v>
      </c>
      <c r="J70" s="139">
        <f t="shared" ca="1" si="20"/>
        <v>1741388.3169713854</v>
      </c>
      <c r="K70" s="77">
        <f t="shared" ca="1" si="21"/>
        <v>-0.1293058415143073</v>
      </c>
      <c r="L70" s="137">
        <f t="shared" ca="1" si="22"/>
        <v>-258611.68302861459</v>
      </c>
      <c r="M70" s="139">
        <f t="shared" ca="1" si="23"/>
        <v>1723860.1499367014</v>
      </c>
      <c r="N70" s="77">
        <f t="shared" ca="1" si="24"/>
        <v>-0.13806992503164922</v>
      </c>
      <c r="O70" s="137">
        <f t="shared" ca="1" si="25"/>
        <v>-276139.85006329842</v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>
        <f t="shared" ca="1" si="13"/>
        <v>2000000</v>
      </c>
      <c r="D71" s="139">
        <f t="shared" ca="1" si="14"/>
        <v>1779915.3742080375</v>
      </c>
      <c r="E71" s="77">
        <f t="shared" ca="1" si="15"/>
        <v>-0.11004231289598124</v>
      </c>
      <c r="F71" s="137">
        <f t="shared" ca="1" si="16"/>
        <v>-220084.62579196252</v>
      </c>
      <c r="G71" s="139">
        <f t="shared" ca="1" si="17"/>
        <v>1759384.7292553245</v>
      </c>
      <c r="H71" s="77">
        <f t="shared" ca="1" si="18"/>
        <v>-0.12030763537233784</v>
      </c>
      <c r="I71" s="137">
        <f t="shared" ca="1" si="19"/>
        <v>-240615.27074467571</v>
      </c>
      <c r="J71" s="139">
        <f t="shared" ca="1" si="20"/>
        <v>1782269.2319698399</v>
      </c>
      <c r="K71" s="77">
        <f t="shared" ca="1" si="21"/>
        <v>-0.10886538401508009</v>
      </c>
      <c r="L71" s="137">
        <f t="shared" ca="1" si="22"/>
        <v>-217730.76803016019</v>
      </c>
      <c r="M71" s="139">
        <f t="shared" ca="1" si="23"/>
        <v>1781733.385787881</v>
      </c>
      <c r="N71" s="77">
        <f t="shared" ca="1" si="24"/>
        <v>-0.10913330710605953</v>
      </c>
      <c r="O71" s="137">
        <f t="shared" ca="1" si="25"/>
        <v>-218266.61421211908</v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>
        <f t="shared" ca="1" si="13"/>
        <v>2000000</v>
      </c>
      <c r="D72" s="139">
        <f t="shared" ca="1" si="14"/>
        <v>2000000</v>
      </c>
      <c r="E72" s="77">
        <f t="shared" ca="1" si="15"/>
        <v>0</v>
      </c>
      <c r="F72" s="137">
        <f t="shared" ca="1" si="16"/>
        <v>0</v>
      </c>
      <c r="G72" s="139">
        <f t="shared" ca="1" si="17"/>
        <v>2000000</v>
      </c>
      <c r="H72" s="77">
        <f t="shared" ca="1" si="18"/>
        <v>0</v>
      </c>
      <c r="I72" s="137">
        <f t="shared" ca="1" si="19"/>
        <v>0</v>
      </c>
      <c r="J72" s="139">
        <f t="shared" ca="1" si="20"/>
        <v>2000000</v>
      </c>
      <c r="K72" s="77">
        <f t="shared" ca="1" si="21"/>
        <v>0</v>
      </c>
      <c r="L72" s="137">
        <f t="shared" ca="1" si="22"/>
        <v>0</v>
      </c>
      <c r="M72" s="139">
        <f t="shared" ca="1" si="23"/>
        <v>2000000</v>
      </c>
      <c r="N72" s="77">
        <f t="shared" ca="1" si="24"/>
        <v>0</v>
      </c>
      <c r="O72" s="137">
        <f t="shared" ca="1" si="25"/>
        <v>0</v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62" t="s">
        <v>313</v>
      </c>
      <c r="B91" s="264"/>
      <c r="C91" s="132" t="s">
        <v>308</v>
      </c>
      <c r="D91" s="150" t="s">
        <v>309</v>
      </c>
      <c r="E91" s="151" t="s">
        <v>310</v>
      </c>
      <c r="F91" s="152" t="s">
        <v>311</v>
      </c>
      <c r="G91" s="150" t="s">
        <v>309</v>
      </c>
      <c r="H91" s="151" t="s">
        <v>310</v>
      </c>
      <c r="I91" s="152" t="s">
        <v>311</v>
      </c>
      <c r="J91" s="150" t="s">
        <v>309</v>
      </c>
      <c r="K91" s="151" t="s">
        <v>310</v>
      </c>
      <c r="L91" s="152" t="s">
        <v>311</v>
      </c>
      <c r="M91" s="150" t="s">
        <v>309</v>
      </c>
      <c r="N91" s="151" t="s">
        <v>310</v>
      </c>
      <c r="O91" s="152" t="s">
        <v>311</v>
      </c>
    </row>
    <row r="92" spans="1:15" ht="16.5" customHeight="1" thickBot="1">
      <c r="A92" s="255"/>
      <c r="B92" s="257"/>
      <c r="C92" s="136">
        <f ca="1">SUM(C60:C90)</f>
        <v>26000000</v>
      </c>
      <c r="D92" s="140">
        <f ca="1">SUM(D60:D90)</f>
        <v>26128394.755908344</v>
      </c>
      <c r="E92" s="79">
        <f ca="1">IFERROR(F92 / (SUM($C60:$C90) / COUNT($C60:$C90)), 0)</f>
        <v>6.4197377954175336E-2</v>
      </c>
      <c r="F92" s="138">
        <f ca="1">SUM(F60:F90)</f>
        <v>128394.75590835066</v>
      </c>
      <c r="G92" s="140">
        <f ca="1">SUM(G60:G90)</f>
        <v>25714290.972224291</v>
      </c>
      <c r="H92" s="79">
        <f ca="1">IFERROR(I92 / (SUM($C60:$C90) / COUNT($C60:$C90)), 0)</f>
        <v>-0.14285451388785331</v>
      </c>
      <c r="I92" s="138">
        <f ca="1">SUM(I60:I90)</f>
        <v>-285709.02777570661</v>
      </c>
      <c r="J92" s="140">
        <f ca="1">SUM(J60:J90)</f>
        <v>25662694.276652001</v>
      </c>
      <c r="K92" s="79">
        <f ca="1">IFERROR(L92 / (SUM($C60:$C90) / COUNT($C60:$C90)), 0)</f>
        <v>-0.16865286167399837</v>
      </c>
      <c r="L92" s="138">
        <f ca="1">SUM(L60:L90)</f>
        <v>-337305.72334799677</v>
      </c>
      <c r="M92" s="140">
        <f ca="1">SUM(M60:M90)</f>
        <v>25491203.511371847</v>
      </c>
      <c r="N92" s="79">
        <f ca="1">IFERROR(O92 / (SUM($C60:$C90) / COUNT($C60:$C90)), 0)</f>
        <v>-0.25439824431407676</v>
      </c>
      <c r="O92" s="138">
        <f ca="1">SUM(O60:O90)</f>
        <v>-508796.48862815351</v>
      </c>
    </row>
    <row r="94" spans="1:15" ht="16.5" customHeight="1" thickBot="1"/>
    <row r="95" spans="1:15" ht="16.5" customHeight="1" thickBot="1">
      <c r="A95" s="234" t="str">
        <f>TEXT(투자전략!$G$1, "[$-ko-KR]yyyy년 mm월 ") &amp; "[동전코인] 전일대비 상승률 Top20 월말결산"</f>
        <v>2021년 06월 [동전코인] 전일대비 상승률 Top20 월말결산</v>
      </c>
      <c r="B95" s="235"/>
      <c r="C95" s="235"/>
      <c r="D95" s="235"/>
      <c r="E95" s="235"/>
      <c r="F95" s="235"/>
      <c r="G95" s="235"/>
      <c r="H95" s="235"/>
      <c r="I95" s="235"/>
      <c r="J95" s="235"/>
      <c r="K95" s="235"/>
      <c r="L95" s="235"/>
      <c r="M95" s="235"/>
      <c r="N95" s="235"/>
      <c r="O95" s="236"/>
    </row>
    <row r="96" spans="1:15" ht="16.5" customHeight="1" thickBot="1">
      <c r="A96" s="278" t="s">
        <v>314</v>
      </c>
      <c r="B96" s="255" t="s">
        <v>312</v>
      </c>
      <c r="C96" s="257"/>
      <c r="D96" s="255" t="s">
        <v>304</v>
      </c>
      <c r="E96" s="256"/>
      <c r="F96" s="257"/>
      <c r="G96" s="255" t="s">
        <v>305</v>
      </c>
      <c r="H96" s="256"/>
      <c r="I96" s="257"/>
      <c r="J96" s="255" t="s">
        <v>306</v>
      </c>
      <c r="K96" s="256"/>
      <c r="L96" s="257"/>
      <c r="M96" s="255" t="s">
        <v>307</v>
      </c>
      <c r="N96" s="256"/>
      <c r="O96" s="257"/>
    </row>
    <row r="97" spans="1:15" ht="16.5" customHeight="1" thickBot="1">
      <c r="A97" s="271"/>
      <c r="B97" s="154" t="s">
        <v>302</v>
      </c>
      <c r="C97" s="154" t="s">
        <v>42</v>
      </c>
      <c r="D97" s="121" t="s">
        <v>303</v>
      </c>
      <c r="E97" s="133" t="s">
        <v>40</v>
      </c>
      <c r="F97" s="156" t="s">
        <v>41</v>
      </c>
      <c r="G97" s="121" t="s">
        <v>303</v>
      </c>
      <c r="H97" s="133" t="s">
        <v>40</v>
      </c>
      <c r="I97" s="156" t="s">
        <v>41</v>
      </c>
      <c r="J97" s="121" t="s">
        <v>303</v>
      </c>
      <c r="K97" s="133" t="s">
        <v>40</v>
      </c>
      <c r="L97" s="156" t="s">
        <v>41</v>
      </c>
      <c r="M97" s="121" t="s">
        <v>303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1764852.4214210457</v>
      </c>
      <c r="E105" s="76">
        <f t="shared" ca="1" si="28"/>
        <v>-0.11757378928947718</v>
      </c>
      <c r="F105" s="141">
        <f t="shared" ca="1" si="29"/>
        <v>-235147.57857895433</v>
      </c>
      <c r="G105" s="142">
        <f t="shared" ca="1" si="30"/>
        <v>1782418.7609806883</v>
      </c>
      <c r="H105" s="76">
        <f t="shared" ca="1" si="31"/>
        <v>-0.10879061950965581</v>
      </c>
      <c r="I105" s="141">
        <f t="shared" ca="1" si="32"/>
        <v>-217581.23901931164</v>
      </c>
      <c r="J105" s="142">
        <f t="shared" ca="1" si="33"/>
        <v>1784399.3359728071</v>
      </c>
      <c r="K105" s="76">
        <f t="shared" ca="1" si="34"/>
        <v>-0.10780033201359636</v>
      </c>
      <c r="L105" s="141">
        <f t="shared" ca="1" si="35"/>
        <v>-215600.66402719272</v>
      </c>
      <c r="M105" s="142">
        <f t="shared" ca="1" si="36"/>
        <v>1663616.5107075826</v>
      </c>
      <c r="N105" s="76">
        <f t="shared" ca="1" si="37"/>
        <v>-0.16819174464620862</v>
      </c>
      <c r="O105" s="141">
        <f t="shared" ca="1" si="38"/>
        <v>-336383.48929241742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>
        <f t="shared" ca="1" si="26"/>
        <v>2000000</v>
      </c>
      <c r="D106" s="139">
        <f t="shared" ca="1" si="27"/>
        <v>2078035.275230488</v>
      </c>
      <c r="E106" s="77">
        <f t="shared" ca="1" si="28"/>
        <v>3.901763761524412E-2</v>
      </c>
      <c r="F106" s="137">
        <f t="shared" ca="1" si="29"/>
        <v>78035.275230488245</v>
      </c>
      <c r="G106" s="139">
        <f t="shared" ca="1" si="30"/>
        <v>2100935.548010685</v>
      </c>
      <c r="H106" s="77">
        <f t="shared" ca="1" si="31"/>
        <v>5.0467774005342622E-2</v>
      </c>
      <c r="I106" s="137">
        <f t="shared" ca="1" si="32"/>
        <v>100935.54801068525</v>
      </c>
      <c r="J106" s="139">
        <f t="shared" ca="1" si="33"/>
        <v>2153155.8018509657</v>
      </c>
      <c r="K106" s="77">
        <f t="shared" ca="1" si="34"/>
        <v>7.6577900925482834E-2</v>
      </c>
      <c r="L106" s="137">
        <f t="shared" ca="1" si="35"/>
        <v>153155.80185096565</v>
      </c>
      <c r="M106" s="139">
        <f t="shared" ca="1" si="36"/>
        <v>2106236.7286137403</v>
      </c>
      <c r="N106" s="77">
        <f t="shared" ca="1" si="37"/>
        <v>5.3118364306870301E-2</v>
      </c>
      <c r="O106" s="137">
        <f t="shared" ca="1" si="38"/>
        <v>106236.72861374059</v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>
        <f t="shared" ca="1" si="26"/>
        <v>2000000</v>
      </c>
      <c r="D107" s="139">
        <f t="shared" ca="1" si="27"/>
        <v>2037699.353785679</v>
      </c>
      <c r="E107" s="77">
        <f t="shared" ca="1" si="28"/>
        <v>1.884967689283935E-2</v>
      </c>
      <c r="F107" s="137">
        <f t="shared" ca="1" si="29"/>
        <v>37699.353785678701</v>
      </c>
      <c r="G107" s="139">
        <f t="shared" ca="1" si="30"/>
        <v>2066237.6393561007</v>
      </c>
      <c r="H107" s="77">
        <f t="shared" ca="1" si="31"/>
        <v>3.311881967805029E-2</v>
      </c>
      <c r="I107" s="137">
        <f t="shared" ca="1" si="32"/>
        <v>66237.639356100583</v>
      </c>
      <c r="J107" s="139">
        <f t="shared" ca="1" si="33"/>
        <v>2057518.4254531979</v>
      </c>
      <c r="K107" s="77">
        <f t="shared" ca="1" si="34"/>
        <v>2.8759212726598999E-2</v>
      </c>
      <c r="L107" s="137">
        <f t="shared" ca="1" si="35"/>
        <v>57518.425453197997</v>
      </c>
      <c r="M107" s="139">
        <f t="shared" ca="1" si="36"/>
        <v>2031233.4530117449</v>
      </c>
      <c r="N107" s="77">
        <f t="shared" ca="1" si="37"/>
        <v>1.5616726505872435E-2</v>
      </c>
      <c r="O107" s="137">
        <f t="shared" ca="1" si="38"/>
        <v>31233.453011744874</v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>
        <f t="shared" ca="1" si="26"/>
        <v>2000000</v>
      </c>
      <c r="D108" s="139">
        <f t="shared" ca="1" si="27"/>
        <v>2088774.332746496</v>
      </c>
      <c r="E108" s="77">
        <f t="shared" ca="1" si="28"/>
        <v>4.438716637324798E-2</v>
      </c>
      <c r="F108" s="137">
        <f t="shared" ca="1" si="29"/>
        <v>88774.332746495958</v>
      </c>
      <c r="G108" s="139">
        <f t="shared" ca="1" si="30"/>
        <v>1743281.3637297277</v>
      </c>
      <c r="H108" s="77">
        <f t="shared" ca="1" si="31"/>
        <v>-0.12835931813513607</v>
      </c>
      <c r="I108" s="137">
        <f t="shared" ca="1" si="32"/>
        <v>-256718.63627027205</v>
      </c>
      <c r="J108" s="139">
        <f t="shared" ca="1" si="33"/>
        <v>1695804.5007199896</v>
      </c>
      <c r="K108" s="77">
        <f t="shared" ca="1" si="34"/>
        <v>-0.15209774964000525</v>
      </c>
      <c r="L108" s="137">
        <f t="shared" ca="1" si="35"/>
        <v>-304195.49928001052</v>
      </c>
      <c r="M108" s="139">
        <f t="shared" ca="1" si="36"/>
        <v>1690143.0406378787</v>
      </c>
      <c r="N108" s="77">
        <f t="shared" ca="1" si="37"/>
        <v>-0.15492847968106063</v>
      </c>
      <c r="O108" s="137">
        <f t="shared" ca="1" si="38"/>
        <v>-309856.95936212136</v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>
        <f t="shared" ca="1" si="26"/>
        <v>2000000</v>
      </c>
      <c r="D109" s="139">
        <f t="shared" ca="1" si="27"/>
        <v>1768558.1473080087</v>
      </c>
      <c r="E109" s="77">
        <f t="shared" ca="1" si="28"/>
        <v>-0.11572092634599562</v>
      </c>
      <c r="F109" s="137">
        <f t="shared" ca="1" si="29"/>
        <v>-231441.85269199123</v>
      </c>
      <c r="G109" s="139">
        <f t="shared" ca="1" si="30"/>
        <v>1775673.4021514643</v>
      </c>
      <c r="H109" s="77">
        <f t="shared" ca="1" si="31"/>
        <v>-0.11216329892426787</v>
      </c>
      <c r="I109" s="137">
        <f t="shared" ca="1" si="32"/>
        <v>-224326.59784853572</v>
      </c>
      <c r="J109" s="139">
        <f t="shared" ca="1" si="33"/>
        <v>1809303.986570982</v>
      </c>
      <c r="K109" s="77">
        <f t="shared" ca="1" si="34"/>
        <v>-9.5348006714508965E-2</v>
      </c>
      <c r="L109" s="137">
        <f t="shared" ca="1" si="35"/>
        <v>-190696.01342901797</v>
      </c>
      <c r="M109" s="139">
        <f t="shared" ca="1" si="36"/>
        <v>1817654.4274714924</v>
      </c>
      <c r="N109" s="77">
        <f t="shared" ca="1" si="37"/>
        <v>-9.1172786264253777E-2</v>
      </c>
      <c r="O109" s="137">
        <f t="shared" ca="1" si="38"/>
        <v>-182345.57252850762</v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>
        <f t="shared" ca="1" si="26"/>
        <v>2000000</v>
      </c>
      <c r="D110" s="139">
        <f t="shared" ca="1" si="27"/>
        <v>2000000</v>
      </c>
      <c r="E110" s="77">
        <f t="shared" ca="1" si="28"/>
        <v>0</v>
      </c>
      <c r="F110" s="137">
        <f t="shared" ca="1" si="29"/>
        <v>0</v>
      </c>
      <c r="G110" s="139">
        <f t="shared" ca="1" si="30"/>
        <v>2000000</v>
      </c>
      <c r="H110" s="77">
        <f t="shared" ca="1" si="31"/>
        <v>0</v>
      </c>
      <c r="I110" s="137">
        <f t="shared" ca="1" si="32"/>
        <v>0</v>
      </c>
      <c r="J110" s="139">
        <f t="shared" ca="1" si="33"/>
        <v>2000000</v>
      </c>
      <c r="K110" s="77">
        <f t="shared" ca="1" si="34"/>
        <v>0</v>
      </c>
      <c r="L110" s="137">
        <f t="shared" ca="1" si="35"/>
        <v>0</v>
      </c>
      <c r="M110" s="139">
        <f t="shared" ca="1" si="36"/>
        <v>2000000</v>
      </c>
      <c r="N110" s="77">
        <f t="shared" ca="1" si="37"/>
        <v>0</v>
      </c>
      <c r="O110" s="137">
        <f t="shared" ca="1" si="38"/>
        <v>0</v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62" t="s">
        <v>313</v>
      </c>
      <c r="B129" s="264"/>
      <c r="C129" s="132" t="s">
        <v>308</v>
      </c>
      <c r="D129" s="150" t="s">
        <v>309</v>
      </c>
      <c r="E129" s="151" t="s">
        <v>310</v>
      </c>
      <c r="F129" s="152" t="s">
        <v>311</v>
      </c>
      <c r="G129" s="150" t="s">
        <v>309</v>
      </c>
      <c r="H129" s="151" t="s">
        <v>310</v>
      </c>
      <c r="I129" s="152" t="s">
        <v>311</v>
      </c>
      <c r="J129" s="150" t="s">
        <v>309</v>
      </c>
      <c r="K129" s="151" t="s">
        <v>310</v>
      </c>
      <c r="L129" s="152" t="s">
        <v>311</v>
      </c>
      <c r="M129" s="150" t="s">
        <v>309</v>
      </c>
      <c r="N129" s="151" t="s">
        <v>310</v>
      </c>
      <c r="O129" s="152" t="s">
        <v>311</v>
      </c>
    </row>
    <row r="130" spans="1:15" ht="16.5" customHeight="1" thickBot="1">
      <c r="A130" s="255"/>
      <c r="B130" s="257"/>
      <c r="C130" s="136">
        <f ca="1">SUM(C98:C128)</f>
        <v>26000000</v>
      </c>
      <c r="D130" s="140">
        <f ca="1">SUM(D98:D128)</f>
        <v>25918656.726505548</v>
      </c>
      <c r="E130" s="79">
        <f ca="1">IFERROR(F130 / (SUM($C98:$C128) / COUNT($C98:$C128)), 0)</f>
        <v>-4.0671636747224564E-2</v>
      </c>
      <c r="F130" s="138">
        <f ca="1">SUM(F98:F128)</f>
        <v>-81343.273494449124</v>
      </c>
      <c r="G130" s="140">
        <f ca="1">SUM(G98:G128)</f>
        <v>25571700.010594361</v>
      </c>
      <c r="H130" s="79">
        <f ca="1">IFERROR(I130 / (SUM($C98:$C128) / COUNT($C98:$C128)), 0)</f>
        <v>-0.21414999470281904</v>
      </c>
      <c r="I130" s="138">
        <f ca="1">SUM(I98:I128)</f>
        <v>-428299.98940563807</v>
      </c>
      <c r="J130" s="140">
        <f ca="1">SUM(J98:J128)</f>
        <v>25503955.130795337</v>
      </c>
      <c r="K130" s="79">
        <f ca="1">IFERROR(L130 / (SUM($C98:$C128) / COUNT($C98:$C128)), 0)</f>
        <v>-0.2480224346023312</v>
      </c>
      <c r="L130" s="138">
        <f ca="1">SUM(L98:L128)</f>
        <v>-496044.86920466239</v>
      </c>
      <c r="M130" s="140">
        <f ca="1">SUM(M98:M128)</f>
        <v>25435253.839708384</v>
      </c>
      <c r="N130" s="79">
        <f ca="1">IFERROR(O130 / (SUM($C98:$C128) / COUNT($C98:$C128)), 0)</f>
        <v>-0.28237308014580759</v>
      </c>
      <c r="O130" s="138">
        <f ca="1">SUM(O98:O128)</f>
        <v>-564746.16029161518</v>
      </c>
    </row>
    <row r="132" spans="1:15" ht="16.5" customHeight="1" thickBot="1"/>
    <row r="133" spans="1:15" ht="16.5" customHeight="1" thickBot="1">
      <c r="A133" s="234" t="str">
        <f>TEXT(투자전략!$G$1, "[$-ko-KR]yyyy년 mm월 ") &amp; "전일대비 상승률 Top20 월말결산"</f>
        <v>2021년 06월 전일대비 상승률 Top20 월말결산</v>
      </c>
      <c r="B133" s="235"/>
      <c r="C133" s="235"/>
      <c r="D133" s="235"/>
      <c r="E133" s="235"/>
      <c r="F133" s="235"/>
      <c r="G133" s="235"/>
      <c r="H133" s="235"/>
      <c r="I133" s="235"/>
      <c r="J133" s="235"/>
      <c r="K133" s="235"/>
      <c r="L133" s="235"/>
      <c r="M133" s="235"/>
      <c r="N133" s="235"/>
      <c r="O133" s="236"/>
    </row>
    <row r="134" spans="1:15" ht="16.5" customHeight="1" thickBot="1">
      <c r="A134" s="278" t="s">
        <v>314</v>
      </c>
      <c r="B134" s="255" t="s">
        <v>312</v>
      </c>
      <c r="C134" s="257"/>
      <c r="D134" s="255" t="s">
        <v>304</v>
      </c>
      <c r="E134" s="256"/>
      <c r="F134" s="257"/>
      <c r="G134" s="255" t="s">
        <v>305</v>
      </c>
      <c r="H134" s="256"/>
      <c r="I134" s="257"/>
      <c r="J134" s="255" t="s">
        <v>306</v>
      </c>
      <c r="K134" s="256"/>
      <c r="L134" s="257"/>
      <c r="M134" s="255" t="s">
        <v>307</v>
      </c>
      <c r="N134" s="256"/>
      <c r="O134" s="257"/>
    </row>
    <row r="135" spans="1:15" ht="16.5" customHeight="1" thickBot="1">
      <c r="A135" s="271"/>
      <c r="B135" s="154" t="s">
        <v>302</v>
      </c>
      <c r="C135" s="154" t="s">
        <v>42</v>
      </c>
      <c r="D135" s="121" t="s">
        <v>303</v>
      </c>
      <c r="E135" s="133" t="s">
        <v>40</v>
      </c>
      <c r="F135" s="156" t="s">
        <v>41</v>
      </c>
      <c r="G135" s="121" t="s">
        <v>303</v>
      </c>
      <c r="H135" s="133" t="s">
        <v>40</v>
      </c>
      <c r="I135" s="156" t="s">
        <v>41</v>
      </c>
      <c r="J135" s="121" t="s">
        <v>303</v>
      </c>
      <c r="K135" s="133" t="s">
        <v>40</v>
      </c>
      <c r="L135" s="156" t="s">
        <v>41</v>
      </c>
      <c r="M135" s="121" t="s">
        <v>303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1753065.5061771725</v>
      </c>
      <c r="E143" s="76">
        <f t="shared" ca="1" si="41"/>
        <v>-0.12346724691141371</v>
      </c>
      <c r="F143" s="141">
        <f t="shared" ca="1" si="42"/>
        <v>-246934.49382282744</v>
      </c>
      <c r="G143" s="142">
        <f t="shared" ca="1" si="43"/>
        <v>1778267.8937888986</v>
      </c>
      <c r="H143" s="76">
        <f t="shared" ca="1" si="44"/>
        <v>-0.11086605310555071</v>
      </c>
      <c r="I143" s="141">
        <f t="shared" ca="1" si="45"/>
        <v>-221732.1062111014</v>
      </c>
      <c r="J143" s="142">
        <f t="shared" ca="1" si="46"/>
        <v>1782462.5673658198</v>
      </c>
      <c r="K143" s="76">
        <f t="shared" ca="1" si="47"/>
        <v>-0.10876871631709011</v>
      </c>
      <c r="L143" s="141">
        <f t="shared" ca="1" si="48"/>
        <v>-217537.43263418021</v>
      </c>
      <c r="M143" s="142">
        <f t="shared" ca="1" si="49"/>
        <v>1652449.0339681117</v>
      </c>
      <c r="N143" s="76">
        <f t="shared" ca="1" si="50"/>
        <v>-0.17377548301594414</v>
      </c>
      <c r="O143" s="141">
        <f t="shared" ca="1" si="51"/>
        <v>-347550.96603188821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>
        <f t="shared" ca="1" si="39"/>
        <v>2000000</v>
      </c>
      <c r="D144" s="139">
        <f t="shared" ca="1" si="40"/>
        <v>2080212.8685791418</v>
      </c>
      <c r="E144" s="77">
        <f t="shared" ca="1" si="41"/>
        <v>4.0106434289570857E-2</v>
      </c>
      <c r="F144" s="137">
        <f t="shared" ca="1" si="42"/>
        <v>80212.868579141708</v>
      </c>
      <c r="G144" s="139">
        <f t="shared" ca="1" si="43"/>
        <v>2113127.8553661536</v>
      </c>
      <c r="H144" s="77">
        <f t="shared" ca="1" si="44"/>
        <v>5.656392768307681E-2</v>
      </c>
      <c r="I144" s="137">
        <f t="shared" ca="1" si="45"/>
        <v>113127.85536615363</v>
      </c>
      <c r="J144" s="139">
        <f t="shared" ca="1" si="46"/>
        <v>2152784.950244288</v>
      </c>
      <c r="K144" s="77">
        <f t="shared" ca="1" si="47"/>
        <v>7.639247512214406E-2</v>
      </c>
      <c r="L144" s="137">
        <f t="shared" ca="1" si="48"/>
        <v>152784.95024428811</v>
      </c>
      <c r="M144" s="139">
        <f t="shared" ca="1" si="49"/>
        <v>2114108.9482026342</v>
      </c>
      <c r="N144" s="77">
        <f t="shared" ca="1" si="50"/>
        <v>5.7054474101317018E-2</v>
      </c>
      <c r="O144" s="137">
        <f t="shared" ca="1" si="51"/>
        <v>114108.94820263403</v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>
        <f t="shared" ca="1" si="39"/>
        <v>2000000</v>
      </c>
      <c r="D145" s="139">
        <f t="shared" ca="1" si="40"/>
        <v>2037377.7704408811</v>
      </c>
      <c r="E145" s="77">
        <f t="shared" ca="1" si="41"/>
        <v>1.8688885220440481E-2</v>
      </c>
      <c r="F145" s="137">
        <f t="shared" ca="1" si="42"/>
        <v>37377.770440880951</v>
      </c>
      <c r="G145" s="139">
        <f t="shared" ca="1" si="43"/>
        <v>2054791.9610721683</v>
      </c>
      <c r="H145" s="77">
        <f t="shared" ca="1" si="44"/>
        <v>2.7395980536084209E-2</v>
      </c>
      <c r="I145" s="137">
        <f t="shared" ca="1" si="45"/>
        <v>54791.961072168408</v>
      </c>
      <c r="J145" s="139">
        <f t="shared" ca="1" si="46"/>
        <v>2049686.2387562643</v>
      </c>
      <c r="K145" s="77">
        <f t="shared" ca="1" si="47"/>
        <v>2.4843119378132175E-2</v>
      </c>
      <c r="L145" s="137">
        <f t="shared" ca="1" si="48"/>
        <v>49686.238756264363</v>
      </c>
      <c r="M145" s="139">
        <f t="shared" ca="1" si="49"/>
        <v>2026139.329331178</v>
      </c>
      <c r="N145" s="77">
        <f t="shared" ca="1" si="50"/>
        <v>1.3069664665588898E-2</v>
      </c>
      <c r="O145" s="137">
        <f t="shared" ca="1" si="51"/>
        <v>26139.329331177796</v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>
        <f t="shared" ca="1" si="39"/>
        <v>2000000</v>
      </c>
      <c r="D146" s="139">
        <f t="shared" ca="1" si="40"/>
        <v>2153308.6337000844</v>
      </c>
      <c r="E146" s="77">
        <f t="shared" ca="1" si="41"/>
        <v>7.6654316850042273E-2</v>
      </c>
      <c r="F146" s="137">
        <f t="shared" ca="1" si="42"/>
        <v>153308.63370008455</v>
      </c>
      <c r="G146" s="139">
        <f t="shared" ca="1" si="43"/>
        <v>1701352.8163625051</v>
      </c>
      <c r="H146" s="77">
        <f t="shared" ca="1" si="44"/>
        <v>-0.14932359181874741</v>
      </c>
      <c r="I146" s="137">
        <f t="shared" ca="1" si="45"/>
        <v>-298647.18363749486</v>
      </c>
      <c r="J146" s="139">
        <f t="shared" ca="1" si="46"/>
        <v>1653669.0325550975</v>
      </c>
      <c r="K146" s="77">
        <f t="shared" ca="1" si="47"/>
        <v>-0.17316548372245127</v>
      </c>
      <c r="L146" s="137">
        <f t="shared" ca="1" si="48"/>
        <v>-346330.96744490264</v>
      </c>
      <c r="M146" s="139">
        <f t="shared" ca="1" si="49"/>
        <v>1650135.1374019687</v>
      </c>
      <c r="N146" s="77">
        <f t="shared" ca="1" si="50"/>
        <v>-0.17493243129901567</v>
      </c>
      <c r="O146" s="137">
        <f t="shared" ca="1" si="51"/>
        <v>-349864.86259803141</v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>
        <f t="shared" ca="1" si="39"/>
        <v>2000000</v>
      </c>
      <c r="D147" s="139">
        <f t="shared" ca="1" si="40"/>
        <v>1778720.6823213797</v>
      </c>
      <c r="E147" s="77">
        <f t="shared" ca="1" si="41"/>
        <v>-0.11063965883931012</v>
      </c>
      <c r="F147" s="137">
        <f t="shared" ca="1" si="42"/>
        <v>-221279.31767862025</v>
      </c>
      <c r="G147" s="139">
        <f t="shared" ca="1" si="43"/>
        <v>1789788.859011143</v>
      </c>
      <c r="H147" s="77">
        <f t="shared" ca="1" si="44"/>
        <v>-0.10510557049442848</v>
      </c>
      <c r="I147" s="137">
        <f t="shared" ca="1" si="45"/>
        <v>-210211.14098885693</v>
      </c>
      <c r="J147" s="139">
        <f t="shared" ca="1" si="46"/>
        <v>1823447.6253980894</v>
      </c>
      <c r="K147" s="77">
        <f t="shared" ca="1" si="47"/>
        <v>-8.8276187300955308E-2</v>
      </c>
      <c r="L147" s="137">
        <f t="shared" ca="1" si="48"/>
        <v>-176552.37460191065</v>
      </c>
      <c r="M147" s="139">
        <f t="shared" ca="1" si="49"/>
        <v>1826298.1859882213</v>
      </c>
      <c r="N147" s="77">
        <f t="shared" ca="1" si="50"/>
        <v>-8.6850907005889322E-2</v>
      </c>
      <c r="O147" s="137">
        <f t="shared" ca="1" si="51"/>
        <v>-173701.81401177862</v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>
        <f t="shared" ca="1" si="39"/>
        <v>2000000</v>
      </c>
      <c r="D148" s="139">
        <f t="shared" ca="1" si="40"/>
        <v>2000000</v>
      </c>
      <c r="E148" s="77">
        <f t="shared" ca="1" si="41"/>
        <v>0</v>
      </c>
      <c r="F148" s="137">
        <f t="shared" ca="1" si="42"/>
        <v>0</v>
      </c>
      <c r="G148" s="139">
        <f t="shared" ca="1" si="43"/>
        <v>2000000</v>
      </c>
      <c r="H148" s="77">
        <f t="shared" ca="1" si="44"/>
        <v>0</v>
      </c>
      <c r="I148" s="137">
        <f t="shared" ca="1" si="45"/>
        <v>0</v>
      </c>
      <c r="J148" s="139">
        <f t="shared" ca="1" si="46"/>
        <v>2000000</v>
      </c>
      <c r="K148" s="77">
        <f t="shared" ca="1" si="47"/>
        <v>0</v>
      </c>
      <c r="L148" s="137">
        <f t="shared" ca="1" si="48"/>
        <v>0</v>
      </c>
      <c r="M148" s="139">
        <f t="shared" ca="1" si="49"/>
        <v>2000000</v>
      </c>
      <c r="N148" s="77">
        <f t="shared" ca="1" si="50"/>
        <v>0</v>
      </c>
      <c r="O148" s="137">
        <f t="shared" ca="1" si="51"/>
        <v>0</v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62" t="s">
        <v>313</v>
      </c>
      <c r="B167" s="264"/>
      <c r="C167" s="132" t="s">
        <v>308</v>
      </c>
      <c r="D167" s="150" t="s">
        <v>309</v>
      </c>
      <c r="E167" s="151" t="s">
        <v>310</v>
      </c>
      <c r="F167" s="152" t="s">
        <v>311</v>
      </c>
      <c r="G167" s="150" t="s">
        <v>309</v>
      </c>
      <c r="H167" s="151" t="s">
        <v>310</v>
      </c>
      <c r="I167" s="152" t="s">
        <v>311</v>
      </c>
      <c r="J167" s="150" t="s">
        <v>309</v>
      </c>
      <c r="K167" s="151" t="s">
        <v>310</v>
      </c>
      <c r="L167" s="152" t="s">
        <v>311</v>
      </c>
      <c r="M167" s="150" t="s">
        <v>309</v>
      </c>
      <c r="N167" s="151" t="s">
        <v>310</v>
      </c>
      <c r="O167" s="152" t="s">
        <v>311</v>
      </c>
    </row>
    <row r="168" spans="1:15" ht="16.5" customHeight="1" thickBot="1">
      <c r="A168" s="255"/>
      <c r="B168" s="257"/>
      <c r="C168" s="136">
        <f ca="1">SUM(C136:C166)</f>
        <v>26000000</v>
      </c>
      <c r="D168" s="140">
        <f ca="1">SUM(D136:D166)</f>
        <v>26108197.555057999</v>
      </c>
      <c r="E168" s="79">
        <f ca="1">IFERROR(F168 / (SUM($C136:$C166) / COUNT($C136:$C166)), 0)</f>
        <v>5.4098777529000816E-2</v>
      </c>
      <c r="F168" s="138">
        <f ca="1">SUM(F136:F166)</f>
        <v>108197.55505800163</v>
      </c>
      <c r="G168" s="140">
        <f ca="1">SUM(G136:G166)</f>
        <v>25589244.126145933</v>
      </c>
      <c r="H168" s="79">
        <f ca="1">IFERROR(I168 / (SUM($C136:$C166) / COUNT($C136:$C166)), 0)</f>
        <v>-0.20537793692703255</v>
      </c>
      <c r="I168" s="138">
        <f ca="1">SUM(I136:I166)</f>
        <v>-410755.87385406508</v>
      </c>
      <c r="J168" s="140">
        <f ca="1">SUM(J136:J166)</f>
        <v>25486810.879753411</v>
      </c>
      <c r="K168" s="79">
        <f ca="1">IFERROR(L168 / (SUM($C136:$C166) / COUNT($C136:$C166)), 0)</f>
        <v>-0.25659456012329274</v>
      </c>
      <c r="L168" s="138">
        <f ca="1">SUM(L136:L166)</f>
        <v>-513189.12024658552</v>
      </c>
      <c r="M168" s="140">
        <f ca="1">SUM(M136:M166)</f>
        <v>25427007.975254908</v>
      </c>
      <c r="N168" s="79">
        <f ca="1">IFERROR(O168 / (SUM($C136:$C166) / COUNT($C136:$C166)), 0)</f>
        <v>-0.28649601237254618</v>
      </c>
      <c r="O168" s="138">
        <f ca="1">SUM(O136:O166)</f>
        <v>-572992.02474509238</v>
      </c>
    </row>
    <row r="170" spans="1:15" ht="16.5" customHeight="1" thickBot="1"/>
    <row r="171" spans="1:15" ht="16.5" customHeight="1" thickBot="1">
      <c r="A171" s="234" t="str">
        <f>TEXT(투자전략!$G$1, "[$-ko-KR]yyyy년 mm월 ") &amp; "[엽전코인] 전일대비 상승률 Bottom20 월말결산"</f>
        <v>2021년 06월 [엽전코인] 전일대비 상승률 Bottom20 월말결산</v>
      </c>
      <c r="B171" s="235"/>
      <c r="C171" s="235"/>
      <c r="D171" s="235"/>
      <c r="E171" s="235"/>
      <c r="F171" s="235"/>
      <c r="G171" s="235"/>
      <c r="H171" s="235"/>
      <c r="I171" s="235"/>
      <c r="J171" s="235"/>
      <c r="K171" s="235"/>
      <c r="L171" s="235"/>
      <c r="M171" s="235"/>
      <c r="N171" s="235"/>
      <c r="O171" s="236"/>
    </row>
    <row r="172" spans="1:15" ht="16.5" customHeight="1" thickBot="1">
      <c r="A172" s="278" t="s">
        <v>314</v>
      </c>
      <c r="B172" s="255" t="s">
        <v>312</v>
      </c>
      <c r="C172" s="257"/>
      <c r="D172" s="255" t="s">
        <v>304</v>
      </c>
      <c r="E172" s="256"/>
      <c r="F172" s="257"/>
      <c r="G172" s="255" t="s">
        <v>305</v>
      </c>
      <c r="H172" s="256"/>
      <c r="I172" s="257"/>
      <c r="J172" s="255" t="s">
        <v>306</v>
      </c>
      <c r="K172" s="256"/>
      <c r="L172" s="257"/>
      <c r="M172" s="255" t="s">
        <v>307</v>
      </c>
      <c r="N172" s="256"/>
      <c r="O172" s="257"/>
    </row>
    <row r="173" spans="1:15" ht="16.5" customHeight="1" thickBot="1">
      <c r="A173" s="271"/>
      <c r="B173" s="154" t="s">
        <v>302</v>
      </c>
      <c r="C173" s="154" t="s">
        <v>42</v>
      </c>
      <c r="D173" s="121" t="s">
        <v>303</v>
      </c>
      <c r="E173" s="133" t="s">
        <v>40</v>
      </c>
      <c r="F173" s="156" t="s">
        <v>41</v>
      </c>
      <c r="G173" s="121" t="s">
        <v>303</v>
      </c>
      <c r="H173" s="133" t="s">
        <v>40</v>
      </c>
      <c r="I173" s="156" t="s">
        <v>41</v>
      </c>
      <c r="J173" s="121" t="s">
        <v>303</v>
      </c>
      <c r="K173" s="133" t="s">
        <v>40</v>
      </c>
      <c r="L173" s="156" t="s">
        <v>41</v>
      </c>
      <c r="M173" s="121" t="s">
        <v>303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1738783.228812326</v>
      </c>
      <c r="E181" s="76">
        <f t="shared" ca="1" si="54"/>
        <v>-0.130608385593837</v>
      </c>
      <c r="F181" s="141">
        <f t="shared" ca="1" si="55"/>
        <v>-261216.77118767402</v>
      </c>
      <c r="G181" s="142">
        <f t="shared" ca="1" si="56"/>
        <v>1743053.7908382134</v>
      </c>
      <c r="H181" s="76">
        <f t="shared" ca="1" si="57"/>
        <v>-0.12847310458089339</v>
      </c>
      <c r="I181" s="141">
        <f t="shared" ca="1" si="58"/>
        <v>-256946.20916178677</v>
      </c>
      <c r="J181" s="142">
        <f t="shared" ca="1" si="59"/>
        <v>1751099.085305603</v>
      </c>
      <c r="K181" s="76">
        <f t="shared" ca="1" si="60"/>
        <v>-0.12445045734719851</v>
      </c>
      <c r="L181" s="141">
        <f t="shared" ca="1" si="61"/>
        <v>-248900.91469439701</v>
      </c>
      <c r="M181" s="142">
        <f t="shared" ca="1" si="62"/>
        <v>1638819.1384293528</v>
      </c>
      <c r="N181" s="76">
        <f t="shared" ca="1" si="63"/>
        <v>-0.18059043078532361</v>
      </c>
      <c r="O181" s="141">
        <f t="shared" ca="1" si="64"/>
        <v>-361180.86157064722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>
        <f t="shared" ca="1" si="52"/>
        <v>2000000</v>
      </c>
      <c r="D182" s="139">
        <f t="shared" ca="1" si="53"/>
        <v>2035183.0211021816</v>
      </c>
      <c r="E182" s="77">
        <f t="shared" ca="1" si="54"/>
        <v>1.7591510551090959E-2</v>
      </c>
      <c r="F182" s="137">
        <f t="shared" ca="1" si="55"/>
        <v>35183.021102181912</v>
      </c>
      <c r="G182" s="139">
        <f t="shared" ca="1" si="56"/>
        <v>2056122.3112489597</v>
      </c>
      <c r="H182" s="77">
        <f t="shared" ca="1" si="57"/>
        <v>2.8061155624479871E-2</v>
      </c>
      <c r="I182" s="137">
        <f t="shared" ca="1" si="58"/>
        <v>56122.311248959748</v>
      </c>
      <c r="J182" s="139">
        <f t="shared" ca="1" si="59"/>
        <v>2104237.9987256327</v>
      </c>
      <c r="K182" s="77">
        <f t="shared" ca="1" si="60"/>
        <v>5.2118999362816408E-2</v>
      </c>
      <c r="L182" s="137">
        <f t="shared" ca="1" si="61"/>
        <v>104237.99872563283</v>
      </c>
      <c r="M182" s="139">
        <f t="shared" ca="1" si="62"/>
        <v>2087390.3952974696</v>
      </c>
      <c r="N182" s="77">
        <f t="shared" ca="1" si="63"/>
        <v>4.3695197648734786E-2</v>
      </c>
      <c r="O182" s="137">
        <f t="shared" ca="1" si="64"/>
        <v>87390.395297469571</v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>
        <f t="shared" ca="1" si="52"/>
        <v>2000000</v>
      </c>
      <c r="D183" s="139">
        <f t="shared" ca="1" si="53"/>
        <v>2187554.8336133766</v>
      </c>
      <c r="E183" s="77">
        <f t="shared" ca="1" si="54"/>
        <v>9.3777416806688232E-2</v>
      </c>
      <c r="F183" s="137">
        <f t="shared" ca="1" si="55"/>
        <v>187554.83361337642</v>
      </c>
      <c r="G183" s="139">
        <f t="shared" ca="1" si="56"/>
        <v>2294890.6605380536</v>
      </c>
      <c r="H183" s="77">
        <f t="shared" ca="1" si="57"/>
        <v>0.14744533026902679</v>
      </c>
      <c r="I183" s="137">
        <f t="shared" ca="1" si="58"/>
        <v>294890.66053805355</v>
      </c>
      <c r="J183" s="139">
        <f t="shared" ca="1" si="59"/>
        <v>2281890.6487245425</v>
      </c>
      <c r="K183" s="77">
        <f t="shared" ca="1" si="60"/>
        <v>0.1409453243622712</v>
      </c>
      <c r="L183" s="137">
        <f t="shared" ca="1" si="61"/>
        <v>281890.64872454241</v>
      </c>
      <c r="M183" s="139">
        <f t="shared" ca="1" si="62"/>
        <v>2212194.435773877</v>
      </c>
      <c r="N183" s="77">
        <f t="shared" ca="1" si="63"/>
        <v>0.10609721788693849</v>
      </c>
      <c r="O183" s="137">
        <f t="shared" ca="1" si="64"/>
        <v>212194.4357738769</v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>
        <f t="shared" ca="1" si="52"/>
        <v>2000000</v>
      </c>
      <c r="D184" s="139">
        <f t="shared" ca="1" si="53"/>
        <v>2152241.0681901295</v>
      </c>
      <c r="E184" s="77">
        <f t="shared" ca="1" si="54"/>
        <v>7.6120534095064876E-2</v>
      </c>
      <c r="F184" s="137">
        <f t="shared" ca="1" si="55"/>
        <v>152241.06819012979</v>
      </c>
      <c r="G184" s="139">
        <f t="shared" ca="1" si="56"/>
        <v>1833440.9126730291</v>
      </c>
      <c r="H184" s="77">
        <f t="shared" ca="1" si="57"/>
        <v>-8.3279543663485486E-2</v>
      </c>
      <c r="I184" s="137">
        <f t="shared" ca="1" si="58"/>
        <v>-166559.087326971</v>
      </c>
      <c r="J184" s="139">
        <f t="shared" ca="1" si="59"/>
        <v>1791902.7373928824</v>
      </c>
      <c r="K184" s="77">
        <f t="shared" ca="1" si="60"/>
        <v>-0.10404863130355875</v>
      </c>
      <c r="L184" s="137">
        <f t="shared" ca="1" si="61"/>
        <v>-208097.26260711742</v>
      </c>
      <c r="M184" s="139">
        <f t="shared" ca="1" si="62"/>
        <v>1781578.1717082758</v>
      </c>
      <c r="N184" s="77">
        <f t="shared" ca="1" si="63"/>
        <v>-0.10921091414586218</v>
      </c>
      <c r="O184" s="137">
        <f t="shared" ca="1" si="64"/>
        <v>-218421.82829172435</v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>
        <f t="shared" ca="1" si="52"/>
        <v>2000000</v>
      </c>
      <c r="D185" s="139">
        <f t="shared" ca="1" si="53"/>
        <v>1613901.3935833275</v>
      </c>
      <c r="E185" s="77">
        <f t="shared" ca="1" si="54"/>
        <v>-0.19304930320833619</v>
      </c>
      <c r="F185" s="137">
        <f t="shared" ca="1" si="55"/>
        <v>-386098.60641667241</v>
      </c>
      <c r="G185" s="139">
        <f t="shared" ca="1" si="56"/>
        <v>1586494.5754223953</v>
      </c>
      <c r="H185" s="77">
        <f t="shared" ca="1" si="57"/>
        <v>-0.20675271228880229</v>
      </c>
      <c r="I185" s="137">
        <f t="shared" ca="1" si="58"/>
        <v>-413505.42457760463</v>
      </c>
      <c r="J185" s="139">
        <f t="shared" ca="1" si="59"/>
        <v>1592272.6506093144</v>
      </c>
      <c r="K185" s="77">
        <f t="shared" ca="1" si="60"/>
        <v>-0.20386367469534275</v>
      </c>
      <c r="L185" s="137">
        <f t="shared" ca="1" si="61"/>
        <v>-407727.34939068556</v>
      </c>
      <c r="M185" s="139">
        <f t="shared" ca="1" si="62"/>
        <v>1597501.3697729774</v>
      </c>
      <c r="N185" s="77">
        <f t="shared" ca="1" si="63"/>
        <v>-0.20124931511351135</v>
      </c>
      <c r="O185" s="137">
        <f t="shared" ca="1" si="64"/>
        <v>-402498.63022702275</v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>
        <f t="shared" ca="1" si="52"/>
        <v>2000000</v>
      </c>
      <c r="D186" s="139">
        <f t="shared" ca="1" si="53"/>
        <v>2000000</v>
      </c>
      <c r="E186" s="77">
        <f t="shared" ca="1" si="54"/>
        <v>0</v>
      </c>
      <c r="F186" s="137">
        <f t="shared" ca="1" si="55"/>
        <v>0</v>
      </c>
      <c r="G186" s="139">
        <f t="shared" ca="1" si="56"/>
        <v>2000000</v>
      </c>
      <c r="H186" s="77">
        <f t="shared" ca="1" si="57"/>
        <v>0</v>
      </c>
      <c r="I186" s="137">
        <f t="shared" ca="1" si="58"/>
        <v>0</v>
      </c>
      <c r="J186" s="139">
        <f t="shared" ca="1" si="59"/>
        <v>2000000</v>
      </c>
      <c r="K186" s="77">
        <f t="shared" ca="1" si="60"/>
        <v>0</v>
      </c>
      <c r="L186" s="137">
        <f t="shared" ca="1" si="61"/>
        <v>0</v>
      </c>
      <c r="M186" s="139">
        <f t="shared" ca="1" si="62"/>
        <v>2000000</v>
      </c>
      <c r="N186" s="77">
        <f t="shared" ca="1" si="63"/>
        <v>0</v>
      </c>
      <c r="O186" s="137">
        <f t="shared" ca="1" si="64"/>
        <v>0</v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62" t="s">
        <v>313</v>
      </c>
      <c r="B205" s="264"/>
      <c r="C205" s="132" t="s">
        <v>308</v>
      </c>
      <c r="D205" s="150" t="s">
        <v>309</v>
      </c>
      <c r="E205" s="151" t="s">
        <v>310</v>
      </c>
      <c r="F205" s="152" t="s">
        <v>311</v>
      </c>
      <c r="G205" s="150" t="s">
        <v>309</v>
      </c>
      <c r="H205" s="151" t="s">
        <v>310</v>
      </c>
      <c r="I205" s="152" t="s">
        <v>311</v>
      </c>
      <c r="J205" s="150" t="s">
        <v>309</v>
      </c>
      <c r="K205" s="151" t="s">
        <v>310</v>
      </c>
      <c r="L205" s="152" t="s">
        <v>311</v>
      </c>
      <c r="M205" s="150" t="s">
        <v>309</v>
      </c>
      <c r="N205" s="151" t="s">
        <v>310</v>
      </c>
      <c r="O205" s="152" t="s">
        <v>311</v>
      </c>
    </row>
    <row r="206" spans="1:15" ht="16.5" customHeight="1" thickBot="1">
      <c r="A206" s="255"/>
      <c r="B206" s="257"/>
      <c r="C206" s="136">
        <f ca="1">SUM(C174:C204)</f>
        <v>26000000</v>
      </c>
      <c r="D206" s="140">
        <f ca="1">SUM(D174:D204)</f>
        <v>25902178.241824307</v>
      </c>
      <c r="E206" s="79">
        <f ca="1">IFERROR(F206 / (SUM($C174:$C204) / COUNT($C174:$C204)), 0)</f>
        <v>-4.8910879087846873E-2</v>
      </c>
      <c r="F206" s="138">
        <f ca="1">SUM(F174:F204)</f>
        <v>-97821.758175693743</v>
      </c>
      <c r="G206" s="140">
        <f ca="1">SUM(G174:G204)</f>
        <v>25617564.822769523</v>
      </c>
      <c r="H206" s="79">
        <f ca="1">IFERROR(I206 / (SUM($C174:$C204) / COUNT($C174:$C204)), 0)</f>
        <v>-0.19121758861523908</v>
      </c>
      <c r="I206" s="138">
        <f ca="1">SUM(I174:I204)</f>
        <v>-382435.17723047815</v>
      </c>
      <c r="J206" s="140">
        <f ca="1">SUM(J174:J204)</f>
        <v>25570243.765994046</v>
      </c>
      <c r="K206" s="79">
        <f ca="1">IFERROR(L206 / (SUM($C174:$C204) / COUNT($C174:$C204)), 0)</f>
        <v>-0.21487811700297677</v>
      </c>
      <c r="L206" s="138">
        <f ca="1">SUM(L174:L204)</f>
        <v>-429756.23400595353</v>
      </c>
      <c r="M206" s="140">
        <f ca="1">SUM(M174:M204)</f>
        <v>25410506.650702853</v>
      </c>
      <c r="N206" s="79">
        <f ca="1">IFERROR(O206 / (SUM($C174:$C204) / COUNT($C174:$C204)), 0)</f>
        <v>-0.29474667464857351</v>
      </c>
      <c r="O206" s="138">
        <f ca="1">SUM(O174:O204)</f>
        <v>-589493.34929714701</v>
      </c>
    </row>
    <row r="208" spans="1:15" ht="16.5" customHeight="1" thickBot="1"/>
    <row r="209" spans="1:15" ht="16.5" customHeight="1" thickBot="1">
      <c r="A209" s="234" t="str">
        <f>TEXT(투자전략!$G$1, "[$-ko-KR]yyyy년 mm월 ") &amp; "[동전코인] 전일대비 상승률 Bottom20 월말결산"</f>
        <v>2021년 06월 [동전코인] 전일대비 상승률 Bottom20 월말결산</v>
      </c>
      <c r="B209" s="235"/>
      <c r="C209" s="235"/>
      <c r="D209" s="235"/>
      <c r="E209" s="235"/>
      <c r="F209" s="235"/>
      <c r="G209" s="235"/>
      <c r="H209" s="235"/>
      <c r="I209" s="235"/>
      <c r="J209" s="235"/>
      <c r="K209" s="235"/>
      <c r="L209" s="235"/>
      <c r="M209" s="235"/>
      <c r="N209" s="235"/>
      <c r="O209" s="236"/>
    </row>
    <row r="210" spans="1:15" ht="16.5" customHeight="1" thickBot="1">
      <c r="A210" s="278" t="s">
        <v>314</v>
      </c>
      <c r="B210" s="255" t="s">
        <v>312</v>
      </c>
      <c r="C210" s="257"/>
      <c r="D210" s="255" t="s">
        <v>304</v>
      </c>
      <c r="E210" s="256"/>
      <c r="F210" s="257"/>
      <c r="G210" s="255" t="s">
        <v>305</v>
      </c>
      <c r="H210" s="256"/>
      <c r="I210" s="257"/>
      <c r="J210" s="255" t="s">
        <v>306</v>
      </c>
      <c r="K210" s="256"/>
      <c r="L210" s="257"/>
      <c r="M210" s="255" t="s">
        <v>307</v>
      </c>
      <c r="N210" s="256"/>
      <c r="O210" s="257"/>
    </row>
    <row r="211" spans="1:15" ht="16.5" customHeight="1" thickBot="1">
      <c r="A211" s="271"/>
      <c r="B211" s="154" t="s">
        <v>302</v>
      </c>
      <c r="C211" s="154" t="s">
        <v>42</v>
      </c>
      <c r="D211" s="121" t="s">
        <v>303</v>
      </c>
      <c r="E211" s="133" t="s">
        <v>40</v>
      </c>
      <c r="F211" s="156" t="s">
        <v>41</v>
      </c>
      <c r="G211" s="121" t="s">
        <v>303</v>
      </c>
      <c r="H211" s="133" t="s">
        <v>40</v>
      </c>
      <c r="I211" s="156" t="s">
        <v>41</v>
      </c>
      <c r="J211" s="121" t="s">
        <v>303</v>
      </c>
      <c r="K211" s="133" t="s">
        <v>40</v>
      </c>
      <c r="L211" s="156" t="s">
        <v>41</v>
      </c>
      <c r="M211" s="121" t="s">
        <v>303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1758735.3065730061</v>
      </c>
      <c r="E219" s="76">
        <f t="shared" ca="1" si="67"/>
        <v>-0.12063234671349701</v>
      </c>
      <c r="F219" s="141">
        <f t="shared" ca="1" si="68"/>
        <v>-241264.693426994</v>
      </c>
      <c r="G219" s="142">
        <f t="shared" ca="1" si="69"/>
        <v>1761448.7983304427</v>
      </c>
      <c r="H219" s="76">
        <f t="shared" ca="1" si="70"/>
        <v>-0.11927560083477864</v>
      </c>
      <c r="I219" s="141">
        <f t="shared" ca="1" si="71"/>
        <v>-238551.20166955725</v>
      </c>
      <c r="J219" s="142">
        <f t="shared" ca="1" si="72"/>
        <v>1778135.561968067</v>
      </c>
      <c r="K219" s="76">
        <f t="shared" ca="1" si="73"/>
        <v>-0.11093221901596648</v>
      </c>
      <c r="L219" s="141">
        <f t="shared" ca="1" si="74"/>
        <v>-221864.43803193292</v>
      </c>
      <c r="M219" s="142">
        <f t="shared" ca="1" si="75"/>
        <v>1657616.0176254096</v>
      </c>
      <c r="N219" s="76">
        <f t="shared" ca="1" si="76"/>
        <v>-0.17119199118729525</v>
      </c>
      <c r="O219" s="141">
        <f t="shared" ca="1" si="77"/>
        <v>-342383.98237459041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>
        <f t="shared" ca="1" si="65"/>
        <v>2000000</v>
      </c>
      <c r="D220" s="139">
        <f t="shared" ca="1" si="66"/>
        <v>2082769.4113713959</v>
      </c>
      <c r="E220" s="77">
        <f t="shared" ca="1" si="67"/>
        <v>4.1384705685697985E-2</v>
      </c>
      <c r="F220" s="137">
        <f t="shared" ca="1" si="68"/>
        <v>82769.411371395981</v>
      </c>
      <c r="G220" s="139">
        <f t="shared" ca="1" si="69"/>
        <v>2093506.1478577484</v>
      </c>
      <c r="H220" s="77">
        <f t="shared" ca="1" si="70"/>
        <v>4.6753073928874248E-2</v>
      </c>
      <c r="I220" s="137">
        <f t="shared" ca="1" si="71"/>
        <v>93506.14785774851</v>
      </c>
      <c r="J220" s="139">
        <f t="shared" ca="1" si="72"/>
        <v>2135484.0676985234</v>
      </c>
      <c r="K220" s="77">
        <f t="shared" ca="1" si="73"/>
        <v>6.7742033849261613E-2</v>
      </c>
      <c r="L220" s="137">
        <f t="shared" ca="1" si="74"/>
        <v>135484.0676985232</v>
      </c>
      <c r="M220" s="139">
        <f t="shared" ca="1" si="75"/>
        <v>2102165.004097708</v>
      </c>
      <c r="N220" s="77">
        <f t="shared" ca="1" si="76"/>
        <v>5.1082502048854159E-2</v>
      </c>
      <c r="O220" s="137">
        <f t="shared" ca="1" si="77"/>
        <v>102165.00409770834</v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>
        <f t="shared" ca="1" si="65"/>
        <v>2000000</v>
      </c>
      <c r="D221" s="139">
        <f t="shared" ca="1" si="66"/>
        <v>2087244.5191509437</v>
      </c>
      <c r="E221" s="77">
        <f t="shared" ca="1" si="67"/>
        <v>4.3622259575471792E-2</v>
      </c>
      <c r="F221" s="137">
        <f t="shared" ca="1" si="68"/>
        <v>87244.519150943554</v>
      </c>
      <c r="G221" s="139">
        <f t="shared" ca="1" si="69"/>
        <v>2130740.4177567419</v>
      </c>
      <c r="H221" s="77">
        <f t="shared" ca="1" si="70"/>
        <v>6.5370208878370958E-2</v>
      </c>
      <c r="I221" s="137">
        <f t="shared" ca="1" si="71"/>
        <v>130740.41775674191</v>
      </c>
      <c r="J221" s="139">
        <f t="shared" ca="1" si="72"/>
        <v>2129826.1397765791</v>
      </c>
      <c r="K221" s="77">
        <f t="shared" ca="1" si="73"/>
        <v>6.4913069888289696E-2</v>
      </c>
      <c r="L221" s="137">
        <f t="shared" ca="1" si="74"/>
        <v>129826.1397765794</v>
      </c>
      <c r="M221" s="139">
        <f t="shared" ca="1" si="75"/>
        <v>2102960.9915111721</v>
      </c>
      <c r="N221" s="77">
        <f t="shared" ca="1" si="76"/>
        <v>5.1480495755586123E-2</v>
      </c>
      <c r="O221" s="137">
        <f t="shared" ca="1" si="77"/>
        <v>102960.99151117225</v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>
        <f t="shared" ca="1" si="65"/>
        <v>2000000</v>
      </c>
      <c r="D222" s="139">
        <f t="shared" ca="1" si="66"/>
        <v>2024699.1276775317</v>
      </c>
      <c r="E222" s="77">
        <f t="shared" ca="1" si="67"/>
        <v>1.2349563838765856E-2</v>
      </c>
      <c r="F222" s="137">
        <f t="shared" ca="1" si="68"/>
        <v>24699.127677531706</v>
      </c>
      <c r="G222" s="139">
        <f t="shared" ca="1" si="69"/>
        <v>1980793.4142190099</v>
      </c>
      <c r="H222" s="77">
        <f t="shared" ca="1" si="70"/>
        <v>-9.6032928904949445E-3</v>
      </c>
      <c r="I222" s="137">
        <f t="shared" ca="1" si="71"/>
        <v>-19206.585780989903</v>
      </c>
      <c r="J222" s="139">
        <f t="shared" ca="1" si="72"/>
        <v>1967048.049344253</v>
      </c>
      <c r="K222" s="77">
        <f t="shared" ca="1" si="73"/>
        <v>-1.6475975327873524E-2</v>
      </c>
      <c r="L222" s="137">
        <f t="shared" ca="1" si="74"/>
        <v>-32951.950655747052</v>
      </c>
      <c r="M222" s="139">
        <f t="shared" ca="1" si="75"/>
        <v>1947470.468172594</v>
      </c>
      <c r="N222" s="77">
        <f t="shared" ca="1" si="76"/>
        <v>-2.6264765913703005E-2</v>
      </c>
      <c r="O222" s="137">
        <f t="shared" ca="1" si="77"/>
        <v>-52529.531827406005</v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>
        <f t="shared" ca="1" si="65"/>
        <v>2000000</v>
      </c>
      <c r="D223" s="139">
        <f t="shared" ca="1" si="66"/>
        <v>1661917.7902544963</v>
      </c>
      <c r="E223" s="77">
        <f t="shared" ca="1" si="67"/>
        <v>-0.16904110487275176</v>
      </c>
      <c r="F223" s="137">
        <f t="shared" ca="1" si="68"/>
        <v>-338082.20974550338</v>
      </c>
      <c r="G223" s="139">
        <f t="shared" ca="1" si="69"/>
        <v>1640673.653757557</v>
      </c>
      <c r="H223" s="77">
        <f t="shared" ca="1" si="70"/>
        <v>-0.17966317312122151</v>
      </c>
      <c r="I223" s="137">
        <f t="shared" ca="1" si="71"/>
        <v>-359326.34624244308</v>
      </c>
      <c r="J223" s="139">
        <f t="shared" ca="1" si="72"/>
        <v>1648939.0916523738</v>
      </c>
      <c r="K223" s="77">
        <f t="shared" ca="1" si="73"/>
        <v>-0.17553045417381311</v>
      </c>
      <c r="L223" s="137">
        <f t="shared" ca="1" si="74"/>
        <v>-351060.90834762622</v>
      </c>
      <c r="M223" s="139">
        <f t="shared" ca="1" si="75"/>
        <v>1665715.4249414876</v>
      </c>
      <c r="N223" s="77">
        <f t="shared" ca="1" si="76"/>
        <v>-0.16714228752925622</v>
      </c>
      <c r="O223" s="137">
        <f t="shared" ca="1" si="77"/>
        <v>-334284.57505851251</v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>
        <f t="shared" ca="1" si="65"/>
        <v>2000000</v>
      </c>
      <c r="D224" s="139">
        <f t="shared" ca="1" si="66"/>
        <v>2000000</v>
      </c>
      <c r="E224" s="77">
        <f t="shared" ca="1" si="67"/>
        <v>0</v>
      </c>
      <c r="F224" s="137">
        <f t="shared" ca="1" si="68"/>
        <v>0</v>
      </c>
      <c r="G224" s="139">
        <f t="shared" ca="1" si="69"/>
        <v>2000000</v>
      </c>
      <c r="H224" s="77">
        <f t="shared" ca="1" si="70"/>
        <v>0</v>
      </c>
      <c r="I224" s="137">
        <f t="shared" ca="1" si="71"/>
        <v>0</v>
      </c>
      <c r="J224" s="139">
        <f t="shared" ca="1" si="72"/>
        <v>2000000</v>
      </c>
      <c r="K224" s="77">
        <f t="shared" ca="1" si="73"/>
        <v>0</v>
      </c>
      <c r="L224" s="137">
        <f t="shared" ca="1" si="74"/>
        <v>0</v>
      </c>
      <c r="M224" s="139">
        <f t="shared" ca="1" si="75"/>
        <v>2000000</v>
      </c>
      <c r="N224" s="77">
        <f t="shared" ca="1" si="76"/>
        <v>0</v>
      </c>
      <c r="O224" s="137">
        <f t="shared" ca="1" si="77"/>
        <v>0</v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62" t="s">
        <v>313</v>
      </c>
      <c r="B243" s="264"/>
      <c r="C243" s="132" t="s">
        <v>308</v>
      </c>
      <c r="D243" s="150" t="s">
        <v>309</v>
      </c>
      <c r="E243" s="151" t="s">
        <v>310</v>
      </c>
      <c r="F243" s="152" t="s">
        <v>311</v>
      </c>
      <c r="G243" s="150" t="s">
        <v>309</v>
      </c>
      <c r="H243" s="151" t="s">
        <v>310</v>
      </c>
      <c r="I243" s="152" t="s">
        <v>311</v>
      </c>
      <c r="J243" s="150" t="s">
        <v>309</v>
      </c>
      <c r="K243" s="151" t="s">
        <v>310</v>
      </c>
      <c r="L243" s="152" t="s">
        <v>311</v>
      </c>
      <c r="M243" s="150" t="s">
        <v>309</v>
      </c>
      <c r="N243" s="151" t="s">
        <v>310</v>
      </c>
      <c r="O243" s="152" t="s">
        <v>311</v>
      </c>
    </row>
    <row r="244" spans="1:15" ht="16.5" customHeight="1" thickBot="1">
      <c r="A244" s="255"/>
      <c r="B244" s="257"/>
      <c r="C244" s="136">
        <f ca="1">SUM(C212:C242)</f>
        <v>26000000</v>
      </c>
      <c r="D244" s="140">
        <f ca="1">SUM(D212:D242)</f>
        <v>25751180.817025293</v>
      </c>
      <c r="E244" s="79">
        <f ca="1">IFERROR(F244 / (SUM($C212:$C242) / COUNT($C212:$C242)), 0)</f>
        <v>-0.12440959148735133</v>
      </c>
      <c r="F244" s="138">
        <f ca="1">SUM(F212:F242)</f>
        <v>-248819.18297470265</v>
      </c>
      <c r="G244" s="140">
        <f ca="1">SUM(G212:G242)</f>
        <v>25686358.288800064</v>
      </c>
      <c r="H244" s="79">
        <f ca="1">IFERROR(I244 / (SUM($C212:$C242) / COUNT($C212:$C242)), 0)</f>
        <v>-0.15682085559996806</v>
      </c>
      <c r="I244" s="138">
        <f ca="1">SUM(I212:I242)</f>
        <v>-313641.71119993611</v>
      </c>
      <c r="J244" s="140">
        <f ca="1">SUM(J212:J242)</f>
        <v>25650536.542126112</v>
      </c>
      <c r="K244" s="79">
        <f ca="1">IFERROR(L244 / (SUM($C212:$C242) / COUNT($C212:$C242)), 0)</f>
        <v>-0.17473172893694619</v>
      </c>
      <c r="L244" s="138">
        <f ca="1">SUM(L212:L242)</f>
        <v>-349463.45787389239</v>
      </c>
      <c r="M244" s="140">
        <f ca="1">SUM(M212:M242)</f>
        <v>25547598.342211418</v>
      </c>
      <c r="N244" s="79">
        <f ca="1">IFERROR(O244 / (SUM($C212:$C242) / COUNT($C212:$C242)), 0)</f>
        <v>-0.22620082889429299</v>
      </c>
      <c r="O244" s="138">
        <f ca="1">SUM(O212:O242)</f>
        <v>-452401.65778858599</v>
      </c>
    </row>
    <row r="246" spans="1:15" ht="16.5" customHeight="1" thickBot="1"/>
    <row r="247" spans="1:15" ht="16.5" customHeight="1" thickBot="1">
      <c r="A247" s="234" t="str">
        <f>TEXT(투자전략!$G$1, "[$-ko-KR]yyyy년 mm월 ") &amp; "전일대비 상승률 Bottom20 월말결산"</f>
        <v>2021년 06월 전일대비 상승률 Bottom20 월말결산</v>
      </c>
      <c r="B247" s="235"/>
      <c r="C247" s="235"/>
      <c r="D247" s="235"/>
      <c r="E247" s="235"/>
      <c r="F247" s="235"/>
      <c r="G247" s="235"/>
      <c r="H247" s="235"/>
      <c r="I247" s="235"/>
      <c r="J247" s="235"/>
      <c r="K247" s="235"/>
      <c r="L247" s="235"/>
      <c r="M247" s="235"/>
      <c r="N247" s="235"/>
      <c r="O247" s="236"/>
    </row>
    <row r="248" spans="1:15" ht="16.5" customHeight="1" thickBot="1">
      <c r="A248" s="278" t="s">
        <v>314</v>
      </c>
      <c r="B248" s="255" t="s">
        <v>312</v>
      </c>
      <c r="C248" s="257"/>
      <c r="D248" s="255" t="s">
        <v>304</v>
      </c>
      <c r="E248" s="256"/>
      <c r="F248" s="257"/>
      <c r="G248" s="255" t="s">
        <v>305</v>
      </c>
      <c r="H248" s="256"/>
      <c r="I248" s="257"/>
      <c r="J248" s="255" t="s">
        <v>306</v>
      </c>
      <c r="K248" s="256"/>
      <c r="L248" s="257"/>
      <c r="M248" s="255" t="s">
        <v>307</v>
      </c>
      <c r="N248" s="256"/>
      <c r="O248" s="257"/>
    </row>
    <row r="249" spans="1:15" ht="16.5" customHeight="1" thickBot="1">
      <c r="A249" s="271"/>
      <c r="B249" s="154" t="s">
        <v>302</v>
      </c>
      <c r="C249" s="154" t="s">
        <v>42</v>
      </c>
      <c r="D249" s="121" t="s">
        <v>303</v>
      </c>
      <c r="E249" s="133" t="s">
        <v>40</v>
      </c>
      <c r="F249" s="156" t="s">
        <v>41</v>
      </c>
      <c r="G249" s="121" t="s">
        <v>303</v>
      </c>
      <c r="H249" s="133" t="s">
        <v>40</v>
      </c>
      <c r="I249" s="156" t="s">
        <v>41</v>
      </c>
      <c r="J249" s="121" t="s">
        <v>303</v>
      </c>
      <c r="K249" s="133" t="s">
        <v>40</v>
      </c>
      <c r="L249" s="156" t="s">
        <v>41</v>
      </c>
      <c r="M249" s="121" t="s">
        <v>303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1742796.9657233078</v>
      </c>
      <c r="E257" s="76">
        <f t="shared" ca="1" si="80"/>
        <v>-0.12860151713834614</v>
      </c>
      <c r="F257" s="141">
        <f t="shared" ca="1" si="81"/>
        <v>-257203.03427669225</v>
      </c>
      <c r="G257" s="142">
        <f t="shared" ca="1" si="82"/>
        <v>1744004.5982798224</v>
      </c>
      <c r="H257" s="76">
        <f t="shared" ca="1" si="83"/>
        <v>-0.12799770086008874</v>
      </c>
      <c r="I257" s="141">
        <f t="shared" ca="1" si="84"/>
        <v>-255995.4017201775</v>
      </c>
      <c r="J257" s="142">
        <f t="shared" ca="1" si="85"/>
        <v>1757693.3004874215</v>
      </c>
      <c r="K257" s="76">
        <f t="shared" ca="1" si="86"/>
        <v>-0.12115334975628918</v>
      </c>
      <c r="L257" s="141">
        <f t="shared" ca="1" si="87"/>
        <v>-242306.6995125784</v>
      </c>
      <c r="M257" s="142">
        <f t="shared" ca="1" si="88"/>
        <v>1644302.3412608758</v>
      </c>
      <c r="N257" s="76">
        <f t="shared" ca="1" si="89"/>
        <v>-0.1778488293695622</v>
      </c>
      <c r="O257" s="141">
        <f t="shared" ca="1" si="90"/>
        <v>-355697.65873912442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>
        <f t="shared" ca="1" si="78"/>
        <v>2000000</v>
      </c>
      <c r="D258" s="139">
        <f t="shared" ca="1" si="79"/>
        <v>2110229.8150709337</v>
      </c>
      <c r="E258" s="77">
        <f t="shared" ca="1" si="80"/>
        <v>5.5114907535466995E-2</v>
      </c>
      <c r="F258" s="137">
        <f t="shared" ca="1" si="81"/>
        <v>110229.81507093401</v>
      </c>
      <c r="G258" s="139">
        <f t="shared" ca="1" si="82"/>
        <v>2113771.0866782754</v>
      </c>
      <c r="H258" s="77">
        <f t="shared" ca="1" si="83"/>
        <v>5.6885543339137742E-2</v>
      </c>
      <c r="I258" s="137">
        <f t="shared" ca="1" si="84"/>
        <v>113771.08667827549</v>
      </c>
      <c r="J258" s="139">
        <f t="shared" ca="1" si="85"/>
        <v>2136574.6955175758</v>
      </c>
      <c r="K258" s="77">
        <f t="shared" ca="1" si="86"/>
        <v>6.8287347758788003E-2</v>
      </c>
      <c r="L258" s="137">
        <f t="shared" ca="1" si="87"/>
        <v>136574.69551757604</v>
      </c>
      <c r="M258" s="139">
        <f t="shared" ca="1" si="88"/>
        <v>2123218.8757103398</v>
      </c>
      <c r="N258" s="77">
        <f t="shared" ca="1" si="89"/>
        <v>6.1609437855169827E-2</v>
      </c>
      <c r="O258" s="137">
        <f t="shared" ca="1" si="90"/>
        <v>123218.87571033965</v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>
        <f t="shared" ca="1" si="78"/>
        <v>2000000</v>
      </c>
      <c r="D259" s="139">
        <f t="shared" ca="1" si="79"/>
        <v>2125299.4439903707</v>
      </c>
      <c r="E259" s="77">
        <f t="shared" ca="1" si="80"/>
        <v>6.2649721995185315E-2</v>
      </c>
      <c r="F259" s="137">
        <f t="shared" ca="1" si="81"/>
        <v>125299.44399037061</v>
      </c>
      <c r="G259" s="139">
        <f t="shared" ca="1" si="82"/>
        <v>2184172.1891156849</v>
      </c>
      <c r="H259" s="77">
        <f t="shared" ca="1" si="83"/>
        <v>9.2086094557842502E-2</v>
      </c>
      <c r="I259" s="137">
        <f t="shared" ca="1" si="84"/>
        <v>184172.18911568506</v>
      </c>
      <c r="J259" s="139">
        <f t="shared" ca="1" si="85"/>
        <v>2176421.8470929619</v>
      </c>
      <c r="K259" s="77">
        <f t="shared" ca="1" si="86"/>
        <v>8.821092354648101E-2</v>
      </c>
      <c r="L259" s="137">
        <f t="shared" ca="1" si="87"/>
        <v>176421.84709296201</v>
      </c>
      <c r="M259" s="139">
        <f t="shared" ca="1" si="88"/>
        <v>2136633.4403005484</v>
      </c>
      <c r="N259" s="77">
        <f t="shared" ca="1" si="89"/>
        <v>6.8316720150274055E-2</v>
      </c>
      <c r="O259" s="137">
        <f t="shared" ca="1" si="90"/>
        <v>136633.4403005481</v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>
        <f t="shared" ca="1" si="78"/>
        <v>2000000</v>
      </c>
      <c r="D260" s="139">
        <f t="shared" ca="1" si="79"/>
        <v>1953899.9665056134</v>
      </c>
      <c r="E260" s="77">
        <f t="shared" ca="1" si="80"/>
        <v>-2.3050016747193276E-2</v>
      </c>
      <c r="F260" s="137">
        <f t="shared" ca="1" si="81"/>
        <v>-46100.033494386545</v>
      </c>
      <c r="G260" s="139">
        <f t="shared" ca="1" si="82"/>
        <v>1917723.2365163292</v>
      </c>
      <c r="H260" s="77">
        <f t="shared" ca="1" si="83"/>
        <v>-4.1138381741835317E-2</v>
      </c>
      <c r="I260" s="137">
        <f t="shared" ca="1" si="84"/>
        <v>-82276.763483670642</v>
      </c>
      <c r="J260" s="139">
        <f t="shared" ca="1" si="85"/>
        <v>1901941.7693825117</v>
      </c>
      <c r="K260" s="77">
        <f t="shared" ca="1" si="86"/>
        <v>-4.9029115308744112E-2</v>
      </c>
      <c r="L260" s="137">
        <f t="shared" ca="1" si="87"/>
        <v>-98058.23061748824</v>
      </c>
      <c r="M260" s="139">
        <f t="shared" ca="1" si="88"/>
        <v>1893510.0852790864</v>
      </c>
      <c r="N260" s="77">
        <f t="shared" ca="1" si="89"/>
        <v>-5.3244957360456889E-2</v>
      </c>
      <c r="O260" s="137">
        <f t="shared" ca="1" si="90"/>
        <v>-106489.9147209138</v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>
        <f t="shared" ca="1" si="78"/>
        <v>2000000</v>
      </c>
      <c r="D261" s="139">
        <f t="shared" ca="1" si="79"/>
        <v>1533834.3374388684</v>
      </c>
      <c r="E261" s="77">
        <f t="shared" ca="1" si="80"/>
        <v>-0.23308283128056581</v>
      </c>
      <c r="F261" s="137">
        <f t="shared" ca="1" si="81"/>
        <v>-466165.6625611317</v>
      </c>
      <c r="G261" s="139">
        <f t="shared" ca="1" si="82"/>
        <v>1515536.9164415728</v>
      </c>
      <c r="H261" s="77">
        <f t="shared" ca="1" si="83"/>
        <v>-0.24223154177921352</v>
      </c>
      <c r="I261" s="137">
        <f t="shared" ca="1" si="84"/>
        <v>-484463.08355842717</v>
      </c>
      <c r="J261" s="139">
        <f t="shared" ca="1" si="85"/>
        <v>1506863.295451863</v>
      </c>
      <c r="K261" s="77">
        <f t="shared" ca="1" si="86"/>
        <v>-0.24656835227406854</v>
      </c>
      <c r="L261" s="137">
        <f t="shared" ca="1" si="87"/>
        <v>-493136.70454813703</v>
      </c>
      <c r="M261" s="139">
        <f t="shared" ca="1" si="88"/>
        <v>1519660.7900452686</v>
      </c>
      <c r="N261" s="77">
        <f t="shared" ca="1" si="89"/>
        <v>-0.2401696049773657</v>
      </c>
      <c r="O261" s="137">
        <f t="shared" ca="1" si="90"/>
        <v>-480339.2099547314</v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>
        <f t="shared" ca="1" si="78"/>
        <v>2000000</v>
      </c>
      <c r="D262" s="139">
        <f t="shared" ca="1" si="79"/>
        <v>2000000</v>
      </c>
      <c r="E262" s="77">
        <f t="shared" ca="1" si="80"/>
        <v>0</v>
      </c>
      <c r="F262" s="137">
        <f t="shared" ca="1" si="81"/>
        <v>0</v>
      </c>
      <c r="G262" s="139">
        <f t="shared" ca="1" si="82"/>
        <v>2000000</v>
      </c>
      <c r="H262" s="77">
        <f t="shared" ca="1" si="83"/>
        <v>0</v>
      </c>
      <c r="I262" s="137">
        <f t="shared" ca="1" si="84"/>
        <v>0</v>
      </c>
      <c r="J262" s="139">
        <f t="shared" ca="1" si="85"/>
        <v>2000000</v>
      </c>
      <c r="K262" s="77">
        <f t="shared" ca="1" si="86"/>
        <v>0</v>
      </c>
      <c r="L262" s="137">
        <f t="shared" ca="1" si="87"/>
        <v>0</v>
      </c>
      <c r="M262" s="139">
        <f t="shared" ca="1" si="88"/>
        <v>2000000</v>
      </c>
      <c r="N262" s="77">
        <f t="shared" ca="1" si="89"/>
        <v>0</v>
      </c>
      <c r="O262" s="137">
        <f t="shared" ca="1" si="90"/>
        <v>0</v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62" t="s">
        <v>313</v>
      </c>
      <c r="B281" s="264"/>
      <c r="C281" s="132" t="s">
        <v>308</v>
      </c>
      <c r="D281" s="150" t="s">
        <v>309</v>
      </c>
      <c r="E281" s="151" t="s">
        <v>310</v>
      </c>
      <c r="F281" s="152" t="s">
        <v>311</v>
      </c>
      <c r="G281" s="150" t="s">
        <v>309</v>
      </c>
      <c r="H281" s="151" t="s">
        <v>310</v>
      </c>
      <c r="I281" s="152" t="s">
        <v>311</v>
      </c>
      <c r="J281" s="150" t="s">
        <v>309</v>
      </c>
      <c r="K281" s="151" t="s">
        <v>310</v>
      </c>
      <c r="L281" s="152" t="s">
        <v>311</v>
      </c>
      <c r="M281" s="150" t="s">
        <v>309</v>
      </c>
      <c r="N281" s="151" t="s">
        <v>310</v>
      </c>
      <c r="O281" s="152" t="s">
        <v>311</v>
      </c>
    </row>
    <row r="282" spans="1:15" ht="16.5" customHeight="1" thickBot="1">
      <c r="A282" s="255"/>
      <c r="B282" s="257"/>
      <c r="C282" s="136">
        <f ca="1">SUM(C250:C280)</f>
        <v>26000000</v>
      </c>
      <c r="D282" s="140">
        <f ca="1">SUM(D250:D280)</f>
        <v>25620738.153694876</v>
      </c>
      <c r="E282" s="79">
        <f ca="1">IFERROR(F282 / (SUM($C250:$C280) / COUNT($C250:$C280)), 0)</f>
        <v>-0.18963092315256233</v>
      </c>
      <c r="F282" s="138">
        <f ca="1">SUM(F250:F280)</f>
        <v>-379261.84630512464</v>
      </c>
      <c r="G282" s="140">
        <f ca="1">SUM(G250:G280)</f>
        <v>25554319.687863827</v>
      </c>
      <c r="H282" s="79">
        <f ca="1">IFERROR(I282 / (SUM($C250:$C280) / COUNT($C250:$C280)), 0)</f>
        <v>-0.22284015606808824</v>
      </c>
      <c r="I282" s="138">
        <f ca="1">SUM(I250:I280)</f>
        <v>-445680.31213617651</v>
      </c>
      <c r="J282" s="140">
        <f ca="1">SUM(J250:J280)</f>
        <v>25456302.674034867</v>
      </c>
      <c r="K282" s="79">
        <f ca="1">IFERROR(L282 / (SUM($C250:$C280) / COUNT($C250:$C280)), 0)</f>
        <v>-0.27184866298256499</v>
      </c>
      <c r="L282" s="138">
        <f ca="1">SUM(L250:L280)</f>
        <v>-543697.32596513</v>
      </c>
      <c r="M282" s="140">
        <f ca="1">SUM(M250:M280)</f>
        <v>25382500.374737561</v>
      </c>
      <c r="N282" s="79">
        <f ca="1">IFERROR(O282 / (SUM($C250:$C280) / COUNT($C250:$C280)), 0)</f>
        <v>-0.30874981263122009</v>
      </c>
      <c r="O282" s="138">
        <f ca="1">SUM(O250:O280)</f>
        <v>-617499.62526244018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2577" priority="323">
      <formula>$E$54 &gt; 0</formula>
    </cfRule>
    <cfRule type="expression" dxfId="2576" priority="324">
      <formula>$E$54 = 0</formula>
    </cfRule>
    <cfRule type="expression" dxfId="2575" priority="325">
      <formula>$E$54 &lt; 0</formula>
    </cfRule>
  </conditionalFormatting>
  <conditionalFormatting sqref="G20:I21 H54:I54">
    <cfRule type="expression" dxfId="2574" priority="320">
      <formula>$H$54 &gt; 0</formula>
    </cfRule>
    <cfRule type="expression" dxfId="2573" priority="321">
      <formula>$H$54 = 0</formula>
    </cfRule>
    <cfRule type="expression" dxfId="2572" priority="322">
      <formula>$H$54 &lt; 0</formula>
    </cfRule>
  </conditionalFormatting>
  <conditionalFormatting sqref="J20:L21 K54:L54">
    <cfRule type="expression" dxfId="2571" priority="317">
      <formula>$K$54 &gt; 0</formula>
    </cfRule>
    <cfRule type="expression" dxfId="2570" priority="318">
      <formula>$K$54 = 0</formula>
    </cfRule>
    <cfRule type="expression" dxfId="2569" priority="319">
      <formula>$K$54 &lt; 0</formula>
    </cfRule>
  </conditionalFormatting>
  <conditionalFormatting sqref="M20:O21 N54:O54">
    <cfRule type="expression" dxfId="2568" priority="314">
      <formula>$N$54 &gt; 0</formula>
    </cfRule>
    <cfRule type="expression" dxfId="2567" priority="315">
      <formula>$N$54 = 0</formula>
    </cfRule>
    <cfRule type="expression" dxfId="2566" priority="316">
      <formula>$N$54 &lt; 0</formula>
    </cfRule>
  </conditionalFormatting>
  <conditionalFormatting sqref="D22:F52">
    <cfRule type="expression" dxfId="2565" priority="299">
      <formula>AND($E22 &gt; 0, ISNUMBER($E22))</formula>
    </cfRule>
    <cfRule type="expression" dxfId="2564" priority="300">
      <formula>AND($E22 = 0, ISNUMBER($E22))</formula>
    </cfRule>
    <cfRule type="expression" dxfId="2563" priority="301">
      <formula>AND($E22 &lt; 0, ISNUMBER($E22))</formula>
    </cfRule>
  </conditionalFormatting>
  <conditionalFormatting sqref="G22:I52">
    <cfRule type="expression" dxfId="2562" priority="296">
      <formula>AND($H22 &gt; 0, ISNUMBER($H22))</formula>
    </cfRule>
    <cfRule type="expression" dxfId="2561" priority="297">
      <formula>AND($H22 = 0, ISNUMBER($H22))</formula>
    </cfRule>
    <cfRule type="expression" dxfId="2560" priority="298">
      <formula>AND($H22 &lt; 0, ISNUMBER($H22))</formula>
    </cfRule>
  </conditionalFormatting>
  <conditionalFormatting sqref="J22:L52">
    <cfRule type="expression" dxfId="2559" priority="293">
      <formula>AND($K22 &gt; 0, ISNUMBER($K22))</formula>
    </cfRule>
    <cfRule type="expression" dxfId="2558" priority="294">
      <formula>AND($K22 = 0, ISNUMBER($K22))</formula>
    </cfRule>
    <cfRule type="expression" dxfId="2557" priority="295">
      <formula>AND($K22 &lt; 0, ISNUMBER($K22))</formula>
    </cfRule>
  </conditionalFormatting>
  <conditionalFormatting sqref="M22:O52">
    <cfRule type="expression" dxfId="2556" priority="290">
      <formula>AND($N22 &gt; 0, ISNUMBER($N22))</formula>
    </cfRule>
    <cfRule type="expression" dxfId="2555" priority="291">
      <formula>AND($N22 = 0, ISNUMBER($N22))</formula>
    </cfRule>
    <cfRule type="expression" dxfId="2554" priority="292">
      <formula>AND($N22 &lt; 0, ISNUMBER($N22))</formula>
    </cfRule>
  </conditionalFormatting>
  <conditionalFormatting sqref="D58:F59 E92:F92">
    <cfRule type="expression" dxfId="2553" priority="287">
      <formula>$E$92 &gt; 0</formula>
    </cfRule>
    <cfRule type="expression" dxfId="2552" priority="288">
      <formula>$E$92 = 0</formula>
    </cfRule>
    <cfRule type="expression" dxfId="2551" priority="289">
      <formula>$E$92 &lt; 0</formula>
    </cfRule>
  </conditionalFormatting>
  <conditionalFormatting sqref="G58:I59 H92:I92">
    <cfRule type="expression" dxfId="2550" priority="284">
      <formula>$H$92 &gt; 0</formula>
    </cfRule>
    <cfRule type="expression" dxfId="2549" priority="285">
      <formula>$H$92 = 0</formula>
    </cfRule>
    <cfRule type="expression" dxfId="2548" priority="286">
      <formula>$H$92 &lt; 0</formula>
    </cfRule>
  </conditionalFormatting>
  <conditionalFormatting sqref="J58:L59 K92:L92">
    <cfRule type="expression" dxfId="2547" priority="281">
      <formula>$K$92 &gt; 0</formula>
    </cfRule>
    <cfRule type="expression" dxfId="2546" priority="282">
      <formula>$K$92 = 0</formula>
    </cfRule>
    <cfRule type="expression" dxfId="2545" priority="283">
      <formula>$K$92 &lt; 0</formula>
    </cfRule>
  </conditionalFormatting>
  <conditionalFormatting sqref="M58:O59 N92:O92">
    <cfRule type="expression" dxfId="2544" priority="278">
      <formula>$N$92 &gt; 0</formula>
    </cfRule>
    <cfRule type="expression" dxfId="2543" priority="279">
      <formula>$N$92 = 0</formula>
    </cfRule>
    <cfRule type="expression" dxfId="2542" priority="280">
      <formula>$N$92 &lt; 0</formula>
    </cfRule>
  </conditionalFormatting>
  <conditionalFormatting sqref="D60:F90">
    <cfRule type="expression" dxfId="2541" priority="275">
      <formula>AND($E60 &gt; 0, ISNUMBER($E60))</formula>
    </cfRule>
    <cfRule type="expression" dxfId="2540" priority="276">
      <formula>AND($E60 = 0, ISNUMBER($E60))</formula>
    </cfRule>
    <cfRule type="expression" dxfId="2539" priority="277">
      <formula>AND($E60 &lt; 0, ISNUMBER($E60))</formula>
    </cfRule>
  </conditionalFormatting>
  <conditionalFormatting sqref="G60:I90">
    <cfRule type="expression" dxfId="2538" priority="272">
      <formula>AND($H60 &gt; 0, ISNUMBER($H60))</formula>
    </cfRule>
    <cfRule type="expression" dxfId="2537" priority="273">
      <formula>AND($H60 = 0, ISNUMBER($H60))</formula>
    </cfRule>
    <cfRule type="expression" dxfId="2536" priority="274">
      <formula>AND($H60 &lt; 0, ISNUMBER($H60))</formula>
    </cfRule>
  </conditionalFormatting>
  <conditionalFormatting sqref="J60:L90">
    <cfRule type="expression" dxfId="2535" priority="269">
      <formula>AND($K60 &gt; 0, ISNUMBER($K60))</formula>
    </cfRule>
    <cfRule type="expression" dxfId="2534" priority="270">
      <formula>AND($K60 = 0, ISNUMBER($K60))</formula>
    </cfRule>
    <cfRule type="expression" dxfId="2533" priority="271">
      <formula>AND($K60 &lt; 0, ISNUMBER($K60))</formula>
    </cfRule>
  </conditionalFormatting>
  <conditionalFormatting sqref="M60:O90">
    <cfRule type="expression" dxfId="2532" priority="266">
      <formula>AND($N60 &gt; 0, ISNUMBER($N60))</formula>
    </cfRule>
    <cfRule type="expression" dxfId="2531" priority="267">
      <formula>AND($N60 = 0, ISNUMBER($N60))</formula>
    </cfRule>
    <cfRule type="expression" dxfId="2530" priority="268">
      <formula>AND($N60 &lt; 0, ISNUMBER($N60))</formula>
    </cfRule>
  </conditionalFormatting>
  <conditionalFormatting sqref="D96:F97 E130:F130">
    <cfRule type="expression" dxfId="2529" priority="263">
      <formula>$E$130 &gt; 0</formula>
    </cfRule>
    <cfRule type="expression" dxfId="2528" priority="264">
      <formula>$E$130 = 0</formula>
    </cfRule>
    <cfRule type="expression" dxfId="2527" priority="265">
      <formula>$E$130 &lt; 0</formula>
    </cfRule>
  </conditionalFormatting>
  <conditionalFormatting sqref="G96:I97 H130:I130">
    <cfRule type="expression" dxfId="2526" priority="260">
      <formula>$H$130 &gt; 0</formula>
    </cfRule>
    <cfRule type="expression" dxfId="2525" priority="261">
      <formula>$H$130 = 0</formula>
    </cfRule>
    <cfRule type="expression" dxfId="2524" priority="262">
      <formula>$H$130 &lt; 0</formula>
    </cfRule>
  </conditionalFormatting>
  <conditionalFormatting sqref="J96:L97 K130:L130">
    <cfRule type="expression" dxfId="2523" priority="257">
      <formula>$K$130 &gt; 0</formula>
    </cfRule>
    <cfRule type="expression" dxfId="2522" priority="258">
      <formula>$K$130 = 0</formula>
    </cfRule>
    <cfRule type="expression" dxfId="2521" priority="259">
      <formula>$K$130 &lt; 0</formula>
    </cfRule>
  </conditionalFormatting>
  <conditionalFormatting sqref="M96:O97 N130:O130">
    <cfRule type="expression" dxfId="2520" priority="254">
      <formula>$N$130 &gt; 0</formula>
    </cfRule>
    <cfRule type="expression" dxfId="2519" priority="255">
      <formula>$N$130 = 0</formula>
    </cfRule>
    <cfRule type="expression" dxfId="2518" priority="256">
      <formula>$N$130 &lt; 0</formula>
    </cfRule>
  </conditionalFormatting>
  <conditionalFormatting sqref="D98:F128">
    <cfRule type="expression" dxfId="2517" priority="251">
      <formula>AND($E98 &gt; 0, ISNUMBER($E98))</formula>
    </cfRule>
    <cfRule type="expression" dxfId="2516" priority="252">
      <formula>AND($E98 = 0, ISNUMBER($E98))</formula>
    </cfRule>
    <cfRule type="expression" dxfId="2515" priority="253">
      <formula>AND($E98 &lt; 0, ISNUMBER($E98))</formula>
    </cfRule>
  </conditionalFormatting>
  <conditionalFormatting sqref="G98:I128">
    <cfRule type="expression" dxfId="2514" priority="248">
      <formula>AND($H98 &gt; 0, ISNUMBER($H98))</formula>
    </cfRule>
    <cfRule type="expression" dxfId="2513" priority="249">
      <formula>AND($H98 = 0, ISNUMBER($H98))</formula>
    </cfRule>
    <cfRule type="expression" dxfId="2512" priority="250">
      <formula>AND($H98 &lt; 0, ISNUMBER($H98))</formula>
    </cfRule>
  </conditionalFormatting>
  <conditionalFormatting sqref="J98:L128">
    <cfRule type="expression" dxfId="2511" priority="245">
      <formula>AND($K98 &gt; 0, ISNUMBER($K98))</formula>
    </cfRule>
    <cfRule type="expression" dxfId="2510" priority="246">
      <formula>AND($K98 = 0, ISNUMBER($K98))</formula>
    </cfRule>
    <cfRule type="expression" dxfId="2509" priority="247">
      <formula>AND($K98 &lt; 0, ISNUMBER($K98))</formula>
    </cfRule>
  </conditionalFormatting>
  <conditionalFormatting sqref="M98:O128">
    <cfRule type="expression" dxfId="2508" priority="242">
      <formula>AND($N98 &gt; 0, ISNUMBER($N98))</formula>
    </cfRule>
    <cfRule type="expression" dxfId="2507" priority="243">
      <formula>AND($N98 = 0, ISNUMBER($N98))</formula>
    </cfRule>
    <cfRule type="expression" dxfId="2506" priority="244">
      <formula>AND($N98 &lt; 0, ISNUMBER($N98))</formula>
    </cfRule>
  </conditionalFormatting>
  <conditionalFormatting sqref="D134:F135 E168:F168">
    <cfRule type="expression" dxfId="2505" priority="239">
      <formula>$E$168 &gt; 0</formula>
    </cfRule>
    <cfRule type="expression" dxfId="2504" priority="240">
      <formula>$E$168 = 0</formula>
    </cfRule>
    <cfRule type="expression" dxfId="2503" priority="241">
      <formula>$E$168 &lt; 0</formula>
    </cfRule>
  </conditionalFormatting>
  <conditionalFormatting sqref="G134:I135 H168:I168">
    <cfRule type="expression" dxfId="2502" priority="236">
      <formula>$H$168 &gt; 0</formula>
    </cfRule>
    <cfRule type="expression" dxfId="2501" priority="237">
      <formula>$H$168 = 0</formula>
    </cfRule>
    <cfRule type="expression" dxfId="2500" priority="238">
      <formula>$H$168 &lt; 0</formula>
    </cfRule>
  </conditionalFormatting>
  <conditionalFormatting sqref="J134:L135 K168:L168">
    <cfRule type="expression" dxfId="2499" priority="233">
      <formula>$K$168 &gt; 0</formula>
    </cfRule>
    <cfRule type="expression" dxfId="2498" priority="234">
      <formula>$K$168 = 0</formula>
    </cfRule>
    <cfRule type="expression" dxfId="2497" priority="235">
      <formula>$K$168 &lt; 0</formula>
    </cfRule>
  </conditionalFormatting>
  <conditionalFormatting sqref="M134:O135 N168:O168">
    <cfRule type="expression" dxfId="2496" priority="230">
      <formula>$N$168 &gt; 0</formula>
    </cfRule>
    <cfRule type="expression" dxfId="2495" priority="231">
      <formula>$N$168 = 0</formula>
    </cfRule>
    <cfRule type="expression" dxfId="2494" priority="232">
      <formula>$N$168 &lt; 0</formula>
    </cfRule>
  </conditionalFormatting>
  <conditionalFormatting sqref="D136:F166">
    <cfRule type="expression" dxfId="2493" priority="227">
      <formula>AND($E136 &gt; 0, ISNUMBER($E136))</formula>
    </cfRule>
    <cfRule type="expression" dxfId="2492" priority="228">
      <formula>AND($E136 = 0, ISNUMBER($E136))</formula>
    </cfRule>
    <cfRule type="expression" dxfId="2491" priority="229">
      <formula>AND($E136 &lt; 0, ISNUMBER($E136))</formula>
    </cfRule>
  </conditionalFormatting>
  <conditionalFormatting sqref="G136:I166">
    <cfRule type="expression" dxfId="2490" priority="224">
      <formula>AND($H136 &gt; 0, ISNUMBER($H136))</formula>
    </cfRule>
    <cfRule type="expression" dxfId="2489" priority="225">
      <formula>AND($H136 = 0, ISNUMBER($H136))</formula>
    </cfRule>
    <cfRule type="expression" dxfId="2488" priority="226">
      <formula>AND($H136 &lt; 0, ISNUMBER($H136))</formula>
    </cfRule>
  </conditionalFormatting>
  <conditionalFormatting sqref="J136:L166">
    <cfRule type="expression" dxfId="2487" priority="221">
      <formula>AND($K136 &gt; 0, ISNUMBER($K136))</formula>
    </cfRule>
    <cfRule type="expression" dxfId="2486" priority="222">
      <formula>AND($K136 = 0, ISNUMBER($K136))</formula>
    </cfRule>
    <cfRule type="expression" dxfId="2485" priority="223">
      <formula>AND($K136 &lt; 0, ISNUMBER($K136))</formula>
    </cfRule>
  </conditionalFormatting>
  <conditionalFormatting sqref="M136:O166">
    <cfRule type="expression" dxfId="2484" priority="218">
      <formula>AND($N136 &gt; 0, ISNUMBER($N136))</formula>
    </cfRule>
    <cfRule type="expression" dxfId="2483" priority="219">
      <formula>AND($N136 = 0, ISNUMBER($N136))</formula>
    </cfRule>
    <cfRule type="expression" dxfId="2482" priority="220">
      <formula>AND($N136 &lt; 0, ISNUMBER($N136))</formula>
    </cfRule>
  </conditionalFormatting>
  <conditionalFormatting sqref="D172:F173 E206:F206">
    <cfRule type="expression" dxfId="2481" priority="215">
      <formula>$E$206 &gt; 0</formula>
    </cfRule>
    <cfRule type="expression" dxfId="2480" priority="216">
      <formula>$E$206 = 0</formula>
    </cfRule>
    <cfRule type="expression" dxfId="2479" priority="217">
      <formula>$E$206 &lt; 0</formula>
    </cfRule>
  </conditionalFormatting>
  <conditionalFormatting sqref="G172:I173 H206:I206">
    <cfRule type="expression" dxfId="2478" priority="212">
      <formula>$H$206 &gt; 0</formula>
    </cfRule>
    <cfRule type="expression" dxfId="2477" priority="213">
      <formula>$H$206 = 0</formula>
    </cfRule>
    <cfRule type="expression" dxfId="2476" priority="214">
      <formula>$H$206 &lt; 0</formula>
    </cfRule>
  </conditionalFormatting>
  <conditionalFormatting sqref="J172:L173 K206:L206">
    <cfRule type="expression" dxfId="2475" priority="209">
      <formula>$K$206 &gt; 0</formula>
    </cfRule>
    <cfRule type="expression" dxfId="2474" priority="210">
      <formula>$K$206 = 0</formula>
    </cfRule>
    <cfRule type="expression" dxfId="2473" priority="211">
      <formula>$K$206 &lt; 0</formula>
    </cfRule>
  </conditionalFormatting>
  <conditionalFormatting sqref="M172:O173 N206:O206">
    <cfRule type="expression" dxfId="2472" priority="206">
      <formula>$N$206 &gt; 0</formula>
    </cfRule>
    <cfRule type="expression" dxfId="2471" priority="207">
      <formula>$N$206 = 0</formula>
    </cfRule>
    <cfRule type="expression" dxfId="2470" priority="208">
      <formula>$N$206 &lt; 0</formula>
    </cfRule>
  </conditionalFormatting>
  <conditionalFormatting sqref="D174:F204">
    <cfRule type="expression" dxfId="2469" priority="203">
      <formula>AND($E174 &gt; 0, ISNUMBER($E174))</formula>
    </cfRule>
    <cfRule type="expression" dxfId="2468" priority="204">
      <formula>AND($E174 = 0, ISNUMBER($E174))</formula>
    </cfRule>
    <cfRule type="expression" dxfId="2467" priority="205">
      <formula>AND($E174 &lt; 0, ISNUMBER($E174))</formula>
    </cfRule>
  </conditionalFormatting>
  <conditionalFormatting sqref="G174:I204">
    <cfRule type="expression" dxfId="2466" priority="200">
      <formula>AND($H174 &gt; 0, ISNUMBER($H174))</formula>
    </cfRule>
    <cfRule type="expression" dxfId="2465" priority="201">
      <formula>AND($H174 = 0, ISNUMBER($H174))</formula>
    </cfRule>
    <cfRule type="expression" dxfId="2464" priority="202">
      <formula>AND($H174 &lt; 0, ISNUMBER($H174))</formula>
    </cfRule>
  </conditionalFormatting>
  <conditionalFormatting sqref="J174:L204">
    <cfRule type="expression" dxfId="2463" priority="197">
      <formula>AND($K174 &gt; 0, ISNUMBER($K174))</formula>
    </cfRule>
    <cfRule type="expression" dxfId="2462" priority="198">
      <formula>AND($K174 = 0, ISNUMBER($K174))</formula>
    </cfRule>
    <cfRule type="expression" dxfId="2461" priority="199">
      <formula>AND($K174 &lt; 0, ISNUMBER($K174))</formula>
    </cfRule>
  </conditionalFormatting>
  <conditionalFormatting sqref="M174:O204">
    <cfRule type="expression" dxfId="2460" priority="194">
      <formula>AND($N174 &gt; 0, ISNUMBER($N174))</formula>
    </cfRule>
    <cfRule type="expression" dxfId="2459" priority="195">
      <formula>AND($N174 = 0, ISNUMBER($N174))</formula>
    </cfRule>
    <cfRule type="expression" dxfId="2458" priority="196">
      <formula>AND($N174 &lt; 0, ISNUMBER($N174))</formula>
    </cfRule>
  </conditionalFormatting>
  <conditionalFormatting sqref="D210:F211 E244:F244">
    <cfRule type="expression" dxfId="2457" priority="191">
      <formula>$E$244 &gt; 0</formula>
    </cfRule>
    <cfRule type="expression" dxfId="2456" priority="192">
      <formula>$E$244 = 0</formula>
    </cfRule>
    <cfRule type="expression" dxfId="2455" priority="193">
      <formula>$E$244 &lt; 0</formula>
    </cfRule>
  </conditionalFormatting>
  <conditionalFormatting sqref="G210:I211 H244:I244">
    <cfRule type="expression" dxfId="2454" priority="188">
      <formula>$H$244 &gt; 0</formula>
    </cfRule>
    <cfRule type="expression" dxfId="2453" priority="189">
      <formula>$H$244 = 0</formula>
    </cfRule>
    <cfRule type="expression" dxfId="2452" priority="190">
      <formula>$H$244 &lt; 0</formula>
    </cfRule>
  </conditionalFormatting>
  <conditionalFormatting sqref="J210:L211 K244:L244">
    <cfRule type="expression" dxfId="2451" priority="185">
      <formula>$K$244 &gt; 0</formula>
    </cfRule>
    <cfRule type="expression" dxfId="2450" priority="186">
      <formula>$K$244 = 0</formula>
    </cfRule>
    <cfRule type="expression" dxfId="2449" priority="187">
      <formula>$K$244 &lt; 0</formula>
    </cfRule>
  </conditionalFormatting>
  <conditionalFormatting sqref="M210:O211 N244:O244">
    <cfRule type="expression" dxfId="2448" priority="182">
      <formula>$N$244 &gt; 0</formula>
    </cfRule>
    <cfRule type="expression" dxfId="2447" priority="183">
      <formula>$N$244 = 0</formula>
    </cfRule>
    <cfRule type="expression" dxfId="2446" priority="184">
      <formula>$N$244 &lt; 0</formula>
    </cfRule>
  </conditionalFormatting>
  <conditionalFormatting sqref="D212:F242">
    <cfRule type="expression" dxfId="2445" priority="179">
      <formula>AND($E212 &gt; 0, ISNUMBER($E212))</formula>
    </cfRule>
    <cfRule type="expression" dxfId="2444" priority="180">
      <formula>AND($E212 = 0, ISNUMBER($E212))</formula>
    </cfRule>
    <cfRule type="expression" dxfId="2443" priority="181">
      <formula>AND($E212 &lt; 0, ISNUMBER($E212))</formula>
    </cfRule>
  </conditionalFormatting>
  <conditionalFormatting sqref="G212:I242">
    <cfRule type="expression" dxfId="2442" priority="176">
      <formula>AND($H212 &gt; 0, ISNUMBER($H212))</formula>
    </cfRule>
    <cfRule type="expression" dxfId="2441" priority="177">
      <formula>AND($H212 = 0, ISNUMBER($H212))</formula>
    </cfRule>
    <cfRule type="expression" dxfId="2440" priority="178">
      <formula>AND($H212 &lt; 0, ISNUMBER($H212))</formula>
    </cfRule>
  </conditionalFormatting>
  <conditionalFormatting sqref="J212:L242">
    <cfRule type="expression" dxfId="2439" priority="173">
      <formula>AND($K212 &gt; 0, ISNUMBER($K212))</formula>
    </cfRule>
    <cfRule type="expression" dxfId="2438" priority="174">
      <formula>AND($K212 = 0, ISNUMBER($K212))</formula>
    </cfRule>
    <cfRule type="expression" dxfId="2437" priority="175">
      <formula>AND($K212 &lt; 0, ISNUMBER($K212))</formula>
    </cfRule>
  </conditionalFormatting>
  <conditionalFormatting sqref="M212:O242">
    <cfRule type="expression" dxfId="2436" priority="170">
      <formula>AND($N212 &gt; 0, ISNUMBER($N212))</formula>
    </cfRule>
    <cfRule type="expression" dxfId="2435" priority="171">
      <formula>AND($N212 = 0, ISNUMBER($N212))</formula>
    </cfRule>
    <cfRule type="expression" dxfId="2434" priority="172">
      <formula>AND($N212 &lt; 0, ISNUMBER($N212))</formula>
    </cfRule>
  </conditionalFormatting>
  <conditionalFormatting sqref="D248:F249 E282:F282">
    <cfRule type="expression" dxfId="2433" priority="167">
      <formula>$E$282 &gt; 0</formula>
    </cfRule>
    <cfRule type="expression" dxfId="2432" priority="168">
      <formula>$E$282 = 0</formula>
    </cfRule>
    <cfRule type="expression" dxfId="2431" priority="169">
      <formula>$E$282 &lt; 0</formula>
    </cfRule>
  </conditionalFormatting>
  <conditionalFormatting sqref="G248:I249 H282:I282">
    <cfRule type="expression" dxfId="2430" priority="164">
      <formula>$H$282 &gt; 0</formula>
    </cfRule>
    <cfRule type="expression" dxfId="2429" priority="165">
      <formula>$H$282 = 0</formula>
    </cfRule>
    <cfRule type="expression" dxfId="2428" priority="166">
      <formula>$H$282 &lt; 0</formula>
    </cfRule>
  </conditionalFormatting>
  <conditionalFormatting sqref="J248:L249 K282:L282">
    <cfRule type="expression" dxfId="2427" priority="161">
      <formula>$K$282 &gt; 0</formula>
    </cfRule>
    <cfRule type="expression" dxfId="2426" priority="162">
      <formula>$K$282 = 0</formula>
    </cfRule>
    <cfRule type="expression" dxfId="2425" priority="163">
      <formula>$K$282 &lt; 0</formula>
    </cfRule>
  </conditionalFormatting>
  <conditionalFormatting sqref="M248:O249 N282:O282">
    <cfRule type="expression" dxfId="2424" priority="158">
      <formula>$N$282 &gt; 0</formula>
    </cfRule>
    <cfRule type="expression" dxfId="2423" priority="159">
      <formula>$N$282 = 0</formula>
    </cfRule>
    <cfRule type="expression" dxfId="2422" priority="160">
      <formula>$N$282 &lt; 0</formula>
    </cfRule>
  </conditionalFormatting>
  <conditionalFormatting sqref="D250:F280">
    <cfRule type="expression" dxfId="2421" priority="155">
      <formula>AND($E250 &gt; 0, ISNUMBER($E250))</formula>
    </cfRule>
    <cfRule type="expression" dxfId="2420" priority="156">
      <formula>AND($E250 = 0, ISNUMBER($E250))</formula>
    </cfRule>
    <cfRule type="expression" dxfId="2419" priority="157">
      <formula>AND($E250 &lt; 0, ISNUMBER($E250))</formula>
    </cfRule>
  </conditionalFormatting>
  <conditionalFormatting sqref="G250:I280">
    <cfRule type="expression" dxfId="2418" priority="152">
      <formula>AND($H250 &gt; 0, ISNUMBER($H250))</formula>
    </cfRule>
    <cfRule type="expression" dxfId="2417" priority="153">
      <formula>AND($H250 = 0, ISNUMBER($H250))</formula>
    </cfRule>
    <cfRule type="expression" dxfId="2416" priority="154">
      <formula>AND($H250 &lt; 0, ISNUMBER($H250))</formula>
    </cfRule>
  </conditionalFormatting>
  <conditionalFormatting sqref="J250:L280">
    <cfRule type="expression" dxfId="2415" priority="149">
      <formula>AND($K250 &gt; 0, ISNUMBER($K250))</formula>
    </cfRule>
    <cfRule type="expression" dxfId="2414" priority="150">
      <formula>AND($K250 = 0, ISNUMBER($K250))</formula>
    </cfRule>
    <cfRule type="expression" dxfId="2413" priority="151">
      <formula>AND($K250 &lt; 0, ISNUMBER($K250))</formula>
    </cfRule>
  </conditionalFormatting>
  <conditionalFormatting sqref="M250:O280">
    <cfRule type="expression" dxfId="2412" priority="146">
      <formula>AND($N250 &gt; 0, ISNUMBER($N250))</formula>
    </cfRule>
    <cfRule type="expression" dxfId="2411" priority="147">
      <formula>AND($N250 = 0, ISNUMBER($N250))</formula>
    </cfRule>
    <cfRule type="expression" dxfId="2410" priority="148">
      <formula>AND($N250 &lt; 0, ISNUMBER($N250))</formula>
    </cfRule>
  </conditionalFormatting>
  <conditionalFormatting sqref="D5:F6">
    <cfRule type="expression" dxfId="2409" priority="143">
      <formula>$F$130 &gt; 0</formula>
    </cfRule>
    <cfRule type="expression" dxfId="2408" priority="144">
      <formula>$F$130 = 0</formula>
    </cfRule>
    <cfRule type="expression" dxfId="2407" priority="145">
      <formula>$F$130 &lt; 0</formula>
    </cfRule>
  </conditionalFormatting>
  <conditionalFormatting sqref="D7:F8">
    <cfRule type="expression" dxfId="2406" priority="140">
      <formula>$F$206 &gt; 0</formula>
    </cfRule>
    <cfRule type="expression" dxfId="2405" priority="141">
      <formula>$F$206 = 0</formula>
    </cfRule>
    <cfRule type="expression" dxfId="2404" priority="142">
      <formula>$F$206 &lt; 0</formula>
    </cfRule>
  </conditionalFormatting>
  <conditionalFormatting sqref="D9:F10">
    <cfRule type="expression" dxfId="2403" priority="137">
      <formula>$F$244 &gt; 0</formula>
    </cfRule>
    <cfRule type="expression" dxfId="2402" priority="138">
      <formula>$F$244 = 0</formula>
    </cfRule>
    <cfRule type="expression" dxfId="2401" priority="139">
      <formula>$F$244 &lt; 0</formula>
    </cfRule>
  </conditionalFormatting>
  <conditionalFormatting sqref="D11:F12">
    <cfRule type="expression" dxfId="2400" priority="134">
      <formula>$F$168 &gt; 0</formula>
    </cfRule>
    <cfRule type="expression" dxfId="2399" priority="135">
      <formula>$F$168 = 0</formula>
    </cfRule>
    <cfRule type="expression" dxfId="2398" priority="136">
      <formula>$F$168 &lt; 0</formula>
    </cfRule>
  </conditionalFormatting>
  <conditionalFormatting sqref="D13:F14">
    <cfRule type="expression" dxfId="2397" priority="92">
      <formula>$F$282 &gt; 0</formula>
    </cfRule>
    <cfRule type="expression" dxfId="2396" priority="93">
      <formula>$F$282 = 0</formula>
    </cfRule>
    <cfRule type="expression" dxfId="2395" priority="94">
      <formula>$F$282 &lt; 0</formula>
    </cfRule>
  </conditionalFormatting>
  <conditionalFormatting sqref="D15:F16">
    <cfRule type="expression" dxfId="2394" priority="77">
      <formula>$F$54 &gt; 0</formula>
    </cfRule>
    <cfRule type="expression" dxfId="2393" priority="78">
      <formula>$F$54 = 0</formula>
    </cfRule>
    <cfRule type="expression" dxfId="2392" priority="79">
      <formula>$F$54 &lt; 0</formula>
    </cfRule>
  </conditionalFormatting>
  <conditionalFormatting sqref="G5:I6">
    <cfRule type="expression" dxfId="2391" priority="65">
      <formula>$I$130 &gt; 0</formula>
    </cfRule>
    <cfRule type="expression" dxfId="2390" priority="66">
      <formula>$I$130 = 0</formula>
    </cfRule>
    <cfRule type="expression" dxfId="2389" priority="67">
      <formula>$I$130 &lt; 0</formula>
    </cfRule>
  </conditionalFormatting>
  <conditionalFormatting sqref="G7:I8">
    <cfRule type="expression" dxfId="2388" priority="62">
      <formula>$I$206 &gt; 0</formula>
    </cfRule>
    <cfRule type="expression" dxfId="2387" priority="63">
      <formula>$I$206 = 0</formula>
    </cfRule>
    <cfRule type="expression" dxfId="2386" priority="64">
      <formula>$I$206 &lt; 0</formula>
    </cfRule>
  </conditionalFormatting>
  <conditionalFormatting sqref="G9:I10">
    <cfRule type="expression" dxfId="2385" priority="59">
      <formula>$I$244 &gt; 0</formula>
    </cfRule>
    <cfRule type="expression" dxfId="2384" priority="60">
      <formula>$I$244 = 0</formula>
    </cfRule>
    <cfRule type="expression" dxfId="2383" priority="61">
      <formula>$I$244 &lt; 0</formula>
    </cfRule>
  </conditionalFormatting>
  <conditionalFormatting sqref="G11:I12">
    <cfRule type="expression" dxfId="2382" priority="56">
      <formula>$I$168 &gt; 0</formula>
    </cfRule>
    <cfRule type="expression" dxfId="2381" priority="57">
      <formula>$I$168 = 0</formula>
    </cfRule>
    <cfRule type="expression" dxfId="2380" priority="58">
      <formula>$I$168 &lt; 0</formula>
    </cfRule>
  </conditionalFormatting>
  <conditionalFormatting sqref="G13:I14">
    <cfRule type="expression" dxfId="2379" priority="53">
      <formula>$I$282 &gt; 0</formula>
    </cfRule>
    <cfRule type="expression" dxfId="2378" priority="54">
      <formula>$I$282 = 0</formula>
    </cfRule>
    <cfRule type="expression" dxfId="2377" priority="55">
      <formula>$I$282 &lt; 0</formula>
    </cfRule>
  </conditionalFormatting>
  <conditionalFormatting sqref="G15:I16">
    <cfRule type="expression" dxfId="2376" priority="50">
      <formula>$I$54 &gt; 0</formula>
    </cfRule>
    <cfRule type="expression" dxfId="2375" priority="51">
      <formula>$I$54 = 0</formula>
    </cfRule>
    <cfRule type="expression" dxfId="2374" priority="52">
      <formula>$I$54 &lt; 0</formula>
    </cfRule>
  </conditionalFormatting>
  <conditionalFormatting sqref="J5:L6">
    <cfRule type="expression" dxfId="2373" priority="47">
      <formula>$L$130 &gt; 0</formula>
    </cfRule>
    <cfRule type="expression" dxfId="2372" priority="48">
      <formula>$L$130 = 0</formula>
    </cfRule>
    <cfRule type="expression" dxfId="2371" priority="49">
      <formula>$L$130 &lt; 0</formula>
    </cfRule>
  </conditionalFormatting>
  <conditionalFormatting sqref="J7:L8">
    <cfRule type="expression" dxfId="2370" priority="44">
      <formula>$L$206 &gt; 0</formula>
    </cfRule>
    <cfRule type="expression" dxfId="2369" priority="45">
      <formula>$L$206 = 0</formula>
    </cfRule>
    <cfRule type="expression" dxfId="2368" priority="46">
      <formula>$L$206 &lt; 0</formula>
    </cfRule>
  </conditionalFormatting>
  <conditionalFormatting sqref="J9:L10">
    <cfRule type="expression" dxfId="2367" priority="41">
      <formula>$L$244 &gt; 0</formula>
    </cfRule>
    <cfRule type="expression" dxfId="2366" priority="42">
      <formula>$L$244 = 0</formula>
    </cfRule>
    <cfRule type="expression" dxfId="2365" priority="43">
      <formula>$L$244 &lt; 0</formula>
    </cfRule>
  </conditionalFormatting>
  <conditionalFormatting sqref="J11:L12">
    <cfRule type="expression" dxfId="2364" priority="38">
      <formula>$L$168 &gt; 0</formula>
    </cfRule>
    <cfRule type="expression" dxfId="2363" priority="39">
      <formula>$L$168 = 0</formula>
    </cfRule>
    <cfRule type="expression" dxfId="2362" priority="40">
      <formula>$L$168 &lt; 0</formula>
    </cfRule>
  </conditionalFormatting>
  <conditionalFormatting sqref="J13:L14">
    <cfRule type="expression" dxfId="2361" priority="35">
      <formula>$L$282 &gt; 0</formula>
    </cfRule>
    <cfRule type="expression" dxfId="2360" priority="36">
      <formula>$L$282 = 0</formula>
    </cfRule>
    <cfRule type="expression" dxfId="2359" priority="37">
      <formula>$L$282 &lt; 0</formula>
    </cfRule>
  </conditionalFormatting>
  <conditionalFormatting sqref="J15:L16">
    <cfRule type="expression" dxfId="2358" priority="32">
      <formula>$L$54 &gt; 0</formula>
    </cfRule>
    <cfRule type="expression" dxfId="2357" priority="33">
      <formula>$L$54 = 0</formula>
    </cfRule>
    <cfRule type="expression" dxfId="2356" priority="34">
      <formula>$L$54 &lt; 0</formula>
    </cfRule>
  </conditionalFormatting>
  <conditionalFormatting sqref="M5:O6">
    <cfRule type="expression" dxfId="2355" priority="29">
      <formula>$O$130 &gt; 0</formula>
    </cfRule>
    <cfRule type="expression" dxfId="2354" priority="30">
      <formula>$O$130 = 0</formula>
    </cfRule>
    <cfRule type="expression" dxfId="2353" priority="31">
      <formula>$O$130 &lt; 0</formula>
    </cfRule>
  </conditionalFormatting>
  <conditionalFormatting sqref="M7:O8">
    <cfRule type="expression" dxfId="2352" priority="26">
      <formula>$O$206 &gt; 0</formula>
    </cfRule>
    <cfRule type="expression" dxfId="2351" priority="27">
      <formula>$O$206 = 0</formula>
    </cfRule>
    <cfRule type="expression" dxfId="2350" priority="28">
      <formula>$O$206 &lt; 0</formula>
    </cfRule>
  </conditionalFormatting>
  <conditionalFormatting sqref="M9:O10">
    <cfRule type="expression" dxfId="2349" priority="23">
      <formula>$O$244 &gt; 0</formula>
    </cfRule>
    <cfRule type="expression" dxfId="2348" priority="24">
      <formula>$O$244 = 0</formula>
    </cfRule>
    <cfRule type="expression" dxfId="2347" priority="25">
      <formula>$O$244 &lt; 0</formula>
    </cfRule>
  </conditionalFormatting>
  <conditionalFormatting sqref="M11:O12">
    <cfRule type="expression" dxfId="2346" priority="20">
      <formula>$O$168 &gt; 0</formula>
    </cfRule>
    <cfRule type="expression" dxfId="2345" priority="21">
      <formula>$O$168 = 0</formula>
    </cfRule>
    <cfRule type="expression" dxfId="2344" priority="22">
      <formula>$O$168 &lt; 0</formula>
    </cfRule>
  </conditionalFormatting>
  <conditionalFormatting sqref="M13:O14">
    <cfRule type="expression" dxfId="2343" priority="17">
      <formula>$O$282 &gt; 0</formula>
    </cfRule>
    <cfRule type="expression" dxfId="2342" priority="18">
      <formula>$O$282 = 0</formula>
    </cfRule>
    <cfRule type="expression" dxfId="2341" priority="19">
      <formula>$O$282 &lt; 0</formula>
    </cfRule>
  </conditionalFormatting>
  <conditionalFormatting sqref="M15:O16">
    <cfRule type="expression" dxfId="2340" priority="14">
      <formula>$O$54 &gt; 0</formula>
    </cfRule>
    <cfRule type="expression" dxfId="2339" priority="15">
      <formula>$O$54 = 0</formula>
    </cfRule>
    <cfRule type="expression" dxfId="2338" priority="16">
      <formula>$O$54 &lt; 0</formula>
    </cfRule>
  </conditionalFormatting>
  <conditionalFormatting sqref="D3:F4">
    <cfRule type="expression" dxfId="2337" priority="13">
      <formula>$F$92 &lt; 0</formula>
    </cfRule>
    <cfRule type="expression" dxfId="2336" priority="12">
      <formula>$F$92 = 0</formula>
    </cfRule>
    <cfRule type="expression" dxfId="2335" priority="11">
      <formula>$F$92 &gt; 0</formula>
    </cfRule>
  </conditionalFormatting>
  <conditionalFormatting sqref="G3:I4">
    <cfRule type="expression" dxfId="2334" priority="10">
      <formula>$I$92 &lt; 0</formula>
    </cfRule>
    <cfRule type="expression" dxfId="2333" priority="9">
      <formula>$I$92 = 0</formula>
    </cfRule>
    <cfRule type="expression" dxfId="2332" priority="8">
      <formula>$I$92 &gt; 0</formula>
    </cfRule>
  </conditionalFormatting>
  <conditionalFormatting sqref="J3:L4">
    <cfRule type="expression" dxfId="2331" priority="5">
      <formula>$L$92 &gt; 0</formula>
    </cfRule>
    <cfRule type="expression" dxfId="2330" priority="6">
      <formula>$L$92 = 0</formula>
    </cfRule>
    <cfRule type="expression" dxfId="2329" priority="7">
      <formula>$L$92 &lt; 0</formula>
    </cfRule>
  </conditionalFormatting>
  <conditionalFormatting sqref="M3:O4">
    <cfRule type="expression" dxfId="2328" priority="2">
      <formula>$O$92 &gt; 0</formula>
    </cfRule>
    <cfRule type="expression" dxfId="2327" priority="3">
      <formula>$O$92 = 0</formula>
    </cfRule>
    <cfRule type="expression" dxfId="232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4" t="s">
        <v>0</v>
      </c>
      <c r="B1" s="235"/>
      <c r="C1" s="235"/>
      <c r="D1" s="235"/>
      <c r="E1" s="235"/>
      <c r="F1" s="236"/>
      <c r="G1" s="265">
        <v>44348</v>
      </c>
      <c r="H1" s="266"/>
      <c r="I1" s="267"/>
      <c r="J1" s="234" t="s">
        <v>1</v>
      </c>
      <c r="K1" s="235"/>
      <c r="L1" s="235"/>
      <c r="M1" s="235"/>
      <c r="N1" s="235"/>
      <c r="O1" s="236"/>
      <c r="Q1" s="234" t="s">
        <v>2</v>
      </c>
      <c r="R1" s="236"/>
    </row>
    <row r="2" spans="1:19" ht="17.25" customHeight="1">
      <c r="A2" s="117" t="s">
        <v>3</v>
      </c>
      <c r="B2" s="268" t="s">
        <v>8</v>
      </c>
      <c r="C2" s="269"/>
      <c r="D2" s="269"/>
      <c r="E2" s="269"/>
      <c r="F2" s="270"/>
      <c r="G2" s="262" t="s">
        <v>46</v>
      </c>
      <c r="H2" s="263"/>
      <c r="I2" s="264"/>
      <c r="J2" s="1" t="s">
        <v>3</v>
      </c>
      <c r="K2" s="268" t="s">
        <v>350</v>
      </c>
      <c r="L2" s="269"/>
      <c r="M2" s="269"/>
      <c r="N2" s="269"/>
      <c r="O2" s="270"/>
      <c r="Q2" s="2" t="s">
        <v>6</v>
      </c>
      <c r="R2" s="3">
        <v>0.375</v>
      </c>
    </row>
    <row r="3" spans="1:19" ht="17.25" customHeight="1" thickBot="1">
      <c r="A3" s="118" t="s">
        <v>7</v>
      </c>
      <c r="B3" s="259" t="s">
        <v>358</v>
      </c>
      <c r="C3" s="260"/>
      <c r="D3" s="260"/>
      <c r="E3" s="260"/>
      <c r="F3" s="261"/>
      <c r="G3" s="25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56"/>
      <c r="I3" s="257"/>
      <c r="J3" s="4" t="s">
        <v>7</v>
      </c>
      <c r="K3" s="259" t="s">
        <v>351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9" t="s">
        <v>16</v>
      </c>
      <c r="C4" s="260"/>
      <c r="D4" s="260"/>
      <c r="E4" s="260"/>
      <c r="F4" s="261"/>
      <c r="G4" s="262" t="s">
        <v>44</v>
      </c>
      <c r="H4" s="263"/>
      <c r="I4" s="264"/>
      <c r="J4" s="4" t="s">
        <v>11</v>
      </c>
      <c r="K4" s="259" t="s">
        <v>352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9" t="s">
        <v>349</v>
      </c>
      <c r="C5" s="260"/>
      <c r="D5" s="260"/>
      <c r="E5" s="260"/>
      <c r="F5" s="261"/>
      <c r="G5" s="25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56"/>
      <c r="I5" s="257"/>
      <c r="J5" s="4" t="s">
        <v>15</v>
      </c>
      <c r="K5" s="259" t="s">
        <v>353</v>
      </c>
      <c r="L5" s="260"/>
      <c r="M5" s="260"/>
      <c r="N5" s="260"/>
      <c r="O5" s="261"/>
    </row>
    <row r="6" spans="1:19">
      <c r="A6" s="118" t="s">
        <v>18</v>
      </c>
      <c r="B6" s="259"/>
      <c r="C6" s="260"/>
      <c r="D6" s="260"/>
      <c r="E6" s="260"/>
      <c r="F6" s="261"/>
      <c r="G6" s="262" t="s">
        <v>45</v>
      </c>
      <c r="H6" s="263"/>
      <c r="I6" s="264"/>
      <c r="J6" s="4" t="s">
        <v>18</v>
      </c>
      <c r="K6" s="259" t="s">
        <v>354</v>
      </c>
      <c r="L6" s="260"/>
      <c r="M6" s="260"/>
      <c r="N6" s="260"/>
      <c r="O6" s="261"/>
    </row>
    <row r="7" spans="1:19" ht="17.25" thickBot="1">
      <c r="A7" s="118" t="s">
        <v>21</v>
      </c>
      <c r="B7" s="259"/>
      <c r="C7" s="260"/>
      <c r="D7" s="260"/>
      <c r="E7" s="260"/>
      <c r="F7" s="261"/>
      <c r="G7" s="25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56"/>
      <c r="I7" s="257"/>
      <c r="J7" s="4" t="s">
        <v>21</v>
      </c>
      <c r="K7" s="259" t="s">
        <v>355</v>
      </c>
      <c r="L7" s="260"/>
      <c r="M7" s="260"/>
      <c r="N7" s="260"/>
      <c r="O7" s="261"/>
    </row>
    <row r="8" spans="1:19" ht="17.25" thickBot="1">
      <c r="A8" s="118" t="s">
        <v>24</v>
      </c>
      <c r="B8" s="259"/>
      <c r="C8" s="260"/>
      <c r="D8" s="260"/>
      <c r="E8" s="260"/>
      <c r="F8" s="261"/>
      <c r="G8" s="262" t="s">
        <v>285</v>
      </c>
      <c r="H8" s="263"/>
      <c r="I8" s="264"/>
      <c r="J8" s="4" t="s">
        <v>24</v>
      </c>
      <c r="K8" s="259"/>
      <c r="L8" s="260"/>
      <c r="M8" s="260"/>
      <c r="N8" s="260"/>
      <c r="O8" s="261"/>
      <c r="Q8" s="234" t="s">
        <v>27</v>
      </c>
      <c r="R8" s="236"/>
    </row>
    <row r="9" spans="1:19" ht="17.25" thickBot="1">
      <c r="A9" s="118" t="s">
        <v>28</v>
      </c>
      <c r="B9" s="259"/>
      <c r="C9" s="260"/>
      <c r="D9" s="260"/>
      <c r="E9" s="260"/>
      <c r="F9" s="261"/>
      <c r="G9" s="25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56"/>
      <c r="I9" s="257"/>
      <c r="J9" s="4" t="s">
        <v>28</v>
      </c>
      <c r="K9" s="259"/>
      <c r="L9" s="260"/>
      <c r="M9" s="260"/>
      <c r="N9" s="260"/>
      <c r="O9" s="261"/>
      <c r="Q9" s="2" t="s">
        <v>29</v>
      </c>
      <c r="R9" s="6">
        <v>10</v>
      </c>
    </row>
    <row r="10" spans="1:19">
      <c r="A10" s="118" t="s">
        <v>30</v>
      </c>
      <c r="B10" s="259"/>
      <c r="C10" s="260"/>
      <c r="D10" s="260"/>
      <c r="E10" s="260"/>
      <c r="F10" s="261"/>
      <c r="G10" s="262" t="s">
        <v>47</v>
      </c>
      <c r="H10" s="263"/>
      <c r="I10" s="264"/>
      <c r="J10" s="4" t="s">
        <v>30</v>
      </c>
      <c r="K10" s="259" t="s">
        <v>356</v>
      </c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119" t="s">
        <v>32</v>
      </c>
      <c r="B11" s="252" t="s">
        <v>357</v>
      </c>
      <c r="C11" s="253"/>
      <c r="D11" s="253"/>
      <c r="E11" s="253"/>
      <c r="F11" s="254"/>
      <c r="G11" s="25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56"/>
      <c r="I11" s="257"/>
      <c r="J11" s="7" t="s">
        <v>32</v>
      </c>
      <c r="K11" s="252" t="s">
        <v>348</v>
      </c>
      <c r="L11" s="253"/>
      <c r="M11" s="253"/>
      <c r="N11" s="253"/>
      <c r="O11" s="254"/>
      <c r="Q11" s="65" t="s">
        <v>33</v>
      </c>
      <c r="R11" s="8">
        <v>1000</v>
      </c>
    </row>
    <row r="12" spans="1:19" ht="17.25" thickBot="1"/>
    <row r="13" spans="1:19" ht="17.25" customHeight="1" thickBot="1">
      <c r="A13" s="234" t="s">
        <v>34</v>
      </c>
      <c r="B13" s="235"/>
      <c r="C13" s="235"/>
      <c r="D13" s="235"/>
      <c r="E13" s="235"/>
      <c r="F13" s="235"/>
      <c r="G13" s="235"/>
      <c r="H13" s="235"/>
      <c r="I13" s="235"/>
      <c r="J13" s="235"/>
      <c r="K13" s="235"/>
      <c r="L13" s="235"/>
      <c r="M13" s="235"/>
      <c r="N13" s="235"/>
      <c r="O13" s="236"/>
      <c r="Q13" s="233"/>
      <c r="R13" s="233"/>
      <c r="S13" s="233"/>
    </row>
    <row r="14" spans="1:19" ht="17.25" customHeight="1" thickBot="1">
      <c r="A14" s="157" t="s">
        <v>35</v>
      </c>
      <c r="B14" s="234" t="s">
        <v>36</v>
      </c>
      <c r="C14" s="236"/>
      <c r="D14" s="234" t="s">
        <v>37</v>
      </c>
      <c r="E14" s="235"/>
      <c r="F14" s="236"/>
      <c r="G14" s="237">
        <f>_xlfn.IFNA(VLOOKUP(B14, 현재가테이블!$B$2:$D$200, 2, FALSE), "-")</f>
        <v>41418000</v>
      </c>
      <c r="H14" s="238"/>
      <c r="I14" s="239"/>
      <c r="J14" s="234" t="s">
        <v>38</v>
      </c>
      <c r="K14" s="235"/>
      <c r="L14" s="236"/>
      <c r="M14" s="240">
        <f>_xlfn.IFNA(VLOOKUP(B14, 현재가테이블!$B$2:$D$200, 3, FALSE), "-")</f>
        <v>-5.2176301000000001E-2</v>
      </c>
      <c r="N14" s="241"/>
      <c r="O14" s="242"/>
      <c r="Q14" s="233"/>
      <c r="R14" s="233"/>
      <c r="S14" s="233"/>
    </row>
    <row r="15" spans="1:19" ht="17.25" customHeight="1" thickBot="1">
      <c r="A15" s="271" t="s">
        <v>39</v>
      </c>
      <c r="B15" s="272" t="str">
        <f>TEXT($G$1, "[$-ko-KR]yyyy-mm-dd(ddd) ") &amp; "오전 00:00"</f>
        <v>2021-06-01(화) 오전 00:00</v>
      </c>
      <c r="C15" s="273"/>
      <c r="D15" s="247" t="str">
        <f>TEXT($G$1, "[$-ko-KR]yyyy-mm-dd(ddd) ") &amp; "오후 14:00"</f>
        <v>2021-06-01(화) 오후 14:00</v>
      </c>
      <c r="E15" s="248"/>
      <c r="F15" s="249"/>
      <c r="G15" s="247" t="str">
        <f>TEXT($G$1, "[$-ko-KR]yyyy-mm-dd(ddd) ") &amp; "오후 19:00"</f>
        <v>2021-06-01(화) 오후 19:00</v>
      </c>
      <c r="H15" s="248"/>
      <c r="I15" s="249"/>
      <c r="J15" s="247" t="str">
        <f>TEXT($G$1, "[$-ko-KR]yyyy-mm-dd(ddd) ") &amp; "오후 21:00"</f>
        <v>2021-06-01(화) 오후 21:00</v>
      </c>
      <c r="K15" s="248"/>
      <c r="L15" s="249"/>
      <c r="M15" s="247" t="str">
        <f>TEXT($G$1+1, "[$-ko-KR]yyyy-mm-dd(ddd) ") &amp; "오전 00:00"</f>
        <v>2021-06-02(수) 오전 00:00</v>
      </c>
      <c r="N15" s="248"/>
      <c r="O15" s="249"/>
      <c r="Q15" s="233"/>
      <c r="R15" s="233"/>
      <c r="S15" s="233"/>
    </row>
    <row r="16" spans="1:19" ht="17.25" customHeight="1" thickBot="1">
      <c r="A16" s="27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61" t="s">
        <v>359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33"/>
      <c r="R17" s="233"/>
      <c r="S17" s="233"/>
    </row>
    <row r="18" spans="1:19" ht="17.25" customHeight="1" thickBot="1">
      <c r="A18" s="162" t="s">
        <v>360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33"/>
      <c r="R18" s="233"/>
      <c r="S18" s="233"/>
    </row>
    <row r="19" spans="1:19" ht="17.25" customHeight="1" thickBot="1">
      <c r="A19" s="162" t="s">
        <v>361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23"/>
      <c r="R19" s="223"/>
      <c r="S19" s="223"/>
    </row>
    <row r="20" spans="1:19" ht="17.25" customHeight="1" thickBot="1">
      <c r="A20" s="162" t="s">
        <v>362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23"/>
      <c r="R20" s="223"/>
      <c r="S20" s="223"/>
    </row>
    <row r="21" spans="1:19" ht="17.25" customHeight="1" thickBot="1">
      <c r="A21" s="163" t="s">
        <v>363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23"/>
      <c r="R21" s="223"/>
      <c r="S21" s="223"/>
    </row>
    <row r="22" spans="1:19" ht="17.25" customHeight="1" thickBot="1">
      <c r="A22" s="162" t="s">
        <v>364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23"/>
      <c r="R22" s="223"/>
      <c r="S22" s="22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3"/>
      <c r="R23" s="223"/>
      <c r="S23" s="22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3"/>
      <c r="R24" s="223"/>
      <c r="S24" s="22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3"/>
      <c r="R29" s="223"/>
      <c r="S29" s="22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3"/>
      <c r="R30" s="233"/>
      <c r="S30" s="23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3"/>
      <c r="R31" s="233"/>
      <c r="S31" s="23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3"/>
      <c r="R32" s="223"/>
      <c r="S32" s="22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2"/>
      <c r="R35" s="213"/>
      <c r="S35" s="2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5"/>
      <c r="R36" s="216"/>
      <c r="S36" s="217"/>
    </row>
    <row r="37" spans="1:19" ht="17.25" customHeight="1" thickBot="1">
      <c r="A37" s="132" t="s">
        <v>42</v>
      </c>
      <c r="B37" s="276">
        <v>100000</v>
      </c>
      <c r="C37" s="277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218"/>
      <c r="R37" s="219"/>
      <c r="S37" s="220"/>
    </row>
    <row r="38" spans="1:19" ht="17.25" customHeight="1"/>
    <row r="39" spans="1:19" ht="17.25" customHeight="1" thickBot="1"/>
    <row r="40" spans="1:19" ht="17.25" customHeight="1" thickBot="1">
      <c r="A40" s="234" t="s">
        <v>44</v>
      </c>
      <c r="B40" s="235"/>
      <c r="C40" s="235"/>
      <c r="D40" s="235"/>
      <c r="E40" s="235"/>
      <c r="F40" s="235"/>
      <c r="G40" s="235"/>
      <c r="H40" s="235"/>
      <c r="I40" s="235"/>
      <c r="J40" s="235"/>
      <c r="K40" s="235"/>
      <c r="L40" s="235"/>
      <c r="M40" s="235"/>
      <c r="N40" s="235"/>
      <c r="O40" s="236"/>
      <c r="Q40" s="233"/>
      <c r="R40" s="233"/>
      <c r="S40" s="233"/>
    </row>
    <row r="41" spans="1:19" ht="17.25" customHeight="1" thickBot="1">
      <c r="A41" s="157" t="s">
        <v>297</v>
      </c>
      <c r="B41" s="234" t="s">
        <v>49</v>
      </c>
      <c r="C41" s="236"/>
      <c r="D41" s="234" t="s">
        <v>58</v>
      </c>
      <c r="E41" s="235"/>
      <c r="F41" s="236"/>
      <c r="G41" s="237">
        <f>_xlfn.IFNA(VLOOKUP(B41, 현재가테이블!$B$2:$D$200, 2, FALSE), "-")</f>
        <v>41418000</v>
      </c>
      <c r="H41" s="238"/>
      <c r="I41" s="239"/>
      <c r="J41" s="234" t="s">
        <v>59</v>
      </c>
      <c r="K41" s="235"/>
      <c r="L41" s="236"/>
      <c r="M41" s="240">
        <f>_xlfn.IFNA(VLOOKUP(B41, 현재가테이블!$B$2:$D$200, 3, FALSE), "-")</f>
        <v>-5.2176301000000001E-2</v>
      </c>
      <c r="N41" s="241"/>
      <c r="O41" s="242"/>
      <c r="Q41" s="233"/>
      <c r="R41" s="233"/>
      <c r="S41" s="233"/>
    </row>
    <row r="42" spans="1:19" ht="17.25" customHeight="1" thickBot="1">
      <c r="A42" s="278" t="s">
        <v>55</v>
      </c>
      <c r="B42" s="274" t="str">
        <f>TEXT($G$1, "[$-ko-KR]yyyy-mm-dd(ddd) ") &amp; "오전 00:00"</f>
        <v>2021-06-01(화) 오전 00:00</v>
      </c>
      <c r="C42" s="275"/>
      <c r="D42" s="247" t="str">
        <f>TEXT($G$1, "[$-ko-KR]yyyy-mm-dd(ddd) ") &amp; "오후 14:00"</f>
        <v>2021-06-01(화) 오후 14:00</v>
      </c>
      <c r="E42" s="248"/>
      <c r="F42" s="249"/>
      <c r="G42" s="247" t="str">
        <f>TEXT($G$1, "[$-ko-KR]yyyy-mm-dd(ddd) ") &amp; "오후 19:00"</f>
        <v>2021-06-01(화) 오후 19:00</v>
      </c>
      <c r="H42" s="248"/>
      <c r="I42" s="249"/>
      <c r="J42" s="247" t="str">
        <f>TEXT($G$1, "[$-ko-KR]yyyy-mm-dd(ddd) ") &amp; "오후 21:00"</f>
        <v>2021-06-01(화) 오후 21:00</v>
      </c>
      <c r="K42" s="248"/>
      <c r="L42" s="249"/>
      <c r="M42" s="247" t="str">
        <f>TEXT($G$1+1, "[$-ko-KR]yyyy-mm-dd(ddd) ") &amp; "오전 00:00"</f>
        <v>2021-06-02(수) 오전 00:00</v>
      </c>
      <c r="N42" s="248"/>
      <c r="O42" s="249"/>
      <c r="Q42" s="233"/>
      <c r="R42" s="233"/>
      <c r="S42" s="233"/>
    </row>
    <row r="43" spans="1:19" ht="17.25" customHeight="1" thickBot="1">
      <c r="A43" s="279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58" t="s">
        <v>58</v>
      </c>
      <c r="H43" s="159" t="s">
        <v>298</v>
      </c>
      <c r="I43" s="160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3"/>
      <c r="R43" s="223"/>
      <c r="S43" s="223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33"/>
      <c r="R44" s="233"/>
      <c r="S44" s="233"/>
    </row>
    <row r="45" spans="1:19" ht="17.25" customHeight="1" thickBot="1">
      <c r="A45" s="125" t="s">
        <v>278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33"/>
      <c r="R45" s="233"/>
      <c r="S45" s="233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23"/>
      <c r="R46" s="223"/>
      <c r="S46" s="223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23"/>
      <c r="R47" s="223"/>
      <c r="S47" s="223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23"/>
      <c r="R48" s="223"/>
      <c r="S48" s="223"/>
    </row>
    <row r="49" spans="1:19" ht="17.25" customHeight="1" thickBot="1">
      <c r="A49" s="125" t="s">
        <v>222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23"/>
      <c r="R49" s="223"/>
      <c r="S49" s="223"/>
    </row>
    <row r="50" spans="1:19" ht="17.25" customHeight="1" thickBot="1">
      <c r="A50" s="125" t="s">
        <v>260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23"/>
      <c r="R50" s="223"/>
      <c r="S50" s="223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23"/>
      <c r="R51" s="223"/>
      <c r="S51" s="223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24"/>
      <c r="R53" s="225"/>
      <c r="S53" s="226"/>
    </row>
    <row r="54" spans="1:19" ht="17.25" customHeight="1">
      <c r="A54" s="123" t="s">
        <v>196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27"/>
      <c r="R54" s="228"/>
      <c r="S54" s="229"/>
    </row>
    <row r="55" spans="1:19" ht="17.25" customHeight="1" thickBot="1">
      <c r="A55" s="125" t="s">
        <v>198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30"/>
      <c r="R55" s="231"/>
      <c r="S55" s="232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23"/>
      <c r="R56" s="223"/>
      <c r="S56" s="223"/>
    </row>
    <row r="57" spans="1:19" ht="17.25" customHeight="1" thickBot="1">
      <c r="A57" s="125" t="s">
        <v>214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33"/>
      <c r="R57" s="233"/>
      <c r="S57" s="233"/>
    </row>
    <row r="58" spans="1:19" ht="17.25" customHeight="1" thickBot="1">
      <c r="A58" s="127" t="s">
        <v>212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33"/>
      <c r="R58" s="233"/>
      <c r="S58" s="233"/>
    </row>
    <row r="59" spans="1:19" ht="17.25" customHeight="1" thickBot="1">
      <c r="A59" s="125" t="s">
        <v>186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23"/>
      <c r="R59" s="223"/>
      <c r="S59" s="223"/>
    </row>
    <row r="60" spans="1:19" ht="17.25" customHeight="1" thickBot="1">
      <c r="A60" s="125" t="s">
        <v>228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23"/>
      <c r="R60" s="223"/>
      <c r="S60" s="223"/>
    </row>
    <row r="61" spans="1:19" ht="17.25" customHeight="1" thickBot="1">
      <c r="A61" s="125" t="s">
        <v>236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23"/>
      <c r="R61" s="223"/>
      <c r="S61" s="223"/>
    </row>
    <row r="62" spans="1:19" ht="17.25" customHeight="1">
      <c r="A62" s="125" t="s">
        <v>266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212"/>
      <c r="R62" s="213"/>
      <c r="S62" s="214"/>
    </row>
    <row r="63" spans="1:19" ht="17.25" customHeight="1" thickBot="1">
      <c r="A63" s="130" t="s">
        <v>254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215"/>
      <c r="R63" s="216"/>
      <c r="S63" s="217"/>
    </row>
    <row r="64" spans="1:19" ht="17.25" customHeight="1" thickBot="1">
      <c r="A64" s="132" t="s">
        <v>300</v>
      </c>
      <c r="B64" s="276">
        <f>$B$37</f>
        <v>100000</v>
      </c>
      <c r="C64" s="277"/>
      <c r="D64" s="26" t="s">
        <v>301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301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301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301</v>
      </c>
      <c r="N64" s="27">
        <f>IF(COUNT(N44:N63), SUM(N44:N63) / COUNT(N44:N63), 0)</f>
        <v>-4.7597754982905483E-4</v>
      </c>
      <c r="O64" s="28">
        <f>SUM(O44:O63)</f>
        <v>-951.95509965810902</v>
      </c>
      <c r="Q64" s="218"/>
      <c r="R64" s="219"/>
      <c r="S64" s="220"/>
    </row>
    <row r="65" spans="1:19" ht="17.25" customHeight="1"/>
    <row r="66" spans="1:19" ht="17.25" customHeight="1" thickBot="1"/>
    <row r="67" spans="1:19" ht="17.25" thickBot="1">
      <c r="A67" s="234" t="s">
        <v>45</v>
      </c>
      <c r="B67" s="235"/>
      <c r="C67" s="235"/>
      <c r="D67" s="235"/>
      <c r="E67" s="235"/>
      <c r="F67" s="235"/>
      <c r="G67" s="235"/>
      <c r="H67" s="235"/>
      <c r="I67" s="235"/>
      <c r="J67" s="235"/>
      <c r="K67" s="235"/>
      <c r="L67" s="235"/>
      <c r="M67" s="235"/>
      <c r="N67" s="235"/>
      <c r="O67" s="236"/>
      <c r="Q67" s="233"/>
      <c r="R67" s="233"/>
      <c r="S67" s="233"/>
    </row>
    <row r="68" spans="1:19" ht="17.25" thickBot="1">
      <c r="A68" s="157" t="s">
        <v>297</v>
      </c>
      <c r="B68" s="234" t="s">
        <v>49</v>
      </c>
      <c r="C68" s="236"/>
      <c r="D68" s="234" t="s">
        <v>58</v>
      </c>
      <c r="E68" s="235"/>
      <c r="F68" s="236"/>
      <c r="G68" s="237">
        <f>_xlfn.IFNA(VLOOKUP(B68, 현재가테이블!$B$2:$D$200, 2, FALSE), "-")</f>
        <v>41418000</v>
      </c>
      <c r="H68" s="238"/>
      <c r="I68" s="239"/>
      <c r="J68" s="234" t="s">
        <v>59</v>
      </c>
      <c r="K68" s="235"/>
      <c r="L68" s="236"/>
      <c r="M68" s="240">
        <f>_xlfn.IFNA(VLOOKUP(B68, 현재가테이블!$B$2:$D$200, 3, FALSE), "-")</f>
        <v>-5.2176301000000001E-2</v>
      </c>
      <c r="N68" s="241"/>
      <c r="O68" s="242"/>
      <c r="Q68" s="233"/>
      <c r="R68" s="233"/>
      <c r="S68" s="233"/>
    </row>
    <row r="69" spans="1:19" ht="17.25" thickBot="1">
      <c r="A69" s="278" t="s">
        <v>55</v>
      </c>
      <c r="B69" s="274" t="str">
        <f>TEXT($G$1, "[$-ko-KR]yyyy-mm-dd(ddd) ") &amp; "오전 00:00"</f>
        <v>2021-06-01(화) 오전 00:00</v>
      </c>
      <c r="C69" s="275"/>
      <c r="D69" s="247" t="str">
        <f>TEXT($G$1, "[$-ko-KR]yyyy-mm-dd(ddd) ") &amp; "오후 14:00"</f>
        <v>2021-06-01(화) 오후 14:00</v>
      </c>
      <c r="E69" s="248"/>
      <c r="F69" s="249"/>
      <c r="G69" s="247" t="str">
        <f>TEXT($G$1, "[$-ko-KR]yyyy-mm-dd(ddd) ") &amp; "오후 19:00"</f>
        <v>2021-06-01(화) 오후 19:00</v>
      </c>
      <c r="H69" s="248"/>
      <c r="I69" s="249"/>
      <c r="J69" s="247" t="str">
        <f>TEXT($G$1, "[$-ko-KR]yyyy-mm-dd(ddd) ") &amp; "오후 21:00"</f>
        <v>2021-06-01(화) 오후 21:00</v>
      </c>
      <c r="K69" s="248"/>
      <c r="L69" s="249"/>
      <c r="M69" s="247" t="str">
        <f>TEXT($G$1+1, "[$-ko-KR]yyyy-mm-dd(ddd) ") &amp; "오전 00:00"</f>
        <v>2021-06-02(수) 오전 00:00</v>
      </c>
      <c r="N69" s="248"/>
      <c r="O69" s="249"/>
      <c r="Q69" s="233"/>
      <c r="R69" s="233"/>
      <c r="S69" s="233"/>
    </row>
    <row r="70" spans="1:19" ht="17.25" thickBot="1">
      <c r="A70" s="279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58" t="s">
        <v>58</v>
      </c>
      <c r="H70" s="159" t="s">
        <v>298</v>
      </c>
      <c r="I70" s="160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3"/>
      <c r="R70" s="223"/>
      <c r="S70" s="223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33"/>
      <c r="R71" s="233"/>
      <c r="S71" s="233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33"/>
      <c r="R72" s="233"/>
      <c r="S72" s="233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23"/>
      <c r="R73" s="223"/>
      <c r="S73" s="223"/>
    </row>
    <row r="74" spans="1:19" ht="17.25" thickBot="1">
      <c r="A74" s="125" t="s">
        <v>168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23"/>
      <c r="R74" s="223"/>
      <c r="S74" s="223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23"/>
      <c r="R75" s="223"/>
      <c r="S75" s="223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23"/>
      <c r="R76" s="223"/>
      <c r="S76" s="223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23"/>
      <c r="R77" s="223"/>
      <c r="S77" s="223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23"/>
      <c r="R78" s="223"/>
      <c r="S78" s="223"/>
    </row>
    <row r="79" spans="1:19" ht="17.25" thickBot="1">
      <c r="A79" s="125" t="s">
        <v>230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24"/>
      <c r="R80" s="225"/>
      <c r="S80" s="226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27"/>
      <c r="R81" s="228"/>
      <c r="S81" s="229"/>
    </row>
    <row r="82" spans="1:19" ht="17.25" thickBot="1">
      <c r="A82" s="125" t="s">
        <v>296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30"/>
      <c r="R82" s="231"/>
      <c r="S82" s="232"/>
    </row>
    <row r="83" spans="1:19" ht="17.25" thickBot="1">
      <c r="A83" s="125" t="s">
        <v>270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23"/>
      <c r="R83" s="223"/>
      <c r="S83" s="223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33"/>
      <c r="R84" s="233"/>
      <c r="S84" s="233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33"/>
      <c r="R85" s="233"/>
      <c r="S85" s="233"/>
    </row>
    <row r="86" spans="1:19" ht="17.25" thickBot="1">
      <c r="A86" s="125" t="s">
        <v>174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23"/>
      <c r="R86" s="223"/>
      <c r="S86" s="223"/>
    </row>
    <row r="87" spans="1:19" ht="17.25" thickBot="1">
      <c r="A87" s="125" t="s">
        <v>262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23"/>
      <c r="R87" s="223"/>
      <c r="S87" s="223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23"/>
      <c r="R88" s="223"/>
      <c r="S88" s="223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212"/>
      <c r="R89" s="213"/>
      <c r="S89" s="214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215"/>
      <c r="R90" s="216"/>
      <c r="S90" s="217"/>
    </row>
    <row r="91" spans="1:19" ht="17.25" thickBot="1">
      <c r="A91" s="132" t="s">
        <v>300</v>
      </c>
      <c r="B91" s="276">
        <f>$B$37</f>
        <v>100000</v>
      </c>
      <c r="C91" s="277"/>
      <c r="D91" s="26" t="s">
        <v>301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301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301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301</v>
      </c>
      <c r="N91" s="27">
        <f>IF(COUNT(N71:N90), SUM(N71:N90) / COUNT(N71:N90), 0)</f>
        <v>2.1683338389722643E-2</v>
      </c>
      <c r="O91" s="28">
        <f>SUM(O71:O90)</f>
        <v>43366.676779445283</v>
      </c>
      <c r="Q91" s="218"/>
      <c r="R91" s="219"/>
      <c r="S91" s="220"/>
    </row>
    <row r="93" spans="1:19" ht="17.25" thickBot="1"/>
    <row r="94" spans="1:19" ht="17.25" thickBot="1">
      <c r="A94" s="234" t="s">
        <v>46</v>
      </c>
      <c r="B94" s="235"/>
      <c r="C94" s="235"/>
      <c r="D94" s="235"/>
      <c r="E94" s="235"/>
      <c r="F94" s="235"/>
      <c r="G94" s="235"/>
      <c r="H94" s="235"/>
      <c r="I94" s="235"/>
      <c r="J94" s="235"/>
      <c r="K94" s="235"/>
      <c r="L94" s="235"/>
      <c r="M94" s="235"/>
      <c r="N94" s="235"/>
      <c r="O94" s="236"/>
      <c r="Q94" s="233"/>
      <c r="R94" s="233"/>
      <c r="S94" s="233"/>
    </row>
    <row r="95" spans="1:19" ht="17.25" thickBot="1">
      <c r="A95" s="157" t="s">
        <v>297</v>
      </c>
      <c r="B95" s="234" t="s">
        <v>49</v>
      </c>
      <c r="C95" s="236"/>
      <c r="D95" s="234" t="s">
        <v>58</v>
      </c>
      <c r="E95" s="235"/>
      <c r="F95" s="236"/>
      <c r="G95" s="237">
        <f>_xlfn.IFNA(VLOOKUP(B95, 현재가테이블!$B$2:$D$200, 2, FALSE), "-")</f>
        <v>41418000</v>
      </c>
      <c r="H95" s="238"/>
      <c r="I95" s="239"/>
      <c r="J95" s="234" t="s">
        <v>59</v>
      </c>
      <c r="K95" s="235"/>
      <c r="L95" s="236"/>
      <c r="M95" s="240">
        <f>_xlfn.IFNA(VLOOKUP(B95, 현재가테이블!$B$2:$D$200, 3, FALSE), "-")</f>
        <v>-5.2176301000000001E-2</v>
      </c>
      <c r="N95" s="241"/>
      <c r="O95" s="242"/>
      <c r="Q95" s="233"/>
      <c r="R95" s="233"/>
      <c r="S95" s="233"/>
    </row>
    <row r="96" spans="1:19" ht="17.25" thickBot="1">
      <c r="A96" s="278" t="s">
        <v>55</v>
      </c>
      <c r="B96" s="274" t="str">
        <f>TEXT($G$1, "[$-ko-KR]yyyy-mm-dd(ddd) ") &amp; "오전 00:00"</f>
        <v>2021-06-01(화) 오전 00:00</v>
      </c>
      <c r="C96" s="275"/>
      <c r="D96" s="247" t="str">
        <f>TEXT($G$1, "[$-ko-KR]yyyy-mm-dd(ddd) ") &amp; "오후 14:00"</f>
        <v>2021-06-01(화) 오후 14:00</v>
      </c>
      <c r="E96" s="248"/>
      <c r="F96" s="249"/>
      <c r="G96" s="247" t="str">
        <f>TEXT($G$1, "[$-ko-KR]yyyy-mm-dd(ddd) ") &amp; "오후 19:00"</f>
        <v>2021-06-01(화) 오후 19:00</v>
      </c>
      <c r="H96" s="248"/>
      <c r="I96" s="249"/>
      <c r="J96" s="247" t="str">
        <f>TEXT($G$1, "[$-ko-KR]yyyy-mm-dd(ddd) ") &amp; "오후 21:00"</f>
        <v>2021-06-01(화) 오후 21:00</v>
      </c>
      <c r="K96" s="248"/>
      <c r="L96" s="249"/>
      <c r="M96" s="247" t="str">
        <f>TEXT($G$1+1, "[$-ko-KR]yyyy-mm-dd(ddd) ") &amp; "오전 00:00"</f>
        <v>2021-06-02(수) 오전 00:00</v>
      </c>
      <c r="N96" s="248"/>
      <c r="O96" s="249"/>
      <c r="Q96" s="233"/>
      <c r="R96" s="233"/>
      <c r="S96" s="233"/>
    </row>
    <row r="97" spans="1:19" ht="17.25" thickBot="1">
      <c r="A97" s="279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58" t="s">
        <v>58</v>
      </c>
      <c r="H97" s="159" t="s">
        <v>298</v>
      </c>
      <c r="I97" s="160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3"/>
      <c r="R97" s="223"/>
      <c r="S97" s="223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33"/>
      <c r="R98" s="233"/>
      <c r="S98" s="233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33"/>
      <c r="R99" s="233"/>
      <c r="S99" s="233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23"/>
      <c r="R100" s="223"/>
      <c r="S100" s="223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23"/>
      <c r="R101" s="223"/>
      <c r="S101" s="223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23"/>
      <c r="R102" s="223"/>
      <c r="S102" s="223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23"/>
      <c r="R103" s="223"/>
      <c r="S103" s="223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23"/>
      <c r="R104" s="223"/>
      <c r="S104" s="223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23"/>
      <c r="R105" s="223"/>
      <c r="S105" s="223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168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24"/>
      <c r="R107" s="225"/>
      <c r="S107" s="226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27"/>
      <c r="R108" s="228"/>
      <c r="S108" s="229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30"/>
      <c r="R109" s="231"/>
      <c r="S109" s="232"/>
    </row>
    <row r="110" spans="1:19" ht="17.25" thickBot="1">
      <c r="A110" s="125" t="s">
        <v>166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23"/>
      <c r="R110" s="223"/>
      <c r="S110" s="223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33"/>
      <c r="R111" s="233"/>
      <c r="S111" s="233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33"/>
      <c r="R112" s="233"/>
      <c r="S112" s="233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23"/>
      <c r="R113" s="223"/>
      <c r="S113" s="223"/>
    </row>
    <row r="114" spans="1:19" ht="17.25" thickBot="1">
      <c r="A114" s="125" t="s">
        <v>278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23"/>
      <c r="R114" s="223"/>
      <c r="S114" s="223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23"/>
      <c r="R115" s="223"/>
      <c r="S115" s="223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212"/>
      <c r="R116" s="213"/>
      <c r="S116" s="214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215"/>
      <c r="R117" s="216"/>
      <c r="S117" s="217"/>
    </row>
    <row r="118" spans="1:19" ht="17.25" thickBot="1">
      <c r="A118" s="132" t="s">
        <v>300</v>
      </c>
      <c r="B118" s="276">
        <f>$B$37</f>
        <v>100000</v>
      </c>
      <c r="C118" s="277"/>
      <c r="D118" s="26" t="s">
        <v>301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301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301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301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218"/>
      <c r="R118" s="219"/>
      <c r="S118" s="220"/>
    </row>
    <row r="120" spans="1:19" ht="17.25" thickBot="1"/>
    <row r="121" spans="1:19" ht="17.25" thickBot="1">
      <c r="A121" s="234" t="s">
        <v>288</v>
      </c>
      <c r="B121" s="235"/>
      <c r="C121" s="235"/>
      <c r="D121" s="235"/>
      <c r="E121" s="235"/>
      <c r="F121" s="235"/>
      <c r="G121" s="235"/>
      <c r="H121" s="235"/>
      <c r="I121" s="235"/>
      <c r="J121" s="235"/>
      <c r="K121" s="235"/>
      <c r="L121" s="235"/>
      <c r="M121" s="235"/>
      <c r="N121" s="235"/>
      <c r="O121" s="236"/>
      <c r="Q121" s="233"/>
      <c r="R121" s="233"/>
      <c r="S121" s="233"/>
    </row>
    <row r="122" spans="1:19" ht="17.25" thickBot="1">
      <c r="A122" s="157" t="s">
        <v>297</v>
      </c>
      <c r="B122" s="234" t="s">
        <v>49</v>
      </c>
      <c r="C122" s="236"/>
      <c r="D122" s="234" t="s">
        <v>58</v>
      </c>
      <c r="E122" s="235"/>
      <c r="F122" s="236"/>
      <c r="G122" s="237">
        <f>_xlfn.IFNA(VLOOKUP(B122, 현재가테이블!$B$2:$D$200, 2, FALSE), "-")</f>
        <v>41418000</v>
      </c>
      <c r="H122" s="238"/>
      <c r="I122" s="239"/>
      <c r="J122" s="234" t="s">
        <v>59</v>
      </c>
      <c r="K122" s="235"/>
      <c r="L122" s="236"/>
      <c r="M122" s="240">
        <f>_xlfn.IFNA(VLOOKUP(B122, 현재가테이블!$B$2:$D$200, 3, FALSE), "-")</f>
        <v>-5.2176301000000001E-2</v>
      </c>
      <c r="N122" s="241"/>
      <c r="O122" s="242"/>
      <c r="Q122" s="233"/>
      <c r="R122" s="233"/>
      <c r="S122" s="233"/>
    </row>
    <row r="123" spans="1:19" ht="17.25" thickBot="1">
      <c r="A123" s="278" t="s">
        <v>55</v>
      </c>
      <c r="B123" s="274" t="str">
        <f>TEXT($G$1, "[$-ko-KR]yyyy-mm-dd(ddd) ") &amp; "오전 00:00"</f>
        <v>2021-06-01(화) 오전 00:00</v>
      </c>
      <c r="C123" s="275"/>
      <c r="D123" s="247" t="str">
        <f>TEXT($G$1, "[$-ko-KR]yyyy-mm-dd(ddd) ") &amp; "오후 14:00"</f>
        <v>2021-06-01(화) 오후 14:00</v>
      </c>
      <c r="E123" s="248"/>
      <c r="F123" s="249"/>
      <c r="G123" s="247" t="str">
        <f>TEXT($G$1, "[$-ko-KR]yyyy-mm-dd(ddd) ") &amp; "오후 19:00"</f>
        <v>2021-06-01(화) 오후 19:00</v>
      </c>
      <c r="H123" s="248"/>
      <c r="I123" s="249"/>
      <c r="J123" s="247" t="str">
        <f>TEXT($G$1, "[$-ko-KR]yyyy-mm-dd(ddd) ") &amp; "오후 21:00"</f>
        <v>2021-06-01(화) 오후 21:00</v>
      </c>
      <c r="K123" s="248"/>
      <c r="L123" s="249"/>
      <c r="M123" s="247" t="str">
        <f>TEXT($G$1+1, "[$-ko-KR]yyyy-mm-dd(ddd) ") &amp; "오전 00:00"</f>
        <v>2021-06-02(수) 오전 00:00</v>
      </c>
      <c r="N123" s="248"/>
      <c r="O123" s="249"/>
      <c r="Q123" s="233"/>
      <c r="R123" s="233"/>
      <c r="S123" s="233"/>
    </row>
    <row r="124" spans="1:19" ht="17.25" thickBot="1">
      <c r="A124" s="279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58" t="s">
        <v>58</v>
      </c>
      <c r="H124" s="159" t="s">
        <v>298</v>
      </c>
      <c r="I124" s="160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3"/>
      <c r="R124" s="223"/>
      <c r="S124" s="223"/>
    </row>
    <row r="125" spans="1:19" ht="17.25" thickBot="1">
      <c r="A125" s="123" t="s">
        <v>260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33"/>
      <c r="R125" s="233"/>
      <c r="S125" s="233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33"/>
      <c r="R126" s="233"/>
      <c r="S126" s="233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23"/>
      <c r="R127" s="223"/>
      <c r="S127" s="223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23"/>
      <c r="R128" s="223"/>
      <c r="S128" s="223"/>
    </row>
    <row r="129" spans="1:19" ht="17.25" thickBot="1">
      <c r="A129" s="127" t="s">
        <v>196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23"/>
      <c r="R129" s="223"/>
      <c r="S129" s="223"/>
    </row>
    <row r="130" spans="1:19" ht="17.25" thickBot="1">
      <c r="A130" s="125" t="s">
        <v>198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23"/>
      <c r="R130" s="223"/>
      <c r="S130" s="223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23"/>
      <c r="R131" s="223"/>
      <c r="S131" s="223"/>
    </row>
    <row r="132" spans="1:19" ht="17.25" thickBot="1">
      <c r="A132" s="125" t="s">
        <v>214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23"/>
      <c r="R132" s="223"/>
      <c r="S132" s="223"/>
    </row>
    <row r="133" spans="1:19" ht="17.25" thickBot="1">
      <c r="A133" s="125" t="s">
        <v>212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186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24"/>
      <c r="R134" s="225"/>
      <c r="S134" s="226"/>
    </row>
    <row r="135" spans="1:19">
      <c r="A135" s="123" t="s">
        <v>228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27"/>
      <c r="R135" s="228"/>
      <c r="S135" s="229"/>
    </row>
    <row r="136" spans="1:19" ht="17.25" thickBot="1">
      <c r="A136" s="125" t="s">
        <v>236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30"/>
      <c r="R136" s="231"/>
      <c r="S136" s="232"/>
    </row>
    <row r="137" spans="1:19" ht="17.25" thickBot="1">
      <c r="A137" s="125" t="s">
        <v>266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23"/>
      <c r="R137" s="223"/>
      <c r="S137" s="223"/>
    </row>
    <row r="138" spans="1:19" ht="17.25" thickBot="1">
      <c r="A138" s="125" t="s">
        <v>254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33"/>
      <c r="R138" s="233"/>
      <c r="S138" s="233"/>
    </row>
    <row r="139" spans="1:19" ht="17.25" thickBot="1">
      <c r="A139" s="127" t="s">
        <v>264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33"/>
      <c r="R139" s="233"/>
      <c r="S139" s="233"/>
    </row>
    <row r="140" spans="1:19" ht="17.25" thickBot="1">
      <c r="A140" s="125" t="s">
        <v>218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23"/>
      <c r="R140" s="223"/>
      <c r="S140" s="223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23"/>
      <c r="R141" s="223"/>
      <c r="S141" s="223"/>
    </row>
    <row r="142" spans="1:19" ht="17.25" thickBot="1">
      <c r="A142" s="125" t="s">
        <v>220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23"/>
      <c r="R142" s="223"/>
      <c r="S142" s="223"/>
    </row>
    <row r="143" spans="1:19">
      <c r="A143" s="125" t="s">
        <v>268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212"/>
      <c r="R143" s="213"/>
      <c r="S143" s="214"/>
    </row>
    <row r="144" spans="1:19" ht="17.25" thickBot="1">
      <c r="A144" s="130" t="s">
        <v>172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215"/>
      <c r="R144" s="216"/>
      <c r="S144" s="217"/>
    </row>
    <row r="145" spans="1:19" ht="17.25" thickBot="1">
      <c r="A145" s="132" t="s">
        <v>300</v>
      </c>
      <c r="B145" s="276">
        <f>$B$37</f>
        <v>100000</v>
      </c>
      <c r="C145" s="277"/>
      <c r="D145" s="26" t="s">
        <v>301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301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301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301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218"/>
      <c r="R145" s="219"/>
      <c r="S145" s="220"/>
    </row>
    <row r="147" spans="1:19" ht="17.25" thickBot="1"/>
    <row r="148" spans="1:19" ht="17.25" thickBot="1">
      <c r="A148" s="234" t="s">
        <v>289</v>
      </c>
      <c r="B148" s="235"/>
      <c r="C148" s="235"/>
      <c r="D148" s="235"/>
      <c r="E148" s="235"/>
      <c r="F148" s="235"/>
      <c r="G148" s="235"/>
      <c r="H148" s="235"/>
      <c r="I148" s="235"/>
      <c r="J148" s="235"/>
      <c r="K148" s="235"/>
      <c r="L148" s="235"/>
      <c r="M148" s="235"/>
      <c r="N148" s="235"/>
      <c r="O148" s="236"/>
      <c r="Q148" s="233"/>
      <c r="R148" s="233"/>
      <c r="S148" s="233"/>
    </row>
    <row r="149" spans="1:19" ht="17.25" thickBot="1">
      <c r="A149" s="157" t="s">
        <v>297</v>
      </c>
      <c r="B149" s="234" t="s">
        <v>49</v>
      </c>
      <c r="C149" s="236"/>
      <c r="D149" s="234" t="s">
        <v>58</v>
      </c>
      <c r="E149" s="235"/>
      <c r="F149" s="236"/>
      <c r="G149" s="237">
        <f>_xlfn.IFNA(VLOOKUP(B149, 현재가테이블!$B$2:$D$200, 2, FALSE), "-")</f>
        <v>41418000</v>
      </c>
      <c r="H149" s="238"/>
      <c r="I149" s="239"/>
      <c r="J149" s="234" t="s">
        <v>59</v>
      </c>
      <c r="K149" s="235"/>
      <c r="L149" s="236"/>
      <c r="M149" s="240">
        <f>_xlfn.IFNA(VLOOKUP(B149, 현재가테이블!$B$2:$D$200, 3, FALSE), "-")</f>
        <v>-5.2176301000000001E-2</v>
      </c>
      <c r="N149" s="241"/>
      <c r="O149" s="242"/>
      <c r="Q149" s="233"/>
      <c r="R149" s="233"/>
      <c r="S149" s="233"/>
    </row>
    <row r="150" spans="1:19" ht="17.25" thickBot="1">
      <c r="A150" s="278" t="s">
        <v>55</v>
      </c>
      <c r="B150" s="274" t="str">
        <f>TEXT($G$1, "[$-ko-KR]yyyy-mm-dd(ddd) ") &amp; "오전 00:00"</f>
        <v>2021-06-01(화) 오전 00:00</v>
      </c>
      <c r="C150" s="275"/>
      <c r="D150" s="247" t="str">
        <f>TEXT($G$1, "[$-ko-KR]yyyy-mm-dd(ddd) ") &amp; "오후 14:00"</f>
        <v>2021-06-01(화) 오후 14:00</v>
      </c>
      <c r="E150" s="248"/>
      <c r="F150" s="249"/>
      <c r="G150" s="247" t="str">
        <f>TEXT($G$1, "[$-ko-KR]yyyy-mm-dd(ddd) ") &amp; "오후 19:00"</f>
        <v>2021-06-01(화) 오후 19:00</v>
      </c>
      <c r="H150" s="248"/>
      <c r="I150" s="249"/>
      <c r="J150" s="247" t="str">
        <f>TEXT($G$1, "[$-ko-KR]yyyy-mm-dd(ddd) ") &amp; "오후 21:00"</f>
        <v>2021-06-01(화) 오후 21:00</v>
      </c>
      <c r="K150" s="248"/>
      <c r="L150" s="249"/>
      <c r="M150" s="247" t="str">
        <f>TEXT($G$1+1, "[$-ko-KR]yyyy-mm-dd(ddd) ") &amp; "오전 00:00"</f>
        <v>2021-06-02(수) 오전 00:00</v>
      </c>
      <c r="N150" s="248"/>
      <c r="O150" s="249"/>
      <c r="Q150" s="233"/>
      <c r="R150" s="233"/>
      <c r="S150" s="233"/>
    </row>
    <row r="151" spans="1:19" ht="17.25" thickBot="1">
      <c r="A151" s="279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58" t="s">
        <v>58</v>
      </c>
      <c r="H151" s="159" t="s">
        <v>298</v>
      </c>
      <c r="I151" s="160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3"/>
      <c r="R151" s="223"/>
      <c r="S151" s="223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33"/>
      <c r="R152" s="233"/>
      <c r="S152" s="233"/>
    </row>
    <row r="153" spans="1:19" ht="17.25" thickBot="1">
      <c r="A153" s="125" t="s">
        <v>216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33"/>
      <c r="R153" s="233"/>
      <c r="S153" s="233"/>
    </row>
    <row r="154" spans="1:19" ht="17.25" thickBot="1">
      <c r="A154" s="125" t="s">
        <v>182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23"/>
      <c r="R154" s="223"/>
      <c r="S154" s="223"/>
    </row>
    <row r="155" spans="1:19" ht="17.25" thickBot="1">
      <c r="A155" s="125" t="s">
        <v>256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23"/>
      <c r="R155" s="223"/>
      <c r="S155" s="223"/>
    </row>
    <row r="156" spans="1:19" ht="17.25" thickBot="1">
      <c r="A156" s="127" t="s">
        <v>250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23"/>
      <c r="R156" s="223"/>
      <c r="S156" s="223"/>
    </row>
    <row r="157" spans="1:19" ht="17.25" thickBot="1">
      <c r="A157" s="125" t="s">
        <v>282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23"/>
      <c r="R157" s="223"/>
      <c r="S157" s="223"/>
    </row>
    <row r="158" spans="1:19" ht="17.25" thickBot="1">
      <c r="A158" s="125" t="s">
        <v>284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23"/>
      <c r="R158" s="223"/>
      <c r="S158" s="223"/>
    </row>
    <row r="159" spans="1:19" ht="17.25" thickBot="1">
      <c r="A159" s="125" t="s">
        <v>208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23"/>
      <c r="R159" s="223"/>
      <c r="S159" s="223"/>
    </row>
    <row r="160" spans="1:19" ht="17.25" thickBot="1">
      <c r="A160" s="125" t="s">
        <v>170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200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24"/>
      <c r="R161" s="225"/>
      <c r="S161" s="226"/>
    </row>
    <row r="162" spans="1:19">
      <c r="A162" s="123" t="s">
        <v>258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27"/>
      <c r="R162" s="228"/>
      <c r="S162" s="229"/>
    </row>
    <row r="163" spans="1:19" ht="17.25" thickBot="1">
      <c r="A163" s="125" t="s">
        <v>240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30"/>
      <c r="R163" s="231"/>
      <c r="S163" s="232"/>
    </row>
    <row r="164" spans="1:19" ht="17.25" thickBot="1">
      <c r="A164" s="125" t="s">
        <v>202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23"/>
      <c r="R164" s="223"/>
      <c r="S164" s="223"/>
    </row>
    <row r="165" spans="1:19" ht="17.25" thickBot="1">
      <c r="A165" s="125" t="s">
        <v>232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33"/>
      <c r="R165" s="233"/>
      <c r="S165" s="233"/>
    </row>
    <row r="166" spans="1:19" ht="17.25" thickBot="1">
      <c r="A166" s="127" t="s">
        <v>226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33"/>
      <c r="R166" s="233"/>
      <c r="S166" s="233"/>
    </row>
    <row r="167" spans="1:19" ht="17.25" thickBot="1">
      <c r="A167" s="125" t="s">
        <v>210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23"/>
      <c r="R167" s="223"/>
      <c r="S167" s="223"/>
    </row>
    <row r="168" spans="1:19" ht="17.25" thickBot="1">
      <c r="A168" s="125" t="s">
        <v>234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23"/>
      <c r="R168" s="223"/>
      <c r="S168" s="223"/>
    </row>
    <row r="169" spans="1:19" ht="17.25" thickBot="1">
      <c r="A169" s="125" t="s">
        <v>252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23"/>
      <c r="R169" s="223"/>
      <c r="S169" s="223"/>
    </row>
    <row r="170" spans="1:19">
      <c r="A170" s="125" t="s">
        <v>238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212"/>
      <c r="R170" s="213"/>
      <c r="S170" s="214"/>
    </row>
    <row r="171" spans="1:19" ht="17.25" thickBot="1">
      <c r="A171" s="130" t="s">
        <v>246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215"/>
      <c r="R171" s="216"/>
      <c r="S171" s="217"/>
    </row>
    <row r="172" spans="1:19" ht="17.25" thickBot="1">
      <c r="A172" s="132" t="s">
        <v>300</v>
      </c>
      <c r="B172" s="276">
        <f>$B$37</f>
        <v>100000</v>
      </c>
      <c r="C172" s="277"/>
      <c r="D172" s="26" t="s">
        <v>301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301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301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301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218"/>
      <c r="R172" s="219"/>
      <c r="S172" s="220"/>
    </row>
    <row r="174" spans="1:19" ht="17.25" thickBot="1"/>
    <row r="175" spans="1:19" ht="17.25" thickBot="1">
      <c r="A175" s="234" t="s">
        <v>285</v>
      </c>
      <c r="B175" s="235"/>
      <c r="C175" s="235"/>
      <c r="D175" s="235"/>
      <c r="E175" s="235"/>
      <c r="F175" s="235"/>
      <c r="G175" s="235"/>
      <c r="H175" s="235"/>
      <c r="I175" s="235"/>
      <c r="J175" s="235"/>
      <c r="K175" s="235"/>
      <c r="L175" s="235"/>
      <c r="M175" s="235"/>
      <c r="N175" s="235"/>
      <c r="O175" s="236"/>
      <c r="Q175" s="233"/>
      <c r="R175" s="233"/>
      <c r="S175" s="233"/>
    </row>
    <row r="176" spans="1:19" ht="17.25" thickBot="1">
      <c r="A176" s="157" t="s">
        <v>297</v>
      </c>
      <c r="B176" s="234" t="s">
        <v>49</v>
      </c>
      <c r="C176" s="236"/>
      <c r="D176" s="234" t="s">
        <v>58</v>
      </c>
      <c r="E176" s="235"/>
      <c r="F176" s="236"/>
      <c r="G176" s="237">
        <f>_xlfn.IFNA(VLOOKUP(B176, 현재가테이블!$B$2:$D$200, 2, FALSE), "-")</f>
        <v>41418000</v>
      </c>
      <c r="H176" s="238"/>
      <c r="I176" s="239"/>
      <c r="J176" s="234" t="s">
        <v>59</v>
      </c>
      <c r="K176" s="235"/>
      <c r="L176" s="236"/>
      <c r="M176" s="240">
        <f>_xlfn.IFNA(VLOOKUP(B176, 현재가테이블!$B$2:$D$200, 3, FALSE), "-")</f>
        <v>-5.2176301000000001E-2</v>
      </c>
      <c r="N176" s="241"/>
      <c r="O176" s="242"/>
      <c r="Q176" s="233"/>
      <c r="R176" s="233"/>
      <c r="S176" s="233"/>
    </row>
    <row r="177" spans="1:19" ht="17.25" thickBot="1">
      <c r="A177" s="278" t="s">
        <v>55</v>
      </c>
      <c r="B177" s="274" t="str">
        <f>TEXT($G$1, "[$-ko-KR]yyyy-mm-dd(ddd) ") &amp; "오전 00:00"</f>
        <v>2021-06-01(화) 오전 00:00</v>
      </c>
      <c r="C177" s="275"/>
      <c r="D177" s="247" t="str">
        <f>TEXT($G$1, "[$-ko-KR]yyyy-mm-dd(ddd) ") &amp; "오후 14:00"</f>
        <v>2021-06-01(화) 오후 14:00</v>
      </c>
      <c r="E177" s="248"/>
      <c r="F177" s="249"/>
      <c r="G177" s="247" t="str">
        <f>TEXT($G$1, "[$-ko-KR]yyyy-mm-dd(ddd) ") &amp; "오후 19:00"</f>
        <v>2021-06-01(화) 오후 19:00</v>
      </c>
      <c r="H177" s="248"/>
      <c r="I177" s="249"/>
      <c r="J177" s="247" t="str">
        <f>TEXT($G$1, "[$-ko-KR]yyyy-mm-dd(ddd) ") &amp; "오후 21:00"</f>
        <v>2021-06-01(화) 오후 21:00</v>
      </c>
      <c r="K177" s="248"/>
      <c r="L177" s="249"/>
      <c r="M177" s="247" t="str">
        <f>TEXT($G$1+1, "[$-ko-KR]yyyy-mm-dd(ddd) ") &amp; "오전 00:00"</f>
        <v>2021-06-02(수) 오전 00:00</v>
      </c>
      <c r="N177" s="248"/>
      <c r="O177" s="249"/>
      <c r="Q177" s="233"/>
      <c r="R177" s="233"/>
      <c r="S177" s="233"/>
    </row>
    <row r="178" spans="1:19" ht="17.25" thickBot="1">
      <c r="A178" s="279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58" t="s">
        <v>58</v>
      </c>
      <c r="H178" s="159" t="s">
        <v>298</v>
      </c>
      <c r="I178" s="160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3"/>
      <c r="R178" s="223"/>
      <c r="S178" s="223"/>
    </row>
    <row r="179" spans="1:19" ht="17.25" thickBot="1">
      <c r="A179" s="123" t="s">
        <v>202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33"/>
      <c r="R179" s="233"/>
      <c r="S179" s="233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33"/>
      <c r="R180" s="233"/>
      <c r="S180" s="233"/>
    </row>
    <row r="181" spans="1:19" ht="17.25" thickBot="1">
      <c r="A181" s="125" t="s">
        <v>218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23"/>
      <c r="R181" s="223"/>
      <c r="S181" s="223"/>
    </row>
    <row r="182" spans="1:19" ht="17.25" thickBot="1">
      <c r="A182" s="125" t="s">
        <v>232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23"/>
      <c r="R182" s="223"/>
      <c r="S182" s="223"/>
    </row>
    <row r="183" spans="1:19" ht="17.25" thickBot="1">
      <c r="A183" s="127" t="s">
        <v>226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23"/>
      <c r="R183" s="223"/>
      <c r="S183" s="223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23"/>
      <c r="R184" s="223"/>
      <c r="S184" s="223"/>
    </row>
    <row r="185" spans="1:19" ht="17.25" thickBot="1">
      <c r="A185" s="125" t="s">
        <v>194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23"/>
      <c r="R185" s="223"/>
      <c r="S185" s="223"/>
    </row>
    <row r="186" spans="1:19" ht="17.25" thickBot="1">
      <c r="A186" s="125" t="s">
        <v>210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23"/>
      <c r="R186" s="223"/>
      <c r="S186" s="223"/>
    </row>
    <row r="187" spans="1:19" ht="17.25" thickBot="1">
      <c r="A187" s="125" t="s">
        <v>280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234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24"/>
      <c r="R188" s="225"/>
      <c r="S188" s="226"/>
    </row>
    <row r="189" spans="1:19">
      <c r="A189" s="123" t="s">
        <v>252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27"/>
      <c r="R189" s="228"/>
      <c r="S189" s="229"/>
    </row>
    <row r="190" spans="1:19" ht="17.25" thickBot="1">
      <c r="A190" s="125" t="s">
        <v>220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30"/>
      <c r="R190" s="231"/>
      <c r="S190" s="232"/>
    </row>
    <row r="191" spans="1:19" ht="17.25" thickBot="1">
      <c r="A191" s="125" t="s">
        <v>238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23"/>
      <c r="R191" s="223"/>
      <c r="S191" s="223"/>
    </row>
    <row r="192" spans="1:19" ht="17.25" thickBot="1">
      <c r="A192" s="125" t="s">
        <v>164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33"/>
      <c r="R192" s="233"/>
      <c r="S192" s="233"/>
    </row>
    <row r="193" spans="1:19" ht="17.25" thickBot="1">
      <c r="A193" s="127" t="s">
        <v>268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33"/>
      <c r="R193" s="233"/>
      <c r="S193" s="233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23"/>
      <c r="R194" s="223"/>
      <c r="S194" s="223"/>
    </row>
    <row r="195" spans="1:19" ht="17.25" thickBot="1">
      <c r="A195" s="125" t="s">
        <v>172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23"/>
      <c r="R195" s="223"/>
      <c r="S195" s="223"/>
    </row>
    <row r="196" spans="1:19" ht="17.25" thickBot="1">
      <c r="A196" s="125" t="s">
        <v>192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23"/>
      <c r="R196" s="223"/>
      <c r="S196" s="223"/>
    </row>
    <row r="197" spans="1:19">
      <c r="A197" s="125" t="s">
        <v>274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212"/>
      <c r="R197" s="213"/>
      <c r="S197" s="214"/>
    </row>
    <row r="198" spans="1:19" ht="17.25" thickBot="1">
      <c r="A198" s="130" t="s">
        <v>246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215"/>
      <c r="R198" s="216"/>
      <c r="S198" s="217"/>
    </row>
    <row r="199" spans="1:19" ht="17.25" thickBot="1">
      <c r="A199" s="132" t="s">
        <v>300</v>
      </c>
      <c r="B199" s="276">
        <f>$B$37</f>
        <v>100000</v>
      </c>
      <c r="C199" s="277"/>
      <c r="D199" s="26" t="s">
        <v>301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301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301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301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218"/>
      <c r="R199" s="219"/>
      <c r="S199" s="22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15" priority="157">
      <formula>AND($N17 &gt; 0, ISNUMBER($N17))</formula>
    </cfRule>
    <cfRule type="expression" dxfId="2314" priority="158">
      <formula>AND($N17 = 0 * ISNUMBER($N17))</formula>
    </cfRule>
    <cfRule type="expression" dxfId="2313" priority="159">
      <formula>AND($N17 &lt; 0, ISNUMBER($N17))</formula>
    </cfRule>
  </conditionalFormatting>
  <conditionalFormatting sqref="A17:F36">
    <cfRule type="expression" dxfId="2312" priority="166">
      <formula>AND($E17 &gt; 0, ISNUMBER($E17))</formula>
    </cfRule>
    <cfRule type="expression" dxfId="2311" priority="167">
      <formula>AND($E17 = 0 * ISNUMBER($E17))</formula>
    </cfRule>
    <cfRule type="expression" dxfId="2310" priority="168">
      <formula>AND($E17 &lt; 0, ISNUMBER($E17))</formula>
    </cfRule>
  </conditionalFormatting>
  <conditionalFormatting sqref="A17:C36 G17:I36">
    <cfRule type="expression" dxfId="2309" priority="163">
      <formula>AND($H17 &gt; 0, ISNUMBER($H17))</formula>
    </cfRule>
    <cfRule type="expression" dxfId="2308" priority="164">
      <formula>AND($H17 = 0 * ISNUMBER($H17))</formula>
    </cfRule>
    <cfRule type="expression" dxfId="2307" priority="165">
      <formula>AND($H17 &lt; 0, ISNUMBER($H17))</formula>
    </cfRule>
  </conditionalFormatting>
  <conditionalFormatting sqref="A17:C36 J17:L36">
    <cfRule type="expression" dxfId="2306" priority="160">
      <formula>AND($K17 &gt; 0, ISNUMBER($K17))</formula>
    </cfRule>
    <cfRule type="expression" dxfId="2305" priority="161">
      <formula>AND($K17 = 0 * ISNUMBER($K17))</formula>
    </cfRule>
    <cfRule type="expression" dxfId="2304" priority="162">
      <formula>AND($K17 &lt; 0, ISNUMBER($K17))</formula>
    </cfRule>
  </conditionalFormatting>
  <conditionalFormatting sqref="D15:F16 E37:F37">
    <cfRule type="expression" dxfId="2303" priority="154">
      <formula>$E$37 &gt; 0</formula>
    </cfRule>
    <cfRule type="expression" dxfId="2302" priority="155">
      <formula>$E$37 = 0</formula>
    </cfRule>
    <cfRule type="expression" dxfId="2301" priority="156">
      <formula>$E$37 &lt; 0</formula>
    </cfRule>
  </conditionalFormatting>
  <conditionalFormatting sqref="G15:I16 H37:I37">
    <cfRule type="expression" dxfId="2300" priority="151">
      <formula>$H$37 &gt; 0</formula>
    </cfRule>
    <cfRule type="expression" dxfId="2299" priority="152">
      <formula>$H$37 = 0</formula>
    </cfRule>
    <cfRule type="expression" dxfId="2298" priority="153">
      <formula>$H$37 &lt; 0</formula>
    </cfRule>
  </conditionalFormatting>
  <conditionalFormatting sqref="J15:L16 K37:L37">
    <cfRule type="expression" dxfId="2297" priority="148">
      <formula>$K$37 &gt; 0</formula>
    </cfRule>
    <cfRule type="expression" dxfId="2296" priority="149">
      <formula>$K$37 = 0</formula>
    </cfRule>
    <cfRule type="expression" dxfId="2295" priority="150">
      <formula>$K$37 &lt; 0</formula>
    </cfRule>
  </conditionalFormatting>
  <conditionalFormatting sqref="M15:O16 N37:O37">
    <cfRule type="expression" dxfId="2294" priority="145">
      <formula>$N$37 &gt; 0</formula>
    </cfRule>
    <cfRule type="expression" dxfId="2293" priority="146">
      <formula>$N$37 = 0</formula>
    </cfRule>
    <cfRule type="expression" dxfId="2292" priority="147">
      <formula>$N$37 &lt; 0</formula>
    </cfRule>
  </conditionalFormatting>
  <conditionalFormatting sqref="A44:C63 M44:O63">
    <cfRule type="expression" dxfId="2291" priority="133">
      <formula>AND($N44 &gt; 0, ISNUMBER($N44))</formula>
    </cfRule>
    <cfRule type="expression" dxfId="2290" priority="134">
      <formula>AND($N44 = 0 * ISNUMBER($N44))</formula>
    </cfRule>
    <cfRule type="expression" dxfId="2289" priority="135">
      <formula>AND($N44 &lt; 0, ISNUMBER($N44))</formula>
    </cfRule>
  </conditionalFormatting>
  <conditionalFormatting sqref="A44:F63">
    <cfRule type="expression" dxfId="2288" priority="142">
      <formula>AND($E44 &gt; 0, ISNUMBER($E44))</formula>
    </cfRule>
    <cfRule type="expression" dxfId="2287" priority="143">
      <formula>AND($E44 = 0 * ISNUMBER($E44))</formula>
    </cfRule>
    <cfRule type="expression" dxfId="2286" priority="144">
      <formula>AND($E44 &lt; 0, ISNUMBER($E44))</formula>
    </cfRule>
  </conditionalFormatting>
  <conditionalFormatting sqref="A44:C63 G44:I63">
    <cfRule type="expression" dxfId="2285" priority="139">
      <formula>AND($H44 &gt; 0, ISNUMBER($H44))</formula>
    </cfRule>
    <cfRule type="expression" dxfId="2284" priority="140">
      <formula>AND($H44 = 0 * ISNUMBER($H44))</formula>
    </cfRule>
    <cfRule type="expression" dxfId="2283" priority="141">
      <formula>AND($H44 &lt; 0, ISNUMBER($H44))</formula>
    </cfRule>
  </conditionalFormatting>
  <conditionalFormatting sqref="A44:C63 J44:L63">
    <cfRule type="expression" dxfId="2282" priority="136">
      <formula>AND($K44 &gt; 0, ISNUMBER($K44))</formula>
    </cfRule>
    <cfRule type="expression" dxfId="2281" priority="137">
      <formula>AND($K44 = 0 * ISNUMBER($K44))</formula>
    </cfRule>
    <cfRule type="expression" dxfId="2280" priority="138">
      <formula>AND($K44 &lt; 0, ISNUMBER($K44))</formula>
    </cfRule>
  </conditionalFormatting>
  <conditionalFormatting sqref="D42:F43 E64:F64">
    <cfRule type="expression" dxfId="2279" priority="130">
      <formula>$E$64 &gt; 0</formula>
    </cfRule>
    <cfRule type="expression" dxfId="2278" priority="131">
      <formula>$E$64 = 0</formula>
    </cfRule>
    <cfRule type="expression" dxfId="2277" priority="132">
      <formula>$E$64 &lt; 0</formula>
    </cfRule>
  </conditionalFormatting>
  <conditionalFormatting sqref="G42:I43 H64:I64">
    <cfRule type="expression" dxfId="2276" priority="127">
      <formula>$H$64 &gt; 0</formula>
    </cfRule>
    <cfRule type="expression" dxfId="2275" priority="128">
      <formula>$H$64 = 0</formula>
    </cfRule>
    <cfRule type="expression" dxfId="2274" priority="129">
      <formula>$H$64 &lt; 0</formula>
    </cfRule>
  </conditionalFormatting>
  <conditionalFormatting sqref="J42:L43 K64:L64">
    <cfRule type="expression" dxfId="2273" priority="124">
      <formula>$K$64 &gt; 0</formula>
    </cfRule>
    <cfRule type="expression" dxfId="2272" priority="125">
      <formula>$K$64 = 0</formula>
    </cfRule>
    <cfRule type="expression" dxfId="2271" priority="126">
      <formula>$K$64 &lt; 0</formula>
    </cfRule>
  </conditionalFormatting>
  <conditionalFormatting sqref="M42:O43 N64:O64">
    <cfRule type="expression" dxfId="2270" priority="121">
      <formula>$N$64 &gt; 0</formula>
    </cfRule>
    <cfRule type="expression" dxfId="2269" priority="122">
      <formula>$N$64 = 0</formula>
    </cfRule>
    <cfRule type="expression" dxfId="2268" priority="123">
      <formula>$N$64 &lt; 0</formula>
    </cfRule>
  </conditionalFormatting>
  <conditionalFormatting sqref="A71:C90 M71:O90">
    <cfRule type="expression" dxfId="2267" priority="109">
      <formula>AND($N71 &gt; 0, ISNUMBER($N71))</formula>
    </cfRule>
    <cfRule type="expression" dxfId="2266" priority="110">
      <formula>AND($N71 = 0 * ISNUMBER($N71))</formula>
    </cfRule>
    <cfRule type="expression" dxfId="2265" priority="111">
      <formula>AND($N71 &lt; 0, ISNUMBER($N71))</formula>
    </cfRule>
  </conditionalFormatting>
  <conditionalFormatting sqref="A71:F90">
    <cfRule type="expression" dxfId="2264" priority="118">
      <formula>AND($E71 &gt; 0, ISNUMBER($E71))</formula>
    </cfRule>
    <cfRule type="expression" dxfId="2263" priority="119">
      <formula>AND($E71 = 0 * ISNUMBER($E71))</formula>
    </cfRule>
    <cfRule type="expression" dxfId="2262" priority="120">
      <formula>AND($E71 &lt; 0, ISNUMBER($E71))</formula>
    </cfRule>
  </conditionalFormatting>
  <conditionalFormatting sqref="A71:C90 G71:I90">
    <cfRule type="expression" dxfId="2261" priority="115">
      <formula>AND($H71 &gt; 0, ISNUMBER($H71))</formula>
    </cfRule>
    <cfRule type="expression" dxfId="2260" priority="116">
      <formula>AND($H71 = 0 * ISNUMBER($H71))</formula>
    </cfRule>
    <cfRule type="expression" dxfId="2259" priority="117">
      <formula>AND($H71 &lt; 0, ISNUMBER($H71))</formula>
    </cfRule>
  </conditionalFormatting>
  <conditionalFormatting sqref="A71:C90 J71:L90">
    <cfRule type="expression" dxfId="2258" priority="112">
      <formula>AND($K71 &gt; 0, ISNUMBER($K71))</formula>
    </cfRule>
    <cfRule type="expression" dxfId="2257" priority="113">
      <formula>AND($K71 = 0 * ISNUMBER($K71))</formula>
    </cfRule>
    <cfRule type="expression" dxfId="2256" priority="114">
      <formula>AND($K71 &lt; 0, ISNUMBER($K71))</formula>
    </cfRule>
  </conditionalFormatting>
  <conditionalFormatting sqref="D69:F70 E91:F91">
    <cfRule type="expression" dxfId="2255" priority="106">
      <formula>$E$91 &gt; 0</formula>
    </cfRule>
    <cfRule type="expression" dxfId="2254" priority="107">
      <formula>$E$91 = 0</formula>
    </cfRule>
    <cfRule type="expression" dxfId="2253" priority="108">
      <formula>$E$91 &lt; 0</formula>
    </cfRule>
  </conditionalFormatting>
  <conditionalFormatting sqref="G69:I70 H91:I91">
    <cfRule type="expression" dxfId="2252" priority="103">
      <formula>$H$91 &gt; 0</formula>
    </cfRule>
    <cfRule type="expression" dxfId="2251" priority="104">
      <formula>$H$91 = 0</formula>
    </cfRule>
    <cfRule type="expression" dxfId="2250" priority="105">
      <formula>$H$91 &lt; 0</formula>
    </cfRule>
  </conditionalFormatting>
  <conditionalFormatting sqref="J69:L70 K91:L91">
    <cfRule type="expression" dxfId="2249" priority="100">
      <formula>$K$91 &gt; 0</formula>
    </cfRule>
    <cfRule type="expression" dxfId="2248" priority="101">
      <formula>$K$91 = 0</formula>
    </cfRule>
    <cfRule type="expression" dxfId="2247" priority="102">
      <formula>$K$91 &lt; 0</formula>
    </cfRule>
  </conditionalFormatting>
  <conditionalFormatting sqref="M69:O70 N91:O91">
    <cfRule type="expression" dxfId="2246" priority="97">
      <formula>$N$91 &gt; 0</formula>
    </cfRule>
    <cfRule type="expression" dxfId="2245" priority="98">
      <formula>$N$91 = 0</formula>
    </cfRule>
    <cfRule type="expression" dxfId="2244" priority="99">
      <formula>$N$91 &lt; 0</formula>
    </cfRule>
  </conditionalFormatting>
  <conditionalFormatting sqref="A98:C117 M98:O117">
    <cfRule type="expression" dxfId="2243" priority="85">
      <formula>AND($N98 &gt; 0, ISNUMBER($N98))</formula>
    </cfRule>
    <cfRule type="expression" dxfId="2242" priority="86">
      <formula>AND($N98 = 0 * ISNUMBER($N98))</formula>
    </cfRule>
    <cfRule type="expression" dxfId="2241" priority="87">
      <formula>AND($N98 &lt; 0, ISNUMBER($N98))</formula>
    </cfRule>
  </conditionalFormatting>
  <conditionalFormatting sqref="A98:F117">
    <cfRule type="expression" dxfId="2240" priority="94">
      <formula>AND($E98 &gt; 0, ISNUMBER($E98))</formula>
    </cfRule>
    <cfRule type="expression" dxfId="2239" priority="95">
      <formula>AND($E98 = 0 * ISNUMBER($E98))</formula>
    </cfRule>
    <cfRule type="expression" dxfId="2238" priority="96">
      <formula>AND($E98 &lt; 0, ISNUMBER($E98))</formula>
    </cfRule>
  </conditionalFormatting>
  <conditionalFormatting sqref="A98:C117 G98:I117">
    <cfRule type="expression" dxfId="2237" priority="91">
      <formula>AND($H98 &gt; 0, ISNUMBER($H98))</formula>
    </cfRule>
    <cfRule type="expression" dxfId="2236" priority="92">
      <formula>AND($H98 = 0 * ISNUMBER($H98))</formula>
    </cfRule>
    <cfRule type="expression" dxfId="2235" priority="93">
      <formula>AND($H98 &lt; 0, ISNUMBER($H98))</formula>
    </cfRule>
  </conditionalFormatting>
  <conditionalFormatting sqref="A98:C117 J98:L117">
    <cfRule type="expression" dxfId="2234" priority="88">
      <formula>AND($K98 &gt; 0, ISNUMBER($K98))</formula>
    </cfRule>
    <cfRule type="expression" dxfId="2233" priority="89">
      <formula>AND($K98 = 0 * ISNUMBER($K98))</formula>
    </cfRule>
    <cfRule type="expression" dxfId="2232" priority="90">
      <formula>AND($K98 &lt; 0, ISNUMBER($K98))</formula>
    </cfRule>
  </conditionalFormatting>
  <conditionalFormatting sqref="D96:F97 E118:F118">
    <cfRule type="expression" dxfId="2231" priority="82">
      <formula>$E$118 &gt; 0</formula>
    </cfRule>
    <cfRule type="expression" dxfId="2230" priority="83">
      <formula>$E$118 = 0</formula>
    </cfRule>
    <cfRule type="expression" dxfId="2229" priority="84">
      <formula>$E$118 &lt; 0</formula>
    </cfRule>
  </conditionalFormatting>
  <conditionalFormatting sqref="G96:I97 H118:I118">
    <cfRule type="expression" dxfId="2228" priority="79">
      <formula>$H$118 &gt; 0</formula>
    </cfRule>
    <cfRule type="expression" dxfId="2227" priority="80">
      <formula>$H$118 = 0</formula>
    </cfRule>
    <cfRule type="expression" dxfId="2226" priority="81">
      <formula>$H$118 &lt; 0</formula>
    </cfRule>
  </conditionalFormatting>
  <conditionalFormatting sqref="J96:L97 K118:L118">
    <cfRule type="expression" dxfId="2225" priority="76">
      <formula>$K$118 &gt; 0</formula>
    </cfRule>
    <cfRule type="expression" dxfId="2224" priority="77">
      <formula>$K$118 = 0</formula>
    </cfRule>
    <cfRule type="expression" dxfId="2223" priority="78">
      <formula>$K$118 &lt; 0</formula>
    </cfRule>
  </conditionalFormatting>
  <conditionalFormatting sqref="M96:O97 N118:O118">
    <cfRule type="expression" dxfId="2222" priority="73">
      <formula>$N$118 &gt; 0</formula>
    </cfRule>
    <cfRule type="expression" dxfId="2221" priority="74">
      <formula>$N$118 = 0</formula>
    </cfRule>
    <cfRule type="expression" dxfId="2220" priority="75">
      <formula>$N$118 &lt; 0</formula>
    </cfRule>
  </conditionalFormatting>
  <conditionalFormatting sqref="A125:C144 M125:O144">
    <cfRule type="expression" dxfId="2219" priority="61">
      <formula>AND($N125 &gt; 0, ISNUMBER($N125))</formula>
    </cfRule>
    <cfRule type="expression" dxfId="2218" priority="62">
      <formula>AND($N125 = 0 * ISNUMBER($N125))</formula>
    </cfRule>
    <cfRule type="expression" dxfId="2217" priority="63">
      <formula>AND($N125 &lt; 0, ISNUMBER($N125))</formula>
    </cfRule>
  </conditionalFormatting>
  <conditionalFormatting sqref="A125:F144">
    <cfRule type="expression" dxfId="2216" priority="70">
      <formula>AND($E125 &gt; 0, ISNUMBER($E125))</formula>
    </cfRule>
    <cfRule type="expression" dxfId="2215" priority="71">
      <formula>AND($E125 = 0 * ISNUMBER($E125))</formula>
    </cfRule>
    <cfRule type="expression" dxfId="2214" priority="72">
      <formula>AND($E125 &lt; 0, ISNUMBER($E125))</formula>
    </cfRule>
  </conditionalFormatting>
  <conditionalFormatting sqref="A125:C144 G125:I144">
    <cfRule type="expression" dxfId="2213" priority="67">
      <formula>AND($H125 &gt; 0, ISNUMBER($H125))</formula>
    </cfRule>
    <cfRule type="expression" dxfId="2212" priority="68">
      <formula>AND($H125 = 0 * ISNUMBER($H125))</formula>
    </cfRule>
    <cfRule type="expression" dxfId="2211" priority="69">
      <formula>AND($H125 &lt; 0, ISNUMBER($H125))</formula>
    </cfRule>
  </conditionalFormatting>
  <conditionalFormatting sqref="A125:C144 J125:L144">
    <cfRule type="expression" dxfId="2210" priority="64">
      <formula>AND($K125 &gt; 0, ISNUMBER($K125))</formula>
    </cfRule>
    <cfRule type="expression" dxfId="2209" priority="65">
      <formula>AND($K125 = 0 * ISNUMBER($K125))</formula>
    </cfRule>
    <cfRule type="expression" dxfId="2208" priority="66">
      <formula>AND($K125 &lt; 0, ISNUMBER($K125))</formula>
    </cfRule>
  </conditionalFormatting>
  <conditionalFormatting sqref="D123:F124 E145:F145">
    <cfRule type="expression" dxfId="2207" priority="58">
      <formula>$E$145 &gt; 0</formula>
    </cfRule>
    <cfRule type="expression" dxfId="2206" priority="59">
      <formula>$E$145 = 0</formula>
    </cfRule>
    <cfRule type="expression" dxfId="2205" priority="60">
      <formula>$E$145 &lt; 0</formula>
    </cfRule>
  </conditionalFormatting>
  <conditionalFormatting sqref="G123:I124 H145:I145">
    <cfRule type="expression" dxfId="2204" priority="55">
      <formula>$H$145 &gt; 0</formula>
    </cfRule>
    <cfRule type="expression" dxfId="2203" priority="56">
      <formula>$H$145 = 0</formula>
    </cfRule>
    <cfRule type="expression" dxfId="2202" priority="57">
      <formula>$H$145 &lt; 0</formula>
    </cfRule>
  </conditionalFormatting>
  <conditionalFormatting sqref="J123:L124 K145:L145">
    <cfRule type="expression" dxfId="2201" priority="52">
      <formula>$K$145 &gt; 0</formula>
    </cfRule>
    <cfRule type="expression" dxfId="2200" priority="53">
      <formula>$K$145 = 0</formula>
    </cfRule>
    <cfRule type="expression" dxfId="2199" priority="54">
      <formula>$K$145 &lt; 0</formula>
    </cfRule>
  </conditionalFormatting>
  <conditionalFormatting sqref="M123:O124 N145:O145">
    <cfRule type="expression" dxfId="2198" priority="49">
      <formula>$N$145 &gt; 0</formula>
    </cfRule>
    <cfRule type="expression" dxfId="2197" priority="50">
      <formula>$N$145 = 0</formula>
    </cfRule>
    <cfRule type="expression" dxfId="2196" priority="51">
      <formula>$N$145 &lt; 0</formula>
    </cfRule>
  </conditionalFormatting>
  <conditionalFormatting sqref="A152:C171 M152:O171">
    <cfRule type="expression" dxfId="2195" priority="37">
      <formula>AND($N152 &gt; 0, ISNUMBER($N152))</formula>
    </cfRule>
    <cfRule type="expression" dxfId="2194" priority="38">
      <formula>AND($N152 = 0 * ISNUMBER($N152))</formula>
    </cfRule>
    <cfRule type="expression" dxfId="2193" priority="39">
      <formula>AND($N152 &lt; 0, ISNUMBER($N152))</formula>
    </cfRule>
  </conditionalFormatting>
  <conditionalFormatting sqref="A152:F171">
    <cfRule type="expression" dxfId="2192" priority="46">
      <formula>AND($E152 &gt; 0, ISNUMBER($E152))</formula>
    </cfRule>
    <cfRule type="expression" dxfId="2191" priority="47">
      <formula>AND($E152 = 0 * ISNUMBER($E152))</formula>
    </cfRule>
    <cfRule type="expression" dxfId="2190" priority="48">
      <formula>AND($E152 &lt; 0, ISNUMBER($E152))</formula>
    </cfRule>
  </conditionalFormatting>
  <conditionalFormatting sqref="A152:C171 G152:I171">
    <cfRule type="expression" dxfId="2189" priority="43">
      <formula>AND($H152 &gt; 0, ISNUMBER($H152))</formula>
    </cfRule>
    <cfRule type="expression" dxfId="2188" priority="44">
      <formula>AND($H152 = 0 * ISNUMBER($H152))</formula>
    </cfRule>
    <cfRule type="expression" dxfId="2187" priority="45">
      <formula>AND($H152 &lt; 0, ISNUMBER($H152))</formula>
    </cfRule>
  </conditionalFormatting>
  <conditionalFormatting sqref="A152:C171 J152:L171">
    <cfRule type="expression" dxfId="2186" priority="40">
      <formula>AND($K152 &gt; 0, ISNUMBER($K152))</formula>
    </cfRule>
    <cfRule type="expression" dxfId="2185" priority="41">
      <formula>AND($K152 = 0 * ISNUMBER($K152))</formula>
    </cfRule>
    <cfRule type="expression" dxfId="2184" priority="42">
      <formula>AND($K152 &lt; 0, ISNUMBER($K152))</formula>
    </cfRule>
  </conditionalFormatting>
  <conditionalFormatting sqref="D150:F151 E172:F172">
    <cfRule type="expression" dxfId="2183" priority="34">
      <formula>$E$172 &gt; 0</formula>
    </cfRule>
    <cfRule type="expression" dxfId="2182" priority="35">
      <formula>$E$172 = 0</formula>
    </cfRule>
    <cfRule type="expression" dxfId="2181" priority="36">
      <formula>$E$172 &lt; 0</formula>
    </cfRule>
  </conditionalFormatting>
  <conditionalFormatting sqref="G150:I151 H172:I172">
    <cfRule type="expression" dxfId="2180" priority="31">
      <formula>$H$172 &gt; 0</formula>
    </cfRule>
    <cfRule type="expression" dxfId="2179" priority="32">
      <formula>$H$172 = 0</formula>
    </cfRule>
    <cfRule type="expression" dxfId="2178" priority="33">
      <formula>$H$172 &lt; 0</formula>
    </cfRule>
  </conditionalFormatting>
  <conditionalFormatting sqref="J150:L151 K172:L172">
    <cfRule type="expression" dxfId="2177" priority="28">
      <formula>$K$172 &gt; 0</formula>
    </cfRule>
    <cfRule type="expression" dxfId="2176" priority="29">
      <formula>$K$172 = 0</formula>
    </cfRule>
    <cfRule type="expression" dxfId="2175" priority="30">
      <formula>$K$172 &lt; 0</formula>
    </cfRule>
  </conditionalFormatting>
  <conditionalFormatting sqref="M150:O151 N172:O172">
    <cfRule type="expression" dxfId="2174" priority="25">
      <formula>$N$172 &gt; 0</formula>
    </cfRule>
    <cfRule type="expression" dxfId="2173" priority="26">
      <formula>$N$172 = 0</formula>
    </cfRule>
    <cfRule type="expression" dxfId="2172" priority="27">
      <formula>$N$172 &lt; 0</formula>
    </cfRule>
  </conditionalFormatting>
  <conditionalFormatting sqref="A179:C198 M179:O198">
    <cfRule type="expression" dxfId="2171" priority="13">
      <formula>AND($N179 &gt; 0, ISNUMBER($N179))</formula>
    </cfRule>
    <cfRule type="expression" dxfId="2170" priority="14">
      <formula>AND($N179 = 0 * ISNUMBER($N179))</formula>
    </cfRule>
    <cfRule type="expression" dxfId="2169" priority="15">
      <formula>AND($N179 &lt; 0, ISNUMBER($N179))</formula>
    </cfRule>
  </conditionalFormatting>
  <conditionalFormatting sqref="A179:F198">
    <cfRule type="expression" dxfId="2168" priority="22">
      <formula>AND($E179 &gt; 0, ISNUMBER($E179))</formula>
    </cfRule>
    <cfRule type="expression" dxfId="2167" priority="23">
      <formula>AND($E179 = 0 * ISNUMBER($E179))</formula>
    </cfRule>
    <cfRule type="expression" dxfId="2166" priority="24">
      <formula>AND($E179 &lt; 0, ISNUMBER($E179))</formula>
    </cfRule>
  </conditionalFormatting>
  <conditionalFormatting sqref="A179:C198 G179:I198">
    <cfRule type="expression" dxfId="2165" priority="19">
      <formula>AND($H179 &gt; 0, ISNUMBER($H179))</formula>
    </cfRule>
    <cfRule type="expression" dxfId="2164" priority="20">
      <formula>AND($H179 = 0 * ISNUMBER($H179))</formula>
    </cfRule>
    <cfRule type="expression" dxfId="2163" priority="21">
      <formula>AND($H179 &lt; 0, ISNUMBER($H179))</formula>
    </cfRule>
  </conditionalFormatting>
  <conditionalFormatting sqref="A179:C198 J179:L198">
    <cfRule type="expression" dxfId="2162" priority="16">
      <formula>AND($K179 &gt; 0, ISNUMBER($K179))</formula>
    </cfRule>
    <cfRule type="expression" dxfId="2161" priority="17">
      <formula>AND($K179 = 0 * ISNUMBER($K179))</formula>
    </cfRule>
    <cfRule type="expression" dxfId="2160" priority="18">
      <formula>AND($K179 &lt; 0, ISNUMBER($K179))</formula>
    </cfRule>
  </conditionalFormatting>
  <conditionalFormatting sqref="D177:F178 E199:F199">
    <cfRule type="expression" dxfId="2159" priority="10">
      <formula>$E$199 &gt; 0</formula>
    </cfRule>
    <cfRule type="expression" dxfId="2158" priority="11">
      <formula>$E$199 = 0</formula>
    </cfRule>
    <cfRule type="expression" dxfId="2157" priority="12">
      <formula>$E$199 &lt; 0</formula>
    </cfRule>
  </conditionalFormatting>
  <conditionalFormatting sqref="G177:I178 H199:I199">
    <cfRule type="expression" dxfId="2156" priority="7">
      <formula>$H$199 &gt; 0</formula>
    </cfRule>
    <cfRule type="expression" dxfId="2155" priority="8">
      <formula>$H$199 = 0</formula>
    </cfRule>
    <cfRule type="expression" dxfId="2154" priority="9">
      <formula>$H$199 &lt; 0</formula>
    </cfRule>
  </conditionalFormatting>
  <conditionalFormatting sqref="J177:L178 K199:L199">
    <cfRule type="expression" dxfId="2153" priority="4">
      <formula>$K$199 &gt; 0</formula>
    </cfRule>
    <cfRule type="expression" dxfId="2152" priority="5">
      <formula>$K$199 = 0</formula>
    </cfRule>
    <cfRule type="expression" dxfId="2151" priority="6">
      <formula>$K$199 &lt; 0</formula>
    </cfRule>
  </conditionalFormatting>
  <conditionalFormatting sqref="M177:O178 N199:O199">
    <cfRule type="expression" dxfId="2150" priority="1">
      <formula>$N$199 &gt; 0</formula>
    </cfRule>
    <cfRule type="expression" dxfId="2149" priority="2">
      <formula>$N$199 = 0</formula>
    </cfRule>
    <cfRule type="expression" dxfId="21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4" t="s">
        <v>0</v>
      </c>
      <c r="B1" s="235"/>
      <c r="C1" s="235"/>
      <c r="D1" s="235"/>
      <c r="E1" s="235"/>
      <c r="F1" s="236"/>
      <c r="G1" s="265">
        <v>44349</v>
      </c>
      <c r="H1" s="266"/>
      <c r="I1" s="267"/>
      <c r="J1" s="234" t="s">
        <v>1</v>
      </c>
      <c r="K1" s="235"/>
      <c r="L1" s="235"/>
      <c r="M1" s="235"/>
      <c r="N1" s="235"/>
      <c r="O1" s="236"/>
      <c r="Q1" s="234" t="s">
        <v>2</v>
      </c>
      <c r="R1" s="236"/>
    </row>
    <row r="2" spans="1:19" ht="17.25" customHeight="1">
      <c r="A2" s="117" t="s">
        <v>3</v>
      </c>
      <c r="B2" s="268" t="s">
        <v>8</v>
      </c>
      <c r="C2" s="269"/>
      <c r="D2" s="269"/>
      <c r="E2" s="269"/>
      <c r="F2" s="270"/>
      <c r="G2" s="262" t="s">
        <v>46</v>
      </c>
      <c r="H2" s="263"/>
      <c r="I2" s="264"/>
      <c r="J2" s="1" t="s">
        <v>3</v>
      </c>
      <c r="K2" s="268" t="s">
        <v>350</v>
      </c>
      <c r="L2" s="269"/>
      <c r="M2" s="269"/>
      <c r="N2" s="269"/>
      <c r="O2" s="270"/>
      <c r="Q2" s="2" t="s">
        <v>6</v>
      </c>
      <c r="R2" s="3">
        <v>0.375</v>
      </c>
    </row>
    <row r="3" spans="1:19" ht="17.25" customHeight="1" thickBot="1">
      <c r="A3" s="118" t="s">
        <v>7</v>
      </c>
      <c r="B3" s="259" t="s">
        <v>358</v>
      </c>
      <c r="C3" s="260"/>
      <c r="D3" s="260"/>
      <c r="E3" s="260"/>
      <c r="F3" s="261"/>
      <c r="G3" s="25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56"/>
      <c r="I3" s="257"/>
      <c r="J3" s="4" t="s">
        <v>7</v>
      </c>
      <c r="K3" s="259" t="s">
        <v>351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9" t="s">
        <v>16</v>
      </c>
      <c r="C4" s="260"/>
      <c r="D4" s="260"/>
      <c r="E4" s="260"/>
      <c r="F4" s="261"/>
      <c r="G4" s="262" t="s">
        <v>44</v>
      </c>
      <c r="H4" s="263"/>
      <c r="I4" s="264"/>
      <c r="J4" s="4" t="s">
        <v>11</v>
      </c>
      <c r="K4" s="259" t="s">
        <v>352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9" t="s">
        <v>349</v>
      </c>
      <c r="C5" s="260"/>
      <c r="D5" s="260"/>
      <c r="E5" s="260"/>
      <c r="F5" s="261"/>
      <c r="G5" s="25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56"/>
      <c r="I5" s="257"/>
      <c r="J5" s="4" t="s">
        <v>15</v>
      </c>
      <c r="K5" s="259" t="s">
        <v>353</v>
      </c>
      <c r="L5" s="260"/>
      <c r="M5" s="260"/>
      <c r="N5" s="260"/>
      <c r="O5" s="261"/>
    </row>
    <row r="6" spans="1:19">
      <c r="A6" s="118" t="s">
        <v>18</v>
      </c>
      <c r="B6" s="259"/>
      <c r="C6" s="260"/>
      <c r="D6" s="260"/>
      <c r="E6" s="260"/>
      <c r="F6" s="261"/>
      <c r="G6" s="262" t="s">
        <v>45</v>
      </c>
      <c r="H6" s="263"/>
      <c r="I6" s="264"/>
      <c r="J6" s="4" t="s">
        <v>18</v>
      </c>
      <c r="K6" s="259" t="s">
        <v>354</v>
      </c>
      <c r="L6" s="260"/>
      <c r="M6" s="260"/>
      <c r="N6" s="260"/>
      <c r="O6" s="261"/>
    </row>
    <row r="7" spans="1:19" ht="17.25" thickBot="1">
      <c r="A7" s="118" t="s">
        <v>21</v>
      </c>
      <c r="B7" s="259"/>
      <c r="C7" s="260"/>
      <c r="D7" s="260"/>
      <c r="E7" s="260"/>
      <c r="F7" s="261"/>
      <c r="G7" s="25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56"/>
      <c r="I7" s="257"/>
      <c r="J7" s="4" t="s">
        <v>21</v>
      </c>
      <c r="K7" s="259" t="s">
        <v>355</v>
      </c>
      <c r="L7" s="260"/>
      <c r="M7" s="260"/>
      <c r="N7" s="260"/>
      <c r="O7" s="261"/>
    </row>
    <row r="8" spans="1:19" ht="17.25" thickBot="1">
      <c r="A8" s="118" t="s">
        <v>24</v>
      </c>
      <c r="B8" s="259"/>
      <c r="C8" s="260"/>
      <c r="D8" s="260"/>
      <c r="E8" s="260"/>
      <c r="F8" s="261"/>
      <c r="G8" s="262" t="s">
        <v>285</v>
      </c>
      <c r="H8" s="263"/>
      <c r="I8" s="264"/>
      <c r="J8" s="4" t="s">
        <v>24</v>
      </c>
      <c r="K8" s="259"/>
      <c r="L8" s="260"/>
      <c r="M8" s="260"/>
      <c r="N8" s="260"/>
      <c r="O8" s="261"/>
      <c r="Q8" s="234" t="s">
        <v>27</v>
      </c>
      <c r="R8" s="236"/>
    </row>
    <row r="9" spans="1:19" ht="17.25" thickBot="1">
      <c r="A9" s="118" t="s">
        <v>28</v>
      </c>
      <c r="B9" s="259"/>
      <c r="C9" s="260"/>
      <c r="D9" s="260"/>
      <c r="E9" s="260"/>
      <c r="F9" s="261"/>
      <c r="G9" s="25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56"/>
      <c r="I9" s="257"/>
      <c r="J9" s="4" t="s">
        <v>28</v>
      </c>
      <c r="K9" s="259"/>
      <c r="L9" s="260"/>
      <c r="M9" s="260"/>
      <c r="N9" s="260"/>
      <c r="O9" s="261"/>
      <c r="Q9" s="2" t="s">
        <v>29</v>
      </c>
      <c r="R9" s="6">
        <v>10</v>
      </c>
    </row>
    <row r="10" spans="1:19">
      <c r="A10" s="118" t="s">
        <v>30</v>
      </c>
      <c r="B10" s="259"/>
      <c r="C10" s="260"/>
      <c r="D10" s="260"/>
      <c r="E10" s="260"/>
      <c r="F10" s="261"/>
      <c r="G10" s="262" t="s">
        <v>47</v>
      </c>
      <c r="H10" s="263"/>
      <c r="I10" s="264"/>
      <c r="J10" s="4" t="s">
        <v>30</v>
      </c>
      <c r="K10" s="259" t="s">
        <v>356</v>
      </c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119" t="s">
        <v>32</v>
      </c>
      <c r="B11" s="252" t="s">
        <v>357</v>
      </c>
      <c r="C11" s="253"/>
      <c r="D11" s="253"/>
      <c r="E11" s="253"/>
      <c r="F11" s="254"/>
      <c r="G11" s="25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56"/>
      <c r="I11" s="257"/>
      <c r="J11" s="7" t="s">
        <v>32</v>
      </c>
      <c r="K11" s="252" t="s">
        <v>348</v>
      </c>
      <c r="L11" s="253"/>
      <c r="M11" s="253"/>
      <c r="N11" s="253"/>
      <c r="O11" s="254"/>
      <c r="Q11" s="65" t="s">
        <v>33</v>
      </c>
      <c r="R11" s="8">
        <v>1000</v>
      </c>
    </row>
    <row r="12" spans="1:19" ht="17.25" thickBot="1"/>
    <row r="13" spans="1:19" ht="17.25" customHeight="1" thickBot="1">
      <c r="A13" s="234" t="s">
        <v>34</v>
      </c>
      <c r="B13" s="235"/>
      <c r="C13" s="235"/>
      <c r="D13" s="235"/>
      <c r="E13" s="235"/>
      <c r="F13" s="235"/>
      <c r="G13" s="235"/>
      <c r="H13" s="235"/>
      <c r="I13" s="235"/>
      <c r="J13" s="235"/>
      <c r="K13" s="235"/>
      <c r="L13" s="235"/>
      <c r="M13" s="235"/>
      <c r="N13" s="235"/>
      <c r="O13" s="236"/>
      <c r="Q13" s="233"/>
      <c r="R13" s="233"/>
      <c r="S13" s="233"/>
    </row>
    <row r="14" spans="1:19" ht="17.25" customHeight="1" thickBot="1">
      <c r="A14" s="164" t="s">
        <v>35</v>
      </c>
      <c r="B14" s="234" t="s">
        <v>36</v>
      </c>
      <c r="C14" s="236"/>
      <c r="D14" s="234" t="s">
        <v>37</v>
      </c>
      <c r="E14" s="235"/>
      <c r="F14" s="236"/>
      <c r="G14" s="237">
        <f>_xlfn.IFNA(VLOOKUP(B14, 현재가테이블!$B$2:$D$200, 2, FALSE), "-")</f>
        <v>41418000</v>
      </c>
      <c r="H14" s="238"/>
      <c r="I14" s="239"/>
      <c r="J14" s="234" t="s">
        <v>38</v>
      </c>
      <c r="K14" s="235"/>
      <c r="L14" s="236"/>
      <c r="M14" s="240">
        <f>_xlfn.IFNA(VLOOKUP(B14, 현재가테이블!$B$2:$D$200, 3, FALSE), "-")</f>
        <v>-5.2176301000000001E-2</v>
      </c>
      <c r="N14" s="241"/>
      <c r="O14" s="242"/>
      <c r="Q14" s="233"/>
      <c r="R14" s="233"/>
      <c r="S14" s="233"/>
    </row>
    <row r="15" spans="1:19" ht="17.25" customHeight="1" thickBot="1">
      <c r="A15" s="271" t="s">
        <v>39</v>
      </c>
      <c r="B15" s="272" t="str">
        <f>TEXT($G$1, "[$-ko-KR]yyyy-mm-dd(ddd) ") &amp; "오전 00:00"</f>
        <v>2021-06-02(수) 오전 00:00</v>
      </c>
      <c r="C15" s="273"/>
      <c r="D15" s="247" t="str">
        <f>TEXT($G$1, "[$-ko-KR]yyyy-mm-dd(ddd) ") &amp; "오후 14:00"</f>
        <v>2021-06-02(수) 오후 14:00</v>
      </c>
      <c r="E15" s="248"/>
      <c r="F15" s="249"/>
      <c r="G15" s="247" t="str">
        <f>TEXT($G$1, "[$-ko-KR]yyyy-mm-dd(ddd) ") &amp; "오후 19:00"</f>
        <v>2021-06-02(수) 오후 19:00</v>
      </c>
      <c r="H15" s="248"/>
      <c r="I15" s="249"/>
      <c r="J15" s="247" t="str">
        <f>TEXT($G$1, "[$-ko-KR]yyyy-mm-dd(ddd) ") &amp; "오후 21:00"</f>
        <v>2021-06-02(수) 오후 21:00</v>
      </c>
      <c r="K15" s="248"/>
      <c r="L15" s="249"/>
      <c r="M15" s="247" t="str">
        <f>TEXT($G$1+1, "[$-ko-KR]yyyy-mm-dd(ddd) ") &amp; "오전 00:00"</f>
        <v>2021-06-03(목) 오전 00:00</v>
      </c>
      <c r="N15" s="248"/>
      <c r="O15" s="249"/>
      <c r="Q15" s="233"/>
      <c r="R15" s="233"/>
      <c r="S15" s="233"/>
    </row>
    <row r="16" spans="1:19" ht="17.25" customHeight="1" thickBot="1">
      <c r="A16" s="27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33"/>
      <c r="R17" s="233"/>
      <c r="S17" s="233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33"/>
      <c r="R18" s="233"/>
      <c r="S18" s="233"/>
    </row>
    <row r="19" spans="1:19" ht="17.25" customHeight="1" thickBot="1">
      <c r="A19" s="162" t="s">
        <v>246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23"/>
      <c r="R19" s="223"/>
      <c r="S19" s="223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23"/>
      <c r="R20" s="223"/>
      <c r="S20" s="223"/>
    </row>
    <row r="21" spans="1:19" ht="17.25" customHeight="1" thickBot="1">
      <c r="A21" s="163" t="s">
        <v>202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23"/>
      <c r="R21" s="223"/>
      <c r="S21" s="223"/>
    </row>
    <row r="22" spans="1:19" ht="17.25" customHeight="1" thickBot="1">
      <c r="A22" s="162" t="s">
        <v>212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23"/>
      <c r="R22" s="223"/>
      <c r="S22" s="22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3"/>
      <c r="R23" s="223"/>
      <c r="S23" s="22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3"/>
      <c r="R24" s="223"/>
      <c r="S24" s="22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3"/>
      <c r="R29" s="223"/>
      <c r="S29" s="22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3"/>
      <c r="R30" s="233"/>
      <c r="S30" s="23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3"/>
      <c r="R31" s="233"/>
      <c r="S31" s="23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3"/>
      <c r="R32" s="223"/>
      <c r="S32" s="22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2"/>
      <c r="R35" s="213"/>
      <c r="S35" s="2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5"/>
      <c r="R36" s="216"/>
      <c r="S36" s="217"/>
    </row>
    <row r="37" spans="1:19" ht="17.25" customHeight="1" thickBot="1">
      <c r="A37" s="132" t="s">
        <v>42</v>
      </c>
      <c r="B37" s="276">
        <v>100000</v>
      </c>
      <c r="C37" s="277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218"/>
      <c r="R37" s="219"/>
      <c r="S37" s="220"/>
    </row>
    <row r="38" spans="1:19" ht="17.25" customHeight="1"/>
    <row r="39" spans="1:19" ht="17.25" customHeight="1" thickBot="1"/>
    <row r="40" spans="1:19" ht="17.25" customHeight="1" thickBot="1">
      <c r="A40" s="234" t="s">
        <v>44</v>
      </c>
      <c r="B40" s="235"/>
      <c r="C40" s="235"/>
      <c r="D40" s="235"/>
      <c r="E40" s="235"/>
      <c r="F40" s="235"/>
      <c r="G40" s="235"/>
      <c r="H40" s="235"/>
      <c r="I40" s="235"/>
      <c r="J40" s="235"/>
      <c r="K40" s="235"/>
      <c r="L40" s="235"/>
      <c r="M40" s="235"/>
      <c r="N40" s="235"/>
      <c r="O40" s="236"/>
      <c r="Q40" s="233"/>
      <c r="R40" s="233"/>
      <c r="S40" s="233"/>
    </row>
    <row r="41" spans="1:19" ht="17.25" customHeight="1" thickBot="1">
      <c r="A41" s="164" t="s">
        <v>297</v>
      </c>
      <c r="B41" s="234" t="s">
        <v>49</v>
      </c>
      <c r="C41" s="236"/>
      <c r="D41" s="234" t="s">
        <v>58</v>
      </c>
      <c r="E41" s="235"/>
      <c r="F41" s="236"/>
      <c r="G41" s="237">
        <f>_xlfn.IFNA(VLOOKUP(B41, 현재가테이블!$B$2:$D$200, 2, FALSE), "-")</f>
        <v>41418000</v>
      </c>
      <c r="H41" s="238"/>
      <c r="I41" s="239"/>
      <c r="J41" s="234" t="s">
        <v>59</v>
      </c>
      <c r="K41" s="235"/>
      <c r="L41" s="236"/>
      <c r="M41" s="240">
        <f>_xlfn.IFNA(VLOOKUP(B41, 현재가테이블!$B$2:$D$200, 3, FALSE), "-")</f>
        <v>-5.2176301000000001E-2</v>
      </c>
      <c r="N41" s="241"/>
      <c r="O41" s="242"/>
      <c r="Q41" s="233"/>
      <c r="R41" s="233"/>
      <c r="S41" s="233"/>
    </row>
    <row r="42" spans="1:19" ht="17.25" customHeight="1" thickBot="1">
      <c r="A42" s="278" t="s">
        <v>55</v>
      </c>
      <c r="B42" s="274" t="str">
        <f>TEXT($G$1, "[$-ko-KR]yyyy-mm-dd(ddd) ") &amp; "오전 00:00"</f>
        <v>2021-06-02(수) 오전 00:00</v>
      </c>
      <c r="C42" s="275"/>
      <c r="D42" s="247" t="str">
        <f>TEXT($G$1, "[$-ko-KR]yyyy-mm-dd(ddd) ") &amp; "오후 14:00"</f>
        <v>2021-06-02(수) 오후 14:00</v>
      </c>
      <c r="E42" s="248"/>
      <c r="F42" s="249"/>
      <c r="G42" s="247" t="str">
        <f>TEXT($G$1, "[$-ko-KR]yyyy-mm-dd(ddd) ") &amp; "오후 19:00"</f>
        <v>2021-06-02(수) 오후 19:00</v>
      </c>
      <c r="H42" s="248"/>
      <c r="I42" s="249"/>
      <c r="J42" s="247" t="str">
        <f>TEXT($G$1, "[$-ko-KR]yyyy-mm-dd(ddd) ") &amp; "오후 21:00"</f>
        <v>2021-06-02(수) 오후 21:00</v>
      </c>
      <c r="K42" s="248"/>
      <c r="L42" s="249"/>
      <c r="M42" s="247" t="str">
        <f>TEXT($G$1+1, "[$-ko-KR]yyyy-mm-dd(ddd) ") &amp; "오전 00:00"</f>
        <v>2021-06-03(목) 오전 00:00</v>
      </c>
      <c r="N42" s="248"/>
      <c r="O42" s="249"/>
      <c r="Q42" s="233"/>
      <c r="R42" s="233"/>
      <c r="S42" s="233"/>
    </row>
    <row r="43" spans="1:19" ht="17.25" customHeight="1" thickBot="1">
      <c r="A43" s="279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5" t="s">
        <v>58</v>
      </c>
      <c r="H43" s="166" t="s">
        <v>298</v>
      </c>
      <c r="I43" s="16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3"/>
      <c r="R43" s="223"/>
      <c r="S43" s="223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33"/>
      <c r="R44" s="233"/>
      <c r="S44" s="233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33"/>
      <c r="R45" s="233"/>
      <c r="S45" s="233"/>
    </row>
    <row r="46" spans="1:19" ht="17.25" customHeight="1" thickBot="1">
      <c r="A46" s="162" t="s">
        <v>278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23"/>
      <c r="R46" s="223"/>
      <c r="S46" s="223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23"/>
      <c r="R47" s="223"/>
      <c r="S47" s="223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23"/>
      <c r="R48" s="223"/>
      <c r="S48" s="223"/>
    </row>
    <row r="49" spans="1:19" ht="17.25" customHeight="1" thickBot="1">
      <c r="A49" s="162" t="s">
        <v>172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23"/>
      <c r="R49" s="223"/>
      <c r="S49" s="223"/>
    </row>
    <row r="50" spans="1:19" ht="17.25" customHeight="1" thickBot="1">
      <c r="A50" s="162" t="s">
        <v>236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23"/>
      <c r="R50" s="223"/>
      <c r="S50" s="223"/>
    </row>
    <row r="51" spans="1:19" ht="17.25" customHeight="1" thickBot="1">
      <c r="A51" s="162" t="s">
        <v>254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23"/>
      <c r="R51" s="223"/>
      <c r="S51" s="223"/>
    </row>
    <row r="52" spans="1:19" ht="17.25" customHeight="1" thickBot="1">
      <c r="A52" s="162" t="s">
        <v>266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220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24"/>
      <c r="R53" s="225"/>
      <c r="S53" s="226"/>
    </row>
    <row r="54" spans="1:19" ht="17.25" customHeight="1">
      <c r="A54" s="161" t="s">
        <v>186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27"/>
      <c r="R54" s="228"/>
      <c r="S54" s="229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30"/>
      <c r="R55" s="231"/>
      <c r="S55" s="232"/>
    </row>
    <row r="56" spans="1:19" ht="17.25" customHeight="1" thickBot="1">
      <c r="A56" s="162" t="s">
        <v>196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23"/>
      <c r="R56" s="223"/>
      <c r="S56" s="223"/>
    </row>
    <row r="57" spans="1:19" ht="17.25" customHeight="1" thickBot="1">
      <c r="A57" s="162" t="s">
        <v>222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33"/>
      <c r="R57" s="233"/>
      <c r="S57" s="233"/>
    </row>
    <row r="58" spans="1:19" ht="17.25" customHeight="1" thickBot="1">
      <c r="A58" s="163" t="s">
        <v>264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33"/>
      <c r="R58" s="233"/>
      <c r="S58" s="233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23"/>
      <c r="R59" s="223"/>
      <c r="S59" s="223"/>
    </row>
    <row r="60" spans="1:19" ht="17.25" customHeight="1" thickBot="1">
      <c r="A60" s="162" t="s">
        <v>268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23"/>
      <c r="R60" s="223"/>
      <c r="S60" s="223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23"/>
      <c r="R61" s="223"/>
      <c r="S61" s="223"/>
    </row>
    <row r="62" spans="1:19" ht="17.25" customHeight="1">
      <c r="A62" s="162" t="s">
        <v>198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212"/>
      <c r="R62" s="213"/>
      <c r="S62" s="214"/>
    </row>
    <row r="63" spans="1:19" ht="17.25" customHeight="1" thickBot="1">
      <c r="A63" s="130" t="s">
        <v>218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215"/>
      <c r="R63" s="216"/>
      <c r="S63" s="217"/>
    </row>
    <row r="64" spans="1:19" ht="17.25" customHeight="1" thickBot="1">
      <c r="A64" s="132" t="s">
        <v>300</v>
      </c>
      <c r="B64" s="276">
        <f>$B$37</f>
        <v>100000</v>
      </c>
      <c r="C64" s="277"/>
      <c r="D64" s="26" t="s">
        <v>301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301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301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301</v>
      </c>
      <c r="N64" s="27">
        <f>IF(COUNT(N44:N63), SUM(N44:N63) / COUNT(N44:N63), 0)</f>
        <v>2.0836356808595181E-2</v>
      </c>
      <c r="O64" s="28">
        <f>SUM(O44:O63)</f>
        <v>41672.713617190377</v>
      </c>
      <c r="Q64" s="218"/>
      <c r="R64" s="219"/>
      <c r="S64" s="220"/>
    </row>
    <row r="65" spans="1:19" ht="17.25" customHeight="1"/>
    <row r="66" spans="1:19" ht="17.25" customHeight="1" thickBot="1"/>
    <row r="67" spans="1:19" ht="17.25" thickBot="1">
      <c r="A67" s="234" t="s">
        <v>45</v>
      </c>
      <c r="B67" s="235"/>
      <c r="C67" s="235"/>
      <c r="D67" s="235"/>
      <c r="E67" s="235"/>
      <c r="F67" s="235"/>
      <c r="G67" s="235"/>
      <c r="H67" s="235"/>
      <c r="I67" s="235"/>
      <c r="J67" s="235"/>
      <c r="K67" s="235"/>
      <c r="L67" s="235"/>
      <c r="M67" s="235"/>
      <c r="N67" s="235"/>
      <c r="O67" s="236"/>
      <c r="Q67" s="233"/>
      <c r="R67" s="233"/>
      <c r="S67" s="233"/>
    </row>
    <row r="68" spans="1:19" ht="17.25" thickBot="1">
      <c r="A68" s="164" t="s">
        <v>297</v>
      </c>
      <c r="B68" s="234" t="s">
        <v>49</v>
      </c>
      <c r="C68" s="236"/>
      <c r="D68" s="234" t="s">
        <v>58</v>
      </c>
      <c r="E68" s="235"/>
      <c r="F68" s="236"/>
      <c r="G68" s="237">
        <f>_xlfn.IFNA(VLOOKUP(B68, 현재가테이블!$B$2:$D$200, 2, FALSE), "-")</f>
        <v>41418000</v>
      </c>
      <c r="H68" s="238"/>
      <c r="I68" s="239"/>
      <c r="J68" s="234" t="s">
        <v>59</v>
      </c>
      <c r="K68" s="235"/>
      <c r="L68" s="236"/>
      <c r="M68" s="240">
        <f>_xlfn.IFNA(VLOOKUP(B68, 현재가테이블!$B$2:$D$200, 3, FALSE), "-")</f>
        <v>-5.2176301000000001E-2</v>
      </c>
      <c r="N68" s="241"/>
      <c r="O68" s="242"/>
      <c r="Q68" s="233"/>
      <c r="R68" s="233"/>
      <c r="S68" s="233"/>
    </row>
    <row r="69" spans="1:19" ht="17.25" thickBot="1">
      <c r="A69" s="278" t="s">
        <v>55</v>
      </c>
      <c r="B69" s="274" t="str">
        <f>TEXT($G$1, "[$-ko-KR]yyyy-mm-dd(ddd) ") &amp; "오전 00:00"</f>
        <v>2021-06-02(수) 오전 00:00</v>
      </c>
      <c r="C69" s="275"/>
      <c r="D69" s="247" t="str">
        <f>TEXT($G$1, "[$-ko-KR]yyyy-mm-dd(ddd) ") &amp; "오후 14:00"</f>
        <v>2021-06-02(수) 오후 14:00</v>
      </c>
      <c r="E69" s="248"/>
      <c r="F69" s="249"/>
      <c r="G69" s="247" t="str">
        <f>TEXT($G$1, "[$-ko-KR]yyyy-mm-dd(ddd) ") &amp; "오후 19:00"</f>
        <v>2021-06-02(수) 오후 19:00</v>
      </c>
      <c r="H69" s="248"/>
      <c r="I69" s="249"/>
      <c r="J69" s="247" t="str">
        <f>TEXT($G$1, "[$-ko-KR]yyyy-mm-dd(ddd) ") &amp; "오후 21:00"</f>
        <v>2021-06-02(수) 오후 21:00</v>
      </c>
      <c r="K69" s="248"/>
      <c r="L69" s="249"/>
      <c r="M69" s="247" t="str">
        <f>TEXT($G$1+1, "[$-ko-KR]yyyy-mm-dd(ddd) ") &amp; "오전 00:00"</f>
        <v>2021-06-03(목) 오전 00:00</v>
      </c>
      <c r="N69" s="248"/>
      <c r="O69" s="249"/>
      <c r="Q69" s="233"/>
      <c r="R69" s="233"/>
      <c r="S69" s="233"/>
    </row>
    <row r="70" spans="1:19" ht="17.25" thickBot="1">
      <c r="A70" s="279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5" t="s">
        <v>58</v>
      </c>
      <c r="H70" s="166" t="s">
        <v>298</v>
      </c>
      <c r="I70" s="16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3"/>
      <c r="R70" s="223"/>
      <c r="S70" s="223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33"/>
      <c r="R71" s="233"/>
      <c r="S71" s="233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33"/>
      <c r="R72" s="233"/>
      <c r="S72" s="233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23"/>
      <c r="R73" s="223"/>
      <c r="S73" s="223"/>
    </row>
    <row r="74" spans="1:19" ht="17.25" thickBot="1">
      <c r="A74" s="162" t="s">
        <v>168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23"/>
      <c r="R74" s="223"/>
      <c r="S74" s="223"/>
    </row>
    <row r="75" spans="1:19" ht="17.25" thickBot="1">
      <c r="A75" s="163" t="s">
        <v>226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23"/>
      <c r="R75" s="223"/>
      <c r="S75" s="223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23"/>
      <c r="R76" s="223"/>
      <c r="S76" s="223"/>
    </row>
    <row r="77" spans="1:19" ht="17.25" thickBot="1">
      <c r="A77" s="162" t="s">
        <v>296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23"/>
      <c r="R77" s="223"/>
      <c r="S77" s="223"/>
    </row>
    <row r="78" spans="1:19" ht="17.25" thickBot="1">
      <c r="A78" s="162" t="s">
        <v>216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23"/>
      <c r="R78" s="223"/>
      <c r="S78" s="223"/>
    </row>
    <row r="79" spans="1:19" ht="17.25" thickBot="1">
      <c r="A79" s="162" t="s">
        <v>210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240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24"/>
      <c r="R80" s="225"/>
      <c r="S80" s="226"/>
    </row>
    <row r="81" spans="1:19">
      <c r="A81" s="161" t="s">
        <v>170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27"/>
      <c r="R81" s="228"/>
      <c r="S81" s="229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30"/>
      <c r="R82" s="231"/>
      <c r="S82" s="232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23"/>
      <c r="R83" s="223"/>
      <c r="S83" s="223"/>
    </row>
    <row r="84" spans="1:19" ht="17.25" thickBot="1">
      <c r="A84" s="162" t="s">
        <v>182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33"/>
      <c r="R84" s="233"/>
      <c r="S84" s="233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33"/>
      <c r="R85" s="233"/>
      <c r="S85" s="233"/>
    </row>
    <row r="86" spans="1:19" ht="17.25" thickBot="1">
      <c r="A86" s="162" t="s">
        <v>250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23"/>
      <c r="R86" s="223"/>
      <c r="S86" s="223"/>
    </row>
    <row r="87" spans="1:19" ht="17.25" thickBot="1">
      <c r="A87" s="162" t="s">
        <v>252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23"/>
      <c r="R87" s="223"/>
      <c r="S87" s="223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23"/>
      <c r="R88" s="223"/>
      <c r="S88" s="223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212"/>
      <c r="R89" s="213"/>
      <c r="S89" s="214"/>
    </row>
    <row r="90" spans="1:19" ht="17.25" thickBot="1">
      <c r="A90" s="130" t="s">
        <v>256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215"/>
      <c r="R90" s="216"/>
      <c r="S90" s="217"/>
    </row>
    <row r="91" spans="1:19" ht="17.25" thickBot="1">
      <c r="A91" s="132" t="s">
        <v>300</v>
      </c>
      <c r="B91" s="276">
        <f>$B$37</f>
        <v>100000</v>
      </c>
      <c r="C91" s="277"/>
      <c r="D91" s="26" t="s">
        <v>301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301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301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301</v>
      </c>
      <c r="N91" s="27">
        <f>IF(COUNT(N71:N90), SUM(N71:N90) / COUNT(N71:N90), 0)</f>
        <v>3.0210636937261115E-2</v>
      </c>
      <c r="O91" s="28">
        <f>SUM(O71:O90)</f>
        <v>60421.27387452223</v>
      </c>
      <c r="Q91" s="218"/>
      <c r="R91" s="219"/>
      <c r="S91" s="220"/>
    </row>
    <row r="93" spans="1:19" ht="17.25" thickBot="1"/>
    <row r="94" spans="1:19" ht="17.25" thickBot="1">
      <c r="A94" s="234" t="s">
        <v>46</v>
      </c>
      <c r="B94" s="235"/>
      <c r="C94" s="235"/>
      <c r="D94" s="235"/>
      <c r="E94" s="235"/>
      <c r="F94" s="235"/>
      <c r="G94" s="235"/>
      <c r="H94" s="235"/>
      <c r="I94" s="235"/>
      <c r="J94" s="235"/>
      <c r="K94" s="235"/>
      <c r="L94" s="235"/>
      <c r="M94" s="235"/>
      <c r="N94" s="235"/>
      <c r="O94" s="236"/>
      <c r="Q94" s="233"/>
      <c r="R94" s="233"/>
      <c r="S94" s="233"/>
    </row>
    <row r="95" spans="1:19" ht="17.25" thickBot="1">
      <c r="A95" s="164" t="s">
        <v>297</v>
      </c>
      <c r="B95" s="234" t="s">
        <v>49</v>
      </c>
      <c r="C95" s="236"/>
      <c r="D95" s="234" t="s">
        <v>58</v>
      </c>
      <c r="E95" s="235"/>
      <c r="F95" s="236"/>
      <c r="G95" s="237">
        <f>_xlfn.IFNA(VLOOKUP(B95, 현재가테이블!$B$2:$D$200, 2, FALSE), "-")</f>
        <v>41418000</v>
      </c>
      <c r="H95" s="238"/>
      <c r="I95" s="239"/>
      <c r="J95" s="234" t="s">
        <v>59</v>
      </c>
      <c r="K95" s="235"/>
      <c r="L95" s="236"/>
      <c r="M95" s="240">
        <f>_xlfn.IFNA(VLOOKUP(B95, 현재가테이블!$B$2:$D$200, 3, FALSE), "-")</f>
        <v>-5.2176301000000001E-2</v>
      </c>
      <c r="N95" s="241"/>
      <c r="O95" s="242"/>
      <c r="Q95" s="233"/>
      <c r="R95" s="233"/>
      <c r="S95" s="233"/>
    </row>
    <row r="96" spans="1:19" ht="17.25" thickBot="1">
      <c r="A96" s="278" t="s">
        <v>55</v>
      </c>
      <c r="B96" s="274" t="str">
        <f>TEXT($G$1, "[$-ko-KR]yyyy-mm-dd(ddd) ") &amp; "오전 00:00"</f>
        <v>2021-06-02(수) 오전 00:00</v>
      </c>
      <c r="C96" s="275"/>
      <c r="D96" s="247" t="str">
        <f>TEXT($G$1, "[$-ko-KR]yyyy-mm-dd(ddd) ") &amp; "오후 14:00"</f>
        <v>2021-06-02(수) 오후 14:00</v>
      </c>
      <c r="E96" s="248"/>
      <c r="F96" s="249"/>
      <c r="G96" s="247" t="str">
        <f>TEXT($G$1, "[$-ko-KR]yyyy-mm-dd(ddd) ") &amp; "오후 19:00"</f>
        <v>2021-06-02(수) 오후 19:00</v>
      </c>
      <c r="H96" s="248"/>
      <c r="I96" s="249"/>
      <c r="J96" s="247" t="str">
        <f>TEXT($G$1, "[$-ko-KR]yyyy-mm-dd(ddd) ") &amp; "오후 21:00"</f>
        <v>2021-06-02(수) 오후 21:00</v>
      </c>
      <c r="K96" s="248"/>
      <c r="L96" s="249"/>
      <c r="M96" s="247" t="str">
        <f>TEXT($G$1+1, "[$-ko-KR]yyyy-mm-dd(ddd) ") &amp; "오전 00:00"</f>
        <v>2021-06-03(목) 오전 00:00</v>
      </c>
      <c r="N96" s="248"/>
      <c r="O96" s="249"/>
      <c r="Q96" s="233"/>
      <c r="R96" s="233"/>
      <c r="S96" s="233"/>
    </row>
    <row r="97" spans="1:19" ht="17.25" thickBot="1">
      <c r="A97" s="279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5" t="s">
        <v>58</v>
      </c>
      <c r="H97" s="166" t="s">
        <v>298</v>
      </c>
      <c r="I97" s="16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3"/>
      <c r="R97" s="223"/>
      <c r="S97" s="223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33"/>
      <c r="R98" s="233"/>
      <c r="S98" s="233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33"/>
      <c r="R99" s="233"/>
      <c r="S99" s="233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23"/>
      <c r="R100" s="223"/>
      <c r="S100" s="223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23"/>
      <c r="R101" s="223"/>
      <c r="S101" s="223"/>
    </row>
    <row r="102" spans="1:19" ht="17.25" thickBot="1">
      <c r="A102" s="163" t="s">
        <v>248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23"/>
      <c r="R102" s="223"/>
      <c r="S102" s="223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23"/>
      <c r="R103" s="223"/>
      <c r="S103" s="223"/>
    </row>
    <row r="104" spans="1:19" ht="17.25" thickBot="1">
      <c r="A104" s="162" t="s">
        <v>168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23"/>
      <c r="R104" s="223"/>
      <c r="S104" s="223"/>
    </row>
    <row r="105" spans="1:19" ht="17.25" thickBot="1">
      <c r="A105" s="162" t="s">
        <v>226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23"/>
      <c r="R105" s="223"/>
      <c r="S105" s="223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24"/>
      <c r="R107" s="225"/>
      <c r="S107" s="226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27"/>
      <c r="R108" s="228"/>
      <c r="S108" s="229"/>
    </row>
    <row r="109" spans="1:19" ht="17.25" thickBot="1">
      <c r="A109" s="162" t="s">
        <v>242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30"/>
      <c r="R109" s="231"/>
      <c r="S109" s="232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23"/>
      <c r="R110" s="223"/>
      <c r="S110" s="223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33"/>
      <c r="R111" s="233"/>
      <c r="S111" s="233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33"/>
      <c r="R112" s="233"/>
      <c r="S112" s="233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23"/>
      <c r="R113" s="223"/>
      <c r="S113" s="223"/>
    </row>
    <row r="114" spans="1:19" ht="17.25" thickBot="1">
      <c r="A114" s="162" t="s">
        <v>296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23"/>
      <c r="R114" s="223"/>
      <c r="S114" s="223"/>
    </row>
    <row r="115" spans="1:19" ht="17.25" thickBot="1">
      <c r="A115" s="162" t="s">
        <v>184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23"/>
      <c r="R115" s="223"/>
      <c r="S115" s="223"/>
    </row>
    <row r="116" spans="1:19">
      <c r="A116" s="162" t="s">
        <v>162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212"/>
      <c r="R116" s="213"/>
      <c r="S116" s="214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215"/>
      <c r="R117" s="216"/>
      <c r="S117" s="217"/>
    </row>
    <row r="118" spans="1:19" ht="17.25" thickBot="1">
      <c r="A118" s="132" t="s">
        <v>300</v>
      </c>
      <c r="B118" s="276">
        <f>$B$37</f>
        <v>100000</v>
      </c>
      <c r="C118" s="277"/>
      <c r="D118" s="26" t="s">
        <v>301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301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301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301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218"/>
      <c r="R118" s="219"/>
      <c r="S118" s="220"/>
    </row>
    <row r="120" spans="1:19" ht="17.25" thickBot="1"/>
    <row r="121" spans="1:19" ht="17.25" thickBot="1">
      <c r="A121" s="234" t="s">
        <v>288</v>
      </c>
      <c r="B121" s="235"/>
      <c r="C121" s="235"/>
      <c r="D121" s="235"/>
      <c r="E121" s="235"/>
      <c r="F121" s="235"/>
      <c r="G121" s="235"/>
      <c r="H121" s="235"/>
      <c r="I121" s="235"/>
      <c r="J121" s="235"/>
      <c r="K121" s="235"/>
      <c r="L121" s="235"/>
      <c r="M121" s="235"/>
      <c r="N121" s="235"/>
      <c r="O121" s="236"/>
      <c r="Q121" s="233"/>
      <c r="R121" s="233"/>
      <c r="S121" s="233"/>
    </row>
    <row r="122" spans="1:19" ht="17.25" thickBot="1">
      <c r="A122" s="164" t="s">
        <v>297</v>
      </c>
      <c r="B122" s="234" t="s">
        <v>49</v>
      </c>
      <c r="C122" s="236"/>
      <c r="D122" s="234" t="s">
        <v>58</v>
      </c>
      <c r="E122" s="235"/>
      <c r="F122" s="236"/>
      <c r="G122" s="237">
        <f>_xlfn.IFNA(VLOOKUP(B122, 현재가테이블!$B$2:$D$200, 2, FALSE), "-")</f>
        <v>41418000</v>
      </c>
      <c r="H122" s="238"/>
      <c r="I122" s="239"/>
      <c r="J122" s="234" t="s">
        <v>59</v>
      </c>
      <c r="K122" s="235"/>
      <c r="L122" s="236"/>
      <c r="M122" s="240">
        <f>_xlfn.IFNA(VLOOKUP(B122, 현재가테이블!$B$2:$D$200, 3, FALSE), "-")</f>
        <v>-5.2176301000000001E-2</v>
      </c>
      <c r="N122" s="241"/>
      <c r="O122" s="242"/>
      <c r="Q122" s="233"/>
      <c r="R122" s="233"/>
      <c r="S122" s="233"/>
    </row>
    <row r="123" spans="1:19" ht="17.25" thickBot="1">
      <c r="A123" s="278" t="s">
        <v>55</v>
      </c>
      <c r="B123" s="274" t="str">
        <f>TEXT($G$1, "[$-ko-KR]yyyy-mm-dd(ddd) ") &amp; "오전 00:00"</f>
        <v>2021-06-02(수) 오전 00:00</v>
      </c>
      <c r="C123" s="275"/>
      <c r="D123" s="247" t="str">
        <f>TEXT($G$1, "[$-ko-KR]yyyy-mm-dd(ddd) ") &amp; "오후 14:00"</f>
        <v>2021-06-02(수) 오후 14:00</v>
      </c>
      <c r="E123" s="248"/>
      <c r="F123" s="249"/>
      <c r="G123" s="247" t="str">
        <f>TEXT($G$1, "[$-ko-KR]yyyy-mm-dd(ddd) ") &amp; "오후 19:00"</f>
        <v>2021-06-02(수) 오후 19:00</v>
      </c>
      <c r="H123" s="248"/>
      <c r="I123" s="249"/>
      <c r="J123" s="247" t="str">
        <f>TEXT($G$1, "[$-ko-KR]yyyy-mm-dd(ddd) ") &amp; "오후 21:00"</f>
        <v>2021-06-02(수) 오후 21:00</v>
      </c>
      <c r="K123" s="248"/>
      <c r="L123" s="249"/>
      <c r="M123" s="247" t="str">
        <f>TEXT($G$1+1, "[$-ko-KR]yyyy-mm-dd(ddd) ") &amp; "오전 00:00"</f>
        <v>2021-06-03(목) 오전 00:00</v>
      </c>
      <c r="N123" s="248"/>
      <c r="O123" s="249"/>
      <c r="Q123" s="233"/>
      <c r="R123" s="233"/>
      <c r="S123" s="233"/>
    </row>
    <row r="124" spans="1:19" ht="17.25" thickBot="1">
      <c r="A124" s="279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5" t="s">
        <v>58</v>
      </c>
      <c r="H124" s="166" t="s">
        <v>298</v>
      </c>
      <c r="I124" s="16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3"/>
      <c r="R124" s="223"/>
      <c r="S124" s="223"/>
    </row>
    <row r="125" spans="1:19" ht="17.25" thickBot="1">
      <c r="A125" s="161" t="s">
        <v>236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33"/>
      <c r="R125" s="233"/>
      <c r="S125" s="233"/>
    </row>
    <row r="126" spans="1:19" ht="17.25" thickBot="1">
      <c r="A126" s="162" t="s">
        <v>254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33"/>
      <c r="R126" s="233"/>
      <c r="S126" s="233"/>
    </row>
    <row r="127" spans="1:19" ht="17.25" thickBot="1">
      <c r="A127" s="162" t="s">
        <v>266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23"/>
      <c r="R127" s="223"/>
      <c r="S127" s="223"/>
    </row>
    <row r="128" spans="1:19" ht="17.25" thickBot="1">
      <c r="A128" s="162" t="s">
        <v>220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23"/>
      <c r="R128" s="223"/>
      <c r="S128" s="223"/>
    </row>
    <row r="129" spans="1:19" ht="17.25" thickBot="1">
      <c r="A129" s="163" t="s">
        <v>186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23"/>
      <c r="R129" s="223"/>
      <c r="S129" s="223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23"/>
      <c r="R130" s="223"/>
      <c r="S130" s="223"/>
    </row>
    <row r="131" spans="1:19" ht="17.25" thickBot="1">
      <c r="A131" s="162" t="s">
        <v>196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23"/>
      <c r="R131" s="223"/>
      <c r="S131" s="223"/>
    </row>
    <row r="132" spans="1:19" ht="17.25" thickBot="1">
      <c r="A132" s="162" t="s">
        <v>222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23"/>
      <c r="R132" s="223"/>
      <c r="S132" s="223"/>
    </row>
    <row r="133" spans="1:19" ht="17.25" thickBot="1">
      <c r="A133" s="162" t="s">
        <v>264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24"/>
      <c r="R134" s="225"/>
      <c r="S134" s="226"/>
    </row>
    <row r="135" spans="1:19">
      <c r="A135" s="161" t="s">
        <v>268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27"/>
      <c r="R135" s="228"/>
      <c r="S135" s="229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30"/>
      <c r="R136" s="231"/>
      <c r="S136" s="232"/>
    </row>
    <row r="137" spans="1:19" ht="17.25" thickBot="1">
      <c r="A137" s="162" t="s">
        <v>198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23"/>
      <c r="R137" s="223"/>
      <c r="S137" s="223"/>
    </row>
    <row r="138" spans="1:19" ht="17.25" thickBot="1">
      <c r="A138" s="162" t="s">
        <v>218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33"/>
      <c r="R138" s="233"/>
      <c r="S138" s="233"/>
    </row>
    <row r="139" spans="1:19" ht="17.25" thickBot="1">
      <c r="A139" s="163" t="s">
        <v>228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33"/>
      <c r="R139" s="233"/>
      <c r="S139" s="233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23"/>
      <c r="R140" s="223"/>
      <c r="S140" s="223"/>
    </row>
    <row r="141" spans="1:19" ht="17.25" thickBot="1">
      <c r="A141" s="162" t="s">
        <v>212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23"/>
      <c r="R141" s="223"/>
      <c r="S141" s="223"/>
    </row>
    <row r="142" spans="1:19" ht="17.25" thickBot="1">
      <c r="A142" s="162" t="s">
        <v>214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23"/>
      <c r="R142" s="223"/>
      <c r="S142" s="223"/>
    </row>
    <row r="143" spans="1:19">
      <c r="A143" s="162" t="s">
        <v>260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212"/>
      <c r="R143" s="213"/>
      <c r="S143" s="214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215"/>
      <c r="R144" s="216"/>
      <c r="S144" s="217"/>
    </row>
    <row r="145" spans="1:19" ht="17.25" thickBot="1">
      <c r="A145" s="132" t="s">
        <v>300</v>
      </c>
      <c r="B145" s="276">
        <f>$B$37</f>
        <v>100000</v>
      </c>
      <c r="C145" s="277"/>
      <c r="D145" s="26" t="s">
        <v>301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301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301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301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218"/>
      <c r="R145" s="219"/>
      <c r="S145" s="220"/>
    </row>
    <row r="147" spans="1:19" ht="17.25" thickBot="1"/>
    <row r="148" spans="1:19" ht="17.25" thickBot="1">
      <c r="A148" s="234" t="s">
        <v>289</v>
      </c>
      <c r="B148" s="235"/>
      <c r="C148" s="235"/>
      <c r="D148" s="235"/>
      <c r="E148" s="235"/>
      <c r="F148" s="235"/>
      <c r="G148" s="235"/>
      <c r="H148" s="235"/>
      <c r="I148" s="235"/>
      <c r="J148" s="235"/>
      <c r="K148" s="235"/>
      <c r="L148" s="235"/>
      <c r="M148" s="235"/>
      <c r="N148" s="235"/>
      <c r="O148" s="236"/>
      <c r="Q148" s="233"/>
      <c r="R148" s="233"/>
      <c r="S148" s="233"/>
    </row>
    <row r="149" spans="1:19" ht="17.25" thickBot="1">
      <c r="A149" s="164" t="s">
        <v>297</v>
      </c>
      <c r="B149" s="234" t="s">
        <v>49</v>
      </c>
      <c r="C149" s="236"/>
      <c r="D149" s="234" t="s">
        <v>58</v>
      </c>
      <c r="E149" s="235"/>
      <c r="F149" s="236"/>
      <c r="G149" s="237">
        <f>_xlfn.IFNA(VLOOKUP(B149, 현재가테이블!$B$2:$D$200, 2, FALSE), "-")</f>
        <v>41418000</v>
      </c>
      <c r="H149" s="238"/>
      <c r="I149" s="239"/>
      <c r="J149" s="234" t="s">
        <v>59</v>
      </c>
      <c r="K149" s="235"/>
      <c r="L149" s="236"/>
      <c r="M149" s="240">
        <f>_xlfn.IFNA(VLOOKUP(B149, 현재가테이블!$B$2:$D$200, 3, FALSE), "-")</f>
        <v>-5.2176301000000001E-2</v>
      </c>
      <c r="N149" s="241"/>
      <c r="O149" s="242"/>
      <c r="Q149" s="233"/>
      <c r="R149" s="233"/>
      <c r="S149" s="233"/>
    </row>
    <row r="150" spans="1:19" ht="17.25" thickBot="1">
      <c r="A150" s="278" t="s">
        <v>55</v>
      </c>
      <c r="B150" s="274" t="str">
        <f>TEXT($G$1, "[$-ko-KR]yyyy-mm-dd(ddd) ") &amp; "오전 00:00"</f>
        <v>2021-06-02(수) 오전 00:00</v>
      </c>
      <c r="C150" s="275"/>
      <c r="D150" s="247" t="str">
        <f>TEXT($G$1, "[$-ko-KR]yyyy-mm-dd(ddd) ") &amp; "오후 14:00"</f>
        <v>2021-06-02(수) 오후 14:00</v>
      </c>
      <c r="E150" s="248"/>
      <c r="F150" s="249"/>
      <c r="G150" s="247" t="str">
        <f>TEXT($G$1, "[$-ko-KR]yyyy-mm-dd(ddd) ") &amp; "오후 19:00"</f>
        <v>2021-06-02(수) 오후 19:00</v>
      </c>
      <c r="H150" s="248"/>
      <c r="I150" s="249"/>
      <c r="J150" s="247" t="str">
        <f>TEXT($G$1, "[$-ko-KR]yyyy-mm-dd(ddd) ") &amp; "오후 21:00"</f>
        <v>2021-06-02(수) 오후 21:00</v>
      </c>
      <c r="K150" s="248"/>
      <c r="L150" s="249"/>
      <c r="M150" s="247" t="str">
        <f>TEXT($G$1+1, "[$-ko-KR]yyyy-mm-dd(ddd) ") &amp; "오전 00:00"</f>
        <v>2021-06-03(목) 오전 00:00</v>
      </c>
      <c r="N150" s="248"/>
      <c r="O150" s="249"/>
      <c r="Q150" s="233"/>
      <c r="R150" s="233"/>
      <c r="S150" s="233"/>
    </row>
    <row r="151" spans="1:19" ht="17.25" thickBot="1">
      <c r="A151" s="279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5" t="s">
        <v>58</v>
      </c>
      <c r="H151" s="166" t="s">
        <v>298</v>
      </c>
      <c r="I151" s="16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3"/>
      <c r="R151" s="223"/>
      <c r="S151" s="223"/>
    </row>
    <row r="152" spans="1:19" ht="17.25" thickBot="1">
      <c r="A152" s="161" t="s">
        <v>256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33"/>
      <c r="R152" s="233"/>
      <c r="S152" s="233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33"/>
      <c r="R153" s="233"/>
      <c r="S153" s="233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23"/>
      <c r="R154" s="223"/>
      <c r="S154" s="223"/>
    </row>
    <row r="155" spans="1:19" ht="17.25" thickBot="1">
      <c r="A155" s="162" t="s">
        <v>208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23"/>
      <c r="R155" s="223"/>
      <c r="S155" s="223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23"/>
      <c r="R156" s="223"/>
      <c r="S156" s="223"/>
    </row>
    <row r="157" spans="1:19" ht="17.25" thickBot="1">
      <c r="A157" s="162" t="s">
        <v>202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23"/>
      <c r="R157" s="223"/>
      <c r="S157" s="223"/>
    </row>
    <row r="158" spans="1:19" ht="17.25" thickBot="1">
      <c r="A158" s="162" t="s">
        <v>234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23"/>
      <c r="R158" s="223"/>
      <c r="S158" s="223"/>
    </row>
    <row r="159" spans="1:19" ht="17.25" thickBot="1">
      <c r="A159" s="162" t="s">
        <v>200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23"/>
      <c r="R159" s="223"/>
      <c r="S159" s="223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270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24"/>
      <c r="R161" s="225"/>
      <c r="S161" s="226"/>
    </row>
    <row r="162" spans="1:19">
      <c r="A162" s="161" t="s">
        <v>232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27"/>
      <c r="R162" s="228"/>
      <c r="S162" s="229"/>
    </row>
    <row r="163" spans="1:19" ht="17.25" thickBot="1">
      <c r="A163" s="162" t="s">
        <v>174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30"/>
      <c r="R163" s="231"/>
      <c r="S163" s="232"/>
    </row>
    <row r="164" spans="1:19" ht="17.25" thickBot="1">
      <c r="A164" s="162" t="s">
        <v>238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23"/>
      <c r="R164" s="223"/>
      <c r="S164" s="223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33"/>
      <c r="R165" s="233"/>
      <c r="S165" s="233"/>
    </row>
    <row r="166" spans="1:19" ht="17.25" thickBot="1">
      <c r="A166" s="163" t="s">
        <v>258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33"/>
      <c r="R166" s="233"/>
      <c r="S166" s="233"/>
    </row>
    <row r="167" spans="1:19" ht="17.25" thickBot="1">
      <c r="A167" s="162" t="s">
        <v>262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23"/>
      <c r="R167" s="223"/>
      <c r="S167" s="223"/>
    </row>
    <row r="168" spans="1:19" ht="17.25" thickBot="1">
      <c r="A168" s="162" t="s">
        <v>284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23"/>
      <c r="R168" s="223"/>
      <c r="S168" s="223"/>
    </row>
    <row r="169" spans="1:19" ht="17.25" thickBot="1">
      <c r="A169" s="162" t="s">
        <v>230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23"/>
      <c r="R169" s="223"/>
      <c r="S169" s="223"/>
    </row>
    <row r="170" spans="1:19">
      <c r="A170" s="162" t="s">
        <v>246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212"/>
      <c r="R170" s="213"/>
      <c r="S170" s="214"/>
    </row>
    <row r="171" spans="1:19" ht="17.25" thickBot="1">
      <c r="A171" s="130" t="s">
        <v>282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215"/>
      <c r="R171" s="216"/>
      <c r="S171" s="217"/>
    </row>
    <row r="172" spans="1:19" ht="17.25" thickBot="1">
      <c r="A172" s="132" t="s">
        <v>300</v>
      </c>
      <c r="B172" s="276">
        <f>$B$37</f>
        <v>100000</v>
      </c>
      <c r="C172" s="277"/>
      <c r="D172" s="26" t="s">
        <v>301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301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301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301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218"/>
      <c r="R172" s="219"/>
      <c r="S172" s="220"/>
    </row>
    <row r="174" spans="1:19" ht="17.25" thickBot="1"/>
    <row r="175" spans="1:19" ht="17.25" thickBot="1">
      <c r="A175" s="234" t="s">
        <v>285</v>
      </c>
      <c r="B175" s="235"/>
      <c r="C175" s="235"/>
      <c r="D175" s="235"/>
      <c r="E175" s="235"/>
      <c r="F175" s="235"/>
      <c r="G175" s="235"/>
      <c r="H175" s="235"/>
      <c r="I175" s="235"/>
      <c r="J175" s="235"/>
      <c r="K175" s="235"/>
      <c r="L175" s="235"/>
      <c r="M175" s="235"/>
      <c r="N175" s="235"/>
      <c r="O175" s="236"/>
      <c r="Q175" s="233"/>
      <c r="R175" s="233"/>
      <c r="S175" s="233"/>
    </row>
    <row r="176" spans="1:19" ht="17.25" thickBot="1">
      <c r="A176" s="164" t="s">
        <v>297</v>
      </c>
      <c r="B176" s="234" t="s">
        <v>49</v>
      </c>
      <c r="C176" s="236"/>
      <c r="D176" s="234" t="s">
        <v>58</v>
      </c>
      <c r="E176" s="235"/>
      <c r="F176" s="236"/>
      <c r="G176" s="237">
        <f>_xlfn.IFNA(VLOOKUP(B176, 현재가테이블!$B$2:$D$200, 2, FALSE), "-")</f>
        <v>41418000</v>
      </c>
      <c r="H176" s="238"/>
      <c r="I176" s="239"/>
      <c r="J176" s="234" t="s">
        <v>59</v>
      </c>
      <c r="K176" s="235"/>
      <c r="L176" s="236"/>
      <c r="M176" s="240">
        <f>_xlfn.IFNA(VLOOKUP(B176, 현재가테이블!$B$2:$D$200, 3, FALSE), "-")</f>
        <v>-5.2176301000000001E-2</v>
      </c>
      <c r="N176" s="241"/>
      <c r="O176" s="242"/>
      <c r="Q176" s="233"/>
      <c r="R176" s="233"/>
      <c r="S176" s="233"/>
    </row>
    <row r="177" spans="1:19" ht="17.25" thickBot="1">
      <c r="A177" s="278" t="s">
        <v>55</v>
      </c>
      <c r="B177" s="274" t="str">
        <f>TEXT($G$1, "[$-ko-KR]yyyy-mm-dd(ddd) ") &amp; "오전 00:00"</f>
        <v>2021-06-02(수) 오전 00:00</v>
      </c>
      <c r="C177" s="275"/>
      <c r="D177" s="247" t="str">
        <f>TEXT($G$1, "[$-ko-KR]yyyy-mm-dd(ddd) ") &amp; "오후 14:00"</f>
        <v>2021-06-02(수) 오후 14:00</v>
      </c>
      <c r="E177" s="248"/>
      <c r="F177" s="249"/>
      <c r="G177" s="247" t="str">
        <f>TEXT($G$1, "[$-ko-KR]yyyy-mm-dd(ddd) ") &amp; "오후 19:00"</f>
        <v>2021-06-02(수) 오후 19:00</v>
      </c>
      <c r="H177" s="248"/>
      <c r="I177" s="249"/>
      <c r="J177" s="247" t="str">
        <f>TEXT($G$1, "[$-ko-KR]yyyy-mm-dd(ddd) ") &amp; "오후 21:00"</f>
        <v>2021-06-02(수) 오후 21:00</v>
      </c>
      <c r="K177" s="248"/>
      <c r="L177" s="249"/>
      <c r="M177" s="247" t="str">
        <f>TEXT($G$1+1, "[$-ko-KR]yyyy-mm-dd(ddd) ") &amp; "오전 00:00"</f>
        <v>2021-06-03(목) 오전 00:00</v>
      </c>
      <c r="N177" s="248"/>
      <c r="O177" s="249"/>
      <c r="Q177" s="233"/>
      <c r="R177" s="233"/>
      <c r="S177" s="233"/>
    </row>
    <row r="178" spans="1:19" ht="17.25" thickBot="1">
      <c r="A178" s="279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5" t="s">
        <v>58</v>
      </c>
      <c r="H178" s="166" t="s">
        <v>298</v>
      </c>
      <c r="I178" s="16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3"/>
      <c r="R178" s="223"/>
      <c r="S178" s="223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33"/>
      <c r="R179" s="233"/>
      <c r="S179" s="233"/>
    </row>
    <row r="180" spans="1:19" ht="17.25" thickBot="1">
      <c r="A180" s="162" t="s">
        <v>258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33"/>
      <c r="R180" s="233"/>
      <c r="S180" s="233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23"/>
      <c r="R181" s="223"/>
      <c r="S181" s="223"/>
    </row>
    <row r="182" spans="1:19" ht="17.25" thickBot="1">
      <c r="A182" s="162" t="s">
        <v>212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23"/>
      <c r="R182" s="223"/>
      <c r="S182" s="223"/>
    </row>
    <row r="183" spans="1:19" ht="17.25" thickBot="1">
      <c r="A183" s="163" t="s">
        <v>192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23"/>
      <c r="R183" s="223"/>
      <c r="S183" s="223"/>
    </row>
    <row r="184" spans="1:19" ht="17.25" thickBot="1">
      <c r="A184" s="162" t="s">
        <v>214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23"/>
      <c r="R184" s="223"/>
      <c r="S184" s="223"/>
    </row>
    <row r="185" spans="1:19" ht="17.25" thickBot="1">
      <c r="A185" s="162" t="s">
        <v>262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23"/>
      <c r="R185" s="223"/>
      <c r="S185" s="223"/>
    </row>
    <row r="186" spans="1:19" ht="17.25" thickBot="1">
      <c r="A186" s="162" t="s">
        <v>284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23"/>
      <c r="R186" s="223"/>
      <c r="S186" s="223"/>
    </row>
    <row r="187" spans="1:19" ht="17.25" thickBot="1">
      <c r="A187" s="162" t="s">
        <v>230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194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24"/>
      <c r="R188" s="225"/>
      <c r="S188" s="226"/>
    </row>
    <row r="189" spans="1:19">
      <c r="A189" s="161" t="s">
        <v>246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27"/>
      <c r="R189" s="228"/>
      <c r="S189" s="229"/>
    </row>
    <row r="190" spans="1:19" ht="17.25" thickBot="1">
      <c r="A190" s="162" t="s">
        <v>282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30"/>
      <c r="R190" s="231"/>
      <c r="S190" s="232"/>
    </row>
    <row r="191" spans="1:19" ht="17.25" thickBot="1">
      <c r="A191" s="162" t="s">
        <v>260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23"/>
      <c r="R191" s="223"/>
      <c r="S191" s="223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33"/>
      <c r="R192" s="233"/>
      <c r="S192" s="233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33"/>
      <c r="R193" s="233"/>
      <c r="S193" s="233"/>
    </row>
    <row r="194" spans="1:19" ht="17.25" thickBot="1">
      <c r="A194" s="162" t="s">
        <v>164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23"/>
      <c r="R194" s="223"/>
      <c r="S194" s="223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23"/>
      <c r="R195" s="223"/>
      <c r="S195" s="223"/>
    </row>
    <row r="196" spans="1:19" ht="17.25" thickBot="1">
      <c r="A196" s="162" t="s">
        <v>224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23"/>
      <c r="R196" s="223"/>
      <c r="S196" s="223"/>
    </row>
    <row r="197" spans="1:19">
      <c r="A197" s="162" t="s">
        <v>188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212"/>
      <c r="R197" s="213"/>
      <c r="S197" s="214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215"/>
      <c r="R198" s="216"/>
      <c r="S198" s="217"/>
    </row>
    <row r="199" spans="1:19" ht="17.25" thickBot="1">
      <c r="A199" s="132" t="s">
        <v>300</v>
      </c>
      <c r="B199" s="276">
        <f>$B$37</f>
        <v>100000</v>
      </c>
      <c r="C199" s="277"/>
      <c r="D199" s="26" t="s">
        <v>301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301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301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301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218"/>
      <c r="R199" s="219"/>
      <c r="S199" s="22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37" priority="157">
      <formula>AND($N17 &gt; 0, ISNUMBER($N17))</formula>
    </cfRule>
    <cfRule type="expression" dxfId="2136" priority="158">
      <formula>AND($N17 = 0 * ISNUMBER($N17))</formula>
    </cfRule>
    <cfRule type="expression" dxfId="2135" priority="159">
      <formula>AND($N17 &lt; 0, ISNUMBER($N17))</formula>
    </cfRule>
  </conditionalFormatting>
  <conditionalFormatting sqref="A17:F36">
    <cfRule type="expression" dxfId="2134" priority="166">
      <formula>AND($E17 &gt; 0, ISNUMBER($E17))</formula>
    </cfRule>
    <cfRule type="expression" dxfId="2133" priority="167">
      <formula>AND($E17 = 0 * ISNUMBER($E17))</formula>
    </cfRule>
    <cfRule type="expression" dxfId="2132" priority="168">
      <formula>AND($E17 &lt; 0, ISNUMBER($E17))</formula>
    </cfRule>
  </conditionalFormatting>
  <conditionalFormatting sqref="A17:C36 G17:I36">
    <cfRule type="expression" dxfId="2131" priority="163">
      <formula>AND($H17 &gt; 0, ISNUMBER($H17))</formula>
    </cfRule>
    <cfRule type="expression" dxfId="2130" priority="164">
      <formula>AND($H17 = 0 * ISNUMBER($H17))</formula>
    </cfRule>
    <cfRule type="expression" dxfId="2129" priority="165">
      <formula>AND($H17 &lt; 0, ISNUMBER($H17))</formula>
    </cfRule>
  </conditionalFormatting>
  <conditionalFormatting sqref="A17:C36 J17:L36">
    <cfRule type="expression" dxfId="2128" priority="160">
      <formula>AND($K17 &gt; 0, ISNUMBER($K17))</formula>
    </cfRule>
    <cfRule type="expression" dxfId="2127" priority="161">
      <formula>AND($K17 = 0 * ISNUMBER($K17))</formula>
    </cfRule>
    <cfRule type="expression" dxfId="2126" priority="162">
      <formula>AND($K17 &lt; 0, ISNUMBER($K17))</formula>
    </cfRule>
  </conditionalFormatting>
  <conditionalFormatting sqref="D15:F16 E37:F37">
    <cfRule type="expression" dxfId="2125" priority="154">
      <formula>$E$37 &gt; 0</formula>
    </cfRule>
    <cfRule type="expression" dxfId="2124" priority="155">
      <formula>$E$37 = 0</formula>
    </cfRule>
    <cfRule type="expression" dxfId="2123" priority="156">
      <formula>$E$37 &lt; 0</formula>
    </cfRule>
  </conditionalFormatting>
  <conditionalFormatting sqref="G15:I16 H37:I37">
    <cfRule type="expression" dxfId="2122" priority="151">
      <formula>$H$37 &gt; 0</formula>
    </cfRule>
    <cfRule type="expression" dxfId="2121" priority="152">
      <formula>$H$37 = 0</formula>
    </cfRule>
    <cfRule type="expression" dxfId="2120" priority="153">
      <formula>$H$37 &lt; 0</formula>
    </cfRule>
  </conditionalFormatting>
  <conditionalFormatting sqref="J15:L16 K37:L37">
    <cfRule type="expression" dxfId="2119" priority="148">
      <formula>$K$37 &gt; 0</formula>
    </cfRule>
    <cfRule type="expression" dxfId="2118" priority="149">
      <formula>$K$37 = 0</formula>
    </cfRule>
    <cfRule type="expression" dxfId="2117" priority="150">
      <formula>$K$37 &lt; 0</formula>
    </cfRule>
  </conditionalFormatting>
  <conditionalFormatting sqref="M15:O16 N37:O37">
    <cfRule type="expression" dxfId="2116" priority="145">
      <formula>$N$37 &gt; 0</formula>
    </cfRule>
    <cfRule type="expression" dxfId="2115" priority="146">
      <formula>$N$37 = 0</formula>
    </cfRule>
    <cfRule type="expression" dxfId="2114" priority="147">
      <formula>$N$37 &lt; 0</formula>
    </cfRule>
  </conditionalFormatting>
  <conditionalFormatting sqref="A44:C63 M44:O63">
    <cfRule type="expression" dxfId="2113" priority="133">
      <formula>AND($N44 &gt; 0, ISNUMBER($N44))</formula>
    </cfRule>
    <cfRule type="expression" dxfId="2112" priority="134">
      <formula>AND($N44 = 0 * ISNUMBER($N44))</formula>
    </cfRule>
    <cfRule type="expression" dxfId="2111" priority="135">
      <formula>AND($N44 &lt; 0, ISNUMBER($N44))</formula>
    </cfRule>
  </conditionalFormatting>
  <conditionalFormatting sqref="A44:F63">
    <cfRule type="expression" dxfId="2110" priority="142">
      <formula>AND($E44 &gt; 0, ISNUMBER($E44))</formula>
    </cfRule>
    <cfRule type="expression" dxfId="2109" priority="143">
      <formula>AND($E44 = 0 * ISNUMBER($E44))</formula>
    </cfRule>
    <cfRule type="expression" dxfId="2108" priority="144">
      <formula>AND($E44 &lt; 0, ISNUMBER($E44))</formula>
    </cfRule>
  </conditionalFormatting>
  <conditionalFormatting sqref="A44:C63 G44:I63">
    <cfRule type="expression" dxfId="2107" priority="139">
      <formula>AND($H44 &gt; 0, ISNUMBER($H44))</formula>
    </cfRule>
    <cfRule type="expression" dxfId="2106" priority="140">
      <formula>AND($H44 = 0 * ISNUMBER($H44))</formula>
    </cfRule>
    <cfRule type="expression" dxfId="2105" priority="141">
      <formula>AND($H44 &lt; 0, ISNUMBER($H44))</formula>
    </cfRule>
  </conditionalFormatting>
  <conditionalFormatting sqref="A44:C63 J44:L63">
    <cfRule type="expression" dxfId="2104" priority="136">
      <formula>AND($K44 &gt; 0, ISNUMBER($K44))</formula>
    </cfRule>
    <cfRule type="expression" dxfId="2103" priority="137">
      <formula>AND($K44 = 0 * ISNUMBER($K44))</formula>
    </cfRule>
    <cfRule type="expression" dxfId="2102" priority="138">
      <formula>AND($K44 &lt; 0, ISNUMBER($K44))</formula>
    </cfRule>
  </conditionalFormatting>
  <conditionalFormatting sqref="D42:F43 E64:F64">
    <cfRule type="expression" dxfId="2101" priority="130">
      <formula>$E$64 &gt; 0</formula>
    </cfRule>
    <cfRule type="expression" dxfId="2100" priority="131">
      <formula>$E$64 = 0</formula>
    </cfRule>
    <cfRule type="expression" dxfId="2099" priority="132">
      <formula>$E$64 &lt; 0</formula>
    </cfRule>
  </conditionalFormatting>
  <conditionalFormatting sqref="G42:I43 H64:I64">
    <cfRule type="expression" dxfId="2098" priority="127">
      <formula>$H$64 &gt; 0</formula>
    </cfRule>
    <cfRule type="expression" dxfId="2097" priority="128">
      <formula>$H$64 = 0</formula>
    </cfRule>
    <cfRule type="expression" dxfId="2096" priority="129">
      <formula>$H$64 &lt; 0</formula>
    </cfRule>
  </conditionalFormatting>
  <conditionalFormatting sqref="J42:L43 K64:L64">
    <cfRule type="expression" dxfId="2095" priority="124">
      <formula>$K$64 &gt; 0</formula>
    </cfRule>
    <cfRule type="expression" dxfId="2094" priority="125">
      <formula>$K$64 = 0</formula>
    </cfRule>
    <cfRule type="expression" dxfId="2093" priority="126">
      <formula>$K$64 &lt; 0</formula>
    </cfRule>
  </conditionalFormatting>
  <conditionalFormatting sqref="M42:O43 N64:O64">
    <cfRule type="expression" dxfId="2092" priority="121">
      <formula>$N$64 &gt; 0</formula>
    </cfRule>
    <cfRule type="expression" dxfId="2091" priority="122">
      <formula>$N$64 = 0</formula>
    </cfRule>
    <cfRule type="expression" dxfId="2090" priority="123">
      <formula>$N$64 &lt; 0</formula>
    </cfRule>
  </conditionalFormatting>
  <conditionalFormatting sqref="A71:C90 M71:O90">
    <cfRule type="expression" dxfId="2089" priority="109">
      <formula>AND($N71 &gt; 0, ISNUMBER($N71))</formula>
    </cfRule>
    <cfRule type="expression" dxfId="2088" priority="110">
      <formula>AND($N71 = 0 * ISNUMBER($N71))</formula>
    </cfRule>
    <cfRule type="expression" dxfId="2087" priority="111">
      <formula>AND($N71 &lt; 0, ISNUMBER($N71))</formula>
    </cfRule>
  </conditionalFormatting>
  <conditionalFormatting sqref="A71:F90">
    <cfRule type="expression" dxfId="2086" priority="118">
      <formula>AND($E71 &gt; 0, ISNUMBER($E71))</formula>
    </cfRule>
    <cfRule type="expression" dxfId="2085" priority="119">
      <formula>AND($E71 = 0 * ISNUMBER($E71))</formula>
    </cfRule>
    <cfRule type="expression" dxfId="2084" priority="120">
      <formula>AND($E71 &lt; 0, ISNUMBER($E71))</formula>
    </cfRule>
  </conditionalFormatting>
  <conditionalFormatting sqref="A71:C90 G71:I90">
    <cfRule type="expression" dxfId="2083" priority="115">
      <formula>AND($H71 &gt; 0, ISNUMBER($H71))</formula>
    </cfRule>
    <cfRule type="expression" dxfId="2082" priority="116">
      <formula>AND($H71 = 0 * ISNUMBER($H71))</formula>
    </cfRule>
    <cfRule type="expression" dxfId="2081" priority="117">
      <formula>AND($H71 &lt; 0, ISNUMBER($H71))</formula>
    </cfRule>
  </conditionalFormatting>
  <conditionalFormatting sqref="A71:C90 J71:L90">
    <cfRule type="expression" dxfId="2080" priority="112">
      <formula>AND($K71 &gt; 0, ISNUMBER($K71))</formula>
    </cfRule>
    <cfRule type="expression" dxfId="2079" priority="113">
      <formula>AND($K71 = 0 * ISNUMBER($K71))</formula>
    </cfRule>
    <cfRule type="expression" dxfId="2078" priority="114">
      <formula>AND($K71 &lt; 0, ISNUMBER($K71))</formula>
    </cfRule>
  </conditionalFormatting>
  <conditionalFormatting sqref="D69:F70 E91:F91">
    <cfRule type="expression" dxfId="2077" priority="106">
      <formula>$E$91 &gt; 0</formula>
    </cfRule>
    <cfRule type="expression" dxfId="2076" priority="107">
      <formula>$E$91 = 0</formula>
    </cfRule>
    <cfRule type="expression" dxfId="2075" priority="108">
      <formula>$E$91 &lt; 0</formula>
    </cfRule>
  </conditionalFormatting>
  <conditionalFormatting sqref="G69:I70 H91:I91">
    <cfRule type="expression" dxfId="2074" priority="103">
      <formula>$H$91 &gt; 0</formula>
    </cfRule>
    <cfRule type="expression" dxfId="2073" priority="104">
      <formula>$H$91 = 0</formula>
    </cfRule>
    <cfRule type="expression" dxfId="2072" priority="105">
      <formula>$H$91 &lt; 0</formula>
    </cfRule>
  </conditionalFormatting>
  <conditionalFormatting sqref="J69:L70 K91:L91">
    <cfRule type="expression" dxfId="2071" priority="100">
      <formula>$K$91 &gt; 0</formula>
    </cfRule>
    <cfRule type="expression" dxfId="2070" priority="101">
      <formula>$K$91 = 0</formula>
    </cfRule>
    <cfRule type="expression" dxfId="2069" priority="102">
      <formula>$K$91 &lt; 0</formula>
    </cfRule>
  </conditionalFormatting>
  <conditionalFormatting sqref="M69:O70 N91:O91">
    <cfRule type="expression" dxfId="2068" priority="97">
      <formula>$N$91 &gt; 0</formula>
    </cfRule>
    <cfRule type="expression" dxfId="2067" priority="98">
      <formula>$N$91 = 0</formula>
    </cfRule>
    <cfRule type="expression" dxfId="2066" priority="99">
      <formula>$N$91 &lt; 0</formula>
    </cfRule>
  </conditionalFormatting>
  <conditionalFormatting sqref="A98:C117 M98:O117">
    <cfRule type="expression" dxfId="2065" priority="85">
      <formula>AND($N98 &gt; 0, ISNUMBER($N98))</formula>
    </cfRule>
    <cfRule type="expression" dxfId="2064" priority="86">
      <formula>AND($N98 = 0 * ISNUMBER($N98))</formula>
    </cfRule>
    <cfRule type="expression" dxfId="2063" priority="87">
      <formula>AND($N98 &lt; 0, ISNUMBER($N98))</formula>
    </cfRule>
  </conditionalFormatting>
  <conditionalFormatting sqref="A98:F117">
    <cfRule type="expression" dxfId="2062" priority="94">
      <formula>AND($E98 &gt; 0, ISNUMBER($E98))</formula>
    </cfRule>
    <cfRule type="expression" dxfId="2061" priority="95">
      <formula>AND($E98 = 0 * ISNUMBER($E98))</formula>
    </cfRule>
    <cfRule type="expression" dxfId="2060" priority="96">
      <formula>AND($E98 &lt; 0, ISNUMBER($E98))</formula>
    </cfRule>
  </conditionalFormatting>
  <conditionalFormatting sqref="A98:C117 G98:I117">
    <cfRule type="expression" dxfId="2059" priority="91">
      <formula>AND($H98 &gt; 0, ISNUMBER($H98))</formula>
    </cfRule>
    <cfRule type="expression" dxfId="2058" priority="92">
      <formula>AND($H98 = 0 * ISNUMBER($H98))</formula>
    </cfRule>
    <cfRule type="expression" dxfId="2057" priority="93">
      <formula>AND($H98 &lt; 0, ISNUMBER($H98))</formula>
    </cfRule>
  </conditionalFormatting>
  <conditionalFormatting sqref="A98:C117 J98:L117">
    <cfRule type="expression" dxfId="2056" priority="88">
      <formula>AND($K98 &gt; 0, ISNUMBER($K98))</formula>
    </cfRule>
    <cfRule type="expression" dxfId="2055" priority="89">
      <formula>AND($K98 = 0 * ISNUMBER($K98))</formula>
    </cfRule>
    <cfRule type="expression" dxfId="2054" priority="90">
      <formula>AND($K98 &lt; 0, ISNUMBER($K98))</formula>
    </cfRule>
  </conditionalFormatting>
  <conditionalFormatting sqref="D96:F97 E118:F118">
    <cfRule type="expression" dxfId="2053" priority="82">
      <formula>$E$118 &gt; 0</formula>
    </cfRule>
    <cfRule type="expression" dxfId="2052" priority="83">
      <formula>$E$118 = 0</formula>
    </cfRule>
    <cfRule type="expression" dxfId="2051" priority="84">
      <formula>$E$118 &lt; 0</formula>
    </cfRule>
  </conditionalFormatting>
  <conditionalFormatting sqref="G96:I97 H118:I118">
    <cfRule type="expression" dxfId="2050" priority="79">
      <formula>$H$118 &gt; 0</formula>
    </cfRule>
    <cfRule type="expression" dxfId="2049" priority="80">
      <formula>$H$118 = 0</formula>
    </cfRule>
    <cfRule type="expression" dxfId="2048" priority="81">
      <formula>$H$118 &lt; 0</formula>
    </cfRule>
  </conditionalFormatting>
  <conditionalFormatting sqref="J96:L97 K118:L118">
    <cfRule type="expression" dxfId="2047" priority="76">
      <formula>$K$118 &gt; 0</formula>
    </cfRule>
    <cfRule type="expression" dxfId="2046" priority="77">
      <formula>$K$118 = 0</formula>
    </cfRule>
    <cfRule type="expression" dxfId="2045" priority="78">
      <formula>$K$118 &lt; 0</formula>
    </cfRule>
  </conditionalFormatting>
  <conditionalFormatting sqref="M96:O97 N118:O118">
    <cfRule type="expression" dxfId="2044" priority="73">
      <formula>$N$118 &gt; 0</formula>
    </cfRule>
    <cfRule type="expression" dxfId="2043" priority="74">
      <formula>$N$118 = 0</formula>
    </cfRule>
    <cfRule type="expression" dxfId="2042" priority="75">
      <formula>$N$118 &lt; 0</formula>
    </cfRule>
  </conditionalFormatting>
  <conditionalFormatting sqref="A125:C144 M125:O144">
    <cfRule type="expression" dxfId="2041" priority="61">
      <formula>AND($N125 &gt; 0, ISNUMBER($N125))</formula>
    </cfRule>
    <cfRule type="expression" dxfId="2040" priority="62">
      <formula>AND($N125 = 0 * ISNUMBER($N125))</formula>
    </cfRule>
    <cfRule type="expression" dxfId="2039" priority="63">
      <formula>AND($N125 &lt; 0, ISNUMBER($N125))</formula>
    </cfRule>
  </conditionalFormatting>
  <conditionalFormatting sqref="A125:F144">
    <cfRule type="expression" dxfId="2038" priority="70">
      <formula>AND($E125 &gt; 0, ISNUMBER($E125))</formula>
    </cfRule>
    <cfRule type="expression" dxfId="2037" priority="71">
      <formula>AND($E125 = 0 * ISNUMBER($E125))</formula>
    </cfRule>
    <cfRule type="expression" dxfId="2036" priority="72">
      <formula>AND($E125 &lt; 0, ISNUMBER($E125))</formula>
    </cfRule>
  </conditionalFormatting>
  <conditionalFormatting sqref="A125:C144 G125:I144">
    <cfRule type="expression" dxfId="2035" priority="67">
      <formula>AND($H125 &gt; 0, ISNUMBER($H125))</formula>
    </cfRule>
    <cfRule type="expression" dxfId="2034" priority="68">
      <formula>AND($H125 = 0 * ISNUMBER($H125))</formula>
    </cfRule>
    <cfRule type="expression" dxfId="2033" priority="69">
      <formula>AND($H125 &lt; 0, ISNUMBER($H125))</formula>
    </cfRule>
  </conditionalFormatting>
  <conditionalFormatting sqref="A125:C144 J125:L144">
    <cfRule type="expression" dxfId="2032" priority="64">
      <formula>AND($K125 &gt; 0, ISNUMBER($K125))</formula>
    </cfRule>
    <cfRule type="expression" dxfId="2031" priority="65">
      <formula>AND($K125 = 0 * ISNUMBER($K125))</formula>
    </cfRule>
    <cfRule type="expression" dxfId="2030" priority="66">
      <formula>AND($K125 &lt; 0, ISNUMBER($K125))</formula>
    </cfRule>
  </conditionalFormatting>
  <conditionalFormatting sqref="D123:F124 E145:F145">
    <cfRule type="expression" dxfId="2029" priority="58">
      <formula>$E$145 &gt; 0</formula>
    </cfRule>
    <cfRule type="expression" dxfId="2028" priority="59">
      <formula>$E$145 = 0</formula>
    </cfRule>
    <cfRule type="expression" dxfId="2027" priority="60">
      <formula>$E$145 &lt; 0</formula>
    </cfRule>
  </conditionalFormatting>
  <conditionalFormatting sqref="G123:I124 H145:I145">
    <cfRule type="expression" dxfId="2026" priority="55">
      <formula>$H$145 &gt; 0</formula>
    </cfRule>
    <cfRule type="expression" dxfId="2025" priority="56">
      <formula>$H$145 = 0</formula>
    </cfRule>
    <cfRule type="expression" dxfId="2024" priority="57">
      <formula>$H$145 &lt; 0</formula>
    </cfRule>
  </conditionalFormatting>
  <conditionalFormatting sqref="J123:L124 K145:L145">
    <cfRule type="expression" dxfId="2023" priority="52">
      <formula>$K$145 &gt; 0</formula>
    </cfRule>
    <cfRule type="expression" dxfId="2022" priority="53">
      <formula>$K$145 = 0</formula>
    </cfRule>
    <cfRule type="expression" dxfId="2021" priority="54">
      <formula>$K$145 &lt; 0</formula>
    </cfRule>
  </conditionalFormatting>
  <conditionalFormatting sqref="M123:O124 N145:O145">
    <cfRule type="expression" dxfId="2020" priority="49">
      <formula>$N$145 &gt; 0</formula>
    </cfRule>
    <cfRule type="expression" dxfId="2019" priority="50">
      <formula>$N$145 = 0</formula>
    </cfRule>
    <cfRule type="expression" dxfId="2018" priority="51">
      <formula>$N$145 &lt; 0</formula>
    </cfRule>
  </conditionalFormatting>
  <conditionalFormatting sqref="A152:C171 M152:O171">
    <cfRule type="expression" dxfId="2017" priority="37">
      <formula>AND($N152 &gt; 0, ISNUMBER($N152))</formula>
    </cfRule>
    <cfRule type="expression" dxfId="2016" priority="38">
      <formula>AND($N152 = 0 * ISNUMBER($N152))</formula>
    </cfRule>
    <cfRule type="expression" dxfId="2015" priority="39">
      <formula>AND($N152 &lt; 0, ISNUMBER($N152))</formula>
    </cfRule>
  </conditionalFormatting>
  <conditionalFormatting sqref="A152:F171">
    <cfRule type="expression" dxfId="2014" priority="46">
      <formula>AND($E152 &gt; 0, ISNUMBER($E152))</formula>
    </cfRule>
    <cfRule type="expression" dxfId="2013" priority="47">
      <formula>AND($E152 = 0 * ISNUMBER($E152))</formula>
    </cfRule>
    <cfRule type="expression" dxfId="2012" priority="48">
      <formula>AND($E152 &lt; 0, ISNUMBER($E152))</formula>
    </cfRule>
  </conditionalFormatting>
  <conditionalFormatting sqref="A152:C171 G152:I171">
    <cfRule type="expression" dxfId="2011" priority="43">
      <formula>AND($H152 &gt; 0, ISNUMBER($H152))</formula>
    </cfRule>
    <cfRule type="expression" dxfId="2010" priority="44">
      <formula>AND($H152 = 0 * ISNUMBER($H152))</formula>
    </cfRule>
    <cfRule type="expression" dxfId="2009" priority="45">
      <formula>AND($H152 &lt; 0, ISNUMBER($H152))</formula>
    </cfRule>
  </conditionalFormatting>
  <conditionalFormatting sqref="A152:C171 J152:L171">
    <cfRule type="expression" dxfId="2008" priority="40">
      <formula>AND($K152 &gt; 0, ISNUMBER($K152))</formula>
    </cfRule>
    <cfRule type="expression" dxfId="2007" priority="41">
      <formula>AND($K152 = 0 * ISNUMBER($K152))</formula>
    </cfRule>
    <cfRule type="expression" dxfId="2006" priority="42">
      <formula>AND($K152 &lt; 0, ISNUMBER($K152))</formula>
    </cfRule>
  </conditionalFormatting>
  <conditionalFormatting sqref="D150:F151 E172:F172">
    <cfRule type="expression" dxfId="2005" priority="34">
      <formula>$E$172 &gt; 0</formula>
    </cfRule>
    <cfRule type="expression" dxfId="2004" priority="35">
      <formula>$E$172 = 0</formula>
    </cfRule>
    <cfRule type="expression" dxfId="2003" priority="36">
      <formula>$E$172 &lt; 0</formula>
    </cfRule>
  </conditionalFormatting>
  <conditionalFormatting sqref="G150:I151 H172:I172">
    <cfRule type="expression" dxfId="2002" priority="31">
      <formula>$H$172 &gt; 0</formula>
    </cfRule>
    <cfRule type="expression" dxfId="2001" priority="32">
      <formula>$H$172 = 0</formula>
    </cfRule>
    <cfRule type="expression" dxfId="2000" priority="33">
      <formula>$H$172 &lt; 0</formula>
    </cfRule>
  </conditionalFormatting>
  <conditionalFormatting sqref="J150:L151 K172:L172">
    <cfRule type="expression" dxfId="1999" priority="28">
      <formula>$K$172 &gt; 0</formula>
    </cfRule>
    <cfRule type="expression" dxfId="1998" priority="29">
      <formula>$K$172 = 0</formula>
    </cfRule>
    <cfRule type="expression" dxfId="1997" priority="30">
      <formula>$K$172 &lt; 0</formula>
    </cfRule>
  </conditionalFormatting>
  <conditionalFormatting sqref="M150:O151 N172:O172">
    <cfRule type="expression" dxfId="1996" priority="25">
      <formula>$N$172 &gt; 0</formula>
    </cfRule>
    <cfRule type="expression" dxfId="1995" priority="26">
      <formula>$N$172 = 0</formula>
    </cfRule>
    <cfRule type="expression" dxfId="1994" priority="27">
      <formula>$N$172 &lt; 0</formula>
    </cfRule>
  </conditionalFormatting>
  <conditionalFormatting sqref="A179:C198 M179:O198">
    <cfRule type="expression" dxfId="1993" priority="13">
      <formula>AND($N179 &gt; 0, ISNUMBER($N179))</formula>
    </cfRule>
    <cfRule type="expression" dxfId="1992" priority="14">
      <formula>AND($N179 = 0 * ISNUMBER($N179))</formula>
    </cfRule>
    <cfRule type="expression" dxfId="1991" priority="15">
      <formula>AND($N179 &lt; 0, ISNUMBER($N179))</formula>
    </cfRule>
  </conditionalFormatting>
  <conditionalFormatting sqref="A179:F198">
    <cfRule type="expression" dxfId="1990" priority="22">
      <formula>AND($E179 &gt; 0, ISNUMBER($E179))</formula>
    </cfRule>
    <cfRule type="expression" dxfId="1989" priority="23">
      <formula>AND($E179 = 0 * ISNUMBER($E179))</formula>
    </cfRule>
    <cfRule type="expression" dxfId="1988" priority="24">
      <formula>AND($E179 &lt; 0, ISNUMBER($E179))</formula>
    </cfRule>
  </conditionalFormatting>
  <conditionalFormatting sqref="A179:C198 G179:I198">
    <cfRule type="expression" dxfId="1987" priority="19">
      <formula>AND($H179 &gt; 0, ISNUMBER($H179))</formula>
    </cfRule>
    <cfRule type="expression" dxfId="1986" priority="20">
      <formula>AND($H179 = 0 * ISNUMBER($H179))</formula>
    </cfRule>
    <cfRule type="expression" dxfId="1985" priority="21">
      <formula>AND($H179 &lt; 0, ISNUMBER($H179))</formula>
    </cfRule>
  </conditionalFormatting>
  <conditionalFormatting sqref="A179:C198 J179:L198">
    <cfRule type="expression" dxfId="1984" priority="16">
      <formula>AND($K179 &gt; 0, ISNUMBER($K179))</formula>
    </cfRule>
    <cfRule type="expression" dxfId="1983" priority="17">
      <formula>AND($K179 = 0 * ISNUMBER($K179))</formula>
    </cfRule>
    <cfRule type="expression" dxfId="1982" priority="18">
      <formula>AND($K179 &lt; 0, ISNUMBER($K179))</formula>
    </cfRule>
  </conditionalFormatting>
  <conditionalFormatting sqref="D177:F178 E199:F199">
    <cfRule type="expression" dxfId="1981" priority="10">
      <formula>$E$199 &gt; 0</formula>
    </cfRule>
    <cfRule type="expression" dxfId="1980" priority="11">
      <formula>$E$199 = 0</formula>
    </cfRule>
    <cfRule type="expression" dxfId="1979" priority="12">
      <formula>$E$199 &lt; 0</formula>
    </cfRule>
  </conditionalFormatting>
  <conditionalFormatting sqref="G177:I178 H199:I199">
    <cfRule type="expression" dxfId="1978" priority="7">
      <formula>$H$199 &gt; 0</formula>
    </cfRule>
    <cfRule type="expression" dxfId="1977" priority="8">
      <formula>$H$199 = 0</formula>
    </cfRule>
    <cfRule type="expression" dxfId="1976" priority="9">
      <formula>$H$199 &lt; 0</formula>
    </cfRule>
  </conditionalFormatting>
  <conditionalFormatting sqref="J177:L178 K199:L199">
    <cfRule type="expression" dxfId="1975" priority="4">
      <formula>$K$199 &gt; 0</formula>
    </cfRule>
    <cfRule type="expression" dxfId="1974" priority="5">
      <formula>$K$199 = 0</formula>
    </cfRule>
    <cfRule type="expression" dxfId="1973" priority="6">
      <formula>$K$199 &lt; 0</formula>
    </cfRule>
  </conditionalFormatting>
  <conditionalFormatting sqref="M177:O178 N199:O199">
    <cfRule type="expression" dxfId="1972" priority="1">
      <formula>$N$199 &gt; 0</formula>
    </cfRule>
    <cfRule type="expression" dxfId="1971" priority="2">
      <formula>$N$199 = 0</formula>
    </cfRule>
    <cfRule type="expression" dxfId="19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4" t="s">
        <v>0</v>
      </c>
      <c r="B1" s="235"/>
      <c r="C1" s="235"/>
      <c r="D1" s="235"/>
      <c r="E1" s="235"/>
      <c r="F1" s="236"/>
      <c r="G1" s="265">
        <v>44350</v>
      </c>
      <c r="H1" s="266"/>
      <c r="I1" s="267"/>
      <c r="J1" s="234" t="s">
        <v>1</v>
      </c>
      <c r="K1" s="235"/>
      <c r="L1" s="235"/>
      <c r="M1" s="235"/>
      <c r="N1" s="235"/>
      <c r="O1" s="236"/>
      <c r="Q1" s="234" t="s">
        <v>2</v>
      </c>
      <c r="R1" s="236"/>
    </row>
    <row r="2" spans="1:19" ht="17.25" customHeight="1">
      <c r="A2" s="117" t="s">
        <v>3</v>
      </c>
      <c r="B2" s="268" t="s">
        <v>8</v>
      </c>
      <c r="C2" s="269"/>
      <c r="D2" s="269"/>
      <c r="E2" s="269"/>
      <c r="F2" s="270"/>
      <c r="G2" s="262" t="s">
        <v>46</v>
      </c>
      <c r="H2" s="263"/>
      <c r="I2" s="264"/>
      <c r="J2" s="1" t="s">
        <v>3</v>
      </c>
      <c r="K2" s="268" t="s">
        <v>350</v>
      </c>
      <c r="L2" s="269"/>
      <c r="M2" s="269"/>
      <c r="N2" s="269"/>
      <c r="O2" s="270"/>
      <c r="Q2" s="2" t="s">
        <v>6</v>
      </c>
      <c r="R2" s="3">
        <v>0.375</v>
      </c>
    </row>
    <row r="3" spans="1:19" ht="17.25" customHeight="1" thickBot="1">
      <c r="A3" s="118" t="s">
        <v>7</v>
      </c>
      <c r="B3" s="259" t="s">
        <v>358</v>
      </c>
      <c r="C3" s="260"/>
      <c r="D3" s="260"/>
      <c r="E3" s="260"/>
      <c r="F3" s="261"/>
      <c r="G3" s="25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56"/>
      <c r="I3" s="257"/>
      <c r="J3" s="4" t="s">
        <v>7</v>
      </c>
      <c r="K3" s="259" t="s">
        <v>351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9" t="s">
        <v>16</v>
      </c>
      <c r="C4" s="260"/>
      <c r="D4" s="260"/>
      <c r="E4" s="260"/>
      <c r="F4" s="261"/>
      <c r="G4" s="262" t="s">
        <v>44</v>
      </c>
      <c r="H4" s="263"/>
      <c r="I4" s="264"/>
      <c r="J4" s="4" t="s">
        <v>11</v>
      </c>
      <c r="K4" s="259" t="s">
        <v>352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9" t="s">
        <v>349</v>
      </c>
      <c r="C5" s="260"/>
      <c r="D5" s="260"/>
      <c r="E5" s="260"/>
      <c r="F5" s="261"/>
      <c r="G5" s="25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56"/>
      <c r="I5" s="257"/>
      <c r="J5" s="4" t="s">
        <v>15</v>
      </c>
      <c r="K5" s="259" t="s">
        <v>353</v>
      </c>
      <c r="L5" s="260"/>
      <c r="M5" s="260"/>
      <c r="N5" s="260"/>
      <c r="O5" s="261"/>
    </row>
    <row r="6" spans="1:19">
      <c r="A6" s="118" t="s">
        <v>18</v>
      </c>
      <c r="B6" s="259"/>
      <c r="C6" s="260"/>
      <c r="D6" s="260"/>
      <c r="E6" s="260"/>
      <c r="F6" s="261"/>
      <c r="G6" s="262" t="s">
        <v>45</v>
      </c>
      <c r="H6" s="263"/>
      <c r="I6" s="264"/>
      <c r="J6" s="4" t="s">
        <v>18</v>
      </c>
      <c r="K6" s="259" t="s">
        <v>354</v>
      </c>
      <c r="L6" s="260"/>
      <c r="M6" s="260"/>
      <c r="N6" s="260"/>
      <c r="O6" s="261"/>
    </row>
    <row r="7" spans="1:19" ht="17.25" thickBot="1">
      <c r="A7" s="118" t="s">
        <v>21</v>
      </c>
      <c r="B7" s="259"/>
      <c r="C7" s="260"/>
      <c r="D7" s="260"/>
      <c r="E7" s="260"/>
      <c r="F7" s="261"/>
      <c r="G7" s="25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56"/>
      <c r="I7" s="257"/>
      <c r="J7" s="4" t="s">
        <v>21</v>
      </c>
      <c r="K7" s="259" t="s">
        <v>355</v>
      </c>
      <c r="L7" s="260"/>
      <c r="M7" s="260"/>
      <c r="N7" s="260"/>
      <c r="O7" s="261"/>
    </row>
    <row r="8" spans="1:19" ht="17.25" thickBot="1">
      <c r="A8" s="118" t="s">
        <v>24</v>
      </c>
      <c r="B8" s="259"/>
      <c r="C8" s="260"/>
      <c r="D8" s="260"/>
      <c r="E8" s="260"/>
      <c r="F8" s="261"/>
      <c r="G8" s="262" t="s">
        <v>285</v>
      </c>
      <c r="H8" s="263"/>
      <c r="I8" s="264"/>
      <c r="J8" s="4" t="s">
        <v>24</v>
      </c>
      <c r="K8" s="259"/>
      <c r="L8" s="260"/>
      <c r="M8" s="260"/>
      <c r="N8" s="260"/>
      <c r="O8" s="261"/>
      <c r="Q8" s="234" t="s">
        <v>27</v>
      </c>
      <c r="R8" s="236"/>
    </row>
    <row r="9" spans="1:19" ht="17.25" thickBot="1">
      <c r="A9" s="118" t="s">
        <v>28</v>
      </c>
      <c r="B9" s="259"/>
      <c r="C9" s="260"/>
      <c r="D9" s="260"/>
      <c r="E9" s="260"/>
      <c r="F9" s="261"/>
      <c r="G9" s="25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56"/>
      <c r="I9" s="257"/>
      <c r="J9" s="4" t="s">
        <v>28</v>
      </c>
      <c r="K9" s="259"/>
      <c r="L9" s="260"/>
      <c r="M9" s="260"/>
      <c r="N9" s="260"/>
      <c r="O9" s="261"/>
      <c r="Q9" s="2" t="s">
        <v>29</v>
      </c>
      <c r="R9" s="6">
        <v>10</v>
      </c>
    </row>
    <row r="10" spans="1:19">
      <c r="A10" s="118" t="s">
        <v>30</v>
      </c>
      <c r="B10" s="259"/>
      <c r="C10" s="260"/>
      <c r="D10" s="260"/>
      <c r="E10" s="260"/>
      <c r="F10" s="261"/>
      <c r="G10" s="262" t="s">
        <v>47</v>
      </c>
      <c r="H10" s="263"/>
      <c r="I10" s="264"/>
      <c r="J10" s="4" t="s">
        <v>30</v>
      </c>
      <c r="K10" s="259" t="s">
        <v>356</v>
      </c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119" t="s">
        <v>32</v>
      </c>
      <c r="B11" s="252" t="s">
        <v>357</v>
      </c>
      <c r="C11" s="253"/>
      <c r="D11" s="253"/>
      <c r="E11" s="253"/>
      <c r="F11" s="254"/>
      <c r="G11" s="25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56"/>
      <c r="I11" s="257"/>
      <c r="J11" s="7" t="s">
        <v>32</v>
      </c>
      <c r="K11" s="252" t="s">
        <v>348</v>
      </c>
      <c r="L11" s="253"/>
      <c r="M11" s="253"/>
      <c r="N11" s="253"/>
      <c r="O11" s="254"/>
      <c r="Q11" s="65" t="s">
        <v>33</v>
      </c>
      <c r="R11" s="8">
        <v>1000</v>
      </c>
    </row>
    <row r="12" spans="1:19" ht="17.25" thickBot="1"/>
    <row r="13" spans="1:19" ht="17.25" customHeight="1" thickBot="1">
      <c r="A13" s="234" t="s">
        <v>34</v>
      </c>
      <c r="B13" s="235"/>
      <c r="C13" s="235"/>
      <c r="D13" s="235"/>
      <c r="E13" s="235"/>
      <c r="F13" s="235"/>
      <c r="G13" s="235"/>
      <c r="H13" s="235"/>
      <c r="I13" s="235"/>
      <c r="J13" s="235"/>
      <c r="K13" s="235"/>
      <c r="L13" s="235"/>
      <c r="M13" s="235"/>
      <c r="N13" s="235"/>
      <c r="O13" s="236"/>
      <c r="Q13" s="233"/>
      <c r="R13" s="233"/>
      <c r="S13" s="233"/>
    </row>
    <row r="14" spans="1:19" ht="17.25" customHeight="1" thickBot="1">
      <c r="A14" s="168" t="s">
        <v>35</v>
      </c>
      <c r="B14" s="234" t="s">
        <v>36</v>
      </c>
      <c r="C14" s="236"/>
      <c r="D14" s="234" t="s">
        <v>37</v>
      </c>
      <c r="E14" s="235"/>
      <c r="F14" s="236"/>
      <c r="G14" s="237">
        <f>_xlfn.IFNA(VLOOKUP(B14, 현재가테이블!$B$2:$D$200, 2, FALSE), "-")</f>
        <v>41418000</v>
      </c>
      <c r="H14" s="238"/>
      <c r="I14" s="239"/>
      <c r="J14" s="234" t="s">
        <v>38</v>
      </c>
      <c r="K14" s="235"/>
      <c r="L14" s="236"/>
      <c r="M14" s="240">
        <f>_xlfn.IFNA(VLOOKUP(B14, 현재가테이블!$B$2:$D$200, 3, FALSE), "-")</f>
        <v>-5.2176301000000001E-2</v>
      </c>
      <c r="N14" s="241"/>
      <c r="O14" s="242"/>
      <c r="Q14" s="233"/>
      <c r="R14" s="233"/>
      <c r="S14" s="233"/>
    </row>
    <row r="15" spans="1:19" ht="17.25" customHeight="1" thickBot="1">
      <c r="A15" s="271" t="s">
        <v>39</v>
      </c>
      <c r="B15" s="272" t="str">
        <f>TEXT($G$1, "[$-ko-KR]yyyy-mm-dd(ddd) ") &amp; "오전 00:00"</f>
        <v>2021-06-03(목) 오전 00:00</v>
      </c>
      <c r="C15" s="273"/>
      <c r="D15" s="247" t="str">
        <f>TEXT($G$1, "[$-ko-KR]yyyy-mm-dd(ddd) ") &amp; "오후 14:00"</f>
        <v>2021-06-03(목) 오후 14:00</v>
      </c>
      <c r="E15" s="248"/>
      <c r="F15" s="249"/>
      <c r="G15" s="247" t="str">
        <f>TEXT($G$1, "[$-ko-KR]yyyy-mm-dd(ddd) ") &amp; "오후 19:00"</f>
        <v>2021-06-03(목) 오후 19:00</v>
      </c>
      <c r="H15" s="248"/>
      <c r="I15" s="249"/>
      <c r="J15" s="247" t="str">
        <f>TEXT($G$1, "[$-ko-KR]yyyy-mm-dd(ddd) ") &amp; "오후 21:00"</f>
        <v>2021-06-03(목) 오후 21:00</v>
      </c>
      <c r="K15" s="248"/>
      <c r="L15" s="249"/>
      <c r="M15" s="247" t="str">
        <f>TEXT($G$1+1, "[$-ko-KR]yyyy-mm-dd(ddd) ") &amp; "오전 00:00"</f>
        <v>2021-06-04(금) 오전 00:00</v>
      </c>
      <c r="N15" s="248"/>
      <c r="O15" s="249"/>
      <c r="Q15" s="233"/>
      <c r="R15" s="233"/>
      <c r="S15" s="233"/>
    </row>
    <row r="16" spans="1:19" ht="17.25" customHeight="1" thickBot="1">
      <c r="A16" s="27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33"/>
      <c r="R17" s="233"/>
      <c r="S17" s="233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33"/>
      <c r="R18" s="233"/>
      <c r="S18" s="233"/>
    </row>
    <row r="19" spans="1:19" ht="17.25" customHeight="1" thickBot="1">
      <c r="A19" s="162" t="s">
        <v>246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23"/>
      <c r="R19" s="223"/>
      <c r="S19" s="223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23"/>
      <c r="R20" s="223"/>
      <c r="S20" s="223"/>
    </row>
    <row r="21" spans="1:19" ht="17.25" customHeight="1" thickBot="1">
      <c r="A21" s="163" t="s">
        <v>202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23"/>
      <c r="R21" s="223"/>
      <c r="S21" s="223"/>
    </row>
    <row r="22" spans="1:19" ht="17.25" customHeight="1" thickBot="1">
      <c r="A22" s="162" t="s">
        <v>212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23"/>
      <c r="R22" s="223"/>
      <c r="S22" s="223"/>
    </row>
    <row r="23" spans="1:19" ht="17.25" customHeight="1" thickBot="1">
      <c r="A23" s="162" t="s">
        <v>184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23"/>
      <c r="R23" s="223"/>
      <c r="S23" s="223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23"/>
      <c r="R24" s="223"/>
      <c r="S24" s="223"/>
    </row>
    <row r="25" spans="1:19" ht="17.25" customHeight="1" thickBot="1">
      <c r="A25" s="162" t="s">
        <v>166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24"/>
      <c r="R26" s="225"/>
      <c r="S26" s="226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27"/>
      <c r="R27" s="228"/>
      <c r="S27" s="229"/>
    </row>
    <row r="28" spans="1:19" ht="17.25" customHeight="1" thickBot="1">
      <c r="A28" s="162" t="s">
        <v>220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30"/>
      <c r="R28" s="231"/>
      <c r="S28" s="232"/>
    </row>
    <row r="29" spans="1:19" ht="17.25" customHeight="1" thickBot="1">
      <c r="A29" s="162" t="s">
        <v>164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23"/>
      <c r="R29" s="223"/>
      <c r="S29" s="223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33"/>
      <c r="R30" s="233"/>
      <c r="S30" s="233"/>
    </row>
    <row r="31" spans="1:19" ht="17.25" customHeight="1" thickBot="1">
      <c r="A31" s="163" t="s">
        <v>178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33"/>
      <c r="R31" s="233"/>
      <c r="S31" s="233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23"/>
      <c r="R32" s="223"/>
      <c r="S32" s="22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2"/>
      <c r="R35" s="213"/>
      <c r="S35" s="2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5"/>
      <c r="R36" s="216"/>
      <c r="S36" s="217"/>
    </row>
    <row r="37" spans="1:19" ht="17.25" customHeight="1" thickBot="1">
      <c r="A37" s="132" t="s">
        <v>42</v>
      </c>
      <c r="B37" s="276">
        <v>100000</v>
      </c>
      <c r="C37" s="277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218"/>
      <c r="R37" s="219"/>
      <c r="S37" s="220"/>
    </row>
    <row r="38" spans="1:19" ht="17.25" customHeight="1"/>
    <row r="39" spans="1:19" ht="17.25" customHeight="1" thickBot="1"/>
    <row r="40" spans="1:19" ht="17.25" customHeight="1" thickBot="1">
      <c r="A40" s="234" t="s">
        <v>44</v>
      </c>
      <c r="B40" s="235"/>
      <c r="C40" s="235"/>
      <c r="D40" s="235"/>
      <c r="E40" s="235"/>
      <c r="F40" s="235"/>
      <c r="G40" s="235"/>
      <c r="H40" s="235"/>
      <c r="I40" s="235"/>
      <c r="J40" s="235"/>
      <c r="K40" s="235"/>
      <c r="L40" s="235"/>
      <c r="M40" s="235"/>
      <c r="N40" s="235"/>
      <c r="O40" s="236"/>
      <c r="Q40" s="233"/>
      <c r="R40" s="233"/>
      <c r="S40" s="233"/>
    </row>
    <row r="41" spans="1:19" ht="17.25" customHeight="1" thickBot="1">
      <c r="A41" s="168" t="s">
        <v>297</v>
      </c>
      <c r="B41" s="234" t="s">
        <v>49</v>
      </c>
      <c r="C41" s="236"/>
      <c r="D41" s="234" t="s">
        <v>58</v>
      </c>
      <c r="E41" s="235"/>
      <c r="F41" s="236"/>
      <c r="G41" s="237">
        <f>_xlfn.IFNA(VLOOKUP(B41, 현재가테이블!$B$2:$D$200, 2, FALSE), "-")</f>
        <v>41418000</v>
      </c>
      <c r="H41" s="238"/>
      <c r="I41" s="239"/>
      <c r="J41" s="234" t="s">
        <v>59</v>
      </c>
      <c r="K41" s="235"/>
      <c r="L41" s="236"/>
      <c r="M41" s="240">
        <f>_xlfn.IFNA(VLOOKUP(B41, 현재가테이블!$B$2:$D$200, 3, FALSE), "-")</f>
        <v>-5.2176301000000001E-2</v>
      </c>
      <c r="N41" s="241"/>
      <c r="O41" s="242"/>
      <c r="Q41" s="233"/>
      <c r="R41" s="233"/>
      <c r="S41" s="233"/>
    </row>
    <row r="42" spans="1:19" ht="17.25" customHeight="1" thickBot="1">
      <c r="A42" s="278" t="s">
        <v>55</v>
      </c>
      <c r="B42" s="274" t="str">
        <f>TEXT($G$1, "[$-ko-KR]yyyy-mm-dd(ddd) ") &amp; "오전 00:00"</f>
        <v>2021-06-03(목) 오전 00:00</v>
      </c>
      <c r="C42" s="275"/>
      <c r="D42" s="247" t="str">
        <f>TEXT($G$1, "[$-ko-KR]yyyy-mm-dd(ddd) ") &amp; "오후 14:00"</f>
        <v>2021-06-03(목) 오후 14:00</v>
      </c>
      <c r="E42" s="248"/>
      <c r="F42" s="249"/>
      <c r="G42" s="247" t="str">
        <f>TEXT($G$1, "[$-ko-KR]yyyy-mm-dd(ddd) ") &amp; "오후 19:00"</f>
        <v>2021-06-03(목) 오후 19:00</v>
      </c>
      <c r="H42" s="248"/>
      <c r="I42" s="249"/>
      <c r="J42" s="247" t="str">
        <f>TEXT($G$1, "[$-ko-KR]yyyy-mm-dd(ddd) ") &amp; "오후 21:00"</f>
        <v>2021-06-03(목) 오후 21:00</v>
      </c>
      <c r="K42" s="248"/>
      <c r="L42" s="249"/>
      <c r="M42" s="247" t="str">
        <f>TEXT($G$1+1, "[$-ko-KR]yyyy-mm-dd(ddd) ") &amp; "오전 00:00"</f>
        <v>2021-06-04(금) 오전 00:00</v>
      </c>
      <c r="N42" s="248"/>
      <c r="O42" s="249"/>
      <c r="Q42" s="233"/>
      <c r="R42" s="233"/>
      <c r="S42" s="233"/>
    </row>
    <row r="43" spans="1:19" ht="17.25" customHeight="1" thickBot="1">
      <c r="A43" s="279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9" t="s">
        <v>58</v>
      </c>
      <c r="H43" s="170" t="s">
        <v>298</v>
      </c>
      <c r="I43" s="17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3"/>
      <c r="R43" s="223"/>
      <c r="S43" s="223"/>
    </row>
    <row r="44" spans="1:19" ht="17.25" customHeight="1" thickBot="1">
      <c r="A44" s="161" t="s">
        <v>220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33"/>
      <c r="R44" s="233"/>
      <c r="S44" s="233"/>
    </row>
    <row r="45" spans="1:19" ht="17.25" customHeight="1" thickBot="1">
      <c r="A45" s="162" t="s">
        <v>198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33"/>
      <c r="R45" s="233"/>
      <c r="S45" s="233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23"/>
      <c r="R46" s="223"/>
      <c r="S46" s="223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23"/>
      <c r="R47" s="223"/>
      <c r="S47" s="223"/>
    </row>
    <row r="48" spans="1:19" ht="17.25" customHeight="1" thickBot="1">
      <c r="A48" s="163" t="s">
        <v>214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23"/>
      <c r="R48" s="223"/>
      <c r="S48" s="223"/>
    </row>
    <row r="49" spans="1:19" ht="17.25" customHeight="1" thickBot="1">
      <c r="A49" s="162" t="s">
        <v>278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23"/>
      <c r="R49" s="223"/>
      <c r="S49" s="223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23"/>
      <c r="R50" s="223"/>
      <c r="S50" s="223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23"/>
      <c r="R51" s="223"/>
      <c r="S51" s="223"/>
    </row>
    <row r="52" spans="1:19" ht="17.25" customHeight="1" thickBot="1">
      <c r="A52" s="162" t="s">
        <v>196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24"/>
      <c r="R53" s="225"/>
      <c r="S53" s="226"/>
    </row>
    <row r="54" spans="1:19" ht="17.25" customHeight="1">
      <c r="A54" s="161" t="s">
        <v>218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27"/>
      <c r="R54" s="228"/>
      <c r="S54" s="229"/>
    </row>
    <row r="55" spans="1:19" ht="17.25" customHeight="1" thickBot="1">
      <c r="A55" s="162" t="s">
        <v>236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30"/>
      <c r="R55" s="231"/>
      <c r="S55" s="232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23"/>
      <c r="R56" s="223"/>
      <c r="S56" s="223"/>
    </row>
    <row r="57" spans="1:19" ht="17.25" customHeight="1" thickBot="1">
      <c r="A57" s="162" t="s">
        <v>228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33"/>
      <c r="R57" s="233"/>
      <c r="S57" s="233"/>
    </row>
    <row r="58" spans="1:19" ht="17.25" customHeight="1" thickBot="1">
      <c r="A58" s="163" t="s">
        <v>212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33"/>
      <c r="R58" s="233"/>
      <c r="S58" s="233"/>
    </row>
    <row r="59" spans="1:19" ht="17.25" customHeight="1" thickBot="1">
      <c r="A59" s="162" t="s">
        <v>254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23"/>
      <c r="R59" s="223"/>
      <c r="S59" s="223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23"/>
      <c r="R60" s="223"/>
      <c r="S60" s="223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23"/>
      <c r="R61" s="223"/>
      <c r="S61" s="223"/>
    </row>
    <row r="62" spans="1:19" ht="17.25" customHeight="1">
      <c r="A62" s="162" t="s">
        <v>264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212"/>
      <c r="R62" s="213"/>
      <c r="S62" s="214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215"/>
      <c r="R63" s="216"/>
      <c r="S63" s="217"/>
    </row>
    <row r="64" spans="1:19" ht="17.25" customHeight="1" thickBot="1">
      <c r="A64" s="132" t="s">
        <v>300</v>
      </c>
      <c r="B64" s="276">
        <f>$B$37</f>
        <v>100000</v>
      </c>
      <c r="C64" s="277"/>
      <c r="D64" s="26" t="s">
        <v>301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301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301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301</v>
      </c>
      <c r="N64" s="27">
        <f>IF(COUNT(N44:N63), SUM(N44:N63) / COUNT(N44:N63), 0)</f>
        <v>1.8179595803991418E-2</v>
      </c>
      <c r="O64" s="28">
        <f>SUM(O44:O63)</f>
        <v>36359.191607982844</v>
      </c>
      <c r="Q64" s="218"/>
      <c r="R64" s="219"/>
      <c r="S64" s="220"/>
    </row>
    <row r="65" spans="1:19" ht="17.25" customHeight="1"/>
    <row r="66" spans="1:19" ht="17.25" customHeight="1" thickBot="1"/>
    <row r="67" spans="1:19" ht="17.25" thickBot="1">
      <c r="A67" s="234" t="s">
        <v>45</v>
      </c>
      <c r="B67" s="235"/>
      <c r="C67" s="235"/>
      <c r="D67" s="235"/>
      <c r="E67" s="235"/>
      <c r="F67" s="235"/>
      <c r="G67" s="235"/>
      <c r="H67" s="235"/>
      <c r="I67" s="235"/>
      <c r="J67" s="235"/>
      <c r="K67" s="235"/>
      <c r="L67" s="235"/>
      <c r="M67" s="235"/>
      <c r="N67" s="235"/>
      <c r="O67" s="236"/>
      <c r="Q67" s="233"/>
      <c r="R67" s="233"/>
      <c r="S67" s="233"/>
    </row>
    <row r="68" spans="1:19" ht="17.25" thickBot="1">
      <c r="A68" s="168" t="s">
        <v>297</v>
      </c>
      <c r="B68" s="234" t="s">
        <v>49</v>
      </c>
      <c r="C68" s="236"/>
      <c r="D68" s="234" t="s">
        <v>58</v>
      </c>
      <c r="E68" s="235"/>
      <c r="F68" s="236"/>
      <c r="G68" s="237">
        <f>_xlfn.IFNA(VLOOKUP(B68, 현재가테이블!$B$2:$D$200, 2, FALSE), "-")</f>
        <v>41418000</v>
      </c>
      <c r="H68" s="238"/>
      <c r="I68" s="239"/>
      <c r="J68" s="234" t="s">
        <v>59</v>
      </c>
      <c r="K68" s="235"/>
      <c r="L68" s="236"/>
      <c r="M68" s="240">
        <f>_xlfn.IFNA(VLOOKUP(B68, 현재가테이블!$B$2:$D$200, 3, FALSE), "-")</f>
        <v>-5.2176301000000001E-2</v>
      </c>
      <c r="N68" s="241"/>
      <c r="O68" s="242"/>
      <c r="Q68" s="233"/>
      <c r="R68" s="233"/>
      <c r="S68" s="233"/>
    </row>
    <row r="69" spans="1:19" ht="17.25" thickBot="1">
      <c r="A69" s="278" t="s">
        <v>55</v>
      </c>
      <c r="B69" s="274" t="str">
        <f>TEXT($G$1, "[$-ko-KR]yyyy-mm-dd(ddd) ") &amp; "오전 00:00"</f>
        <v>2021-06-03(목) 오전 00:00</v>
      </c>
      <c r="C69" s="275"/>
      <c r="D69" s="247" t="str">
        <f>TEXT($G$1, "[$-ko-KR]yyyy-mm-dd(ddd) ") &amp; "오후 14:00"</f>
        <v>2021-06-03(목) 오후 14:00</v>
      </c>
      <c r="E69" s="248"/>
      <c r="F69" s="249"/>
      <c r="G69" s="247" t="str">
        <f>TEXT($G$1, "[$-ko-KR]yyyy-mm-dd(ddd) ") &amp; "오후 19:00"</f>
        <v>2021-06-03(목) 오후 19:00</v>
      </c>
      <c r="H69" s="248"/>
      <c r="I69" s="249"/>
      <c r="J69" s="247" t="str">
        <f>TEXT($G$1, "[$-ko-KR]yyyy-mm-dd(ddd) ") &amp; "오후 21:00"</f>
        <v>2021-06-03(목) 오후 21:00</v>
      </c>
      <c r="K69" s="248"/>
      <c r="L69" s="249"/>
      <c r="M69" s="247" t="str">
        <f>TEXT($G$1+1, "[$-ko-KR]yyyy-mm-dd(ddd) ") &amp; "오전 00:00"</f>
        <v>2021-06-04(금) 오전 00:00</v>
      </c>
      <c r="N69" s="248"/>
      <c r="O69" s="249"/>
      <c r="Q69" s="233"/>
      <c r="R69" s="233"/>
      <c r="S69" s="233"/>
    </row>
    <row r="70" spans="1:19" ht="17.25" thickBot="1">
      <c r="A70" s="279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9" t="s">
        <v>58</v>
      </c>
      <c r="H70" s="170" t="s">
        <v>298</v>
      </c>
      <c r="I70" s="17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3"/>
      <c r="R70" s="223"/>
      <c r="S70" s="223"/>
    </row>
    <row r="71" spans="1:19" ht="17.25" thickBot="1">
      <c r="A71" s="161" t="s">
        <v>296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33"/>
      <c r="R71" s="233"/>
      <c r="S71" s="233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33"/>
      <c r="R72" s="233"/>
      <c r="S72" s="233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23"/>
      <c r="R73" s="223"/>
      <c r="S73" s="223"/>
    </row>
    <row r="74" spans="1:19" ht="17.25" thickBot="1">
      <c r="A74" s="162" t="s">
        <v>232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23"/>
      <c r="R74" s="223"/>
      <c r="S74" s="223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23"/>
      <c r="R75" s="223"/>
      <c r="S75" s="223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23"/>
      <c r="R76" s="223"/>
      <c r="S76" s="223"/>
    </row>
    <row r="77" spans="1:19" ht="17.25" thickBot="1">
      <c r="A77" s="162" t="s">
        <v>202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23"/>
      <c r="R77" s="223"/>
      <c r="S77" s="223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23"/>
      <c r="R78" s="223"/>
      <c r="S78" s="223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216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24"/>
      <c r="R80" s="225"/>
      <c r="S80" s="226"/>
    </row>
    <row r="81" spans="1:19">
      <c r="A81" s="161" t="s">
        <v>240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27"/>
      <c r="R81" s="228"/>
      <c r="S81" s="229"/>
    </row>
    <row r="82" spans="1:19" ht="17.25" thickBot="1">
      <c r="A82" s="162" t="s">
        <v>284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30"/>
      <c r="R82" s="231"/>
      <c r="S82" s="232"/>
    </row>
    <row r="83" spans="1:19" ht="17.25" thickBot="1">
      <c r="A83" s="162" t="s">
        <v>210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23"/>
      <c r="R83" s="223"/>
      <c r="S83" s="223"/>
    </row>
    <row r="84" spans="1:19" ht="17.25" thickBot="1">
      <c r="A84" s="162" t="s">
        <v>256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33"/>
      <c r="R84" s="233"/>
      <c r="S84" s="233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33"/>
      <c r="R85" s="233"/>
      <c r="S85" s="233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23"/>
      <c r="R86" s="223"/>
      <c r="S86" s="223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23"/>
      <c r="R87" s="223"/>
      <c r="S87" s="223"/>
    </row>
    <row r="88" spans="1:19" ht="17.25" thickBot="1">
      <c r="A88" s="162" t="s">
        <v>182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23"/>
      <c r="R88" s="223"/>
      <c r="S88" s="223"/>
    </row>
    <row r="89" spans="1:19">
      <c r="A89" s="162" t="s">
        <v>270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212"/>
      <c r="R89" s="213"/>
      <c r="S89" s="214"/>
    </row>
    <row r="90" spans="1:19" ht="17.25" thickBot="1">
      <c r="A90" s="130" t="s">
        <v>262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215"/>
      <c r="R90" s="216"/>
      <c r="S90" s="217"/>
    </row>
    <row r="91" spans="1:19" ht="17.25" thickBot="1">
      <c r="A91" s="132" t="s">
        <v>300</v>
      </c>
      <c r="B91" s="276">
        <f>$B$37</f>
        <v>100000</v>
      </c>
      <c r="C91" s="277"/>
      <c r="D91" s="26" t="s">
        <v>301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301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301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301</v>
      </c>
      <c r="N91" s="27">
        <f>IF(COUNT(N71:N90), SUM(N71:N90) / COUNT(N71:N90), 0)</f>
        <v>2.7547899196957503E-2</v>
      </c>
      <c r="O91" s="28">
        <f>SUM(O71:O90)</f>
        <v>55095.798393914993</v>
      </c>
      <c r="Q91" s="218"/>
      <c r="R91" s="219"/>
      <c r="S91" s="220"/>
    </row>
    <row r="93" spans="1:19" ht="17.25" thickBot="1"/>
    <row r="94" spans="1:19" ht="17.25" thickBot="1">
      <c r="A94" s="234" t="s">
        <v>46</v>
      </c>
      <c r="B94" s="235"/>
      <c r="C94" s="235"/>
      <c r="D94" s="235"/>
      <c r="E94" s="235"/>
      <c r="F94" s="235"/>
      <c r="G94" s="235"/>
      <c r="H94" s="235"/>
      <c r="I94" s="235"/>
      <c r="J94" s="235"/>
      <c r="K94" s="235"/>
      <c r="L94" s="235"/>
      <c r="M94" s="235"/>
      <c r="N94" s="235"/>
      <c r="O94" s="236"/>
      <c r="Q94" s="233"/>
      <c r="R94" s="233"/>
      <c r="S94" s="233"/>
    </row>
    <row r="95" spans="1:19" ht="17.25" thickBot="1">
      <c r="A95" s="168" t="s">
        <v>297</v>
      </c>
      <c r="B95" s="234" t="s">
        <v>49</v>
      </c>
      <c r="C95" s="236"/>
      <c r="D95" s="234" t="s">
        <v>58</v>
      </c>
      <c r="E95" s="235"/>
      <c r="F95" s="236"/>
      <c r="G95" s="237">
        <f>_xlfn.IFNA(VLOOKUP(B95, 현재가테이블!$B$2:$D$200, 2, FALSE), "-")</f>
        <v>41418000</v>
      </c>
      <c r="H95" s="238"/>
      <c r="I95" s="239"/>
      <c r="J95" s="234" t="s">
        <v>59</v>
      </c>
      <c r="K95" s="235"/>
      <c r="L95" s="236"/>
      <c r="M95" s="240">
        <f>_xlfn.IFNA(VLOOKUP(B95, 현재가테이블!$B$2:$D$200, 3, FALSE), "-")</f>
        <v>-5.2176301000000001E-2</v>
      </c>
      <c r="N95" s="241"/>
      <c r="O95" s="242"/>
      <c r="Q95" s="233"/>
      <c r="R95" s="233"/>
      <c r="S95" s="233"/>
    </row>
    <row r="96" spans="1:19" ht="17.25" thickBot="1">
      <c r="A96" s="278" t="s">
        <v>55</v>
      </c>
      <c r="B96" s="274" t="str">
        <f>TEXT($G$1, "[$-ko-KR]yyyy-mm-dd(ddd) ") &amp; "오전 00:00"</f>
        <v>2021-06-03(목) 오전 00:00</v>
      </c>
      <c r="C96" s="275"/>
      <c r="D96" s="247" t="str">
        <f>TEXT($G$1, "[$-ko-KR]yyyy-mm-dd(ddd) ") &amp; "오후 14:00"</f>
        <v>2021-06-03(목) 오후 14:00</v>
      </c>
      <c r="E96" s="248"/>
      <c r="F96" s="249"/>
      <c r="G96" s="247" t="str">
        <f>TEXT($G$1, "[$-ko-KR]yyyy-mm-dd(ddd) ") &amp; "오후 19:00"</f>
        <v>2021-06-03(목) 오후 19:00</v>
      </c>
      <c r="H96" s="248"/>
      <c r="I96" s="249"/>
      <c r="J96" s="247" t="str">
        <f>TEXT($G$1, "[$-ko-KR]yyyy-mm-dd(ddd) ") &amp; "오후 21:00"</f>
        <v>2021-06-03(목) 오후 21:00</v>
      </c>
      <c r="K96" s="248"/>
      <c r="L96" s="249"/>
      <c r="M96" s="247" t="str">
        <f>TEXT($G$1+1, "[$-ko-KR]yyyy-mm-dd(ddd) ") &amp; "오전 00:00"</f>
        <v>2021-06-04(금) 오전 00:00</v>
      </c>
      <c r="N96" s="248"/>
      <c r="O96" s="249"/>
      <c r="Q96" s="233"/>
      <c r="R96" s="233"/>
      <c r="S96" s="233"/>
    </row>
    <row r="97" spans="1:19" ht="17.25" thickBot="1">
      <c r="A97" s="279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9" t="s">
        <v>58</v>
      </c>
      <c r="H97" s="170" t="s">
        <v>298</v>
      </c>
      <c r="I97" s="17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3"/>
      <c r="R97" s="223"/>
      <c r="S97" s="223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33"/>
      <c r="R98" s="233"/>
      <c r="S98" s="233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33"/>
      <c r="R99" s="233"/>
      <c r="S99" s="233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23"/>
      <c r="R100" s="223"/>
      <c r="S100" s="223"/>
    </row>
    <row r="101" spans="1:19" ht="17.25" thickBot="1">
      <c r="A101" s="162" t="s">
        <v>296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23"/>
      <c r="R101" s="223"/>
      <c r="S101" s="223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23"/>
      <c r="R102" s="223"/>
      <c r="S102" s="223"/>
    </row>
    <row r="103" spans="1:19" ht="17.25" thickBot="1">
      <c r="A103" s="162" t="s">
        <v>184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23"/>
      <c r="R103" s="223"/>
      <c r="S103" s="223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23"/>
      <c r="R104" s="223"/>
      <c r="S104" s="223"/>
    </row>
    <row r="105" spans="1:19" ht="17.25" thickBot="1">
      <c r="A105" s="162" t="s">
        <v>166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23"/>
      <c r="R105" s="223"/>
      <c r="S105" s="223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24"/>
      <c r="R107" s="225"/>
      <c r="S107" s="226"/>
    </row>
    <row r="108" spans="1:19">
      <c r="A108" s="161" t="s">
        <v>220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27"/>
      <c r="R108" s="228"/>
      <c r="S108" s="229"/>
    </row>
    <row r="109" spans="1:19" ht="17.25" thickBot="1">
      <c r="A109" s="162" t="s">
        <v>164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30"/>
      <c r="R109" s="231"/>
      <c r="S109" s="232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23"/>
      <c r="R110" s="223"/>
      <c r="S110" s="223"/>
    </row>
    <row r="111" spans="1:19" ht="17.25" thickBot="1">
      <c r="A111" s="162" t="s">
        <v>178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33"/>
      <c r="R111" s="233"/>
      <c r="S111" s="233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33"/>
      <c r="R112" s="233"/>
      <c r="S112" s="233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23"/>
      <c r="R113" s="223"/>
      <c r="S113" s="223"/>
    </row>
    <row r="114" spans="1:19" ht="17.25" thickBot="1">
      <c r="A114" s="162" t="s">
        <v>180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23"/>
      <c r="R114" s="223"/>
      <c r="S114" s="223"/>
    </row>
    <row r="115" spans="1:19" ht="17.25" thickBot="1">
      <c r="A115" s="162" t="s">
        <v>232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23"/>
      <c r="R115" s="223"/>
      <c r="S115" s="223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212"/>
      <c r="R116" s="213"/>
      <c r="S116" s="214"/>
    </row>
    <row r="117" spans="1:19" ht="17.25" thickBot="1">
      <c r="A117" s="130" t="s">
        <v>242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215"/>
      <c r="R117" s="216"/>
      <c r="S117" s="217"/>
    </row>
    <row r="118" spans="1:19" ht="17.25" thickBot="1">
      <c r="A118" s="132" t="s">
        <v>300</v>
      </c>
      <c r="B118" s="276">
        <f>$B$37</f>
        <v>100000</v>
      </c>
      <c r="C118" s="277"/>
      <c r="D118" s="26" t="s">
        <v>301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301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301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301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218"/>
      <c r="R118" s="219"/>
      <c r="S118" s="220"/>
    </row>
    <row r="120" spans="1:19" ht="17.25" thickBot="1"/>
    <row r="121" spans="1:19" ht="17.25" thickBot="1">
      <c r="A121" s="234" t="s">
        <v>288</v>
      </c>
      <c r="B121" s="235"/>
      <c r="C121" s="235"/>
      <c r="D121" s="235"/>
      <c r="E121" s="235"/>
      <c r="F121" s="235"/>
      <c r="G121" s="235"/>
      <c r="H121" s="235"/>
      <c r="I121" s="235"/>
      <c r="J121" s="235"/>
      <c r="K121" s="235"/>
      <c r="L121" s="235"/>
      <c r="M121" s="235"/>
      <c r="N121" s="235"/>
      <c r="O121" s="236"/>
      <c r="Q121" s="233"/>
      <c r="R121" s="233"/>
      <c r="S121" s="233"/>
    </row>
    <row r="122" spans="1:19" ht="17.25" thickBot="1">
      <c r="A122" s="168" t="s">
        <v>297</v>
      </c>
      <c r="B122" s="234" t="s">
        <v>49</v>
      </c>
      <c r="C122" s="236"/>
      <c r="D122" s="234" t="s">
        <v>58</v>
      </c>
      <c r="E122" s="235"/>
      <c r="F122" s="236"/>
      <c r="G122" s="237">
        <f>_xlfn.IFNA(VLOOKUP(B122, 현재가테이블!$B$2:$D$200, 2, FALSE), "-")</f>
        <v>41418000</v>
      </c>
      <c r="H122" s="238"/>
      <c r="I122" s="239"/>
      <c r="J122" s="234" t="s">
        <v>59</v>
      </c>
      <c r="K122" s="235"/>
      <c r="L122" s="236"/>
      <c r="M122" s="240">
        <f>_xlfn.IFNA(VLOOKUP(B122, 현재가테이블!$B$2:$D$200, 3, FALSE), "-")</f>
        <v>-5.2176301000000001E-2</v>
      </c>
      <c r="N122" s="241"/>
      <c r="O122" s="242"/>
      <c r="Q122" s="233"/>
      <c r="R122" s="233"/>
      <c r="S122" s="233"/>
    </row>
    <row r="123" spans="1:19" ht="17.25" thickBot="1">
      <c r="A123" s="278" t="s">
        <v>55</v>
      </c>
      <c r="B123" s="274" t="str">
        <f>TEXT($G$1, "[$-ko-KR]yyyy-mm-dd(ddd) ") &amp; "오전 00:00"</f>
        <v>2021-06-03(목) 오전 00:00</v>
      </c>
      <c r="C123" s="275"/>
      <c r="D123" s="247" t="str">
        <f>TEXT($G$1, "[$-ko-KR]yyyy-mm-dd(ddd) ") &amp; "오후 14:00"</f>
        <v>2021-06-03(목) 오후 14:00</v>
      </c>
      <c r="E123" s="248"/>
      <c r="F123" s="249"/>
      <c r="G123" s="247" t="str">
        <f>TEXT($G$1, "[$-ko-KR]yyyy-mm-dd(ddd) ") &amp; "오후 19:00"</f>
        <v>2021-06-03(목) 오후 19:00</v>
      </c>
      <c r="H123" s="248"/>
      <c r="I123" s="249"/>
      <c r="J123" s="247" t="str">
        <f>TEXT($G$1, "[$-ko-KR]yyyy-mm-dd(ddd) ") &amp; "오후 21:00"</f>
        <v>2021-06-03(목) 오후 21:00</v>
      </c>
      <c r="K123" s="248"/>
      <c r="L123" s="249"/>
      <c r="M123" s="247" t="str">
        <f>TEXT($G$1+1, "[$-ko-KR]yyyy-mm-dd(ddd) ") &amp; "오전 00:00"</f>
        <v>2021-06-04(금) 오전 00:00</v>
      </c>
      <c r="N123" s="248"/>
      <c r="O123" s="249"/>
      <c r="Q123" s="233"/>
      <c r="R123" s="233"/>
      <c r="S123" s="233"/>
    </row>
    <row r="124" spans="1:19" ht="17.25" thickBot="1">
      <c r="A124" s="279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9" t="s">
        <v>58</v>
      </c>
      <c r="H124" s="170" t="s">
        <v>298</v>
      </c>
      <c r="I124" s="17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3"/>
      <c r="R124" s="223"/>
      <c r="S124" s="223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33"/>
      <c r="R125" s="233"/>
      <c r="S125" s="233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33"/>
      <c r="R126" s="233"/>
      <c r="S126" s="233"/>
    </row>
    <row r="127" spans="1:19" ht="17.25" thickBot="1">
      <c r="A127" s="162" t="s">
        <v>196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23"/>
      <c r="R127" s="223"/>
      <c r="S127" s="223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23"/>
      <c r="R128" s="223"/>
      <c r="S128" s="223"/>
    </row>
    <row r="129" spans="1:19" ht="17.25" thickBot="1">
      <c r="A129" s="163" t="s">
        <v>218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23"/>
      <c r="R129" s="223"/>
      <c r="S129" s="223"/>
    </row>
    <row r="130" spans="1:19" ht="17.25" thickBot="1">
      <c r="A130" s="162" t="s">
        <v>236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23"/>
      <c r="R130" s="223"/>
      <c r="S130" s="223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23"/>
      <c r="R131" s="223"/>
      <c r="S131" s="223"/>
    </row>
    <row r="132" spans="1:19" ht="17.25" thickBot="1">
      <c r="A132" s="162" t="s">
        <v>228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23"/>
      <c r="R132" s="223"/>
      <c r="S132" s="223"/>
    </row>
    <row r="133" spans="1:19" ht="17.25" thickBot="1">
      <c r="A133" s="162" t="s">
        <v>212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254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24"/>
      <c r="R134" s="225"/>
      <c r="S134" s="226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27"/>
      <c r="R135" s="228"/>
      <c r="S135" s="229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30"/>
      <c r="R136" s="231"/>
      <c r="S136" s="232"/>
    </row>
    <row r="137" spans="1:19" ht="17.25" thickBot="1">
      <c r="A137" s="162" t="s">
        <v>264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23"/>
      <c r="R137" s="223"/>
      <c r="S137" s="223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33"/>
      <c r="R138" s="233"/>
      <c r="S138" s="233"/>
    </row>
    <row r="139" spans="1:19" ht="17.25" thickBot="1">
      <c r="A139" s="163" t="s">
        <v>268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33"/>
      <c r="R139" s="233"/>
      <c r="S139" s="233"/>
    </row>
    <row r="140" spans="1:19" ht="17.25" thickBot="1">
      <c r="A140" s="162" t="s">
        <v>222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23"/>
      <c r="R140" s="223"/>
      <c r="S140" s="223"/>
    </row>
    <row r="141" spans="1:19" ht="17.25" thickBot="1">
      <c r="A141" s="162" t="s">
        <v>266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23"/>
      <c r="R141" s="223"/>
      <c r="S141" s="223"/>
    </row>
    <row r="142" spans="1:19" ht="17.25" thickBot="1">
      <c r="A142" s="162" t="s">
        <v>172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23"/>
      <c r="R142" s="223"/>
      <c r="S142" s="223"/>
    </row>
    <row r="143" spans="1:19">
      <c r="A143" s="162" t="s">
        <v>186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212"/>
      <c r="R143" s="213"/>
      <c r="S143" s="214"/>
    </row>
    <row r="144" spans="1:19" ht="17.25" thickBot="1">
      <c r="A144" s="130" t="s">
        <v>260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215"/>
      <c r="R144" s="216"/>
      <c r="S144" s="217"/>
    </row>
    <row r="145" spans="1:19" ht="17.25" thickBot="1">
      <c r="A145" s="132" t="s">
        <v>300</v>
      </c>
      <c r="B145" s="276">
        <f>$B$37</f>
        <v>100000</v>
      </c>
      <c r="C145" s="277"/>
      <c r="D145" s="26" t="s">
        <v>301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301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301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301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218"/>
      <c r="R145" s="219"/>
      <c r="S145" s="220"/>
    </row>
    <row r="147" spans="1:19" ht="17.25" thickBot="1"/>
    <row r="148" spans="1:19" ht="17.25" thickBot="1">
      <c r="A148" s="234" t="s">
        <v>289</v>
      </c>
      <c r="B148" s="235"/>
      <c r="C148" s="235"/>
      <c r="D148" s="235"/>
      <c r="E148" s="235"/>
      <c r="F148" s="235"/>
      <c r="G148" s="235"/>
      <c r="H148" s="235"/>
      <c r="I148" s="235"/>
      <c r="J148" s="235"/>
      <c r="K148" s="235"/>
      <c r="L148" s="235"/>
      <c r="M148" s="235"/>
      <c r="N148" s="235"/>
      <c r="O148" s="236"/>
      <c r="Q148" s="233"/>
      <c r="R148" s="233"/>
      <c r="S148" s="233"/>
    </row>
    <row r="149" spans="1:19" ht="17.25" thickBot="1">
      <c r="A149" s="168" t="s">
        <v>297</v>
      </c>
      <c r="B149" s="234" t="s">
        <v>49</v>
      </c>
      <c r="C149" s="236"/>
      <c r="D149" s="234" t="s">
        <v>58</v>
      </c>
      <c r="E149" s="235"/>
      <c r="F149" s="236"/>
      <c r="G149" s="237">
        <f>_xlfn.IFNA(VLOOKUP(B149, 현재가테이블!$B$2:$D$200, 2, FALSE), "-")</f>
        <v>41418000</v>
      </c>
      <c r="H149" s="238"/>
      <c r="I149" s="239"/>
      <c r="J149" s="234" t="s">
        <v>59</v>
      </c>
      <c r="K149" s="235"/>
      <c r="L149" s="236"/>
      <c r="M149" s="240">
        <f>_xlfn.IFNA(VLOOKUP(B149, 현재가테이블!$B$2:$D$200, 3, FALSE), "-")</f>
        <v>-5.2176301000000001E-2</v>
      </c>
      <c r="N149" s="241"/>
      <c r="O149" s="242"/>
      <c r="Q149" s="233"/>
      <c r="R149" s="233"/>
      <c r="S149" s="233"/>
    </row>
    <row r="150" spans="1:19" ht="17.25" thickBot="1">
      <c r="A150" s="278" t="s">
        <v>55</v>
      </c>
      <c r="B150" s="274" t="str">
        <f>TEXT($G$1, "[$-ko-KR]yyyy-mm-dd(ddd) ") &amp; "오전 00:00"</f>
        <v>2021-06-03(목) 오전 00:00</v>
      </c>
      <c r="C150" s="275"/>
      <c r="D150" s="247" t="str">
        <f>TEXT($G$1, "[$-ko-KR]yyyy-mm-dd(ddd) ") &amp; "오후 14:00"</f>
        <v>2021-06-03(목) 오후 14:00</v>
      </c>
      <c r="E150" s="248"/>
      <c r="F150" s="249"/>
      <c r="G150" s="247" t="str">
        <f>TEXT($G$1, "[$-ko-KR]yyyy-mm-dd(ddd) ") &amp; "오후 19:00"</f>
        <v>2021-06-03(목) 오후 19:00</v>
      </c>
      <c r="H150" s="248"/>
      <c r="I150" s="249"/>
      <c r="J150" s="247" t="str">
        <f>TEXT($G$1, "[$-ko-KR]yyyy-mm-dd(ddd) ") &amp; "오후 21:00"</f>
        <v>2021-06-03(목) 오후 21:00</v>
      </c>
      <c r="K150" s="248"/>
      <c r="L150" s="249"/>
      <c r="M150" s="247" t="str">
        <f>TEXT($G$1+1, "[$-ko-KR]yyyy-mm-dd(ddd) ") &amp; "오전 00:00"</f>
        <v>2021-06-04(금) 오전 00:00</v>
      </c>
      <c r="N150" s="248"/>
      <c r="O150" s="249"/>
      <c r="Q150" s="233"/>
      <c r="R150" s="233"/>
      <c r="S150" s="233"/>
    </row>
    <row r="151" spans="1:19" ht="17.25" thickBot="1">
      <c r="A151" s="279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9" t="s">
        <v>58</v>
      </c>
      <c r="H151" s="170" t="s">
        <v>298</v>
      </c>
      <c r="I151" s="17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3"/>
      <c r="R151" s="223"/>
      <c r="S151" s="223"/>
    </row>
    <row r="152" spans="1:19" ht="17.25" thickBot="1">
      <c r="A152" s="161" t="s">
        <v>262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33"/>
      <c r="R152" s="233"/>
      <c r="S152" s="233"/>
    </row>
    <row r="153" spans="1:19" ht="17.25" thickBot="1">
      <c r="A153" s="162" t="s">
        <v>200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33"/>
      <c r="R153" s="233"/>
      <c r="S153" s="233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23"/>
      <c r="R154" s="223"/>
      <c r="S154" s="223"/>
    </row>
    <row r="155" spans="1:19" ht="17.25" thickBot="1">
      <c r="A155" s="162" t="s">
        <v>282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23"/>
      <c r="R155" s="223"/>
      <c r="S155" s="223"/>
    </row>
    <row r="156" spans="1:19" ht="17.25" thickBot="1">
      <c r="A156" s="163" t="s">
        <v>168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23"/>
      <c r="R156" s="223"/>
      <c r="S156" s="223"/>
    </row>
    <row r="157" spans="1:19" ht="17.25" thickBot="1">
      <c r="A157" s="162" t="s">
        <v>250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23"/>
      <c r="R157" s="223"/>
      <c r="S157" s="223"/>
    </row>
    <row r="158" spans="1:19" ht="17.25" thickBot="1">
      <c r="A158" s="162" t="s">
        <v>238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23"/>
      <c r="R158" s="223"/>
      <c r="S158" s="223"/>
    </row>
    <row r="159" spans="1:19" ht="17.25" thickBot="1">
      <c r="A159" s="162" t="s">
        <v>174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23"/>
      <c r="R159" s="223"/>
      <c r="S159" s="223"/>
    </row>
    <row r="160" spans="1:19" ht="17.25" thickBot="1">
      <c r="A160" s="162" t="s">
        <v>234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170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24"/>
      <c r="R161" s="225"/>
      <c r="S161" s="226"/>
    </row>
    <row r="162" spans="1:19">
      <c r="A162" s="161" t="s">
        <v>208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27"/>
      <c r="R162" s="228"/>
      <c r="S162" s="229"/>
    </row>
    <row r="163" spans="1:19" ht="17.25" thickBot="1">
      <c r="A163" s="162" t="s">
        <v>258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30"/>
      <c r="R163" s="231"/>
      <c r="S163" s="232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23"/>
      <c r="R164" s="223"/>
      <c r="S164" s="223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33"/>
      <c r="R165" s="233"/>
      <c r="S165" s="233"/>
    </row>
    <row r="166" spans="1:19" ht="17.25" thickBot="1">
      <c r="A166" s="163" t="s">
        <v>252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33"/>
      <c r="R166" s="233"/>
      <c r="S166" s="233"/>
    </row>
    <row r="167" spans="1:19" ht="17.25" thickBot="1">
      <c r="A167" s="162" t="s">
        <v>226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23"/>
      <c r="R167" s="223"/>
      <c r="S167" s="223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23"/>
      <c r="R168" s="223"/>
      <c r="S168" s="223"/>
    </row>
    <row r="169" spans="1:19" ht="17.25" thickBot="1">
      <c r="A169" s="162" t="s">
        <v>230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23"/>
      <c r="R169" s="223"/>
      <c r="S169" s="223"/>
    </row>
    <row r="170" spans="1:19">
      <c r="A170" s="162" t="s">
        <v>246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212"/>
      <c r="R170" s="213"/>
      <c r="S170" s="214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215"/>
      <c r="R171" s="216"/>
      <c r="S171" s="217"/>
    </row>
    <row r="172" spans="1:19" ht="17.25" thickBot="1">
      <c r="A172" s="132" t="s">
        <v>300</v>
      </c>
      <c r="B172" s="276">
        <f>$B$37</f>
        <v>100000</v>
      </c>
      <c r="C172" s="277"/>
      <c r="D172" s="26" t="s">
        <v>301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301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301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301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218"/>
      <c r="R172" s="219"/>
      <c r="S172" s="220"/>
    </row>
    <row r="174" spans="1:19" ht="17.25" thickBot="1"/>
    <row r="175" spans="1:19" ht="17.25" thickBot="1">
      <c r="A175" s="234" t="s">
        <v>285</v>
      </c>
      <c r="B175" s="235"/>
      <c r="C175" s="235"/>
      <c r="D175" s="235"/>
      <c r="E175" s="235"/>
      <c r="F175" s="235"/>
      <c r="G175" s="235"/>
      <c r="H175" s="235"/>
      <c r="I175" s="235"/>
      <c r="J175" s="235"/>
      <c r="K175" s="235"/>
      <c r="L175" s="235"/>
      <c r="M175" s="235"/>
      <c r="N175" s="235"/>
      <c r="O175" s="236"/>
      <c r="Q175" s="233"/>
      <c r="R175" s="233"/>
      <c r="S175" s="233"/>
    </row>
    <row r="176" spans="1:19" ht="17.25" thickBot="1">
      <c r="A176" s="168" t="s">
        <v>297</v>
      </c>
      <c r="B176" s="234" t="s">
        <v>49</v>
      </c>
      <c r="C176" s="236"/>
      <c r="D176" s="234" t="s">
        <v>58</v>
      </c>
      <c r="E176" s="235"/>
      <c r="F176" s="236"/>
      <c r="G176" s="237">
        <f>_xlfn.IFNA(VLOOKUP(B176, 현재가테이블!$B$2:$D$200, 2, FALSE), "-")</f>
        <v>41418000</v>
      </c>
      <c r="H176" s="238"/>
      <c r="I176" s="239"/>
      <c r="J176" s="234" t="s">
        <v>59</v>
      </c>
      <c r="K176" s="235"/>
      <c r="L176" s="236"/>
      <c r="M176" s="240">
        <f>_xlfn.IFNA(VLOOKUP(B176, 현재가테이블!$B$2:$D$200, 3, FALSE), "-")</f>
        <v>-5.2176301000000001E-2</v>
      </c>
      <c r="N176" s="241"/>
      <c r="O176" s="242"/>
      <c r="Q176" s="233"/>
      <c r="R176" s="233"/>
      <c r="S176" s="233"/>
    </row>
    <row r="177" spans="1:19" ht="17.25" thickBot="1">
      <c r="A177" s="278" t="s">
        <v>55</v>
      </c>
      <c r="B177" s="274" t="str">
        <f>TEXT($G$1, "[$-ko-KR]yyyy-mm-dd(ddd) ") &amp; "오전 00:00"</f>
        <v>2021-06-03(목) 오전 00:00</v>
      </c>
      <c r="C177" s="275"/>
      <c r="D177" s="247" t="str">
        <f>TEXT($G$1, "[$-ko-KR]yyyy-mm-dd(ddd) ") &amp; "오후 14:00"</f>
        <v>2021-06-03(목) 오후 14:00</v>
      </c>
      <c r="E177" s="248"/>
      <c r="F177" s="249"/>
      <c r="G177" s="247" t="str">
        <f>TEXT($G$1, "[$-ko-KR]yyyy-mm-dd(ddd) ") &amp; "오후 19:00"</f>
        <v>2021-06-03(목) 오후 19:00</v>
      </c>
      <c r="H177" s="248"/>
      <c r="I177" s="249"/>
      <c r="J177" s="247" t="str">
        <f>TEXT($G$1, "[$-ko-KR]yyyy-mm-dd(ddd) ") &amp; "오후 21:00"</f>
        <v>2021-06-03(목) 오후 21:00</v>
      </c>
      <c r="K177" s="248"/>
      <c r="L177" s="249"/>
      <c r="M177" s="247" t="str">
        <f>TEXT($G$1+1, "[$-ko-KR]yyyy-mm-dd(ddd) ") &amp; "오전 00:00"</f>
        <v>2021-06-04(금) 오전 00:00</v>
      </c>
      <c r="N177" s="248"/>
      <c r="O177" s="249"/>
      <c r="Q177" s="233"/>
      <c r="R177" s="233"/>
      <c r="S177" s="233"/>
    </row>
    <row r="178" spans="1:19" ht="17.25" thickBot="1">
      <c r="A178" s="279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9" t="s">
        <v>58</v>
      </c>
      <c r="H178" s="170" t="s">
        <v>298</v>
      </c>
      <c r="I178" s="17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3"/>
      <c r="R178" s="223"/>
      <c r="S178" s="223"/>
    </row>
    <row r="179" spans="1:19" ht="17.25" thickBot="1">
      <c r="A179" s="161" t="s">
        <v>224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33"/>
      <c r="R179" s="233"/>
      <c r="S179" s="233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33"/>
      <c r="R180" s="233"/>
      <c r="S180" s="233"/>
    </row>
    <row r="181" spans="1:19" ht="17.25" thickBot="1">
      <c r="A181" s="162" t="s">
        <v>222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23"/>
      <c r="R181" s="223"/>
      <c r="S181" s="223"/>
    </row>
    <row r="182" spans="1:19" ht="17.25" thickBot="1">
      <c r="A182" s="162" t="s">
        <v>162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23"/>
      <c r="R182" s="223"/>
      <c r="S182" s="223"/>
    </row>
    <row r="183" spans="1:19" ht="17.25" thickBot="1">
      <c r="A183" s="163" t="s">
        <v>204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23"/>
      <c r="R183" s="223"/>
      <c r="S183" s="223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23"/>
      <c r="R184" s="223"/>
      <c r="S184" s="223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23"/>
      <c r="R185" s="223"/>
      <c r="S185" s="223"/>
    </row>
    <row r="186" spans="1:19" ht="17.25" thickBot="1">
      <c r="A186" s="162" t="s">
        <v>266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23"/>
      <c r="R186" s="223"/>
      <c r="S186" s="223"/>
    </row>
    <row r="187" spans="1:19" ht="17.25" thickBot="1">
      <c r="A187" s="162" t="s">
        <v>252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24"/>
      <c r="R188" s="225"/>
      <c r="S188" s="226"/>
    </row>
    <row r="189" spans="1:19">
      <c r="A189" s="161" t="s">
        <v>172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27"/>
      <c r="R189" s="228"/>
      <c r="S189" s="229"/>
    </row>
    <row r="190" spans="1:19" ht="17.25" thickBot="1">
      <c r="A190" s="162" t="s">
        <v>226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30"/>
      <c r="R190" s="231"/>
      <c r="S190" s="232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23"/>
      <c r="R191" s="223"/>
      <c r="S191" s="223"/>
    </row>
    <row r="192" spans="1:19" ht="17.25" thickBot="1">
      <c r="A192" s="162" t="s">
        <v>186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33"/>
      <c r="R192" s="233"/>
      <c r="S192" s="233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33"/>
      <c r="R193" s="233"/>
      <c r="S193" s="233"/>
    </row>
    <row r="194" spans="1:19" ht="17.25" thickBot="1">
      <c r="A194" s="162" t="s">
        <v>260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23"/>
      <c r="R194" s="223"/>
      <c r="S194" s="223"/>
    </row>
    <row r="195" spans="1:19" ht="17.25" thickBot="1">
      <c r="A195" s="162" t="s">
        <v>230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23"/>
      <c r="R195" s="223"/>
      <c r="S195" s="223"/>
    </row>
    <row r="196" spans="1:19" ht="17.25" thickBot="1">
      <c r="A196" s="162" t="s">
        <v>246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23"/>
      <c r="R196" s="223"/>
      <c r="S196" s="223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212"/>
      <c r="R197" s="213"/>
      <c r="S197" s="214"/>
    </row>
    <row r="198" spans="1:19" ht="17.25" thickBot="1">
      <c r="A198" s="130" t="s">
        <v>274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215"/>
      <c r="R198" s="216"/>
      <c r="S198" s="217"/>
    </row>
    <row r="199" spans="1:19" ht="17.25" thickBot="1">
      <c r="A199" s="132" t="s">
        <v>300</v>
      </c>
      <c r="B199" s="276">
        <f>$B$37</f>
        <v>100000</v>
      </c>
      <c r="C199" s="277"/>
      <c r="D199" s="26" t="s">
        <v>301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301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301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301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218"/>
      <c r="R199" s="219"/>
      <c r="S199" s="22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59" priority="157">
      <formula>AND($N17 &gt; 0, ISNUMBER($N17))</formula>
    </cfRule>
    <cfRule type="expression" dxfId="1958" priority="158">
      <formula>AND($N17 = 0 * ISNUMBER($N17))</formula>
    </cfRule>
    <cfRule type="expression" dxfId="1957" priority="159">
      <formula>AND($N17 &lt; 0, ISNUMBER($N17))</formula>
    </cfRule>
  </conditionalFormatting>
  <conditionalFormatting sqref="A17:F36">
    <cfRule type="expression" dxfId="1956" priority="166">
      <formula>AND($E17 &gt; 0, ISNUMBER($E17))</formula>
    </cfRule>
    <cfRule type="expression" dxfId="1955" priority="167">
      <formula>AND($E17 = 0 * ISNUMBER($E17))</formula>
    </cfRule>
    <cfRule type="expression" dxfId="1954" priority="168">
      <formula>AND($E17 &lt; 0, ISNUMBER($E17))</formula>
    </cfRule>
  </conditionalFormatting>
  <conditionalFormatting sqref="A17:C36 G17:I36">
    <cfRule type="expression" dxfId="1953" priority="163">
      <formula>AND($H17 &gt; 0, ISNUMBER($H17))</formula>
    </cfRule>
    <cfRule type="expression" dxfId="1952" priority="164">
      <formula>AND($H17 = 0 * ISNUMBER($H17))</formula>
    </cfRule>
    <cfRule type="expression" dxfId="1951" priority="165">
      <formula>AND($H17 &lt; 0, ISNUMBER($H17))</formula>
    </cfRule>
  </conditionalFormatting>
  <conditionalFormatting sqref="A17:C36 J17:L36">
    <cfRule type="expression" dxfId="1950" priority="160">
      <formula>AND($K17 &gt; 0, ISNUMBER($K17))</formula>
    </cfRule>
    <cfRule type="expression" dxfId="1949" priority="161">
      <formula>AND($K17 = 0 * ISNUMBER($K17))</formula>
    </cfRule>
    <cfRule type="expression" dxfId="1948" priority="162">
      <formula>AND($K17 &lt; 0, ISNUMBER($K17))</formula>
    </cfRule>
  </conditionalFormatting>
  <conditionalFormatting sqref="D15:F16 E37:F37">
    <cfRule type="expression" dxfId="1947" priority="154">
      <formula>$E$37 &gt; 0</formula>
    </cfRule>
    <cfRule type="expression" dxfId="1946" priority="155">
      <formula>$E$37 = 0</formula>
    </cfRule>
    <cfRule type="expression" dxfId="1945" priority="156">
      <formula>$E$37 &lt; 0</formula>
    </cfRule>
  </conditionalFormatting>
  <conditionalFormatting sqref="G15:I16 H37:I37">
    <cfRule type="expression" dxfId="1944" priority="151">
      <formula>$H$37 &gt; 0</formula>
    </cfRule>
    <cfRule type="expression" dxfId="1943" priority="152">
      <formula>$H$37 = 0</formula>
    </cfRule>
    <cfRule type="expression" dxfId="1942" priority="153">
      <formula>$H$37 &lt; 0</formula>
    </cfRule>
  </conditionalFormatting>
  <conditionalFormatting sqref="J15:L16 K37:L37">
    <cfRule type="expression" dxfId="1941" priority="148">
      <formula>$K$37 &gt; 0</formula>
    </cfRule>
    <cfRule type="expression" dxfId="1940" priority="149">
      <formula>$K$37 = 0</formula>
    </cfRule>
    <cfRule type="expression" dxfId="1939" priority="150">
      <formula>$K$37 &lt; 0</formula>
    </cfRule>
  </conditionalFormatting>
  <conditionalFormatting sqref="M15:O16 N37:O37">
    <cfRule type="expression" dxfId="1938" priority="145">
      <formula>$N$37 &gt; 0</formula>
    </cfRule>
    <cfRule type="expression" dxfId="1937" priority="146">
      <formula>$N$37 = 0</formula>
    </cfRule>
    <cfRule type="expression" dxfId="1936" priority="147">
      <formula>$N$37 &lt; 0</formula>
    </cfRule>
  </conditionalFormatting>
  <conditionalFormatting sqref="A44:C63 M44:O63">
    <cfRule type="expression" dxfId="1935" priority="133">
      <formula>AND($N44 &gt; 0, ISNUMBER($N44))</formula>
    </cfRule>
    <cfRule type="expression" dxfId="1934" priority="134">
      <formula>AND($N44 = 0 * ISNUMBER($N44))</formula>
    </cfRule>
    <cfRule type="expression" dxfId="1933" priority="135">
      <formula>AND($N44 &lt; 0, ISNUMBER($N44))</formula>
    </cfRule>
  </conditionalFormatting>
  <conditionalFormatting sqref="A44:F63">
    <cfRule type="expression" dxfId="1932" priority="142">
      <formula>AND($E44 &gt; 0, ISNUMBER($E44))</formula>
    </cfRule>
    <cfRule type="expression" dxfId="1931" priority="143">
      <formula>AND($E44 = 0 * ISNUMBER($E44))</formula>
    </cfRule>
    <cfRule type="expression" dxfId="1930" priority="144">
      <formula>AND($E44 &lt; 0, ISNUMBER($E44))</formula>
    </cfRule>
  </conditionalFormatting>
  <conditionalFormatting sqref="A44:C63 G44:I63">
    <cfRule type="expression" dxfId="1929" priority="139">
      <formula>AND($H44 &gt; 0, ISNUMBER($H44))</formula>
    </cfRule>
    <cfRule type="expression" dxfId="1928" priority="140">
      <formula>AND($H44 = 0 * ISNUMBER($H44))</formula>
    </cfRule>
    <cfRule type="expression" dxfId="1927" priority="141">
      <formula>AND($H44 &lt; 0, ISNUMBER($H44))</formula>
    </cfRule>
  </conditionalFormatting>
  <conditionalFormatting sqref="A44:C63 J44:L63">
    <cfRule type="expression" dxfId="1926" priority="136">
      <formula>AND($K44 &gt; 0, ISNUMBER($K44))</formula>
    </cfRule>
    <cfRule type="expression" dxfId="1925" priority="137">
      <formula>AND($K44 = 0 * ISNUMBER($K44))</formula>
    </cfRule>
    <cfRule type="expression" dxfId="1924" priority="138">
      <formula>AND($K44 &lt; 0, ISNUMBER($K44))</formula>
    </cfRule>
  </conditionalFormatting>
  <conditionalFormatting sqref="D42:F43 E64:F64">
    <cfRule type="expression" dxfId="1923" priority="130">
      <formula>$E$64 &gt; 0</formula>
    </cfRule>
    <cfRule type="expression" dxfId="1922" priority="131">
      <formula>$E$64 = 0</formula>
    </cfRule>
    <cfRule type="expression" dxfId="1921" priority="132">
      <formula>$E$64 &lt; 0</formula>
    </cfRule>
  </conditionalFormatting>
  <conditionalFormatting sqref="G42:I43 H64:I64">
    <cfRule type="expression" dxfId="1920" priority="127">
      <formula>$H$64 &gt; 0</formula>
    </cfRule>
    <cfRule type="expression" dxfId="1919" priority="128">
      <formula>$H$64 = 0</formula>
    </cfRule>
    <cfRule type="expression" dxfId="1918" priority="129">
      <formula>$H$64 &lt; 0</formula>
    </cfRule>
  </conditionalFormatting>
  <conditionalFormatting sqref="J42:L43 K64:L64">
    <cfRule type="expression" dxfId="1917" priority="124">
      <formula>$K$64 &gt; 0</formula>
    </cfRule>
    <cfRule type="expression" dxfId="1916" priority="125">
      <formula>$K$64 = 0</formula>
    </cfRule>
    <cfRule type="expression" dxfId="1915" priority="126">
      <formula>$K$64 &lt; 0</formula>
    </cfRule>
  </conditionalFormatting>
  <conditionalFormatting sqref="M42:O43 N64:O64">
    <cfRule type="expression" dxfId="1914" priority="121">
      <formula>$N$64 &gt; 0</formula>
    </cfRule>
    <cfRule type="expression" dxfId="1913" priority="122">
      <formula>$N$64 = 0</formula>
    </cfRule>
    <cfRule type="expression" dxfId="1912" priority="123">
      <formula>$N$64 &lt; 0</formula>
    </cfRule>
  </conditionalFormatting>
  <conditionalFormatting sqref="A71:C90 M71:O90">
    <cfRule type="expression" dxfId="1911" priority="109">
      <formula>AND($N71 &gt; 0, ISNUMBER($N71))</formula>
    </cfRule>
    <cfRule type="expression" dxfId="1910" priority="110">
      <formula>AND($N71 = 0 * ISNUMBER($N71))</formula>
    </cfRule>
    <cfRule type="expression" dxfId="1909" priority="111">
      <formula>AND($N71 &lt; 0, ISNUMBER($N71))</formula>
    </cfRule>
  </conditionalFormatting>
  <conditionalFormatting sqref="A71:F90">
    <cfRule type="expression" dxfId="1908" priority="118">
      <formula>AND($E71 &gt; 0, ISNUMBER($E71))</formula>
    </cfRule>
    <cfRule type="expression" dxfId="1907" priority="119">
      <formula>AND($E71 = 0 * ISNUMBER($E71))</formula>
    </cfRule>
    <cfRule type="expression" dxfId="1906" priority="120">
      <formula>AND($E71 &lt; 0, ISNUMBER($E71))</formula>
    </cfRule>
  </conditionalFormatting>
  <conditionalFormatting sqref="A71:C90 G71:I90">
    <cfRule type="expression" dxfId="1905" priority="115">
      <formula>AND($H71 &gt; 0, ISNUMBER($H71))</formula>
    </cfRule>
    <cfRule type="expression" dxfId="1904" priority="116">
      <formula>AND($H71 = 0 * ISNUMBER($H71))</formula>
    </cfRule>
    <cfRule type="expression" dxfId="1903" priority="117">
      <formula>AND($H71 &lt; 0, ISNUMBER($H71))</formula>
    </cfRule>
  </conditionalFormatting>
  <conditionalFormatting sqref="A71:C90 J71:L90">
    <cfRule type="expression" dxfId="1902" priority="112">
      <formula>AND($K71 &gt; 0, ISNUMBER($K71))</formula>
    </cfRule>
    <cfRule type="expression" dxfId="1901" priority="113">
      <formula>AND($K71 = 0 * ISNUMBER($K71))</formula>
    </cfRule>
    <cfRule type="expression" dxfId="1900" priority="114">
      <formula>AND($K71 &lt; 0, ISNUMBER($K71))</formula>
    </cfRule>
  </conditionalFormatting>
  <conditionalFormatting sqref="D69:F70 E91:F91">
    <cfRule type="expression" dxfId="1899" priority="106">
      <formula>$E$91 &gt; 0</formula>
    </cfRule>
    <cfRule type="expression" dxfId="1898" priority="107">
      <formula>$E$91 = 0</formula>
    </cfRule>
    <cfRule type="expression" dxfId="1897" priority="108">
      <formula>$E$91 &lt; 0</formula>
    </cfRule>
  </conditionalFormatting>
  <conditionalFormatting sqref="G69:I70 H91:I91">
    <cfRule type="expression" dxfId="1896" priority="103">
      <formula>$H$91 &gt; 0</formula>
    </cfRule>
    <cfRule type="expression" dxfId="1895" priority="104">
      <formula>$H$91 = 0</formula>
    </cfRule>
    <cfRule type="expression" dxfId="1894" priority="105">
      <formula>$H$91 &lt; 0</formula>
    </cfRule>
  </conditionalFormatting>
  <conditionalFormatting sqref="J69:L70 K91:L91">
    <cfRule type="expression" dxfId="1893" priority="100">
      <formula>$K$91 &gt; 0</formula>
    </cfRule>
    <cfRule type="expression" dxfId="1892" priority="101">
      <formula>$K$91 = 0</formula>
    </cfRule>
    <cfRule type="expression" dxfId="1891" priority="102">
      <formula>$K$91 &lt; 0</formula>
    </cfRule>
  </conditionalFormatting>
  <conditionalFormatting sqref="M69:O70 N91:O91">
    <cfRule type="expression" dxfId="1890" priority="97">
      <formula>$N$91 &gt; 0</formula>
    </cfRule>
    <cfRule type="expression" dxfId="1889" priority="98">
      <formula>$N$91 = 0</formula>
    </cfRule>
    <cfRule type="expression" dxfId="1888" priority="99">
      <formula>$N$91 &lt; 0</formula>
    </cfRule>
  </conditionalFormatting>
  <conditionalFormatting sqref="A98:C117 M98:O117">
    <cfRule type="expression" dxfId="1887" priority="85">
      <formula>AND($N98 &gt; 0, ISNUMBER($N98))</formula>
    </cfRule>
    <cfRule type="expression" dxfId="1886" priority="86">
      <formula>AND($N98 = 0 * ISNUMBER($N98))</formula>
    </cfRule>
    <cfRule type="expression" dxfId="1885" priority="87">
      <formula>AND($N98 &lt; 0, ISNUMBER($N98))</formula>
    </cfRule>
  </conditionalFormatting>
  <conditionalFormatting sqref="A98:F117">
    <cfRule type="expression" dxfId="1884" priority="94">
      <formula>AND($E98 &gt; 0, ISNUMBER($E98))</formula>
    </cfRule>
    <cfRule type="expression" dxfId="1883" priority="95">
      <formula>AND($E98 = 0 * ISNUMBER($E98))</formula>
    </cfRule>
    <cfRule type="expression" dxfId="1882" priority="96">
      <formula>AND($E98 &lt; 0, ISNUMBER($E98))</formula>
    </cfRule>
  </conditionalFormatting>
  <conditionalFormatting sqref="A98:C117 G98:I117">
    <cfRule type="expression" dxfId="1881" priority="91">
      <formula>AND($H98 &gt; 0, ISNUMBER($H98))</formula>
    </cfRule>
    <cfRule type="expression" dxfId="1880" priority="92">
      <formula>AND($H98 = 0 * ISNUMBER($H98))</formula>
    </cfRule>
    <cfRule type="expression" dxfId="1879" priority="93">
      <formula>AND($H98 &lt; 0, ISNUMBER($H98))</formula>
    </cfRule>
  </conditionalFormatting>
  <conditionalFormatting sqref="A98:C117 J98:L117">
    <cfRule type="expression" dxfId="1878" priority="88">
      <formula>AND($K98 &gt; 0, ISNUMBER($K98))</formula>
    </cfRule>
    <cfRule type="expression" dxfId="1877" priority="89">
      <formula>AND($K98 = 0 * ISNUMBER($K98))</formula>
    </cfRule>
    <cfRule type="expression" dxfId="1876" priority="90">
      <formula>AND($K98 &lt; 0, ISNUMBER($K98))</formula>
    </cfRule>
  </conditionalFormatting>
  <conditionalFormatting sqref="D96:F97 E118:F118">
    <cfRule type="expression" dxfId="1875" priority="82">
      <formula>$E$118 &gt; 0</formula>
    </cfRule>
    <cfRule type="expression" dxfId="1874" priority="83">
      <formula>$E$118 = 0</formula>
    </cfRule>
    <cfRule type="expression" dxfId="1873" priority="84">
      <formula>$E$118 &lt; 0</formula>
    </cfRule>
  </conditionalFormatting>
  <conditionalFormatting sqref="G96:I97 H118:I118">
    <cfRule type="expression" dxfId="1872" priority="79">
      <formula>$H$118 &gt; 0</formula>
    </cfRule>
    <cfRule type="expression" dxfId="1871" priority="80">
      <formula>$H$118 = 0</formula>
    </cfRule>
    <cfRule type="expression" dxfId="1870" priority="81">
      <formula>$H$118 &lt; 0</formula>
    </cfRule>
  </conditionalFormatting>
  <conditionalFormatting sqref="J96:L97 K118:L118">
    <cfRule type="expression" dxfId="1869" priority="76">
      <formula>$K$118 &gt; 0</formula>
    </cfRule>
    <cfRule type="expression" dxfId="1868" priority="77">
      <formula>$K$118 = 0</formula>
    </cfRule>
    <cfRule type="expression" dxfId="1867" priority="78">
      <formula>$K$118 &lt; 0</formula>
    </cfRule>
  </conditionalFormatting>
  <conditionalFormatting sqref="M96:O97 N118:O118">
    <cfRule type="expression" dxfId="1866" priority="73">
      <formula>$N$118 &gt; 0</formula>
    </cfRule>
    <cfRule type="expression" dxfId="1865" priority="74">
      <formula>$N$118 = 0</formula>
    </cfRule>
    <cfRule type="expression" dxfId="1864" priority="75">
      <formula>$N$118 &lt; 0</formula>
    </cfRule>
  </conditionalFormatting>
  <conditionalFormatting sqref="A125:C144 M125:O144">
    <cfRule type="expression" dxfId="1863" priority="61">
      <formula>AND($N125 &gt; 0, ISNUMBER($N125))</formula>
    </cfRule>
    <cfRule type="expression" dxfId="1862" priority="62">
      <formula>AND($N125 = 0 * ISNUMBER($N125))</formula>
    </cfRule>
    <cfRule type="expression" dxfId="1861" priority="63">
      <formula>AND($N125 &lt; 0, ISNUMBER($N125))</formula>
    </cfRule>
  </conditionalFormatting>
  <conditionalFormatting sqref="A125:F144">
    <cfRule type="expression" dxfId="1860" priority="70">
      <formula>AND($E125 &gt; 0, ISNUMBER($E125))</formula>
    </cfRule>
    <cfRule type="expression" dxfId="1859" priority="71">
      <formula>AND($E125 = 0 * ISNUMBER($E125))</formula>
    </cfRule>
    <cfRule type="expression" dxfId="1858" priority="72">
      <formula>AND($E125 &lt; 0, ISNUMBER($E125))</formula>
    </cfRule>
  </conditionalFormatting>
  <conditionalFormatting sqref="A125:C144 G125:I144">
    <cfRule type="expression" dxfId="1857" priority="67">
      <formula>AND($H125 &gt; 0, ISNUMBER($H125))</formula>
    </cfRule>
    <cfRule type="expression" dxfId="1856" priority="68">
      <formula>AND($H125 = 0 * ISNUMBER($H125))</formula>
    </cfRule>
    <cfRule type="expression" dxfId="1855" priority="69">
      <formula>AND($H125 &lt; 0, ISNUMBER($H125))</formula>
    </cfRule>
  </conditionalFormatting>
  <conditionalFormatting sqref="A125:C144 J125:L144">
    <cfRule type="expression" dxfId="1854" priority="64">
      <formula>AND($K125 &gt; 0, ISNUMBER($K125))</formula>
    </cfRule>
    <cfRule type="expression" dxfId="1853" priority="65">
      <formula>AND($K125 = 0 * ISNUMBER($K125))</formula>
    </cfRule>
    <cfRule type="expression" dxfId="1852" priority="66">
      <formula>AND($K125 &lt; 0, ISNUMBER($K125))</formula>
    </cfRule>
  </conditionalFormatting>
  <conditionalFormatting sqref="D123:F124 E145:F145">
    <cfRule type="expression" dxfId="1851" priority="58">
      <formula>$E$145 &gt; 0</formula>
    </cfRule>
    <cfRule type="expression" dxfId="1850" priority="59">
      <formula>$E$145 = 0</formula>
    </cfRule>
    <cfRule type="expression" dxfId="1849" priority="60">
      <formula>$E$145 &lt; 0</formula>
    </cfRule>
  </conditionalFormatting>
  <conditionalFormatting sqref="G123:I124 H145:I145">
    <cfRule type="expression" dxfId="1848" priority="55">
      <formula>$H$145 &gt; 0</formula>
    </cfRule>
    <cfRule type="expression" dxfId="1847" priority="56">
      <formula>$H$145 = 0</formula>
    </cfRule>
    <cfRule type="expression" dxfId="1846" priority="57">
      <formula>$H$145 &lt; 0</formula>
    </cfRule>
  </conditionalFormatting>
  <conditionalFormatting sqref="J123:L124 K145:L145">
    <cfRule type="expression" dxfId="1845" priority="52">
      <formula>$K$145 &gt; 0</formula>
    </cfRule>
    <cfRule type="expression" dxfId="1844" priority="53">
      <formula>$K$145 = 0</formula>
    </cfRule>
    <cfRule type="expression" dxfId="1843" priority="54">
      <formula>$K$145 &lt; 0</formula>
    </cfRule>
  </conditionalFormatting>
  <conditionalFormatting sqref="M123:O124 N145:O145">
    <cfRule type="expression" dxfId="1842" priority="49">
      <formula>$N$145 &gt; 0</formula>
    </cfRule>
    <cfRule type="expression" dxfId="1841" priority="50">
      <formula>$N$145 = 0</formula>
    </cfRule>
    <cfRule type="expression" dxfId="1840" priority="51">
      <formula>$N$145 &lt; 0</formula>
    </cfRule>
  </conditionalFormatting>
  <conditionalFormatting sqref="A152:C171 M152:O171">
    <cfRule type="expression" dxfId="1839" priority="37">
      <formula>AND($N152 &gt; 0, ISNUMBER($N152))</formula>
    </cfRule>
    <cfRule type="expression" dxfId="1838" priority="38">
      <formula>AND($N152 = 0 * ISNUMBER($N152))</formula>
    </cfRule>
    <cfRule type="expression" dxfId="1837" priority="39">
      <formula>AND($N152 &lt; 0, ISNUMBER($N152))</formula>
    </cfRule>
  </conditionalFormatting>
  <conditionalFormatting sqref="A152:F171">
    <cfRule type="expression" dxfId="1836" priority="46">
      <formula>AND($E152 &gt; 0, ISNUMBER($E152))</formula>
    </cfRule>
    <cfRule type="expression" dxfId="1835" priority="47">
      <formula>AND($E152 = 0 * ISNUMBER($E152))</formula>
    </cfRule>
    <cfRule type="expression" dxfId="1834" priority="48">
      <formula>AND($E152 &lt; 0, ISNUMBER($E152))</formula>
    </cfRule>
  </conditionalFormatting>
  <conditionalFormatting sqref="A152:C171 G152:I171">
    <cfRule type="expression" dxfId="1833" priority="43">
      <formula>AND($H152 &gt; 0, ISNUMBER($H152))</formula>
    </cfRule>
    <cfRule type="expression" dxfId="1832" priority="44">
      <formula>AND($H152 = 0 * ISNUMBER($H152))</formula>
    </cfRule>
    <cfRule type="expression" dxfId="1831" priority="45">
      <formula>AND($H152 &lt; 0, ISNUMBER($H152))</formula>
    </cfRule>
  </conditionalFormatting>
  <conditionalFormatting sqref="A152:C171 J152:L171">
    <cfRule type="expression" dxfId="1830" priority="40">
      <formula>AND($K152 &gt; 0, ISNUMBER($K152))</formula>
    </cfRule>
    <cfRule type="expression" dxfId="1829" priority="41">
      <formula>AND($K152 = 0 * ISNUMBER($K152))</formula>
    </cfRule>
    <cfRule type="expression" dxfId="1828" priority="42">
      <formula>AND($K152 &lt; 0, ISNUMBER($K152))</formula>
    </cfRule>
  </conditionalFormatting>
  <conditionalFormatting sqref="D150:F151 E172:F172">
    <cfRule type="expression" dxfId="1827" priority="34">
      <formula>$E$172 &gt; 0</formula>
    </cfRule>
    <cfRule type="expression" dxfId="1826" priority="35">
      <formula>$E$172 = 0</formula>
    </cfRule>
    <cfRule type="expression" dxfId="1825" priority="36">
      <formula>$E$172 &lt; 0</formula>
    </cfRule>
  </conditionalFormatting>
  <conditionalFormatting sqref="G150:I151 H172:I172">
    <cfRule type="expression" dxfId="1824" priority="31">
      <formula>$H$172 &gt; 0</formula>
    </cfRule>
    <cfRule type="expression" dxfId="1823" priority="32">
      <formula>$H$172 = 0</formula>
    </cfRule>
    <cfRule type="expression" dxfId="1822" priority="33">
      <formula>$H$172 &lt; 0</formula>
    </cfRule>
  </conditionalFormatting>
  <conditionalFormatting sqref="J150:L151 K172:L172">
    <cfRule type="expression" dxfId="1821" priority="28">
      <formula>$K$172 &gt; 0</formula>
    </cfRule>
    <cfRule type="expression" dxfId="1820" priority="29">
      <formula>$K$172 = 0</formula>
    </cfRule>
    <cfRule type="expression" dxfId="1819" priority="30">
      <formula>$K$172 &lt; 0</formula>
    </cfRule>
  </conditionalFormatting>
  <conditionalFormatting sqref="M150:O151 N172:O172">
    <cfRule type="expression" dxfId="1818" priority="25">
      <formula>$N$172 &gt; 0</formula>
    </cfRule>
    <cfRule type="expression" dxfId="1817" priority="26">
      <formula>$N$172 = 0</formula>
    </cfRule>
    <cfRule type="expression" dxfId="1816" priority="27">
      <formula>$N$172 &lt; 0</formula>
    </cfRule>
  </conditionalFormatting>
  <conditionalFormatting sqref="A179:C198 M179:O198">
    <cfRule type="expression" dxfId="1815" priority="13">
      <formula>AND($N179 &gt; 0, ISNUMBER($N179))</formula>
    </cfRule>
    <cfRule type="expression" dxfId="1814" priority="14">
      <formula>AND($N179 = 0 * ISNUMBER($N179))</formula>
    </cfRule>
    <cfRule type="expression" dxfId="1813" priority="15">
      <formula>AND($N179 &lt; 0, ISNUMBER($N179))</formula>
    </cfRule>
  </conditionalFormatting>
  <conditionalFormatting sqref="A179:F198">
    <cfRule type="expression" dxfId="1812" priority="22">
      <formula>AND($E179 &gt; 0, ISNUMBER($E179))</formula>
    </cfRule>
    <cfRule type="expression" dxfId="1811" priority="23">
      <formula>AND($E179 = 0 * ISNUMBER($E179))</formula>
    </cfRule>
    <cfRule type="expression" dxfId="1810" priority="24">
      <formula>AND($E179 &lt; 0, ISNUMBER($E179))</formula>
    </cfRule>
  </conditionalFormatting>
  <conditionalFormatting sqref="A179:C198 G179:I198">
    <cfRule type="expression" dxfId="1809" priority="19">
      <formula>AND($H179 &gt; 0, ISNUMBER($H179))</formula>
    </cfRule>
    <cfRule type="expression" dxfId="1808" priority="20">
      <formula>AND($H179 = 0 * ISNUMBER($H179))</formula>
    </cfRule>
    <cfRule type="expression" dxfId="1807" priority="21">
      <formula>AND($H179 &lt; 0, ISNUMBER($H179))</formula>
    </cfRule>
  </conditionalFormatting>
  <conditionalFormatting sqref="A179:C198 J179:L198">
    <cfRule type="expression" dxfId="1806" priority="16">
      <formula>AND($K179 &gt; 0, ISNUMBER($K179))</formula>
    </cfRule>
    <cfRule type="expression" dxfId="1805" priority="17">
      <formula>AND($K179 = 0 * ISNUMBER($K179))</formula>
    </cfRule>
    <cfRule type="expression" dxfId="1804" priority="18">
      <formula>AND($K179 &lt; 0, ISNUMBER($K179))</formula>
    </cfRule>
  </conditionalFormatting>
  <conditionalFormatting sqref="D177:F178 E199:F199">
    <cfRule type="expression" dxfId="1803" priority="10">
      <formula>$E$199 &gt; 0</formula>
    </cfRule>
    <cfRule type="expression" dxfId="1802" priority="11">
      <formula>$E$199 = 0</formula>
    </cfRule>
    <cfRule type="expression" dxfId="1801" priority="12">
      <formula>$E$199 &lt; 0</formula>
    </cfRule>
  </conditionalFormatting>
  <conditionalFormatting sqref="G177:I178 H199:I199">
    <cfRule type="expression" dxfId="1800" priority="7">
      <formula>$H$199 &gt; 0</formula>
    </cfRule>
    <cfRule type="expression" dxfId="1799" priority="8">
      <formula>$H$199 = 0</formula>
    </cfRule>
    <cfRule type="expression" dxfId="1798" priority="9">
      <formula>$H$199 &lt; 0</formula>
    </cfRule>
  </conditionalFormatting>
  <conditionalFormatting sqref="J177:L178 K199:L199">
    <cfRule type="expression" dxfId="1797" priority="4">
      <formula>$K$199 &gt; 0</formula>
    </cfRule>
    <cfRule type="expression" dxfId="1796" priority="5">
      <formula>$K$199 = 0</formula>
    </cfRule>
    <cfRule type="expression" dxfId="1795" priority="6">
      <formula>$K$199 &lt; 0</formula>
    </cfRule>
  </conditionalFormatting>
  <conditionalFormatting sqref="M177:O178 N199:O199">
    <cfRule type="expression" dxfId="1794" priority="1">
      <formula>$N$199 &gt; 0</formula>
    </cfRule>
    <cfRule type="expression" dxfId="1793" priority="2">
      <formula>$N$199 = 0</formula>
    </cfRule>
    <cfRule type="expression" dxfId="17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4" t="s">
        <v>0</v>
      </c>
      <c r="B1" s="235"/>
      <c r="C1" s="235"/>
      <c r="D1" s="235"/>
      <c r="E1" s="235"/>
      <c r="F1" s="236"/>
      <c r="G1" s="265">
        <v>44351</v>
      </c>
      <c r="H1" s="266"/>
      <c r="I1" s="267"/>
      <c r="J1" s="234" t="s">
        <v>1</v>
      </c>
      <c r="K1" s="235"/>
      <c r="L1" s="235"/>
      <c r="M1" s="235"/>
      <c r="N1" s="235"/>
      <c r="O1" s="236"/>
      <c r="Q1" s="234" t="s">
        <v>2</v>
      </c>
      <c r="R1" s="236"/>
    </row>
    <row r="2" spans="1:19" ht="17.25" customHeight="1">
      <c r="A2" s="117" t="s">
        <v>3</v>
      </c>
      <c r="B2" s="268" t="s">
        <v>8</v>
      </c>
      <c r="C2" s="269"/>
      <c r="D2" s="269"/>
      <c r="E2" s="269"/>
      <c r="F2" s="270"/>
      <c r="G2" s="262" t="s">
        <v>46</v>
      </c>
      <c r="H2" s="263"/>
      <c r="I2" s="264"/>
      <c r="J2" s="1" t="s">
        <v>3</v>
      </c>
      <c r="K2" s="268" t="s">
        <v>350</v>
      </c>
      <c r="L2" s="269"/>
      <c r="M2" s="269"/>
      <c r="N2" s="269"/>
      <c r="O2" s="270"/>
      <c r="Q2" s="2" t="s">
        <v>6</v>
      </c>
      <c r="R2" s="3">
        <v>0.375</v>
      </c>
    </row>
    <row r="3" spans="1:19" ht="17.25" customHeight="1" thickBot="1">
      <c r="A3" s="118" t="s">
        <v>7</v>
      </c>
      <c r="B3" s="259" t="s">
        <v>358</v>
      </c>
      <c r="C3" s="260"/>
      <c r="D3" s="260"/>
      <c r="E3" s="260"/>
      <c r="F3" s="261"/>
      <c r="G3" s="25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56"/>
      <c r="I3" s="257"/>
      <c r="J3" s="4" t="s">
        <v>7</v>
      </c>
      <c r="K3" s="259" t="s">
        <v>351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9" t="s">
        <v>16</v>
      </c>
      <c r="C4" s="260"/>
      <c r="D4" s="260"/>
      <c r="E4" s="260"/>
      <c r="F4" s="261"/>
      <c r="G4" s="262" t="s">
        <v>44</v>
      </c>
      <c r="H4" s="263"/>
      <c r="I4" s="264"/>
      <c r="J4" s="4" t="s">
        <v>11</v>
      </c>
      <c r="K4" s="259" t="s">
        <v>352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9" t="s">
        <v>349</v>
      </c>
      <c r="C5" s="260"/>
      <c r="D5" s="260"/>
      <c r="E5" s="260"/>
      <c r="F5" s="261"/>
      <c r="G5" s="25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56"/>
      <c r="I5" s="257"/>
      <c r="J5" s="4" t="s">
        <v>15</v>
      </c>
      <c r="K5" s="259" t="s">
        <v>353</v>
      </c>
      <c r="L5" s="260"/>
      <c r="M5" s="260"/>
      <c r="N5" s="260"/>
      <c r="O5" s="261"/>
    </row>
    <row r="6" spans="1:19">
      <c r="A6" s="118" t="s">
        <v>18</v>
      </c>
      <c r="B6" s="259"/>
      <c r="C6" s="260"/>
      <c r="D6" s="260"/>
      <c r="E6" s="260"/>
      <c r="F6" s="261"/>
      <c r="G6" s="262" t="s">
        <v>45</v>
      </c>
      <c r="H6" s="263"/>
      <c r="I6" s="264"/>
      <c r="J6" s="4" t="s">
        <v>18</v>
      </c>
      <c r="K6" s="259" t="s">
        <v>354</v>
      </c>
      <c r="L6" s="260"/>
      <c r="M6" s="260"/>
      <c r="N6" s="260"/>
      <c r="O6" s="261"/>
    </row>
    <row r="7" spans="1:19" ht="17.25" thickBot="1">
      <c r="A7" s="118" t="s">
        <v>21</v>
      </c>
      <c r="B7" s="259"/>
      <c r="C7" s="260"/>
      <c r="D7" s="260"/>
      <c r="E7" s="260"/>
      <c r="F7" s="261"/>
      <c r="G7" s="25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56"/>
      <c r="I7" s="257"/>
      <c r="J7" s="4" t="s">
        <v>21</v>
      </c>
      <c r="K7" s="259" t="s">
        <v>355</v>
      </c>
      <c r="L7" s="260"/>
      <c r="M7" s="260"/>
      <c r="N7" s="260"/>
      <c r="O7" s="261"/>
    </row>
    <row r="8" spans="1:19" ht="17.25" thickBot="1">
      <c r="A8" s="118" t="s">
        <v>24</v>
      </c>
      <c r="B8" s="259"/>
      <c r="C8" s="260"/>
      <c r="D8" s="260"/>
      <c r="E8" s="260"/>
      <c r="F8" s="261"/>
      <c r="G8" s="262" t="s">
        <v>285</v>
      </c>
      <c r="H8" s="263"/>
      <c r="I8" s="264"/>
      <c r="J8" s="4" t="s">
        <v>24</v>
      </c>
      <c r="K8" s="259"/>
      <c r="L8" s="260"/>
      <c r="M8" s="260"/>
      <c r="N8" s="260"/>
      <c r="O8" s="261"/>
      <c r="Q8" s="234" t="s">
        <v>27</v>
      </c>
      <c r="R8" s="236"/>
    </row>
    <row r="9" spans="1:19" ht="17.25" thickBot="1">
      <c r="A9" s="118" t="s">
        <v>28</v>
      </c>
      <c r="B9" s="259"/>
      <c r="C9" s="260"/>
      <c r="D9" s="260"/>
      <c r="E9" s="260"/>
      <c r="F9" s="261"/>
      <c r="G9" s="25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56"/>
      <c r="I9" s="257"/>
      <c r="J9" s="4" t="s">
        <v>28</v>
      </c>
      <c r="K9" s="259"/>
      <c r="L9" s="260"/>
      <c r="M9" s="260"/>
      <c r="N9" s="260"/>
      <c r="O9" s="261"/>
      <c r="Q9" s="2" t="s">
        <v>29</v>
      </c>
      <c r="R9" s="6">
        <v>10</v>
      </c>
    </row>
    <row r="10" spans="1:19">
      <c r="A10" s="118" t="s">
        <v>30</v>
      </c>
      <c r="B10" s="259"/>
      <c r="C10" s="260"/>
      <c r="D10" s="260"/>
      <c r="E10" s="260"/>
      <c r="F10" s="261"/>
      <c r="G10" s="262" t="s">
        <v>47</v>
      </c>
      <c r="H10" s="263"/>
      <c r="I10" s="264"/>
      <c r="J10" s="4" t="s">
        <v>30</v>
      </c>
      <c r="K10" s="259" t="s">
        <v>356</v>
      </c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119" t="s">
        <v>32</v>
      </c>
      <c r="B11" s="252" t="s">
        <v>357</v>
      </c>
      <c r="C11" s="253"/>
      <c r="D11" s="253"/>
      <c r="E11" s="253"/>
      <c r="F11" s="254"/>
      <c r="G11" s="25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56"/>
      <c r="I11" s="257"/>
      <c r="J11" s="7" t="s">
        <v>32</v>
      </c>
      <c r="K11" s="252" t="s">
        <v>348</v>
      </c>
      <c r="L11" s="253"/>
      <c r="M11" s="253"/>
      <c r="N11" s="253"/>
      <c r="O11" s="254"/>
      <c r="Q11" s="65" t="s">
        <v>33</v>
      </c>
      <c r="R11" s="8">
        <v>1000</v>
      </c>
    </row>
    <row r="12" spans="1:19" ht="17.25" thickBot="1"/>
    <row r="13" spans="1:19" ht="17.25" customHeight="1" thickBot="1">
      <c r="A13" s="234" t="s">
        <v>34</v>
      </c>
      <c r="B13" s="235"/>
      <c r="C13" s="235"/>
      <c r="D13" s="235"/>
      <c r="E13" s="235"/>
      <c r="F13" s="235"/>
      <c r="G13" s="235"/>
      <c r="H13" s="235"/>
      <c r="I13" s="235"/>
      <c r="J13" s="235"/>
      <c r="K13" s="235"/>
      <c r="L13" s="235"/>
      <c r="M13" s="235"/>
      <c r="N13" s="235"/>
      <c r="O13" s="236"/>
      <c r="Q13" s="233"/>
      <c r="R13" s="233"/>
      <c r="S13" s="233"/>
    </row>
    <row r="14" spans="1:19" ht="17.25" customHeight="1" thickBot="1">
      <c r="A14" s="172" t="s">
        <v>35</v>
      </c>
      <c r="B14" s="234" t="s">
        <v>36</v>
      </c>
      <c r="C14" s="236"/>
      <c r="D14" s="234" t="s">
        <v>37</v>
      </c>
      <c r="E14" s="235"/>
      <c r="F14" s="236"/>
      <c r="G14" s="237">
        <f>_xlfn.IFNA(VLOOKUP(B14, 현재가테이블!$B$2:$D$200, 2, FALSE), "-")</f>
        <v>41418000</v>
      </c>
      <c r="H14" s="238"/>
      <c r="I14" s="239"/>
      <c r="J14" s="234" t="s">
        <v>38</v>
      </c>
      <c r="K14" s="235"/>
      <c r="L14" s="236"/>
      <c r="M14" s="240">
        <f>_xlfn.IFNA(VLOOKUP(B14, 현재가테이블!$B$2:$D$200, 3, FALSE), "-")</f>
        <v>-5.2176301000000001E-2</v>
      </c>
      <c r="N14" s="241"/>
      <c r="O14" s="242"/>
      <c r="Q14" s="233"/>
      <c r="R14" s="233"/>
      <c r="S14" s="233"/>
    </row>
    <row r="15" spans="1:19" ht="17.25" customHeight="1" thickBot="1">
      <c r="A15" s="271" t="s">
        <v>39</v>
      </c>
      <c r="B15" s="272" t="str">
        <f>TEXT($G$1, "[$-ko-KR]yyyy-mm-dd(ddd) ") &amp; "오전 00:00"</f>
        <v>2021-06-04(금) 오전 00:00</v>
      </c>
      <c r="C15" s="273"/>
      <c r="D15" s="247" t="str">
        <f>TEXT($G$1, "[$-ko-KR]yyyy-mm-dd(ddd) ") &amp; "오후 14:00"</f>
        <v>2021-06-04(금) 오후 14:00</v>
      </c>
      <c r="E15" s="248"/>
      <c r="F15" s="249"/>
      <c r="G15" s="247" t="str">
        <f>TEXT($G$1, "[$-ko-KR]yyyy-mm-dd(ddd) ") &amp; "오후 19:00"</f>
        <v>2021-06-04(금) 오후 19:00</v>
      </c>
      <c r="H15" s="248"/>
      <c r="I15" s="249"/>
      <c r="J15" s="247" t="str">
        <f>TEXT($G$1, "[$-ko-KR]yyyy-mm-dd(ddd) ") &amp; "오후 21:00"</f>
        <v>2021-06-04(금) 오후 21:00</v>
      </c>
      <c r="K15" s="248"/>
      <c r="L15" s="249"/>
      <c r="M15" s="247" t="str">
        <f>TEXT($G$1+1, "[$-ko-KR]yyyy-mm-dd(ddd) ") &amp; "오전 00:00"</f>
        <v>2021-06-05(토) 오전 00:00</v>
      </c>
      <c r="N15" s="248"/>
      <c r="O15" s="249"/>
      <c r="Q15" s="233"/>
      <c r="R15" s="233"/>
      <c r="S15" s="233"/>
    </row>
    <row r="16" spans="1:19" ht="17.25" customHeight="1" thickBot="1">
      <c r="A16" s="27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33"/>
      <c r="R17" s="233"/>
      <c r="S17" s="233"/>
    </row>
    <row r="18" spans="1:19" ht="17.25" customHeight="1" thickBot="1">
      <c r="A18" s="162" t="s">
        <v>364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33"/>
      <c r="R18" s="233"/>
      <c r="S18" s="233"/>
    </row>
    <row r="19" spans="1:19" ht="17.25" customHeight="1" thickBot="1">
      <c r="A19" s="162" t="s">
        <v>363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23"/>
      <c r="R19" s="223"/>
      <c r="S19" s="223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23"/>
      <c r="R20" s="223"/>
      <c r="S20" s="223"/>
    </row>
    <row r="21" spans="1:19" ht="17.25" customHeight="1" thickBot="1">
      <c r="A21" s="163" t="s">
        <v>361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23"/>
      <c r="R21" s="223"/>
      <c r="S21" s="223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3"/>
      <c r="R22" s="223"/>
      <c r="S22" s="22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3"/>
      <c r="R23" s="223"/>
      <c r="S23" s="22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3"/>
      <c r="R24" s="223"/>
      <c r="S24" s="22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3"/>
      <c r="R29" s="223"/>
      <c r="S29" s="22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3"/>
      <c r="R30" s="233"/>
      <c r="S30" s="23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3"/>
      <c r="R31" s="233"/>
      <c r="S31" s="23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3"/>
      <c r="R32" s="223"/>
      <c r="S32" s="22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2"/>
      <c r="R35" s="213"/>
      <c r="S35" s="2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5"/>
      <c r="R36" s="216"/>
      <c r="S36" s="217"/>
    </row>
    <row r="37" spans="1:19" ht="17.25" customHeight="1" thickBot="1">
      <c r="A37" s="132" t="s">
        <v>42</v>
      </c>
      <c r="B37" s="276">
        <v>100000</v>
      </c>
      <c r="C37" s="277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218"/>
      <c r="R37" s="219"/>
      <c r="S37" s="220"/>
    </row>
    <row r="38" spans="1:19" ht="17.25" customHeight="1"/>
    <row r="39" spans="1:19" ht="17.25" customHeight="1" thickBot="1"/>
    <row r="40" spans="1:19" ht="17.25" customHeight="1" thickBot="1">
      <c r="A40" s="234" t="s">
        <v>44</v>
      </c>
      <c r="B40" s="235"/>
      <c r="C40" s="235"/>
      <c r="D40" s="235"/>
      <c r="E40" s="235"/>
      <c r="F40" s="235"/>
      <c r="G40" s="235"/>
      <c r="H40" s="235"/>
      <c r="I40" s="235"/>
      <c r="J40" s="235"/>
      <c r="K40" s="235"/>
      <c r="L40" s="235"/>
      <c r="M40" s="235"/>
      <c r="N40" s="235"/>
      <c r="O40" s="236"/>
      <c r="Q40" s="233"/>
      <c r="R40" s="233"/>
      <c r="S40" s="233"/>
    </row>
    <row r="41" spans="1:19" ht="17.25" customHeight="1" thickBot="1">
      <c r="A41" s="172" t="s">
        <v>297</v>
      </c>
      <c r="B41" s="234" t="s">
        <v>49</v>
      </c>
      <c r="C41" s="236"/>
      <c r="D41" s="234" t="s">
        <v>58</v>
      </c>
      <c r="E41" s="235"/>
      <c r="F41" s="236"/>
      <c r="G41" s="237">
        <f>_xlfn.IFNA(VLOOKUP(B41, 현재가테이블!$B$2:$D$200, 2, FALSE), "-")</f>
        <v>41418000</v>
      </c>
      <c r="H41" s="238"/>
      <c r="I41" s="239"/>
      <c r="J41" s="234" t="s">
        <v>59</v>
      </c>
      <c r="K41" s="235"/>
      <c r="L41" s="236"/>
      <c r="M41" s="240">
        <f>_xlfn.IFNA(VLOOKUP(B41, 현재가테이블!$B$2:$D$200, 3, FALSE), "-")</f>
        <v>-5.2176301000000001E-2</v>
      </c>
      <c r="N41" s="241"/>
      <c r="O41" s="242"/>
      <c r="Q41" s="233"/>
      <c r="R41" s="233"/>
      <c r="S41" s="233"/>
    </row>
    <row r="42" spans="1:19" ht="17.25" customHeight="1" thickBot="1">
      <c r="A42" s="278" t="s">
        <v>55</v>
      </c>
      <c r="B42" s="274" t="str">
        <f>TEXT($G$1, "[$-ko-KR]yyyy-mm-dd(ddd) ") &amp; "오전 00:00"</f>
        <v>2021-06-04(금) 오전 00:00</v>
      </c>
      <c r="C42" s="275"/>
      <c r="D42" s="247" t="str">
        <f>TEXT($G$1, "[$-ko-KR]yyyy-mm-dd(ddd) ") &amp; "오후 14:00"</f>
        <v>2021-06-04(금) 오후 14:00</v>
      </c>
      <c r="E42" s="248"/>
      <c r="F42" s="249"/>
      <c r="G42" s="247" t="str">
        <f>TEXT($G$1, "[$-ko-KR]yyyy-mm-dd(ddd) ") &amp; "오후 19:00"</f>
        <v>2021-06-04(금) 오후 19:00</v>
      </c>
      <c r="H42" s="248"/>
      <c r="I42" s="249"/>
      <c r="J42" s="247" t="str">
        <f>TEXT($G$1, "[$-ko-KR]yyyy-mm-dd(ddd) ") &amp; "오후 21:00"</f>
        <v>2021-06-04(금) 오후 21:00</v>
      </c>
      <c r="K42" s="248"/>
      <c r="L42" s="249"/>
      <c r="M42" s="247" t="str">
        <f>TEXT($G$1+1, "[$-ko-KR]yyyy-mm-dd(ddd) ") &amp; "오전 00:00"</f>
        <v>2021-06-05(토) 오전 00:00</v>
      </c>
      <c r="N42" s="248"/>
      <c r="O42" s="249"/>
      <c r="Q42" s="233"/>
      <c r="R42" s="233"/>
      <c r="S42" s="233"/>
    </row>
    <row r="43" spans="1:19" ht="17.25" customHeight="1" thickBot="1">
      <c r="A43" s="279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3" t="s">
        <v>58</v>
      </c>
      <c r="H43" s="174" t="s">
        <v>298</v>
      </c>
      <c r="I43" s="17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3"/>
      <c r="R43" s="223"/>
      <c r="S43" s="223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33"/>
      <c r="R44" s="233"/>
      <c r="S44" s="233"/>
    </row>
    <row r="45" spans="1:19" ht="17.25" customHeight="1" thickBot="1">
      <c r="A45" s="162" t="s">
        <v>218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33"/>
      <c r="R45" s="233"/>
      <c r="S45" s="233"/>
    </row>
    <row r="46" spans="1:19" ht="17.25" customHeight="1" thickBot="1">
      <c r="A46" s="162" t="s">
        <v>266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23"/>
      <c r="R46" s="223"/>
      <c r="S46" s="223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23"/>
      <c r="R47" s="223"/>
      <c r="S47" s="223"/>
    </row>
    <row r="48" spans="1:19" ht="17.25" customHeight="1" thickBot="1">
      <c r="A48" s="163" t="s">
        <v>254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23"/>
      <c r="R48" s="223"/>
      <c r="S48" s="223"/>
    </row>
    <row r="49" spans="1:19" ht="17.25" customHeight="1" thickBot="1">
      <c r="A49" s="162" t="s">
        <v>278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23"/>
      <c r="R49" s="223"/>
      <c r="S49" s="223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23"/>
      <c r="R50" s="223"/>
      <c r="S50" s="223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23"/>
      <c r="R51" s="223"/>
      <c r="S51" s="223"/>
    </row>
    <row r="52" spans="1:19" ht="17.25" customHeight="1" thickBot="1">
      <c r="A52" s="162" t="s">
        <v>220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236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24"/>
      <c r="R53" s="225"/>
      <c r="S53" s="226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27"/>
      <c r="R54" s="228"/>
      <c r="S54" s="229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30"/>
      <c r="R55" s="231"/>
      <c r="S55" s="232"/>
    </row>
    <row r="56" spans="1:19" ht="17.25" customHeight="1" thickBot="1">
      <c r="A56" s="162" t="s">
        <v>268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23"/>
      <c r="R56" s="223"/>
      <c r="S56" s="223"/>
    </row>
    <row r="57" spans="1:19" ht="17.25" customHeight="1" thickBot="1">
      <c r="A57" s="162" t="s">
        <v>264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33"/>
      <c r="R57" s="233"/>
      <c r="S57" s="233"/>
    </row>
    <row r="58" spans="1:19" ht="17.25" customHeight="1" thickBot="1">
      <c r="A58" s="163" t="s">
        <v>196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33"/>
      <c r="R58" s="233"/>
      <c r="S58" s="233"/>
    </row>
    <row r="59" spans="1:19" ht="17.25" customHeight="1" thickBot="1">
      <c r="A59" s="162" t="s">
        <v>186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23"/>
      <c r="R59" s="223"/>
      <c r="S59" s="223"/>
    </row>
    <row r="60" spans="1:19" ht="17.25" customHeight="1" thickBot="1">
      <c r="A60" s="162" t="s">
        <v>214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23"/>
      <c r="R60" s="223"/>
      <c r="S60" s="223"/>
    </row>
    <row r="61" spans="1:19" ht="17.25" customHeight="1" thickBot="1">
      <c r="A61" s="162" t="s">
        <v>212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23"/>
      <c r="R61" s="223"/>
      <c r="S61" s="223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212"/>
      <c r="R62" s="213"/>
      <c r="S62" s="214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215"/>
      <c r="R63" s="216"/>
      <c r="S63" s="217"/>
    </row>
    <row r="64" spans="1:19" ht="17.25" customHeight="1" thickBot="1">
      <c r="A64" s="132" t="s">
        <v>300</v>
      </c>
      <c r="B64" s="276">
        <f>$B$37</f>
        <v>100000</v>
      </c>
      <c r="C64" s="277"/>
      <c r="D64" s="26" t="s">
        <v>301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301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301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301</v>
      </c>
      <c r="N64" s="27">
        <f>IF(COUNT(N44:N63), SUM(N44:N63) / COUNT(N44:N63), 0)</f>
        <v>-3.1797201201717681E-2</v>
      </c>
      <c r="O64" s="28">
        <f>SUM(O44:O63)</f>
        <v>-63594.402403435364</v>
      </c>
      <c r="Q64" s="218"/>
      <c r="R64" s="219"/>
      <c r="S64" s="220"/>
    </row>
    <row r="65" spans="1:19" ht="17.25" customHeight="1"/>
    <row r="66" spans="1:19" ht="17.25" customHeight="1" thickBot="1"/>
    <row r="67" spans="1:19" ht="17.25" thickBot="1">
      <c r="A67" s="234" t="s">
        <v>45</v>
      </c>
      <c r="B67" s="235"/>
      <c r="C67" s="235"/>
      <c r="D67" s="235"/>
      <c r="E67" s="235"/>
      <c r="F67" s="235"/>
      <c r="G67" s="235"/>
      <c r="H67" s="235"/>
      <c r="I67" s="235"/>
      <c r="J67" s="235"/>
      <c r="K67" s="235"/>
      <c r="L67" s="235"/>
      <c r="M67" s="235"/>
      <c r="N67" s="235"/>
      <c r="O67" s="236"/>
      <c r="Q67" s="233"/>
      <c r="R67" s="233"/>
      <c r="S67" s="233"/>
    </row>
    <row r="68" spans="1:19" ht="17.25" thickBot="1">
      <c r="A68" s="172" t="s">
        <v>297</v>
      </c>
      <c r="B68" s="234" t="s">
        <v>49</v>
      </c>
      <c r="C68" s="236"/>
      <c r="D68" s="234" t="s">
        <v>58</v>
      </c>
      <c r="E68" s="235"/>
      <c r="F68" s="236"/>
      <c r="G68" s="237">
        <f>_xlfn.IFNA(VLOOKUP(B68, 현재가테이블!$B$2:$D$200, 2, FALSE), "-")</f>
        <v>41418000</v>
      </c>
      <c r="H68" s="238"/>
      <c r="I68" s="239"/>
      <c r="J68" s="234" t="s">
        <v>59</v>
      </c>
      <c r="K68" s="235"/>
      <c r="L68" s="236"/>
      <c r="M68" s="240">
        <f>_xlfn.IFNA(VLOOKUP(B68, 현재가테이블!$B$2:$D$200, 3, FALSE), "-")</f>
        <v>-5.2176301000000001E-2</v>
      </c>
      <c r="N68" s="241"/>
      <c r="O68" s="242"/>
      <c r="Q68" s="233"/>
      <c r="R68" s="233"/>
      <c r="S68" s="233"/>
    </row>
    <row r="69" spans="1:19" ht="17.25" thickBot="1">
      <c r="A69" s="278" t="s">
        <v>55</v>
      </c>
      <c r="B69" s="274" t="str">
        <f>TEXT($G$1, "[$-ko-KR]yyyy-mm-dd(ddd) ") &amp; "오전 00:00"</f>
        <v>2021-06-04(금) 오전 00:00</v>
      </c>
      <c r="C69" s="275"/>
      <c r="D69" s="247" t="str">
        <f>TEXT($G$1, "[$-ko-KR]yyyy-mm-dd(ddd) ") &amp; "오후 14:00"</f>
        <v>2021-06-04(금) 오후 14:00</v>
      </c>
      <c r="E69" s="248"/>
      <c r="F69" s="249"/>
      <c r="G69" s="247" t="str">
        <f>TEXT($G$1, "[$-ko-KR]yyyy-mm-dd(ddd) ") &amp; "오후 19:00"</f>
        <v>2021-06-04(금) 오후 19:00</v>
      </c>
      <c r="H69" s="248"/>
      <c r="I69" s="249"/>
      <c r="J69" s="247" t="str">
        <f>TEXT($G$1, "[$-ko-KR]yyyy-mm-dd(ddd) ") &amp; "오후 21:00"</f>
        <v>2021-06-04(금) 오후 21:00</v>
      </c>
      <c r="K69" s="248"/>
      <c r="L69" s="249"/>
      <c r="M69" s="247" t="str">
        <f>TEXT($G$1+1, "[$-ko-KR]yyyy-mm-dd(ddd) ") &amp; "오전 00:00"</f>
        <v>2021-06-05(토) 오전 00:00</v>
      </c>
      <c r="N69" s="248"/>
      <c r="O69" s="249"/>
      <c r="Q69" s="233"/>
      <c r="R69" s="233"/>
      <c r="S69" s="233"/>
    </row>
    <row r="70" spans="1:19" ht="17.25" thickBot="1">
      <c r="A70" s="279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3" t="s">
        <v>58</v>
      </c>
      <c r="H70" s="174" t="s">
        <v>298</v>
      </c>
      <c r="I70" s="17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3"/>
      <c r="R70" s="223"/>
      <c r="S70" s="223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33"/>
      <c r="R71" s="233"/>
      <c r="S71" s="233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33"/>
      <c r="R72" s="233"/>
      <c r="S72" s="233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23"/>
      <c r="R73" s="223"/>
      <c r="S73" s="223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23"/>
      <c r="R74" s="223"/>
      <c r="S74" s="223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23"/>
      <c r="R75" s="223"/>
      <c r="S75" s="223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23"/>
      <c r="R76" s="223"/>
      <c r="S76" s="223"/>
    </row>
    <row r="77" spans="1:19" ht="17.25" thickBot="1">
      <c r="A77" s="162" t="s">
        <v>240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23"/>
      <c r="R77" s="223"/>
      <c r="S77" s="223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23"/>
      <c r="R78" s="223"/>
      <c r="S78" s="223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202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24"/>
      <c r="R80" s="225"/>
      <c r="S80" s="226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27"/>
      <c r="R81" s="228"/>
      <c r="S81" s="229"/>
    </row>
    <row r="82" spans="1:19" ht="17.25" thickBot="1">
      <c r="A82" s="162" t="s">
        <v>200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30"/>
      <c r="R82" s="231"/>
      <c r="S82" s="232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23"/>
      <c r="R83" s="223"/>
      <c r="S83" s="223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33"/>
      <c r="R84" s="233"/>
      <c r="S84" s="233"/>
    </row>
    <row r="85" spans="1:19" ht="17.25" thickBot="1">
      <c r="A85" s="163" t="s">
        <v>230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33"/>
      <c r="R85" s="233"/>
      <c r="S85" s="233"/>
    </row>
    <row r="86" spans="1:19" ht="17.25" thickBot="1">
      <c r="A86" s="162" t="s">
        <v>262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23"/>
      <c r="R86" s="223"/>
      <c r="S86" s="223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23"/>
      <c r="R87" s="223"/>
      <c r="S87" s="223"/>
    </row>
    <row r="88" spans="1:19" ht="17.25" thickBot="1">
      <c r="A88" s="162" t="s">
        <v>270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23"/>
      <c r="R88" s="223"/>
      <c r="S88" s="223"/>
    </row>
    <row r="89" spans="1:19">
      <c r="A89" s="162" t="s">
        <v>282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212"/>
      <c r="R89" s="213"/>
      <c r="S89" s="214"/>
    </row>
    <row r="90" spans="1:19" ht="17.25" thickBot="1">
      <c r="A90" s="130" t="s">
        <v>234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215"/>
      <c r="R90" s="216"/>
      <c r="S90" s="217"/>
    </row>
    <row r="91" spans="1:19" ht="17.25" thickBot="1">
      <c r="A91" s="132" t="s">
        <v>300</v>
      </c>
      <c r="B91" s="276">
        <f>$B$37</f>
        <v>100000</v>
      </c>
      <c r="C91" s="277"/>
      <c r="D91" s="26" t="s">
        <v>301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301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301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301</v>
      </c>
      <c r="N91" s="27">
        <f>IF(COUNT(N71:N90), SUM(N71:N90) / COUNT(N71:N90), 0)</f>
        <v>-3.9606271557127044E-2</v>
      </c>
      <c r="O91" s="28">
        <f>SUM(O71:O90)</f>
        <v>-79212.543114254076</v>
      </c>
      <c r="Q91" s="218"/>
      <c r="R91" s="219"/>
      <c r="S91" s="220"/>
    </row>
    <row r="93" spans="1:19" ht="17.25" thickBot="1"/>
    <row r="94" spans="1:19" ht="17.25" thickBot="1">
      <c r="A94" s="234" t="s">
        <v>46</v>
      </c>
      <c r="B94" s="235"/>
      <c r="C94" s="235"/>
      <c r="D94" s="235"/>
      <c r="E94" s="235"/>
      <c r="F94" s="235"/>
      <c r="G94" s="235"/>
      <c r="H94" s="235"/>
      <c r="I94" s="235"/>
      <c r="J94" s="235"/>
      <c r="K94" s="235"/>
      <c r="L94" s="235"/>
      <c r="M94" s="235"/>
      <c r="N94" s="235"/>
      <c r="O94" s="236"/>
      <c r="Q94" s="233"/>
      <c r="R94" s="233"/>
      <c r="S94" s="233"/>
    </row>
    <row r="95" spans="1:19" ht="17.25" thickBot="1">
      <c r="A95" s="172" t="s">
        <v>297</v>
      </c>
      <c r="B95" s="234" t="s">
        <v>49</v>
      </c>
      <c r="C95" s="236"/>
      <c r="D95" s="234" t="s">
        <v>58</v>
      </c>
      <c r="E95" s="235"/>
      <c r="F95" s="236"/>
      <c r="G95" s="237">
        <f>_xlfn.IFNA(VLOOKUP(B95, 현재가테이블!$B$2:$D$200, 2, FALSE), "-")</f>
        <v>41418000</v>
      </c>
      <c r="H95" s="238"/>
      <c r="I95" s="239"/>
      <c r="J95" s="234" t="s">
        <v>59</v>
      </c>
      <c r="K95" s="235"/>
      <c r="L95" s="236"/>
      <c r="M95" s="240">
        <f>_xlfn.IFNA(VLOOKUP(B95, 현재가테이블!$B$2:$D$200, 3, FALSE), "-")</f>
        <v>-5.2176301000000001E-2</v>
      </c>
      <c r="N95" s="241"/>
      <c r="O95" s="242"/>
      <c r="Q95" s="233"/>
      <c r="R95" s="233"/>
      <c r="S95" s="233"/>
    </row>
    <row r="96" spans="1:19" ht="17.25" thickBot="1">
      <c r="A96" s="278" t="s">
        <v>55</v>
      </c>
      <c r="B96" s="274" t="str">
        <f>TEXT($G$1, "[$-ko-KR]yyyy-mm-dd(ddd) ") &amp; "오전 00:00"</f>
        <v>2021-06-04(금) 오전 00:00</v>
      </c>
      <c r="C96" s="275"/>
      <c r="D96" s="247" t="str">
        <f>TEXT($G$1, "[$-ko-KR]yyyy-mm-dd(ddd) ") &amp; "오후 14:00"</f>
        <v>2021-06-04(금) 오후 14:00</v>
      </c>
      <c r="E96" s="248"/>
      <c r="F96" s="249"/>
      <c r="G96" s="247" t="str">
        <f>TEXT($G$1, "[$-ko-KR]yyyy-mm-dd(ddd) ") &amp; "오후 19:00"</f>
        <v>2021-06-04(금) 오후 19:00</v>
      </c>
      <c r="H96" s="248"/>
      <c r="I96" s="249"/>
      <c r="J96" s="247" t="str">
        <f>TEXT($G$1, "[$-ko-KR]yyyy-mm-dd(ddd) ") &amp; "오후 21:00"</f>
        <v>2021-06-04(금) 오후 21:00</v>
      </c>
      <c r="K96" s="248"/>
      <c r="L96" s="249"/>
      <c r="M96" s="247" t="str">
        <f>TEXT($G$1+1, "[$-ko-KR]yyyy-mm-dd(ddd) ") &amp; "오전 00:00"</f>
        <v>2021-06-05(토) 오전 00:00</v>
      </c>
      <c r="N96" s="248"/>
      <c r="O96" s="249"/>
      <c r="Q96" s="233"/>
      <c r="R96" s="233"/>
      <c r="S96" s="233"/>
    </row>
    <row r="97" spans="1:19" ht="17.25" thickBot="1">
      <c r="A97" s="279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3" t="s">
        <v>58</v>
      </c>
      <c r="H97" s="174" t="s">
        <v>298</v>
      </c>
      <c r="I97" s="17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3"/>
      <c r="R97" s="223"/>
      <c r="S97" s="223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33"/>
      <c r="R98" s="233"/>
      <c r="S98" s="233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33"/>
      <c r="R99" s="233"/>
      <c r="S99" s="233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23"/>
      <c r="R100" s="223"/>
      <c r="S100" s="223"/>
    </row>
    <row r="101" spans="1:19" ht="17.25" thickBot="1">
      <c r="A101" s="162" t="s">
        <v>184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23"/>
      <c r="R101" s="223"/>
      <c r="S101" s="223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23"/>
      <c r="R102" s="223"/>
      <c r="S102" s="223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23"/>
      <c r="R103" s="223"/>
      <c r="S103" s="223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23"/>
      <c r="R104" s="223"/>
      <c r="S104" s="223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23"/>
      <c r="R105" s="223"/>
      <c r="S105" s="223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24"/>
      <c r="R107" s="225"/>
      <c r="S107" s="226"/>
    </row>
    <row r="108" spans="1:19">
      <c r="A108" s="161" t="s">
        <v>240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27"/>
      <c r="R108" s="228"/>
      <c r="S108" s="229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30"/>
      <c r="R109" s="231"/>
      <c r="S109" s="232"/>
    </row>
    <row r="110" spans="1:19" ht="17.25" thickBot="1">
      <c r="A110" s="162" t="s">
        <v>178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23"/>
      <c r="R110" s="223"/>
      <c r="S110" s="223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33"/>
      <c r="R111" s="233"/>
      <c r="S111" s="233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33"/>
      <c r="R112" s="233"/>
      <c r="S112" s="233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23"/>
      <c r="R113" s="223"/>
      <c r="S113" s="223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23"/>
      <c r="R114" s="223"/>
      <c r="S114" s="223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23"/>
      <c r="R115" s="223"/>
      <c r="S115" s="223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212"/>
      <c r="R116" s="213"/>
      <c r="S116" s="214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215"/>
      <c r="R117" s="216"/>
      <c r="S117" s="217"/>
    </row>
    <row r="118" spans="1:19" ht="17.25" thickBot="1">
      <c r="A118" s="132" t="s">
        <v>300</v>
      </c>
      <c r="B118" s="276">
        <f>$B$37</f>
        <v>100000</v>
      </c>
      <c r="C118" s="277"/>
      <c r="D118" s="26" t="s">
        <v>301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301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301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301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218"/>
      <c r="R118" s="219"/>
      <c r="S118" s="220"/>
    </row>
    <row r="120" spans="1:19" ht="17.25" thickBot="1"/>
    <row r="121" spans="1:19" ht="17.25" thickBot="1">
      <c r="A121" s="234" t="s">
        <v>288</v>
      </c>
      <c r="B121" s="235"/>
      <c r="C121" s="235"/>
      <c r="D121" s="235"/>
      <c r="E121" s="235"/>
      <c r="F121" s="235"/>
      <c r="G121" s="235"/>
      <c r="H121" s="235"/>
      <c r="I121" s="235"/>
      <c r="J121" s="235"/>
      <c r="K121" s="235"/>
      <c r="L121" s="235"/>
      <c r="M121" s="235"/>
      <c r="N121" s="235"/>
      <c r="O121" s="236"/>
      <c r="Q121" s="233"/>
      <c r="R121" s="233"/>
      <c r="S121" s="233"/>
    </row>
    <row r="122" spans="1:19" ht="17.25" thickBot="1">
      <c r="A122" s="172" t="s">
        <v>297</v>
      </c>
      <c r="B122" s="234" t="s">
        <v>49</v>
      </c>
      <c r="C122" s="236"/>
      <c r="D122" s="234" t="s">
        <v>58</v>
      </c>
      <c r="E122" s="235"/>
      <c r="F122" s="236"/>
      <c r="G122" s="237">
        <f>_xlfn.IFNA(VLOOKUP(B122, 현재가테이블!$B$2:$D$200, 2, FALSE), "-")</f>
        <v>41418000</v>
      </c>
      <c r="H122" s="238"/>
      <c r="I122" s="239"/>
      <c r="J122" s="234" t="s">
        <v>59</v>
      </c>
      <c r="K122" s="235"/>
      <c r="L122" s="236"/>
      <c r="M122" s="240">
        <f>_xlfn.IFNA(VLOOKUP(B122, 현재가테이블!$B$2:$D$200, 3, FALSE), "-")</f>
        <v>-5.2176301000000001E-2</v>
      </c>
      <c r="N122" s="241"/>
      <c r="O122" s="242"/>
      <c r="Q122" s="233"/>
      <c r="R122" s="233"/>
      <c r="S122" s="233"/>
    </row>
    <row r="123" spans="1:19" ht="17.25" thickBot="1">
      <c r="A123" s="278" t="s">
        <v>55</v>
      </c>
      <c r="B123" s="274" t="str">
        <f>TEXT($G$1, "[$-ko-KR]yyyy-mm-dd(ddd) ") &amp; "오전 00:00"</f>
        <v>2021-06-04(금) 오전 00:00</v>
      </c>
      <c r="C123" s="275"/>
      <c r="D123" s="247" t="str">
        <f>TEXT($G$1, "[$-ko-KR]yyyy-mm-dd(ddd) ") &amp; "오후 14:00"</f>
        <v>2021-06-04(금) 오후 14:00</v>
      </c>
      <c r="E123" s="248"/>
      <c r="F123" s="249"/>
      <c r="G123" s="247" t="str">
        <f>TEXT($G$1, "[$-ko-KR]yyyy-mm-dd(ddd) ") &amp; "오후 19:00"</f>
        <v>2021-06-04(금) 오후 19:00</v>
      </c>
      <c r="H123" s="248"/>
      <c r="I123" s="249"/>
      <c r="J123" s="247" t="str">
        <f>TEXT($G$1, "[$-ko-KR]yyyy-mm-dd(ddd) ") &amp; "오후 21:00"</f>
        <v>2021-06-04(금) 오후 21:00</v>
      </c>
      <c r="K123" s="248"/>
      <c r="L123" s="249"/>
      <c r="M123" s="247" t="str">
        <f>TEXT($G$1+1, "[$-ko-KR]yyyy-mm-dd(ddd) ") &amp; "오전 00:00"</f>
        <v>2021-06-05(토) 오전 00:00</v>
      </c>
      <c r="N123" s="248"/>
      <c r="O123" s="249"/>
      <c r="Q123" s="233"/>
      <c r="R123" s="233"/>
      <c r="S123" s="233"/>
    </row>
    <row r="124" spans="1:19" ht="17.25" thickBot="1">
      <c r="A124" s="279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3" t="s">
        <v>58</v>
      </c>
      <c r="H124" s="174" t="s">
        <v>298</v>
      </c>
      <c r="I124" s="17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3"/>
      <c r="R124" s="223"/>
      <c r="S124" s="223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33"/>
      <c r="R125" s="233"/>
      <c r="S125" s="233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33"/>
      <c r="R126" s="233"/>
      <c r="S126" s="233"/>
    </row>
    <row r="127" spans="1:19" ht="17.25" thickBot="1">
      <c r="A127" s="162" t="s">
        <v>220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23"/>
      <c r="R127" s="223"/>
      <c r="S127" s="223"/>
    </row>
    <row r="128" spans="1:19" ht="17.25" thickBot="1">
      <c r="A128" s="162" t="s">
        <v>236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23"/>
      <c r="R128" s="223"/>
      <c r="S128" s="223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23"/>
      <c r="R129" s="223"/>
      <c r="S129" s="223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23"/>
      <c r="R130" s="223"/>
      <c r="S130" s="223"/>
    </row>
    <row r="131" spans="1:19" ht="17.25" thickBot="1">
      <c r="A131" s="162" t="s">
        <v>268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23"/>
      <c r="R131" s="223"/>
      <c r="S131" s="223"/>
    </row>
    <row r="132" spans="1:19" ht="17.25" thickBot="1">
      <c r="A132" s="162" t="s">
        <v>264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23"/>
      <c r="R132" s="223"/>
      <c r="S132" s="223"/>
    </row>
    <row r="133" spans="1:19" ht="17.25" thickBot="1">
      <c r="A133" s="162" t="s">
        <v>196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186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24"/>
      <c r="R134" s="225"/>
      <c r="S134" s="226"/>
    </row>
    <row r="135" spans="1:19">
      <c r="A135" s="161" t="s">
        <v>214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27"/>
      <c r="R135" s="228"/>
      <c r="S135" s="229"/>
    </row>
    <row r="136" spans="1:19" ht="17.25" thickBot="1">
      <c r="A136" s="162" t="s">
        <v>212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30"/>
      <c r="R136" s="231"/>
      <c r="S136" s="232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23"/>
      <c r="R137" s="223"/>
      <c r="S137" s="223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33"/>
      <c r="R138" s="233"/>
      <c r="S138" s="233"/>
    </row>
    <row r="139" spans="1:19" ht="17.25" thickBot="1">
      <c r="A139" s="163" t="s">
        <v>228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33"/>
      <c r="R139" s="233"/>
      <c r="S139" s="233"/>
    </row>
    <row r="140" spans="1:19" ht="17.25" thickBot="1">
      <c r="A140" s="162" t="s">
        <v>172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23"/>
      <c r="R140" s="223"/>
      <c r="S140" s="223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23"/>
      <c r="R141" s="223"/>
      <c r="S141" s="223"/>
    </row>
    <row r="142" spans="1:19" ht="17.25" thickBot="1">
      <c r="A142" s="162" t="s">
        <v>222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23"/>
      <c r="R142" s="223"/>
      <c r="S142" s="223"/>
    </row>
    <row r="143" spans="1:19">
      <c r="A143" s="162" t="s">
        <v>198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212"/>
      <c r="R143" s="213"/>
      <c r="S143" s="214"/>
    </row>
    <row r="144" spans="1:19" ht="17.25" thickBot="1">
      <c r="A144" s="130" t="s">
        <v>260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215"/>
      <c r="R144" s="216"/>
      <c r="S144" s="217"/>
    </row>
    <row r="145" spans="1:19" ht="17.25" thickBot="1">
      <c r="A145" s="132" t="s">
        <v>300</v>
      </c>
      <c r="B145" s="276">
        <f>$B$37</f>
        <v>100000</v>
      </c>
      <c r="C145" s="277"/>
      <c r="D145" s="26" t="s">
        <v>301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301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301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301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218"/>
      <c r="R145" s="219"/>
      <c r="S145" s="220"/>
    </row>
    <row r="147" spans="1:19" ht="17.25" thickBot="1"/>
    <row r="148" spans="1:19" ht="17.25" thickBot="1">
      <c r="A148" s="234" t="s">
        <v>289</v>
      </c>
      <c r="B148" s="235"/>
      <c r="C148" s="235"/>
      <c r="D148" s="235"/>
      <c r="E148" s="235"/>
      <c r="F148" s="235"/>
      <c r="G148" s="235"/>
      <c r="H148" s="235"/>
      <c r="I148" s="235"/>
      <c r="J148" s="235"/>
      <c r="K148" s="235"/>
      <c r="L148" s="235"/>
      <c r="M148" s="235"/>
      <c r="N148" s="235"/>
      <c r="O148" s="236"/>
      <c r="Q148" s="233"/>
      <c r="R148" s="233"/>
      <c r="S148" s="233"/>
    </row>
    <row r="149" spans="1:19" ht="17.25" thickBot="1">
      <c r="A149" s="172" t="s">
        <v>297</v>
      </c>
      <c r="B149" s="234" t="s">
        <v>49</v>
      </c>
      <c r="C149" s="236"/>
      <c r="D149" s="234" t="s">
        <v>58</v>
      </c>
      <c r="E149" s="235"/>
      <c r="F149" s="236"/>
      <c r="G149" s="237">
        <f>_xlfn.IFNA(VLOOKUP(B149, 현재가테이블!$B$2:$D$200, 2, FALSE), "-")</f>
        <v>41418000</v>
      </c>
      <c r="H149" s="238"/>
      <c r="I149" s="239"/>
      <c r="J149" s="234" t="s">
        <v>59</v>
      </c>
      <c r="K149" s="235"/>
      <c r="L149" s="236"/>
      <c r="M149" s="240">
        <f>_xlfn.IFNA(VLOOKUP(B149, 현재가테이블!$B$2:$D$200, 3, FALSE), "-")</f>
        <v>-5.2176301000000001E-2</v>
      </c>
      <c r="N149" s="241"/>
      <c r="O149" s="242"/>
      <c r="Q149" s="233"/>
      <c r="R149" s="233"/>
      <c r="S149" s="233"/>
    </row>
    <row r="150" spans="1:19" ht="17.25" thickBot="1">
      <c r="A150" s="278" t="s">
        <v>55</v>
      </c>
      <c r="B150" s="274" t="str">
        <f>TEXT($G$1, "[$-ko-KR]yyyy-mm-dd(ddd) ") &amp; "오전 00:00"</f>
        <v>2021-06-04(금) 오전 00:00</v>
      </c>
      <c r="C150" s="275"/>
      <c r="D150" s="247" t="str">
        <f>TEXT($G$1, "[$-ko-KR]yyyy-mm-dd(ddd) ") &amp; "오후 14:00"</f>
        <v>2021-06-04(금) 오후 14:00</v>
      </c>
      <c r="E150" s="248"/>
      <c r="F150" s="249"/>
      <c r="G150" s="247" t="str">
        <f>TEXT($G$1, "[$-ko-KR]yyyy-mm-dd(ddd) ") &amp; "오후 19:00"</f>
        <v>2021-06-04(금) 오후 19:00</v>
      </c>
      <c r="H150" s="248"/>
      <c r="I150" s="249"/>
      <c r="J150" s="247" t="str">
        <f>TEXT($G$1, "[$-ko-KR]yyyy-mm-dd(ddd) ") &amp; "오후 21:00"</f>
        <v>2021-06-04(금) 오후 21:00</v>
      </c>
      <c r="K150" s="248"/>
      <c r="L150" s="249"/>
      <c r="M150" s="247" t="str">
        <f>TEXT($G$1+1, "[$-ko-KR]yyyy-mm-dd(ddd) ") &amp; "오전 00:00"</f>
        <v>2021-06-05(토) 오전 00:00</v>
      </c>
      <c r="N150" s="248"/>
      <c r="O150" s="249"/>
      <c r="Q150" s="233"/>
      <c r="R150" s="233"/>
      <c r="S150" s="233"/>
    </row>
    <row r="151" spans="1:19" ht="17.25" thickBot="1">
      <c r="A151" s="279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3" t="s">
        <v>58</v>
      </c>
      <c r="H151" s="174" t="s">
        <v>298</v>
      </c>
      <c r="I151" s="17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3"/>
      <c r="R151" s="223"/>
      <c r="S151" s="223"/>
    </row>
    <row r="152" spans="1:19" ht="17.25" thickBot="1">
      <c r="A152" s="161" t="s">
        <v>282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33"/>
      <c r="R152" s="233"/>
      <c r="S152" s="233"/>
    </row>
    <row r="153" spans="1:19" ht="17.25" thickBot="1">
      <c r="A153" s="162" t="s">
        <v>234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33"/>
      <c r="R153" s="233"/>
      <c r="S153" s="233"/>
    </row>
    <row r="154" spans="1:19" ht="17.25" thickBot="1">
      <c r="A154" s="162" t="s">
        <v>210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23"/>
      <c r="R154" s="223"/>
      <c r="S154" s="223"/>
    </row>
    <row r="155" spans="1:19" ht="17.25" thickBot="1">
      <c r="A155" s="162" t="s">
        <v>226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23"/>
      <c r="R155" s="223"/>
      <c r="S155" s="223"/>
    </row>
    <row r="156" spans="1:19" ht="17.25" thickBot="1">
      <c r="A156" s="163" t="s">
        <v>182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23"/>
      <c r="R156" s="223"/>
      <c r="S156" s="223"/>
    </row>
    <row r="157" spans="1:19" ht="17.25" thickBot="1">
      <c r="A157" s="162" t="s">
        <v>208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23"/>
      <c r="R157" s="223"/>
      <c r="S157" s="223"/>
    </row>
    <row r="158" spans="1:19" ht="17.25" thickBot="1">
      <c r="A158" s="162" t="s">
        <v>256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23"/>
      <c r="R158" s="223"/>
      <c r="S158" s="223"/>
    </row>
    <row r="159" spans="1:19" ht="17.25" thickBot="1">
      <c r="A159" s="162" t="s">
        <v>174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23"/>
      <c r="R159" s="223"/>
      <c r="S159" s="223"/>
    </row>
    <row r="160" spans="1:19" ht="17.25" thickBot="1">
      <c r="A160" s="162" t="s">
        <v>168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24"/>
      <c r="R161" s="225"/>
      <c r="S161" s="226"/>
    </row>
    <row r="162" spans="1:19">
      <c r="A162" s="161" t="s">
        <v>284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27"/>
      <c r="R162" s="228"/>
      <c r="S162" s="229"/>
    </row>
    <row r="163" spans="1:19" ht="17.25" thickBot="1">
      <c r="A163" s="162" t="s">
        <v>252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30"/>
      <c r="R163" s="231"/>
      <c r="S163" s="232"/>
    </row>
    <row r="164" spans="1:19" ht="17.25" thickBot="1">
      <c r="A164" s="162" t="s">
        <v>232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23"/>
      <c r="R164" s="223"/>
      <c r="S164" s="223"/>
    </row>
    <row r="165" spans="1:19" ht="17.25" thickBot="1">
      <c r="A165" s="162" t="s">
        <v>238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33"/>
      <c r="R165" s="233"/>
      <c r="S165" s="233"/>
    </row>
    <row r="166" spans="1:19" ht="17.25" thickBot="1">
      <c r="A166" s="163" t="s">
        <v>258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33"/>
      <c r="R166" s="233"/>
      <c r="S166" s="233"/>
    </row>
    <row r="167" spans="1:19" ht="17.25" thickBot="1">
      <c r="A167" s="162" t="s">
        <v>250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23"/>
      <c r="R167" s="223"/>
      <c r="S167" s="223"/>
    </row>
    <row r="168" spans="1:19" ht="17.25" thickBot="1">
      <c r="A168" s="162" t="s">
        <v>216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23"/>
      <c r="R168" s="223"/>
      <c r="S168" s="223"/>
    </row>
    <row r="169" spans="1:19" ht="17.25" thickBot="1">
      <c r="A169" s="162" t="s">
        <v>170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23"/>
      <c r="R169" s="223"/>
      <c r="S169" s="223"/>
    </row>
    <row r="170" spans="1:19">
      <c r="A170" s="162" t="s">
        <v>246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212"/>
      <c r="R170" s="213"/>
      <c r="S170" s="214"/>
    </row>
    <row r="171" spans="1:19" ht="17.25" thickBot="1">
      <c r="A171" s="130" t="s">
        <v>296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215"/>
      <c r="R171" s="216"/>
      <c r="S171" s="217"/>
    </row>
    <row r="172" spans="1:19" ht="17.25" thickBot="1">
      <c r="A172" s="132" t="s">
        <v>300</v>
      </c>
      <c r="B172" s="276">
        <f>$B$37</f>
        <v>100000</v>
      </c>
      <c r="C172" s="277"/>
      <c r="D172" s="26" t="s">
        <v>301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301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301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301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218"/>
      <c r="R172" s="219"/>
      <c r="S172" s="220"/>
    </row>
    <row r="174" spans="1:19" ht="17.25" thickBot="1"/>
    <row r="175" spans="1:19" ht="17.25" thickBot="1">
      <c r="A175" s="234" t="s">
        <v>285</v>
      </c>
      <c r="B175" s="235"/>
      <c r="C175" s="235"/>
      <c r="D175" s="235"/>
      <c r="E175" s="235"/>
      <c r="F175" s="235"/>
      <c r="G175" s="235"/>
      <c r="H175" s="235"/>
      <c r="I175" s="235"/>
      <c r="J175" s="235"/>
      <c r="K175" s="235"/>
      <c r="L175" s="235"/>
      <c r="M175" s="235"/>
      <c r="N175" s="235"/>
      <c r="O175" s="236"/>
      <c r="Q175" s="233"/>
      <c r="R175" s="233"/>
      <c r="S175" s="233"/>
    </row>
    <row r="176" spans="1:19" ht="17.25" thickBot="1">
      <c r="A176" s="172" t="s">
        <v>297</v>
      </c>
      <c r="B176" s="234" t="s">
        <v>49</v>
      </c>
      <c r="C176" s="236"/>
      <c r="D176" s="234" t="s">
        <v>58</v>
      </c>
      <c r="E176" s="235"/>
      <c r="F176" s="236"/>
      <c r="G176" s="237">
        <f>_xlfn.IFNA(VLOOKUP(B176, 현재가테이블!$B$2:$D$200, 2, FALSE), "-")</f>
        <v>41418000</v>
      </c>
      <c r="H176" s="238"/>
      <c r="I176" s="239"/>
      <c r="J176" s="234" t="s">
        <v>59</v>
      </c>
      <c r="K176" s="235"/>
      <c r="L176" s="236"/>
      <c r="M176" s="240">
        <f>_xlfn.IFNA(VLOOKUP(B176, 현재가테이블!$B$2:$D$200, 3, FALSE), "-")</f>
        <v>-5.2176301000000001E-2</v>
      </c>
      <c r="N176" s="241"/>
      <c r="O176" s="242"/>
      <c r="Q176" s="233"/>
      <c r="R176" s="233"/>
      <c r="S176" s="233"/>
    </row>
    <row r="177" spans="1:19" ht="17.25" thickBot="1">
      <c r="A177" s="278" t="s">
        <v>55</v>
      </c>
      <c r="B177" s="274" t="str">
        <f>TEXT($G$1, "[$-ko-KR]yyyy-mm-dd(ddd) ") &amp; "오전 00:00"</f>
        <v>2021-06-04(금) 오전 00:00</v>
      </c>
      <c r="C177" s="275"/>
      <c r="D177" s="247" t="str">
        <f>TEXT($G$1, "[$-ko-KR]yyyy-mm-dd(ddd) ") &amp; "오후 14:00"</f>
        <v>2021-06-04(금) 오후 14:00</v>
      </c>
      <c r="E177" s="248"/>
      <c r="F177" s="249"/>
      <c r="G177" s="247" t="str">
        <f>TEXT($G$1, "[$-ko-KR]yyyy-mm-dd(ddd) ") &amp; "오후 19:00"</f>
        <v>2021-06-04(금) 오후 19:00</v>
      </c>
      <c r="H177" s="248"/>
      <c r="I177" s="249"/>
      <c r="J177" s="247" t="str">
        <f>TEXT($G$1, "[$-ko-KR]yyyy-mm-dd(ddd) ") &amp; "오후 21:00"</f>
        <v>2021-06-04(금) 오후 21:00</v>
      </c>
      <c r="K177" s="248"/>
      <c r="L177" s="249"/>
      <c r="M177" s="247" t="str">
        <f>TEXT($G$1+1, "[$-ko-KR]yyyy-mm-dd(ddd) ") &amp; "오전 00:00"</f>
        <v>2021-06-05(토) 오전 00:00</v>
      </c>
      <c r="N177" s="248"/>
      <c r="O177" s="249"/>
      <c r="Q177" s="233"/>
      <c r="R177" s="233"/>
      <c r="S177" s="233"/>
    </row>
    <row r="178" spans="1:19" ht="17.25" thickBot="1">
      <c r="A178" s="279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3" t="s">
        <v>58</v>
      </c>
      <c r="H178" s="174" t="s">
        <v>298</v>
      </c>
      <c r="I178" s="17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3"/>
      <c r="R178" s="223"/>
      <c r="S178" s="223"/>
    </row>
    <row r="179" spans="1:19" ht="17.25" thickBot="1">
      <c r="A179" s="161" t="s">
        <v>198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33"/>
      <c r="R179" s="233"/>
      <c r="S179" s="233"/>
    </row>
    <row r="180" spans="1:19" ht="17.25" thickBot="1">
      <c r="A180" s="162" t="s">
        <v>276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33"/>
      <c r="R180" s="233"/>
      <c r="S180" s="233"/>
    </row>
    <row r="181" spans="1:19" ht="17.25" thickBot="1">
      <c r="A181" s="162" t="s">
        <v>260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23"/>
      <c r="R181" s="223"/>
      <c r="S181" s="223"/>
    </row>
    <row r="182" spans="1:19" ht="17.25" thickBot="1">
      <c r="A182" s="162" t="s">
        <v>250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23"/>
      <c r="R182" s="223"/>
      <c r="S182" s="223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23"/>
      <c r="R183" s="223"/>
      <c r="S183" s="223"/>
    </row>
    <row r="184" spans="1:19" ht="17.25" thickBot="1">
      <c r="A184" s="162" t="s">
        <v>204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23"/>
      <c r="R184" s="223"/>
      <c r="S184" s="223"/>
    </row>
    <row r="185" spans="1:19" ht="17.25" thickBot="1">
      <c r="A185" s="162" t="s">
        <v>180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23"/>
      <c r="R185" s="223"/>
      <c r="S185" s="223"/>
    </row>
    <row r="186" spans="1:19" ht="17.25" thickBot="1">
      <c r="A186" s="162" t="s">
        <v>216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23"/>
      <c r="R186" s="223"/>
      <c r="S186" s="223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162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24"/>
      <c r="R188" s="225"/>
      <c r="S188" s="226"/>
    </row>
    <row r="189" spans="1:19">
      <c r="A189" s="161" t="s">
        <v>170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27"/>
      <c r="R189" s="228"/>
      <c r="S189" s="229"/>
    </row>
    <row r="190" spans="1:19" ht="17.25" thickBot="1">
      <c r="A190" s="162" t="s">
        <v>194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30"/>
      <c r="R190" s="231"/>
      <c r="S190" s="232"/>
    </row>
    <row r="191" spans="1:19" ht="17.25" thickBot="1">
      <c r="A191" s="162" t="s">
        <v>272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23"/>
      <c r="R191" s="223"/>
      <c r="S191" s="223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33"/>
      <c r="R192" s="233"/>
      <c r="S192" s="233"/>
    </row>
    <row r="193" spans="1:19" ht="17.25" thickBot="1">
      <c r="A193" s="163" t="s">
        <v>246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33"/>
      <c r="R193" s="233"/>
      <c r="S193" s="233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23"/>
      <c r="R194" s="223"/>
      <c r="S194" s="223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23"/>
      <c r="R195" s="223"/>
      <c r="S195" s="223"/>
    </row>
    <row r="196" spans="1:19" ht="17.25" thickBot="1">
      <c r="A196" s="162" t="s">
        <v>166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23"/>
      <c r="R196" s="223"/>
      <c r="S196" s="223"/>
    </row>
    <row r="197" spans="1:19">
      <c r="A197" s="162" t="s">
        <v>274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212"/>
      <c r="R197" s="213"/>
      <c r="S197" s="214"/>
    </row>
    <row r="198" spans="1:19" ht="17.25" thickBot="1">
      <c r="A198" s="130" t="s">
        <v>296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215"/>
      <c r="R198" s="216"/>
      <c r="S198" s="217"/>
    </row>
    <row r="199" spans="1:19" ht="17.25" thickBot="1">
      <c r="A199" s="132" t="s">
        <v>300</v>
      </c>
      <c r="B199" s="276">
        <f>$B$37</f>
        <v>100000</v>
      </c>
      <c r="C199" s="277"/>
      <c r="D199" s="26" t="s">
        <v>301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301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301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301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218"/>
      <c r="R199" s="219"/>
      <c r="S199" s="22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81" priority="157">
      <formula>AND($N17 &gt; 0, ISNUMBER($N17))</formula>
    </cfRule>
    <cfRule type="expression" dxfId="1780" priority="158">
      <formula>AND($N17 = 0 * ISNUMBER($N17))</formula>
    </cfRule>
    <cfRule type="expression" dxfId="1779" priority="159">
      <formula>AND($N17 &lt; 0, ISNUMBER($N17))</formula>
    </cfRule>
  </conditionalFormatting>
  <conditionalFormatting sqref="A17:F36">
    <cfRule type="expression" dxfId="1778" priority="166">
      <formula>AND($E17 &gt; 0, ISNUMBER($E17))</formula>
    </cfRule>
    <cfRule type="expression" dxfId="1777" priority="167">
      <formula>AND($E17 = 0 * ISNUMBER($E17))</formula>
    </cfRule>
    <cfRule type="expression" dxfId="1776" priority="168">
      <formula>AND($E17 &lt; 0, ISNUMBER($E17))</formula>
    </cfRule>
  </conditionalFormatting>
  <conditionalFormatting sqref="A17:C36 G17:I36">
    <cfRule type="expression" dxfId="1775" priority="163">
      <formula>AND($H17 &gt; 0, ISNUMBER($H17))</formula>
    </cfRule>
    <cfRule type="expression" dxfId="1774" priority="164">
      <formula>AND($H17 = 0 * ISNUMBER($H17))</formula>
    </cfRule>
    <cfRule type="expression" dxfId="1773" priority="165">
      <formula>AND($H17 &lt; 0, ISNUMBER($H17))</formula>
    </cfRule>
  </conditionalFormatting>
  <conditionalFormatting sqref="A17:C36 J17:L36">
    <cfRule type="expression" dxfId="1772" priority="160">
      <formula>AND($K17 &gt; 0, ISNUMBER($K17))</formula>
    </cfRule>
    <cfRule type="expression" dxfId="1771" priority="161">
      <formula>AND($K17 = 0 * ISNUMBER($K17))</formula>
    </cfRule>
    <cfRule type="expression" dxfId="1770" priority="162">
      <formula>AND($K17 &lt; 0, ISNUMBER($K17))</formula>
    </cfRule>
  </conditionalFormatting>
  <conditionalFormatting sqref="D15:F16 E37:F37">
    <cfRule type="expression" dxfId="1769" priority="154">
      <formula>$E$37 &gt; 0</formula>
    </cfRule>
    <cfRule type="expression" dxfId="1768" priority="155">
      <formula>$E$37 = 0</formula>
    </cfRule>
    <cfRule type="expression" dxfId="1767" priority="156">
      <formula>$E$37 &lt; 0</formula>
    </cfRule>
  </conditionalFormatting>
  <conditionalFormatting sqref="G15:I16 H37:I37">
    <cfRule type="expression" dxfId="1766" priority="151">
      <formula>$H$37 &gt; 0</formula>
    </cfRule>
    <cfRule type="expression" dxfId="1765" priority="152">
      <formula>$H$37 = 0</formula>
    </cfRule>
    <cfRule type="expression" dxfId="1764" priority="153">
      <formula>$H$37 &lt; 0</formula>
    </cfRule>
  </conditionalFormatting>
  <conditionalFormatting sqref="J15:L16 K37:L37">
    <cfRule type="expression" dxfId="1763" priority="148">
      <formula>$K$37 &gt; 0</formula>
    </cfRule>
    <cfRule type="expression" dxfId="1762" priority="149">
      <formula>$K$37 = 0</formula>
    </cfRule>
    <cfRule type="expression" dxfId="1761" priority="150">
      <formula>$K$37 &lt; 0</formula>
    </cfRule>
  </conditionalFormatting>
  <conditionalFormatting sqref="M15:O16 N37:O37">
    <cfRule type="expression" dxfId="1760" priority="145">
      <formula>$N$37 &gt; 0</formula>
    </cfRule>
    <cfRule type="expression" dxfId="1759" priority="146">
      <formula>$N$37 = 0</formula>
    </cfRule>
    <cfRule type="expression" dxfId="1758" priority="147">
      <formula>$N$37 &lt; 0</formula>
    </cfRule>
  </conditionalFormatting>
  <conditionalFormatting sqref="A44:C63 M44:O63">
    <cfRule type="expression" dxfId="1757" priority="133">
      <formula>AND($N44 &gt; 0, ISNUMBER($N44))</formula>
    </cfRule>
    <cfRule type="expression" dxfId="1756" priority="134">
      <formula>AND($N44 = 0 * ISNUMBER($N44))</formula>
    </cfRule>
    <cfRule type="expression" dxfId="1755" priority="135">
      <formula>AND($N44 &lt; 0, ISNUMBER($N44))</formula>
    </cfRule>
  </conditionalFormatting>
  <conditionalFormatting sqref="A44:F63">
    <cfRule type="expression" dxfId="1754" priority="142">
      <formula>AND($E44 &gt; 0, ISNUMBER($E44))</formula>
    </cfRule>
    <cfRule type="expression" dxfId="1753" priority="143">
      <formula>AND($E44 = 0 * ISNUMBER($E44))</formula>
    </cfRule>
    <cfRule type="expression" dxfId="1752" priority="144">
      <formula>AND($E44 &lt; 0, ISNUMBER($E44))</formula>
    </cfRule>
  </conditionalFormatting>
  <conditionalFormatting sqref="A44:C63 G44:I63">
    <cfRule type="expression" dxfId="1751" priority="139">
      <formula>AND($H44 &gt; 0, ISNUMBER($H44))</formula>
    </cfRule>
    <cfRule type="expression" dxfId="1750" priority="140">
      <formula>AND($H44 = 0 * ISNUMBER($H44))</formula>
    </cfRule>
    <cfRule type="expression" dxfId="1749" priority="141">
      <formula>AND($H44 &lt; 0, ISNUMBER($H44))</formula>
    </cfRule>
  </conditionalFormatting>
  <conditionalFormatting sqref="A44:C63 J44:L63">
    <cfRule type="expression" dxfId="1748" priority="136">
      <formula>AND($K44 &gt; 0, ISNUMBER($K44))</formula>
    </cfRule>
    <cfRule type="expression" dxfId="1747" priority="137">
      <formula>AND($K44 = 0 * ISNUMBER($K44))</formula>
    </cfRule>
    <cfRule type="expression" dxfId="1746" priority="138">
      <formula>AND($K44 &lt; 0, ISNUMBER($K44))</formula>
    </cfRule>
  </conditionalFormatting>
  <conditionalFormatting sqref="D42:F43 E64:F64">
    <cfRule type="expression" dxfId="1745" priority="130">
      <formula>$E$64 &gt; 0</formula>
    </cfRule>
    <cfRule type="expression" dxfId="1744" priority="131">
      <formula>$E$64 = 0</formula>
    </cfRule>
    <cfRule type="expression" dxfId="1743" priority="132">
      <formula>$E$64 &lt; 0</formula>
    </cfRule>
  </conditionalFormatting>
  <conditionalFormatting sqref="G42:I43 H64:I64">
    <cfRule type="expression" dxfId="1742" priority="127">
      <formula>$H$64 &gt; 0</formula>
    </cfRule>
    <cfRule type="expression" dxfId="1741" priority="128">
      <formula>$H$64 = 0</formula>
    </cfRule>
    <cfRule type="expression" dxfId="1740" priority="129">
      <formula>$H$64 &lt; 0</formula>
    </cfRule>
  </conditionalFormatting>
  <conditionalFormatting sqref="J42:L43 K64:L64">
    <cfRule type="expression" dxfId="1739" priority="124">
      <formula>$K$64 &gt; 0</formula>
    </cfRule>
    <cfRule type="expression" dxfId="1738" priority="125">
      <formula>$K$64 = 0</formula>
    </cfRule>
    <cfRule type="expression" dxfId="1737" priority="126">
      <formula>$K$64 &lt; 0</formula>
    </cfRule>
  </conditionalFormatting>
  <conditionalFormatting sqref="M42:O43 N64:O64">
    <cfRule type="expression" dxfId="1736" priority="121">
      <formula>$N$64 &gt; 0</formula>
    </cfRule>
    <cfRule type="expression" dxfId="1735" priority="122">
      <formula>$N$64 = 0</formula>
    </cfRule>
    <cfRule type="expression" dxfId="1734" priority="123">
      <formula>$N$64 &lt; 0</formula>
    </cfRule>
  </conditionalFormatting>
  <conditionalFormatting sqref="A71:C90 M71:O90">
    <cfRule type="expression" dxfId="1733" priority="109">
      <formula>AND($N71 &gt; 0, ISNUMBER($N71))</formula>
    </cfRule>
    <cfRule type="expression" dxfId="1732" priority="110">
      <formula>AND($N71 = 0 * ISNUMBER($N71))</formula>
    </cfRule>
    <cfRule type="expression" dxfId="1731" priority="111">
      <formula>AND($N71 &lt; 0, ISNUMBER($N71))</formula>
    </cfRule>
  </conditionalFormatting>
  <conditionalFormatting sqref="A71:F90">
    <cfRule type="expression" dxfId="1730" priority="118">
      <formula>AND($E71 &gt; 0, ISNUMBER($E71))</formula>
    </cfRule>
    <cfRule type="expression" dxfId="1729" priority="119">
      <formula>AND($E71 = 0 * ISNUMBER($E71))</formula>
    </cfRule>
    <cfRule type="expression" dxfId="1728" priority="120">
      <formula>AND($E71 &lt; 0, ISNUMBER($E71))</formula>
    </cfRule>
  </conditionalFormatting>
  <conditionalFormatting sqref="A71:C90 G71:I90">
    <cfRule type="expression" dxfId="1727" priority="115">
      <formula>AND($H71 &gt; 0, ISNUMBER($H71))</formula>
    </cfRule>
    <cfRule type="expression" dxfId="1726" priority="116">
      <formula>AND($H71 = 0 * ISNUMBER($H71))</formula>
    </cfRule>
    <cfRule type="expression" dxfId="1725" priority="117">
      <formula>AND($H71 &lt; 0, ISNUMBER($H71))</formula>
    </cfRule>
  </conditionalFormatting>
  <conditionalFormatting sqref="A71:C90 J71:L90">
    <cfRule type="expression" dxfId="1724" priority="112">
      <formula>AND($K71 &gt; 0, ISNUMBER($K71))</formula>
    </cfRule>
    <cfRule type="expression" dxfId="1723" priority="113">
      <formula>AND($K71 = 0 * ISNUMBER($K71))</formula>
    </cfRule>
    <cfRule type="expression" dxfId="1722" priority="114">
      <formula>AND($K71 &lt; 0, ISNUMBER($K71))</formula>
    </cfRule>
  </conditionalFormatting>
  <conditionalFormatting sqref="D69:F70 E91:F91">
    <cfRule type="expression" dxfId="1721" priority="106">
      <formula>$E$91 &gt; 0</formula>
    </cfRule>
    <cfRule type="expression" dxfId="1720" priority="107">
      <formula>$E$91 = 0</formula>
    </cfRule>
    <cfRule type="expression" dxfId="1719" priority="108">
      <formula>$E$91 &lt; 0</formula>
    </cfRule>
  </conditionalFormatting>
  <conditionalFormatting sqref="G69:I70 H91:I91">
    <cfRule type="expression" dxfId="1718" priority="103">
      <formula>$H$91 &gt; 0</formula>
    </cfRule>
    <cfRule type="expression" dxfId="1717" priority="104">
      <formula>$H$91 = 0</formula>
    </cfRule>
    <cfRule type="expression" dxfId="1716" priority="105">
      <formula>$H$91 &lt; 0</formula>
    </cfRule>
  </conditionalFormatting>
  <conditionalFormatting sqref="J69:L70 K91:L91">
    <cfRule type="expression" dxfId="1715" priority="100">
      <formula>$K$91 &gt; 0</formula>
    </cfRule>
    <cfRule type="expression" dxfId="1714" priority="101">
      <formula>$K$91 = 0</formula>
    </cfRule>
    <cfRule type="expression" dxfId="1713" priority="102">
      <formula>$K$91 &lt; 0</formula>
    </cfRule>
  </conditionalFormatting>
  <conditionalFormatting sqref="M69:O70 N91:O91">
    <cfRule type="expression" dxfId="1712" priority="97">
      <formula>$N$91 &gt; 0</formula>
    </cfRule>
    <cfRule type="expression" dxfId="1711" priority="98">
      <formula>$N$91 = 0</formula>
    </cfRule>
    <cfRule type="expression" dxfId="1710" priority="99">
      <formula>$N$91 &lt; 0</formula>
    </cfRule>
  </conditionalFormatting>
  <conditionalFormatting sqref="A98:C117 M98:O117">
    <cfRule type="expression" dxfId="1709" priority="85">
      <formula>AND($N98 &gt; 0, ISNUMBER($N98))</formula>
    </cfRule>
    <cfRule type="expression" dxfId="1708" priority="86">
      <formula>AND($N98 = 0 * ISNUMBER($N98))</formula>
    </cfRule>
    <cfRule type="expression" dxfId="1707" priority="87">
      <formula>AND($N98 &lt; 0, ISNUMBER($N98))</formula>
    </cfRule>
  </conditionalFormatting>
  <conditionalFormatting sqref="A98:F117">
    <cfRule type="expression" dxfId="1706" priority="94">
      <formula>AND($E98 &gt; 0, ISNUMBER($E98))</formula>
    </cfRule>
    <cfRule type="expression" dxfId="1705" priority="95">
      <formula>AND($E98 = 0 * ISNUMBER($E98))</formula>
    </cfRule>
    <cfRule type="expression" dxfId="1704" priority="96">
      <formula>AND($E98 &lt; 0, ISNUMBER($E98))</formula>
    </cfRule>
  </conditionalFormatting>
  <conditionalFormatting sqref="A98:C117 G98:I117">
    <cfRule type="expression" dxfId="1703" priority="91">
      <formula>AND($H98 &gt; 0, ISNUMBER($H98))</formula>
    </cfRule>
    <cfRule type="expression" dxfId="1702" priority="92">
      <formula>AND($H98 = 0 * ISNUMBER($H98))</formula>
    </cfRule>
    <cfRule type="expression" dxfId="1701" priority="93">
      <formula>AND($H98 &lt; 0, ISNUMBER($H98))</formula>
    </cfRule>
  </conditionalFormatting>
  <conditionalFormatting sqref="A98:C117 J98:L117">
    <cfRule type="expression" dxfId="1700" priority="88">
      <formula>AND($K98 &gt; 0, ISNUMBER($K98))</formula>
    </cfRule>
    <cfRule type="expression" dxfId="1699" priority="89">
      <formula>AND($K98 = 0 * ISNUMBER($K98))</formula>
    </cfRule>
    <cfRule type="expression" dxfId="1698" priority="90">
      <formula>AND($K98 &lt; 0, ISNUMBER($K98))</formula>
    </cfRule>
  </conditionalFormatting>
  <conditionalFormatting sqref="D96:F97 E118:F118">
    <cfRule type="expression" dxfId="1697" priority="82">
      <formula>$E$118 &gt; 0</formula>
    </cfRule>
    <cfRule type="expression" dxfId="1696" priority="83">
      <formula>$E$118 = 0</formula>
    </cfRule>
    <cfRule type="expression" dxfId="1695" priority="84">
      <formula>$E$118 &lt; 0</formula>
    </cfRule>
  </conditionalFormatting>
  <conditionalFormatting sqref="G96:I97 H118:I118">
    <cfRule type="expression" dxfId="1694" priority="79">
      <formula>$H$118 &gt; 0</formula>
    </cfRule>
    <cfRule type="expression" dxfId="1693" priority="80">
      <formula>$H$118 = 0</formula>
    </cfRule>
    <cfRule type="expression" dxfId="1692" priority="81">
      <formula>$H$118 &lt; 0</formula>
    </cfRule>
  </conditionalFormatting>
  <conditionalFormatting sqref="J96:L97 K118:L118">
    <cfRule type="expression" dxfId="1691" priority="76">
      <formula>$K$118 &gt; 0</formula>
    </cfRule>
    <cfRule type="expression" dxfId="1690" priority="77">
      <formula>$K$118 = 0</formula>
    </cfRule>
    <cfRule type="expression" dxfId="1689" priority="78">
      <formula>$K$118 &lt; 0</formula>
    </cfRule>
  </conditionalFormatting>
  <conditionalFormatting sqref="M96:O97 N118:O118">
    <cfRule type="expression" dxfId="1688" priority="73">
      <formula>$N$118 &gt; 0</formula>
    </cfRule>
    <cfRule type="expression" dxfId="1687" priority="74">
      <formula>$N$118 = 0</formula>
    </cfRule>
    <cfRule type="expression" dxfId="1686" priority="75">
      <formula>$N$118 &lt; 0</formula>
    </cfRule>
  </conditionalFormatting>
  <conditionalFormatting sqref="A125:C144 M125:O144">
    <cfRule type="expression" dxfId="1685" priority="61">
      <formula>AND($N125 &gt; 0, ISNUMBER($N125))</formula>
    </cfRule>
    <cfRule type="expression" dxfId="1684" priority="62">
      <formula>AND($N125 = 0 * ISNUMBER($N125))</formula>
    </cfRule>
    <cfRule type="expression" dxfId="1683" priority="63">
      <formula>AND($N125 &lt; 0, ISNUMBER($N125))</formula>
    </cfRule>
  </conditionalFormatting>
  <conditionalFormatting sqref="A125:F144">
    <cfRule type="expression" dxfId="1682" priority="70">
      <formula>AND($E125 &gt; 0, ISNUMBER($E125))</formula>
    </cfRule>
    <cfRule type="expression" dxfId="1681" priority="71">
      <formula>AND($E125 = 0 * ISNUMBER($E125))</formula>
    </cfRule>
    <cfRule type="expression" dxfId="1680" priority="72">
      <formula>AND($E125 &lt; 0, ISNUMBER($E125))</formula>
    </cfRule>
  </conditionalFormatting>
  <conditionalFormatting sqref="A125:C144 G125:I144">
    <cfRule type="expression" dxfId="1679" priority="67">
      <formula>AND($H125 &gt; 0, ISNUMBER($H125))</formula>
    </cfRule>
    <cfRule type="expression" dxfId="1678" priority="68">
      <formula>AND($H125 = 0 * ISNUMBER($H125))</formula>
    </cfRule>
    <cfRule type="expression" dxfId="1677" priority="69">
      <formula>AND($H125 &lt; 0, ISNUMBER($H125))</formula>
    </cfRule>
  </conditionalFormatting>
  <conditionalFormatting sqref="A125:C144 J125:L144">
    <cfRule type="expression" dxfId="1676" priority="64">
      <formula>AND($K125 &gt; 0, ISNUMBER($K125))</formula>
    </cfRule>
    <cfRule type="expression" dxfId="1675" priority="65">
      <formula>AND($K125 = 0 * ISNUMBER($K125))</formula>
    </cfRule>
    <cfRule type="expression" dxfId="1674" priority="66">
      <formula>AND($K125 &lt; 0, ISNUMBER($K125))</formula>
    </cfRule>
  </conditionalFormatting>
  <conditionalFormatting sqref="D123:F124 E145:F145">
    <cfRule type="expression" dxfId="1673" priority="58">
      <formula>$E$145 &gt; 0</formula>
    </cfRule>
    <cfRule type="expression" dxfId="1672" priority="59">
      <formula>$E$145 = 0</formula>
    </cfRule>
    <cfRule type="expression" dxfId="1671" priority="60">
      <formula>$E$145 &lt; 0</formula>
    </cfRule>
  </conditionalFormatting>
  <conditionalFormatting sqref="G123:I124 H145:I145">
    <cfRule type="expression" dxfId="1670" priority="55">
      <formula>$H$145 &gt; 0</formula>
    </cfRule>
    <cfRule type="expression" dxfId="1669" priority="56">
      <formula>$H$145 = 0</formula>
    </cfRule>
    <cfRule type="expression" dxfId="1668" priority="57">
      <formula>$H$145 &lt; 0</formula>
    </cfRule>
  </conditionalFormatting>
  <conditionalFormatting sqref="J123:L124 K145:L145">
    <cfRule type="expression" dxfId="1667" priority="52">
      <formula>$K$145 &gt; 0</formula>
    </cfRule>
    <cfRule type="expression" dxfId="1666" priority="53">
      <formula>$K$145 = 0</formula>
    </cfRule>
    <cfRule type="expression" dxfId="1665" priority="54">
      <formula>$K$145 &lt; 0</formula>
    </cfRule>
  </conditionalFormatting>
  <conditionalFormatting sqref="M123:O124 N145:O145">
    <cfRule type="expression" dxfId="1664" priority="49">
      <formula>$N$145 &gt; 0</formula>
    </cfRule>
    <cfRule type="expression" dxfId="1663" priority="50">
      <formula>$N$145 = 0</formula>
    </cfRule>
    <cfRule type="expression" dxfId="1662" priority="51">
      <formula>$N$145 &lt; 0</formula>
    </cfRule>
  </conditionalFormatting>
  <conditionalFormatting sqref="A152:C171 M152:O171">
    <cfRule type="expression" dxfId="1661" priority="37">
      <formula>AND($N152 &gt; 0, ISNUMBER($N152))</formula>
    </cfRule>
    <cfRule type="expression" dxfId="1660" priority="38">
      <formula>AND($N152 = 0 * ISNUMBER($N152))</formula>
    </cfRule>
    <cfRule type="expression" dxfId="1659" priority="39">
      <formula>AND($N152 &lt; 0, ISNUMBER($N152))</formula>
    </cfRule>
  </conditionalFormatting>
  <conditionalFormatting sqref="A152:F171">
    <cfRule type="expression" dxfId="1658" priority="46">
      <formula>AND($E152 &gt; 0, ISNUMBER($E152))</formula>
    </cfRule>
    <cfRule type="expression" dxfId="1657" priority="47">
      <formula>AND($E152 = 0 * ISNUMBER($E152))</formula>
    </cfRule>
    <cfRule type="expression" dxfId="1656" priority="48">
      <formula>AND($E152 &lt; 0, ISNUMBER($E152))</formula>
    </cfRule>
  </conditionalFormatting>
  <conditionalFormatting sqref="A152:C171 G152:I171">
    <cfRule type="expression" dxfId="1655" priority="43">
      <formula>AND($H152 &gt; 0, ISNUMBER($H152))</formula>
    </cfRule>
    <cfRule type="expression" dxfId="1654" priority="44">
      <formula>AND($H152 = 0 * ISNUMBER($H152))</formula>
    </cfRule>
    <cfRule type="expression" dxfId="1653" priority="45">
      <formula>AND($H152 &lt; 0, ISNUMBER($H152))</formula>
    </cfRule>
  </conditionalFormatting>
  <conditionalFormatting sqref="A152:C171 J152:L171">
    <cfRule type="expression" dxfId="1652" priority="40">
      <formula>AND($K152 &gt; 0, ISNUMBER($K152))</formula>
    </cfRule>
    <cfRule type="expression" dxfId="1651" priority="41">
      <formula>AND($K152 = 0 * ISNUMBER($K152))</formula>
    </cfRule>
    <cfRule type="expression" dxfId="1650" priority="42">
      <formula>AND($K152 &lt; 0, ISNUMBER($K152))</formula>
    </cfRule>
  </conditionalFormatting>
  <conditionalFormatting sqref="D150:F151 E172:F172">
    <cfRule type="expression" dxfId="1649" priority="34">
      <formula>$E$172 &gt; 0</formula>
    </cfRule>
    <cfRule type="expression" dxfId="1648" priority="35">
      <formula>$E$172 = 0</formula>
    </cfRule>
    <cfRule type="expression" dxfId="1647" priority="36">
      <formula>$E$172 &lt; 0</formula>
    </cfRule>
  </conditionalFormatting>
  <conditionalFormatting sqref="G150:I151 H172:I172">
    <cfRule type="expression" dxfId="1646" priority="31">
      <formula>$H$172 &gt; 0</formula>
    </cfRule>
    <cfRule type="expression" dxfId="1645" priority="32">
      <formula>$H$172 = 0</formula>
    </cfRule>
    <cfRule type="expression" dxfId="1644" priority="33">
      <formula>$H$172 &lt; 0</formula>
    </cfRule>
  </conditionalFormatting>
  <conditionalFormatting sqref="J150:L151 K172:L172">
    <cfRule type="expression" dxfId="1643" priority="28">
      <formula>$K$172 &gt; 0</formula>
    </cfRule>
    <cfRule type="expression" dxfId="1642" priority="29">
      <formula>$K$172 = 0</formula>
    </cfRule>
    <cfRule type="expression" dxfId="1641" priority="30">
      <formula>$K$172 &lt; 0</formula>
    </cfRule>
  </conditionalFormatting>
  <conditionalFormatting sqref="M150:O151 N172:O172">
    <cfRule type="expression" dxfId="1640" priority="25">
      <formula>$N$172 &gt; 0</formula>
    </cfRule>
    <cfRule type="expression" dxfId="1639" priority="26">
      <formula>$N$172 = 0</formula>
    </cfRule>
    <cfRule type="expression" dxfId="1638" priority="27">
      <formula>$N$172 &lt; 0</formula>
    </cfRule>
  </conditionalFormatting>
  <conditionalFormatting sqref="A179:C198 M179:O198">
    <cfRule type="expression" dxfId="1637" priority="13">
      <formula>AND($N179 &gt; 0, ISNUMBER($N179))</formula>
    </cfRule>
    <cfRule type="expression" dxfId="1636" priority="14">
      <formula>AND($N179 = 0 * ISNUMBER($N179))</formula>
    </cfRule>
    <cfRule type="expression" dxfId="1635" priority="15">
      <formula>AND($N179 &lt; 0, ISNUMBER($N179))</formula>
    </cfRule>
  </conditionalFormatting>
  <conditionalFormatting sqref="A179:F198">
    <cfRule type="expression" dxfId="1634" priority="22">
      <formula>AND($E179 &gt; 0, ISNUMBER($E179))</formula>
    </cfRule>
    <cfRule type="expression" dxfId="1633" priority="23">
      <formula>AND($E179 = 0 * ISNUMBER($E179))</formula>
    </cfRule>
    <cfRule type="expression" dxfId="1632" priority="24">
      <formula>AND($E179 &lt; 0, ISNUMBER($E179))</formula>
    </cfRule>
  </conditionalFormatting>
  <conditionalFormatting sqref="A179:C198 G179:I198">
    <cfRule type="expression" dxfId="1631" priority="19">
      <formula>AND($H179 &gt; 0, ISNUMBER($H179))</formula>
    </cfRule>
    <cfRule type="expression" dxfId="1630" priority="20">
      <formula>AND($H179 = 0 * ISNUMBER($H179))</formula>
    </cfRule>
    <cfRule type="expression" dxfId="1629" priority="21">
      <formula>AND($H179 &lt; 0, ISNUMBER($H179))</formula>
    </cfRule>
  </conditionalFormatting>
  <conditionalFormatting sqref="A179:C198 J179:L198">
    <cfRule type="expression" dxfId="1628" priority="16">
      <formula>AND($K179 &gt; 0, ISNUMBER($K179))</formula>
    </cfRule>
    <cfRule type="expression" dxfId="1627" priority="17">
      <formula>AND($K179 = 0 * ISNUMBER($K179))</formula>
    </cfRule>
    <cfRule type="expression" dxfId="1626" priority="18">
      <formula>AND($K179 &lt; 0, ISNUMBER($K179))</formula>
    </cfRule>
  </conditionalFormatting>
  <conditionalFormatting sqref="D177:F178 E199:F199">
    <cfRule type="expression" dxfId="1625" priority="10">
      <formula>$E$199 &gt; 0</formula>
    </cfRule>
    <cfRule type="expression" dxfId="1624" priority="11">
      <formula>$E$199 = 0</formula>
    </cfRule>
    <cfRule type="expression" dxfId="1623" priority="12">
      <formula>$E$199 &lt; 0</formula>
    </cfRule>
  </conditionalFormatting>
  <conditionalFormatting sqref="G177:I178 H199:I199">
    <cfRule type="expression" dxfId="1622" priority="7">
      <formula>$H$199 &gt; 0</formula>
    </cfRule>
    <cfRule type="expression" dxfId="1621" priority="8">
      <formula>$H$199 = 0</formula>
    </cfRule>
    <cfRule type="expression" dxfId="1620" priority="9">
      <formula>$H$199 &lt; 0</formula>
    </cfRule>
  </conditionalFormatting>
  <conditionalFormatting sqref="J177:L178 K199:L199">
    <cfRule type="expression" dxfId="1619" priority="4">
      <formula>$K$199 &gt; 0</formula>
    </cfRule>
    <cfRule type="expression" dxfId="1618" priority="5">
      <formula>$K$199 = 0</formula>
    </cfRule>
    <cfRule type="expression" dxfId="1617" priority="6">
      <formula>$K$199 &lt; 0</formula>
    </cfRule>
  </conditionalFormatting>
  <conditionalFormatting sqref="M177:O178 N199:O199">
    <cfRule type="expression" dxfId="1616" priority="1">
      <formula>$N$199 &gt; 0</formula>
    </cfRule>
    <cfRule type="expression" dxfId="1615" priority="2">
      <formula>$N$199 = 0</formula>
    </cfRule>
    <cfRule type="expression" dxfId="16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4" t="s">
        <v>0</v>
      </c>
      <c r="B1" s="235"/>
      <c r="C1" s="235"/>
      <c r="D1" s="235"/>
      <c r="E1" s="235"/>
      <c r="F1" s="236"/>
      <c r="G1" s="265">
        <v>44352</v>
      </c>
      <c r="H1" s="266"/>
      <c r="I1" s="267"/>
      <c r="J1" s="234" t="s">
        <v>1</v>
      </c>
      <c r="K1" s="235"/>
      <c r="L1" s="235"/>
      <c r="M1" s="235"/>
      <c r="N1" s="235"/>
      <c r="O1" s="236"/>
      <c r="Q1" s="234" t="s">
        <v>2</v>
      </c>
      <c r="R1" s="236"/>
    </row>
    <row r="2" spans="1:19" ht="17.25" customHeight="1">
      <c r="A2" s="117" t="s">
        <v>3</v>
      </c>
      <c r="B2" s="268" t="s">
        <v>8</v>
      </c>
      <c r="C2" s="269"/>
      <c r="D2" s="269"/>
      <c r="E2" s="269"/>
      <c r="F2" s="270"/>
      <c r="G2" s="262" t="s">
        <v>46</v>
      </c>
      <c r="H2" s="263"/>
      <c r="I2" s="264"/>
      <c r="J2" s="1" t="s">
        <v>3</v>
      </c>
      <c r="K2" s="268" t="s">
        <v>350</v>
      </c>
      <c r="L2" s="269"/>
      <c r="M2" s="269"/>
      <c r="N2" s="269"/>
      <c r="O2" s="270"/>
      <c r="Q2" s="2" t="s">
        <v>6</v>
      </c>
      <c r="R2" s="3">
        <v>0.375</v>
      </c>
    </row>
    <row r="3" spans="1:19" ht="17.25" customHeight="1" thickBot="1">
      <c r="A3" s="118" t="s">
        <v>7</v>
      </c>
      <c r="B3" s="259" t="s">
        <v>358</v>
      </c>
      <c r="C3" s="260"/>
      <c r="D3" s="260"/>
      <c r="E3" s="260"/>
      <c r="F3" s="261"/>
      <c r="G3" s="25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56"/>
      <c r="I3" s="257"/>
      <c r="J3" s="4" t="s">
        <v>7</v>
      </c>
      <c r="K3" s="259" t="s">
        <v>351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9" t="s">
        <v>16</v>
      </c>
      <c r="C4" s="260"/>
      <c r="D4" s="260"/>
      <c r="E4" s="260"/>
      <c r="F4" s="261"/>
      <c r="G4" s="262" t="s">
        <v>44</v>
      </c>
      <c r="H4" s="263"/>
      <c r="I4" s="264"/>
      <c r="J4" s="4" t="s">
        <v>11</v>
      </c>
      <c r="K4" s="259" t="s">
        <v>352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9" t="s">
        <v>349</v>
      </c>
      <c r="C5" s="260"/>
      <c r="D5" s="260"/>
      <c r="E5" s="260"/>
      <c r="F5" s="261"/>
      <c r="G5" s="25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56"/>
      <c r="I5" s="257"/>
      <c r="J5" s="4" t="s">
        <v>15</v>
      </c>
      <c r="K5" s="259" t="s">
        <v>353</v>
      </c>
      <c r="L5" s="260"/>
      <c r="M5" s="260"/>
      <c r="N5" s="260"/>
      <c r="O5" s="261"/>
    </row>
    <row r="6" spans="1:19">
      <c r="A6" s="118" t="s">
        <v>18</v>
      </c>
      <c r="B6" s="259"/>
      <c r="C6" s="260"/>
      <c r="D6" s="260"/>
      <c r="E6" s="260"/>
      <c r="F6" s="261"/>
      <c r="G6" s="262" t="s">
        <v>45</v>
      </c>
      <c r="H6" s="263"/>
      <c r="I6" s="264"/>
      <c r="J6" s="4" t="s">
        <v>18</v>
      </c>
      <c r="K6" s="259" t="s">
        <v>354</v>
      </c>
      <c r="L6" s="260"/>
      <c r="M6" s="260"/>
      <c r="N6" s="260"/>
      <c r="O6" s="261"/>
    </row>
    <row r="7" spans="1:19" ht="17.25" thickBot="1">
      <c r="A7" s="118" t="s">
        <v>21</v>
      </c>
      <c r="B7" s="259"/>
      <c r="C7" s="260"/>
      <c r="D7" s="260"/>
      <c r="E7" s="260"/>
      <c r="F7" s="261"/>
      <c r="G7" s="25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56"/>
      <c r="I7" s="257"/>
      <c r="J7" s="4" t="s">
        <v>21</v>
      </c>
      <c r="K7" s="259" t="s">
        <v>355</v>
      </c>
      <c r="L7" s="260"/>
      <c r="M7" s="260"/>
      <c r="N7" s="260"/>
      <c r="O7" s="261"/>
    </row>
    <row r="8" spans="1:19" ht="17.25" thickBot="1">
      <c r="A8" s="118" t="s">
        <v>24</v>
      </c>
      <c r="B8" s="259"/>
      <c r="C8" s="260"/>
      <c r="D8" s="260"/>
      <c r="E8" s="260"/>
      <c r="F8" s="261"/>
      <c r="G8" s="262" t="s">
        <v>285</v>
      </c>
      <c r="H8" s="263"/>
      <c r="I8" s="264"/>
      <c r="J8" s="4" t="s">
        <v>24</v>
      </c>
      <c r="K8" s="259"/>
      <c r="L8" s="260"/>
      <c r="M8" s="260"/>
      <c r="N8" s="260"/>
      <c r="O8" s="261"/>
      <c r="Q8" s="234" t="s">
        <v>27</v>
      </c>
      <c r="R8" s="236"/>
    </row>
    <row r="9" spans="1:19" ht="17.25" thickBot="1">
      <c r="A9" s="118" t="s">
        <v>28</v>
      </c>
      <c r="B9" s="259"/>
      <c r="C9" s="260"/>
      <c r="D9" s="260"/>
      <c r="E9" s="260"/>
      <c r="F9" s="261"/>
      <c r="G9" s="25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56"/>
      <c r="I9" s="257"/>
      <c r="J9" s="4" t="s">
        <v>28</v>
      </c>
      <c r="K9" s="259"/>
      <c r="L9" s="260"/>
      <c r="M9" s="260"/>
      <c r="N9" s="260"/>
      <c r="O9" s="261"/>
      <c r="Q9" s="2" t="s">
        <v>29</v>
      </c>
      <c r="R9" s="6">
        <v>10</v>
      </c>
    </row>
    <row r="10" spans="1:19">
      <c r="A10" s="118" t="s">
        <v>30</v>
      </c>
      <c r="B10" s="259"/>
      <c r="C10" s="260"/>
      <c r="D10" s="260"/>
      <c r="E10" s="260"/>
      <c r="F10" s="261"/>
      <c r="G10" s="262" t="s">
        <v>47</v>
      </c>
      <c r="H10" s="263"/>
      <c r="I10" s="264"/>
      <c r="J10" s="4" t="s">
        <v>30</v>
      </c>
      <c r="K10" s="259" t="s">
        <v>356</v>
      </c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119" t="s">
        <v>32</v>
      </c>
      <c r="B11" s="252" t="s">
        <v>357</v>
      </c>
      <c r="C11" s="253"/>
      <c r="D11" s="253"/>
      <c r="E11" s="253"/>
      <c r="F11" s="254"/>
      <c r="G11" s="25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56"/>
      <c r="I11" s="257"/>
      <c r="J11" s="7" t="s">
        <v>32</v>
      </c>
      <c r="K11" s="252" t="s">
        <v>348</v>
      </c>
      <c r="L11" s="253"/>
      <c r="M11" s="253"/>
      <c r="N11" s="253"/>
      <c r="O11" s="254"/>
      <c r="Q11" s="65" t="s">
        <v>33</v>
      </c>
      <c r="R11" s="8">
        <v>1000</v>
      </c>
    </row>
    <row r="12" spans="1:19" ht="17.25" thickBot="1"/>
    <row r="13" spans="1:19" ht="17.25" customHeight="1" thickBot="1">
      <c r="A13" s="234" t="s">
        <v>34</v>
      </c>
      <c r="B13" s="235"/>
      <c r="C13" s="235"/>
      <c r="D13" s="235"/>
      <c r="E13" s="235"/>
      <c r="F13" s="235"/>
      <c r="G13" s="235"/>
      <c r="H13" s="235"/>
      <c r="I13" s="235"/>
      <c r="J13" s="235"/>
      <c r="K13" s="235"/>
      <c r="L13" s="235"/>
      <c r="M13" s="235"/>
      <c r="N13" s="235"/>
      <c r="O13" s="236"/>
      <c r="Q13" s="233"/>
      <c r="R13" s="233"/>
      <c r="S13" s="233"/>
    </row>
    <row r="14" spans="1:19" ht="17.25" customHeight="1" thickBot="1">
      <c r="A14" s="176" t="s">
        <v>35</v>
      </c>
      <c r="B14" s="234" t="s">
        <v>36</v>
      </c>
      <c r="C14" s="236"/>
      <c r="D14" s="234" t="s">
        <v>37</v>
      </c>
      <c r="E14" s="235"/>
      <c r="F14" s="236"/>
      <c r="G14" s="237">
        <f>_xlfn.IFNA(VLOOKUP(B14, 현재가테이블!$B$2:$D$200, 2, FALSE), "-")</f>
        <v>41418000</v>
      </c>
      <c r="H14" s="238"/>
      <c r="I14" s="239"/>
      <c r="J14" s="234" t="s">
        <v>38</v>
      </c>
      <c r="K14" s="235"/>
      <c r="L14" s="236"/>
      <c r="M14" s="240">
        <f>_xlfn.IFNA(VLOOKUP(B14, 현재가테이블!$B$2:$D$200, 3, FALSE), "-")</f>
        <v>-5.2176301000000001E-2</v>
      </c>
      <c r="N14" s="241"/>
      <c r="O14" s="242"/>
      <c r="Q14" s="233"/>
      <c r="R14" s="233"/>
      <c r="S14" s="233"/>
    </row>
    <row r="15" spans="1:19" ht="17.25" customHeight="1" thickBot="1">
      <c r="A15" s="271" t="s">
        <v>39</v>
      </c>
      <c r="B15" s="272" t="str">
        <f>TEXT($G$1, "[$-ko-KR]yyyy-mm-dd(ddd) ") &amp; "오전 00:00"</f>
        <v>2021-06-05(토) 오전 00:00</v>
      </c>
      <c r="C15" s="273"/>
      <c r="D15" s="247" t="str">
        <f>TEXT($G$1, "[$-ko-KR]yyyy-mm-dd(ddd) ") &amp; "오후 14:00"</f>
        <v>2021-06-05(토) 오후 14:00</v>
      </c>
      <c r="E15" s="248"/>
      <c r="F15" s="249"/>
      <c r="G15" s="247" t="str">
        <f>TEXT($G$1, "[$-ko-KR]yyyy-mm-dd(ddd) ") &amp; "오후 19:00"</f>
        <v>2021-06-05(토) 오후 19:00</v>
      </c>
      <c r="H15" s="248"/>
      <c r="I15" s="249"/>
      <c r="J15" s="247" t="str">
        <f>TEXT($G$1, "[$-ko-KR]yyyy-mm-dd(ddd) ") &amp; "오후 21:00"</f>
        <v>2021-06-05(토) 오후 21:00</v>
      </c>
      <c r="K15" s="248"/>
      <c r="L15" s="249"/>
      <c r="M15" s="247" t="str">
        <f>TEXT($G$1+1, "[$-ko-KR]yyyy-mm-dd(ddd) ") &amp; "오전 00:00"</f>
        <v>2021-06-06(일) 오전 00:00</v>
      </c>
      <c r="N15" s="248"/>
      <c r="O15" s="249"/>
      <c r="Q15" s="233"/>
      <c r="R15" s="233"/>
      <c r="S15" s="233"/>
    </row>
    <row r="16" spans="1:19" ht="17.25" customHeight="1" thickBot="1">
      <c r="A16" s="27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33"/>
      <c r="R17" s="233"/>
      <c r="S17" s="23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33"/>
      <c r="R18" s="233"/>
      <c r="S18" s="233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23"/>
      <c r="R19" s="223"/>
      <c r="S19" s="223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23"/>
      <c r="R20" s="223"/>
      <c r="S20" s="223"/>
    </row>
    <row r="21" spans="1:19" ht="17.25" customHeight="1" thickBot="1">
      <c r="A21" s="163" t="s">
        <v>246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23"/>
      <c r="R21" s="223"/>
      <c r="S21" s="223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3"/>
      <c r="R22" s="223"/>
      <c r="S22" s="22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3"/>
      <c r="R23" s="223"/>
      <c r="S23" s="22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3"/>
      <c r="R24" s="223"/>
      <c r="S24" s="22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3"/>
      <c r="R29" s="223"/>
      <c r="S29" s="22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3"/>
      <c r="R30" s="233"/>
      <c r="S30" s="23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3"/>
      <c r="R31" s="233"/>
      <c r="S31" s="23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3"/>
      <c r="R32" s="223"/>
      <c r="S32" s="22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2"/>
      <c r="R35" s="213"/>
      <c r="S35" s="2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5"/>
      <c r="R36" s="216"/>
      <c r="S36" s="217"/>
    </row>
    <row r="37" spans="1:19" ht="17.25" customHeight="1" thickBot="1">
      <c r="A37" s="132" t="s">
        <v>42</v>
      </c>
      <c r="B37" s="276">
        <v>100000</v>
      </c>
      <c r="C37" s="277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218"/>
      <c r="R37" s="219"/>
      <c r="S37" s="220"/>
    </row>
    <row r="38" spans="1:19" ht="17.25" customHeight="1"/>
    <row r="39" spans="1:19" ht="17.25" customHeight="1" thickBot="1"/>
    <row r="40" spans="1:19" ht="17.25" customHeight="1" thickBot="1">
      <c r="A40" s="234" t="s">
        <v>44</v>
      </c>
      <c r="B40" s="235"/>
      <c r="C40" s="235"/>
      <c r="D40" s="235"/>
      <c r="E40" s="235"/>
      <c r="F40" s="235"/>
      <c r="G40" s="235"/>
      <c r="H40" s="235"/>
      <c r="I40" s="235"/>
      <c r="J40" s="235"/>
      <c r="K40" s="235"/>
      <c r="L40" s="235"/>
      <c r="M40" s="235"/>
      <c r="N40" s="235"/>
      <c r="O40" s="236"/>
      <c r="Q40" s="233"/>
      <c r="R40" s="233"/>
      <c r="S40" s="233"/>
    </row>
    <row r="41" spans="1:19" ht="17.25" customHeight="1" thickBot="1">
      <c r="A41" s="176" t="s">
        <v>297</v>
      </c>
      <c r="B41" s="234" t="s">
        <v>49</v>
      </c>
      <c r="C41" s="236"/>
      <c r="D41" s="234" t="s">
        <v>58</v>
      </c>
      <c r="E41" s="235"/>
      <c r="F41" s="236"/>
      <c r="G41" s="237">
        <f>_xlfn.IFNA(VLOOKUP(B41, 현재가테이블!$B$2:$D$200, 2, FALSE), "-")</f>
        <v>41418000</v>
      </c>
      <c r="H41" s="238"/>
      <c r="I41" s="239"/>
      <c r="J41" s="234" t="s">
        <v>59</v>
      </c>
      <c r="K41" s="235"/>
      <c r="L41" s="236"/>
      <c r="M41" s="240">
        <f>_xlfn.IFNA(VLOOKUP(B41, 현재가테이블!$B$2:$D$200, 3, FALSE), "-")</f>
        <v>-5.2176301000000001E-2</v>
      </c>
      <c r="N41" s="241"/>
      <c r="O41" s="242"/>
      <c r="Q41" s="233"/>
      <c r="R41" s="233"/>
      <c r="S41" s="233"/>
    </row>
    <row r="42" spans="1:19" ht="17.25" customHeight="1" thickBot="1">
      <c r="A42" s="278" t="s">
        <v>55</v>
      </c>
      <c r="B42" s="274" t="str">
        <f>TEXT($G$1, "[$-ko-KR]yyyy-mm-dd(ddd) ") &amp; "오전 00:00"</f>
        <v>2021-06-05(토) 오전 00:00</v>
      </c>
      <c r="C42" s="275"/>
      <c r="D42" s="247" t="str">
        <f>TEXT($G$1, "[$-ko-KR]yyyy-mm-dd(ddd) ") &amp; "오후 14:00"</f>
        <v>2021-06-05(토) 오후 14:00</v>
      </c>
      <c r="E42" s="248"/>
      <c r="F42" s="249"/>
      <c r="G42" s="247" t="str">
        <f>TEXT($G$1, "[$-ko-KR]yyyy-mm-dd(ddd) ") &amp; "오후 19:00"</f>
        <v>2021-06-05(토) 오후 19:00</v>
      </c>
      <c r="H42" s="248"/>
      <c r="I42" s="249"/>
      <c r="J42" s="247" t="str">
        <f>TEXT($G$1, "[$-ko-KR]yyyy-mm-dd(ddd) ") &amp; "오후 21:00"</f>
        <v>2021-06-05(토) 오후 21:00</v>
      </c>
      <c r="K42" s="248"/>
      <c r="L42" s="249"/>
      <c r="M42" s="247" t="str">
        <f>TEXT($G$1+1, "[$-ko-KR]yyyy-mm-dd(ddd) ") &amp; "오전 00:00"</f>
        <v>2021-06-06(일) 오전 00:00</v>
      </c>
      <c r="N42" s="248"/>
      <c r="O42" s="249"/>
      <c r="Q42" s="233"/>
      <c r="R42" s="233"/>
      <c r="S42" s="233"/>
    </row>
    <row r="43" spans="1:19" ht="17.25" customHeight="1" thickBot="1">
      <c r="A43" s="279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7" t="s">
        <v>58</v>
      </c>
      <c r="H43" s="178" t="s">
        <v>298</v>
      </c>
      <c r="I43" s="17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3"/>
      <c r="R43" s="223"/>
      <c r="S43" s="223"/>
    </row>
    <row r="44" spans="1:19" ht="17.25" customHeight="1" thickBot="1">
      <c r="A44" s="161" t="s">
        <v>186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33"/>
      <c r="R44" s="233"/>
      <c r="S44" s="233"/>
    </row>
    <row r="45" spans="1:19" ht="17.25" customHeight="1" thickBot="1">
      <c r="A45" s="162" t="s">
        <v>212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33"/>
      <c r="R45" s="233"/>
      <c r="S45" s="233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23"/>
      <c r="R46" s="223"/>
      <c r="S46" s="223"/>
    </row>
    <row r="47" spans="1:19" ht="17.25" customHeight="1" thickBot="1">
      <c r="A47" s="162" t="s">
        <v>198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23"/>
      <c r="R47" s="223"/>
      <c r="S47" s="223"/>
    </row>
    <row r="48" spans="1:19" ht="17.25" customHeight="1" thickBot="1">
      <c r="A48" s="163" t="s">
        <v>254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23"/>
      <c r="R48" s="223"/>
      <c r="S48" s="223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23"/>
      <c r="R49" s="223"/>
      <c r="S49" s="223"/>
    </row>
    <row r="50" spans="1:19" ht="17.25" customHeight="1" thickBot="1">
      <c r="A50" s="162" t="s">
        <v>218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23"/>
      <c r="R50" s="223"/>
      <c r="S50" s="223"/>
    </row>
    <row r="51" spans="1:19" ht="17.25" customHeight="1" thickBot="1">
      <c r="A51" s="162" t="s">
        <v>222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23"/>
      <c r="R51" s="223"/>
      <c r="S51" s="223"/>
    </row>
    <row r="52" spans="1:19" ht="17.25" customHeight="1" thickBot="1">
      <c r="A52" s="162" t="s">
        <v>278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24"/>
      <c r="R53" s="225"/>
      <c r="S53" s="226"/>
    </row>
    <row r="54" spans="1:19" ht="17.25" customHeight="1">
      <c r="A54" s="161" t="s">
        <v>260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27"/>
      <c r="R54" s="228"/>
      <c r="S54" s="229"/>
    </row>
    <row r="55" spans="1:19" ht="17.25" customHeight="1" thickBot="1">
      <c r="A55" s="162" t="s">
        <v>196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30"/>
      <c r="R55" s="231"/>
      <c r="S55" s="232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23"/>
      <c r="R56" s="223"/>
      <c r="S56" s="223"/>
    </row>
    <row r="57" spans="1:19" ht="17.25" customHeight="1" thickBot="1">
      <c r="A57" s="162" t="s">
        <v>228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33"/>
      <c r="R57" s="233"/>
      <c r="S57" s="233"/>
    </row>
    <row r="58" spans="1:19" ht="17.25" customHeight="1" thickBot="1">
      <c r="A58" s="163" t="s">
        <v>236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33"/>
      <c r="R58" s="233"/>
      <c r="S58" s="233"/>
    </row>
    <row r="59" spans="1:19" ht="17.25" customHeight="1" thickBot="1">
      <c r="A59" s="162" t="s">
        <v>266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23"/>
      <c r="R59" s="223"/>
      <c r="S59" s="223"/>
    </row>
    <row r="60" spans="1:19" ht="17.25" customHeight="1" thickBot="1">
      <c r="A60" s="162" t="s">
        <v>214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23"/>
      <c r="R60" s="223"/>
      <c r="S60" s="223"/>
    </row>
    <row r="61" spans="1:19" ht="17.25" customHeight="1" thickBot="1">
      <c r="A61" s="162" t="s">
        <v>268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23"/>
      <c r="R61" s="223"/>
      <c r="S61" s="223"/>
    </row>
    <row r="62" spans="1:19" ht="17.25" customHeight="1">
      <c r="A62" s="162" t="s">
        <v>172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212"/>
      <c r="R62" s="213"/>
      <c r="S62" s="214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215"/>
      <c r="R63" s="216"/>
      <c r="S63" s="217"/>
    </row>
    <row r="64" spans="1:19" ht="17.25" customHeight="1" thickBot="1">
      <c r="A64" s="132" t="s">
        <v>300</v>
      </c>
      <c r="B64" s="276">
        <f>$B$37</f>
        <v>100000</v>
      </c>
      <c r="C64" s="277"/>
      <c r="D64" s="26" t="s">
        <v>301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301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301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301</v>
      </c>
      <c r="N64" s="27">
        <f>IF(COUNT(N44:N63), SUM(N44:N63) / COUNT(N44:N63), 0)</f>
        <v>4.4462646748117179E-3</v>
      </c>
      <c r="O64" s="28">
        <f>SUM(O44:O63)</f>
        <v>8892.529349623439</v>
      </c>
      <c r="Q64" s="218"/>
      <c r="R64" s="219"/>
      <c r="S64" s="220"/>
    </row>
    <row r="65" spans="1:19" ht="17.25" customHeight="1"/>
    <row r="66" spans="1:19" ht="17.25" customHeight="1" thickBot="1"/>
    <row r="67" spans="1:19" ht="17.25" thickBot="1">
      <c r="A67" s="234" t="s">
        <v>45</v>
      </c>
      <c r="B67" s="235"/>
      <c r="C67" s="235"/>
      <c r="D67" s="235"/>
      <c r="E67" s="235"/>
      <c r="F67" s="235"/>
      <c r="G67" s="235"/>
      <c r="H67" s="235"/>
      <c r="I67" s="235"/>
      <c r="J67" s="235"/>
      <c r="K67" s="235"/>
      <c r="L67" s="235"/>
      <c r="M67" s="235"/>
      <c r="N67" s="235"/>
      <c r="O67" s="236"/>
      <c r="Q67" s="233"/>
      <c r="R67" s="233"/>
      <c r="S67" s="233"/>
    </row>
    <row r="68" spans="1:19" ht="17.25" thickBot="1">
      <c r="A68" s="176" t="s">
        <v>297</v>
      </c>
      <c r="B68" s="234" t="s">
        <v>49</v>
      </c>
      <c r="C68" s="236"/>
      <c r="D68" s="234" t="s">
        <v>58</v>
      </c>
      <c r="E68" s="235"/>
      <c r="F68" s="236"/>
      <c r="G68" s="237">
        <f>_xlfn.IFNA(VLOOKUP(B68, 현재가테이블!$B$2:$D$200, 2, FALSE), "-")</f>
        <v>41418000</v>
      </c>
      <c r="H68" s="238"/>
      <c r="I68" s="239"/>
      <c r="J68" s="234" t="s">
        <v>59</v>
      </c>
      <c r="K68" s="235"/>
      <c r="L68" s="236"/>
      <c r="M68" s="240">
        <f>_xlfn.IFNA(VLOOKUP(B68, 현재가테이블!$B$2:$D$200, 3, FALSE), "-")</f>
        <v>-5.2176301000000001E-2</v>
      </c>
      <c r="N68" s="241"/>
      <c r="O68" s="242"/>
      <c r="Q68" s="233"/>
      <c r="R68" s="233"/>
      <c r="S68" s="233"/>
    </row>
    <row r="69" spans="1:19" ht="17.25" thickBot="1">
      <c r="A69" s="278" t="s">
        <v>55</v>
      </c>
      <c r="B69" s="274" t="str">
        <f>TEXT($G$1, "[$-ko-KR]yyyy-mm-dd(ddd) ") &amp; "오전 00:00"</f>
        <v>2021-06-05(토) 오전 00:00</v>
      </c>
      <c r="C69" s="275"/>
      <c r="D69" s="247" t="str">
        <f>TEXT($G$1, "[$-ko-KR]yyyy-mm-dd(ddd) ") &amp; "오후 14:00"</f>
        <v>2021-06-05(토) 오후 14:00</v>
      </c>
      <c r="E69" s="248"/>
      <c r="F69" s="249"/>
      <c r="G69" s="247" t="str">
        <f>TEXT($G$1, "[$-ko-KR]yyyy-mm-dd(ddd) ") &amp; "오후 19:00"</f>
        <v>2021-06-05(토) 오후 19:00</v>
      </c>
      <c r="H69" s="248"/>
      <c r="I69" s="249"/>
      <c r="J69" s="247" t="str">
        <f>TEXT($G$1, "[$-ko-KR]yyyy-mm-dd(ddd) ") &amp; "오후 21:00"</f>
        <v>2021-06-05(토) 오후 21:00</v>
      </c>
      <c r="K69" s="248"/>
      <c r="L69" s="249"/>
      <c r="M69" s="247" t="str">
        <f>TEXT($G$1+1, "[$-ko-KR]yyyy-mm-dd(ddd) ") &amp; "오전 00:00"</f>
        <v>2021-06-06(일) 오전 00:00</v>
      </c>
      <c r="N69" s="248"/>
      <c r="O69" s="249"/>
      <c r="Q69" s="233"/>
      <c r="R69" s="233"/>
      <c r="S69" s="233"/>
    </row>
    <row r="70" spans="1:19" ht="17.25" thickBot="1">
      <c r="A70" s="279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7" t="s">
        <v>58</v>
      </c>
      <c r="H70" s="178" t="s">
        <v>298</v>
      </c>
      <c r="I70" s="17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3"/>
      <c r="R70" s="223"/>
      <c r="S70" s="223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33"/>
      <c r="R71" s="233"/>
      <c r="S71" s="233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33"/>
      <c r="R72" s="233"/>
      <c r="S72" s="233"/>
    </row>
    <row r="73" spans="1:19" ht="17.25" thickBot="1">
      <c r="A73" s="162" t="s">
        <v>200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23"/>
      <c r="R73" s="223"/>
      <c r="S73" s="223"/>
    </row>
    <row r="74" spans="1:19" ht="17.25" thickBot="1">
      <c r="A74" s="162" t="s">
        <v>252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23"/>
      <c r="R74" s="223"/>
      <c r="S74" s="223"/>
    </row>
    <row r="75" spans="1:19" ht="17.25" thickBot="1">
      <c r="A75" s="163" t="s">
        <v>226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23"/>
      <c r="R75" s="223"/>
      <c r="S75" s="223"/>
    </row>
    <row r="76" spans="1:19" ht="17.25" thickBot="1">
      <c r="A76" s="162" t="s">
        <v>246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23"/>
      <c r="R76" s="223"/>
      <c r="S76" s="223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23"/>
      <c r="R77" s="223"/>
      <c r="S77" s="223"/>
    </row>
    <row r="78" spans="1:19" ht="17.25" thickBot="1">
      <c r="A78" s="162" t="s">
        <v>174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23"/>
      <c r="R78" s="223"/>
      <c r="S78" s="223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282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24"/>
      <c r="R80" s="225"/>
      <c r="S80" s="226"/>
    </row>
    <row r="81" spans="1:19">
      <c r="A81" s="161" t="s">
        <v>256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27"/>
      <c r="R81" s="228"/>
      <c r="S81" s="229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30"/>
      <c r="R82" s="231"/>
      <c r="S82" s="232"/>
    </row>
    <row r="83" spans="1:19" ht="17.25" thickBot="1">
      <c r="A83" s="162" t="s">
        <v>258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23"/>
      <c r="R83" s="223"/>
      <c r="S83" s="223"/>
    </row>
    <row r="84" spans="1:19" ht="17.25" thickBot="1">
      <c r="A84" s="162" t="s">
        <v>230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33"/>
      <c r="R84" s="233"/>
      <c r="S84" s="233"/>
    </row>
    <row r="85" spans="1:19" ht="17.25" thickBot="1">
      <c r="A85" s="163" t="s">
        <v>202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33"/>
      <c r="R85" s="233"/>
      <c r="S85" s="233"/>
    </row>
    <row r="86" spans="1:19" ht="17.25" thickBot="1">
      <c r="A86" s="162" t="s">
        <v>170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23"/>
      <c r="R86" s="223"/>
      <c r="S86" s="223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23"/>
      <c r="R87" s="223"/>
      <c r="S87" s="223"/>
    </row>
    <row r="88" spans="1:19" ht="17.25" thickBot="1">
      <c r="A88" s="162" t="s">
        <v>270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23"/>
      <c r="R88" s="223"/>
      <c r="S88" s="223"/>
    </row>
    <row r="89" spans="1:19">
      <c r="A89" s="162" t="s">
        <v>240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212"/>
      <c r="R89" s="213"/>
      <c r="S89" s="214"/>
    </row>
    <row r="90" spans="1:19" ht="17.25" thickBot="1">
      <c r="A90" s="130" t="s">
        <v>296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215"/>
      <c r="R90" s="216"/>
      <c r="S90" s="217"/>
    </row>
    <row r="91" spans="1:19" ht="17.25" thickBot="1">
      <c r="A91" s="132" t="s">
        <v>300</v>
      </c>
      <c r="B91" s="276">
        <f>$B$37</f>
        <v>100000</v>
      </c>
      <c r="C91" s="277"/>
      <c r="D91" s="26" t="s">
        <v>301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301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301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301</v>
      </c>
      <c r="N91" s="27">
        <f>IF(COUNT(N71:N90), SUM(N71:N90) / COUNT(N71:N90), 0)</f>
        <v>-6.0278629650571923E-3</v>
      </c>
      <c r="O91" s="28">
        <f>SUM(O71:O90)</f>
        <v>-12055.725930114386</v>
      </c>
      <c r="Q91" s="218"/>
      <c r="R91" s="219"/>
      <c r="S91" s="220"/>
    </row>
    <row r="93" spans="1:19" ht="17.25" thickBot="1"/>
    <row r="94" spans="1:19" ht="17.25" thickBot="1">
      <c r="A94" s="234" t="s">
        <v>46</v>
      </c>
      <c r="B94" s="235"/>
      <c r="C94" s="235"/>
      <c r="D94" s="235"/>
      <c r="E94" s="235"/>
      <c r="F94" s="235"/>
      <c r="G94" s="235"/>
      <c r="H94" s="235"/>
      <c r="I94" s="235"/>
      <c r="J94" s="235"/>
      <c r="K94" s="235"/>
      <c r="L94" s="235"/>
      <c r="M94" s="235"/>
      <c r="N94" s="235"/>
      <c r="O94" s="236"/>
      <c r="Q94" s="233"/>
      <c r="R94" s="233"/>
      <c r="S94" s="233"/>
    </row>
    <row r="95" spans="1:19" ht="17.25" thickBot="1">
      <c r="A95" s="176" t="s">
        <v>297</v>
      </c>
      <c r="B95" s="234" t="s">
        <v>49</v>
      </c>
      <c r="C95" s="236"/>
      <c r="D95" s="234" t="s">
        <v>58</v>
      </c>
      <c r="E95" s="235"/>
      <c r="F95" s="236"/>
      <c r="G95" s="237">
        <f>_xlfn.IFNA(VLOOKUP(B95, 현재가테이블!$B$2:$D$200, 2, FALSE), "-")</f>
        <v>41418000</v>
      </c>
      <c r="H95" s="238"/>
      <c r="I95" s="239"/>
      <c r="J95" s="234" t="s">
        <v>59</v>
      </c>
      <c r="K95" s="235"/>
      <c r="L95" s="236"/>
      <c r="M95" s="240">
        <f>_xlfn.IFNA(VLOOKUP(B95, 현재가테이블!$B$2:$D$200, 3, FALSE), "-")</f>
        <v>-5.2176301000000001E-2</v>
      </c>
      <c r="N95" s="241"/>
      <c r="O95" s="242"/>
      <c r="Q95" s="233"/>
      <c r="R95" s="233"/>
      <c r="S95" s="233"/>
    </row>
    <row r="96" spans="1:19" ht="17.25" thickBot="1">
      <c r="A96" s="278" t="s">
        <v>55</v>
      </c>
      <c r="B96" s="274" t="str">
        <f>TEXT($G$1, "[$-ko-KR]yyyy-mm-dd(ddd) ") &amp; "오전 00:00"</f>
        <v>2021-06-05(토) 오전 00:00</v>
      </c>
      <c r="C96" s="275"/>
      <c r="D96" s="247" t="str">
        <f>TEXT($G$1, "[$-ko-KR]yyyy-mm-dd(ddd) ") &amp; "오후 14:00"</f>
        <v>2021-06-05(토) 오후 14:00</v>
      </c>
      <c r="E96" s="248"/>
      <c r="F96" s="249"/>
      <c r="G96" s="247" t="str">
        <f>TEXT($G$1, "[$-ko-KR]yyyy-mm-dd(ddd) ") &amp; "오후 19:00"</f>
        <v>2021-06-05(토) 오후 19:00</v>
      </c>
      <c r="H96" s="248"/>
      <c r="I96" s="249"/>
      <c r="J96" s="247" t="str">
        <f>TEXT($G$1, "[$-ko-KR]yyyy-mm-dd(ddd) ") &amp; "오후 21:00"</f>
        <v>2021-06-05(토) 오후 21:00</v>
      </c>
      <c r="K96" s="248"/>
      <c r="L96" s="249"/>
      <c r="M96" s="247" t="str">
        <f>TEXT($G$1+1, "[$-ko-KR]yyyy-mm-dd(ddd) ") &amp; "오전 00:00"</f>
        <v>2021-06-06(일) 오전 00:00</v>
      </c>
      <c r="N96" s="248"/>
      <c r="O96" s="249"/>
      <c r="Q96" s="233"/>
      <c r="R96" s="233"/>
      <c r="S96" s="233"/>
    </row>
    <row r="97" spans="1:19" ht="17.25" thickBot="1">
      <c r="A97" s="279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7" t="s">
        <v>58</v>
      </c>
      <c r="H97" s="178" t="s">
        <v>298</v>
      </c>
      <c r="I97" s="17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3"/>
      <c r="R97" s="223"/>
      <c r="S97" s="223"/>
    </row>
    <row r="98" spans="1:19" ht="17.25" thickBot="1">
      <c r="A98" s="161" t="s">
        <v>186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33"/>
      <c r="R98" s="233"/>
      <c r="S98" s="233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33"/>
      <c r="R99" s="233"/>
      <c r="S99" s="233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23"/>
      <c r="R100" s="223"/>
      <c r="S100" s="223"/>
    </row>
    <row r="101" spans="1:19" ht="17.25" thickBot="1">
      <c r="A101" s="162" t="s">
        <v>206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23"/>
      <c r="R101" s="223"/>
      <c r="S101" s="223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23"/>
      <c r="R102" s="223"/>
      <c r="S102" s="223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23"/>
      <c r="R103" s="223"/>
      <c r="S103" s="223"/>
    </row>
    <row r="104" spans="1:19" ht="17.25" thickBot="1">
      <c r="A104" s="162" t="s">
        <v>200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23"/>
      <c r="R104" s="223"/>
      <c r="S104" s="223"/>
    </row>
    <row r="105" spans="1:19" ht="17.25" thickBot="1">
      <c r="A105" s="162" t="s">
        <v>212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23"/>
      <c r="R105" s="223"/>
      <c r="S105" s="223"/>
    </row>
    <row r="106" spans="1:19" ht="17.25" thickBot="1">
      <c r="A106" s="162" t="s">
        <v>176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252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24"/>
      <c r="R107" s="225"/>
      <c r="S107" s="226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27"/>
      <c r="R108" s="228"/>
      <c r="S108" s="229"/>
    </row>
    <row r="109" spans="1:19" ht="17.25" thickBot="1">
      <c r="A109" s="162" t="s">
        <v>226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30"/>
      <c r="R109" s="231"/>
      <c r="S109" s="232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23"/>
      <c r="R110" s="223"/>
      <c r="S110" s="223"/>
    </row>
    <row r="111" spans="1:19" ht="17.25" thickBot="1">
      <c r="A111" s="162" t="s">
        <v>246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33"/>
      <c r="R111" s="233"/>
      <c r="S111" s="233"/>
    </row>
    <row r="112" spans="1:19" ht="17.25" thickBot="1">
      <c r="A112" s="163" t="s">
        <v>198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33"/>
      <c r="R112" s="233"/>
      <c r="S112" s="233"/>
    </row>
    <row r="113" spans="1:19" ht="17.25" thickBot="1">
      <c r="A113" s="162" t="s">
        <v>254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23"/>
      <c r="R113" s="223"/>
      <c r="S113" s="223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23"/>
      <c r="R114" s="223"/>
      <c r="S114" s="223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23"/>
      <c r="R115" s="223"/>
      <c r="S115" s="223"/>
    </row>
    <row r="116" spans="1:19">
      <c r="A116" s="162" t="s">
        <v>174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212"/>
      <c r="R116" s="213"/>
      <c r="S116" s="214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215"/>
      <c r="R117" s="216"/>
      <c r="S117" s="217"/>
    </row>
    <row r="118" spans="1:19" ht="17.25" thickBot="1">
      <c r="A118" s="132" t="s">
        <v>300</v>
      </c>
      <c r="B118" s="276">
        <f>$B$37</f>
        <v>100000</v>
      </c>
      <c r="C118" s="277"/>
      <c r="D118" s="26" t="s">
        <v>301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301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301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301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218"/>
      <c r="R118" s="219"/>
      <c r="S118" s="220"/>
    </row>
    <row r="120" spans="1:19" ht="17.25" thickBot="1"/>
    <row r="121" spans="1:19" ht="17.25" thickBot="1">
      <c r="A121" s="234" t="s">
        <v>288</v>
      </c>
      <c r="B121" s="235"/>
      <c r="C121" s="235"/>
      <c r="D121" s="235"/>
      <c r="E121" s="235"/>
      <c r="F121" s="235"/>
      <c r="G121" s="235"/>
      <c r="H121" s="235"/>
      <c r="I121" s="235"/>
      <c r="J121" s="235"/>
      <c r="K121" s="235"/>
      <c r="L121" s="235"/>
      <c r="M121" s="235"/>
      <c r="N121" s="235"/>
      <c r="O121" s="236"/>
      <c r="Q121" s="233"/>
      <c r="R121" s="233"/>
      <c r="S121" s="233"/>
    </row>
    <row r="122" spans="1:19" ht="17.25" thickBot="1">
      <c r="A122" s="176" t="s">
        <v>297</v>
      </c>
      <c r="B122" s="234" t="s">
        <v>49</v>
      </c>
      <c r="C122" s="236"/>
      <c r="D122" s="234" t="s">
        <v>58</v>
      </c>
      <c r="E122" s="235"/>
      <c r="F122" s="236"/>
      <c r="G122" s="237">
        <f>_xlfn.IFNA(VLOOKUP(B122, 현재가테이블!$B$2:$D$200, 2, FALSE), "-")</f>
        <v>41418000</v>
      </c>
      <c r="H122" s="238"/>
      <c r="I122" s="239"/>
      <c r="J122" s="234" t="s">
        <v>59</v>
      </c>
      <c r="K122" s="235"/>
      <c r="L122" s="236"/>
      <c r="M122" s="240">
        <f>_xlfn.IFNA(VLOOKUP(B122, 현재가테이블!$B$2:$D$200, 3, FALSE), "-")</f>
        <v>-5.2176301000000001E-2</v>
      </c>
      <c r="N122" s="241"/>
      <c r="O122" s="242"/>
      <c r="Q122" s="233"/>
      <c r="R122" s="233"/>
      <c r="S122" s="233"/>
    </row>
    <row r="123" spans="1:19" ht="17.25" thickBot="1">
      <c r="A123" s="278" t="s">
        <v>55</v>
      </c>
      <c r="B123" s="274" t="str">
        <f>TEXT($G$1, "[$-ko-KR]yyyy-mm-dd(ddd) ") &amp; "오전 00:00"</f>
        <v>2021-06-05(토) 오전 00:00</v>
      </c>
      <c r="C123" s="275"/>
      <c r="D123" s="247" t="str">
        <f>TEXT($G$1, "[$-ko-KR]yyyy-mm-dd(ddd) ") &amp; "오후 14:00"</f>
        <v>2021-06-05(토) 오후 14:00</v>
      </c>
      <c r="E123" s="248"/>
      <c r="F123" s="249"/>
      <c r="G123" s="247" t="str">
        <f>TEXT($G$1, "[$-ko-KR]yyyy-mm-dd(ddd) ") &amp; "오후 19:00"</f>
        <v>2021-06-05(토) 오후 19:00</v>
      </c>
      <c r="H123" s="248"/>
      <c r="I123" s="249"/>
      <c r="J123" s="247" t="str">
        <f>TEXT($G$1, "[$-ko-KR]yyyy-mm-dd(ddd) ") &amp; "오후 21:00"</f>
        <v>2021-06-05(토) 오후 21:00</v>
      </c>
      <c r="K123" s="248"/>
      <c r="L123" s="249"/>
      <c r="M123" s="247" t="str">
        <f>TEXT($G$1+1, "[$-ko-KR]yyyy-mm-dd(ddd) ") &amp; "오전 00:00"</f>
        <v>2021-06-06(일) 오전 00:00</v>
      </c>
      <c r="N123" s="248"/>
      <c r="O123" s="249"/>
      <c r="Q123" s="233"/>
      <c r="R123" s="233"/>
      <c r="S123" s="233"/>
    </row>
    <row r="124" spans="1:19" ht="17.25" thickBot="1">
      <c r="A124" s="279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7" t="s">
        <v>58</v>
      </c>
      <c r="H124" s="178" t="s">
        <v>298</v>
      </c>
      <c r="I124" s="17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3"/>
      <c r="R124" s="223"/>
      <c r="S124" s="223"/>
    </row>
    <row r="125" spans="1:19" ht="17.25" thickBot="1">
      <c r="A125" s="161" t="s">
        <v>218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33"/>
      <c r="R125" s="233"/>
      <c r="S125" s="233"/>
    </row>
    <row r="126" spans="1:19" ht="17.25" thickBot="1">
      <c r="A126" s="162" t="s">
        <v>222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33"/>
      <c r="R126" s="233"/>
      <c r="S126" s="233"/>
    </row>
    <row r="127" spans="1:19" ht="17.25" thickBot="1">
      <c r="A127" s="162" t="s">
        <v>278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23"/>
      <c r="R127" s="223"/>
      <c r="S127" s="223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23"/>
      <c r="R128" s="223"/>
      <c r="S128" s="223"/>
    </row>
    <row r="129" spans="1:19" ht="17.25" thickBot="1">
      <c r="A129" s="163" t="s">
        <v>260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23"/>
      <c r="R129" s="223"/>
      <c r="S129" s="223"/>
    </row>
    <row r="130" spans="1:19" ht="17.25" thickBot="1">
      <c r="A130" s="162" t="s">
        <v>196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23"/>
      <c r="R130" s="223"/>
      <c r="S130" s="223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23"/>
      <c r="R131" s="223"/>
      <c r="S131" s="223"/>
    </row>
    <row r="132" spans="1:19" ht="17.25" thickBot="1">
      <c r="A132" s="162" t="s">
        <v>228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23"/>
      <c r="R132" s="223"/>
      <c r="S132" s="223"/>
    </row>
    <row r="133" spans="1:19" ht="17.25" thickBot="1">
      <c r="A133" s="162" t="s">
        <v>236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266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24"/>
      <c r="R134" s="225"/>
      <c r="S134" s="226"/>
    </row>
    <row r="135" spans="1:19">
      <c r="A135" s="161" t="s">
        <v>214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27"/>
      <c r="R135" s="228"/>
      <c r="S135" s="229"/>
    </row>
    <row r="136" spans="1:19" ht="17.25" thickBot="1">
      <c r="A136" s="162" t="s">
        <v>268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30"/>
      <c r="R136" s="231"/>
      <c r="S136" s="232"/>
    </row>
    <row r="137" spans="1:19" ht="17.25" thickBot="1">
      <c r="A137" s="162" t="s">
        <v>172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23"/>
      <c r="R137" s="223"/>
      <c r="S137" s="223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33"/>
      <c r="R138" s="233"/>
      <c r="S138" s="233"/>
    </row>
    <row r="139" spans="1:19" ht="17.25" thickBot="1">
      <c r="A139" s="163" t="s">
        <v>220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33"/>
      <c r="R139" s="233"/>
      <c r="S139" s="233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23"/>
      <c r="R140" s="223"/>
      <c r="S140" s="223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23"/>
      <c r="R141" s="223"/>
      <c r="S141" s="223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23"/>
      <c r="R142" s="223"/>
      <c r="S142" s="223"/>
    </row>
    <row r="143" spans="1:19">
      <c r="A143" s="162" t="s">
        <v>264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212"/>
      <c r="R143" s="213"/>
      <c r="S143" s="214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215"/>
      <c r="R144" s="216"/>
      <c r="S144" s="217"/>
    </row>
    <row r="145" spans="1:19" ht="17.25" thickBot="1">
      <c r="A145" s="132" t="s">
        <v>300</v>
      </c>
      <c r="B145" s="276">
        <f>$B$37</f>
        <v>100000</v>
      </c>
      <c r="C145" s="277"/>
      <c r="D145" s="26" t="s">
        <v>301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301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301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301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218"/>
      <c r="R145" s="219"/>
      <c r="S145" s="220"/>
    </row>
    <row r="147" spans="1:19" ht="17.25" thickBot="1"/>
    <row r="148" spans="1:19" ht="17.25" thickBot="1">
      <c r="A148" s="234" t="s">
        <v>289</v>
      </c>
      <c r="B148" s="235"/>
      <c r="C148" s="235"/>
      <c r="D148" s="235"/>
      <c r="E148" s="235"/>
      <c r="F148" s="235"/>
      <c r="G148" s="235"/>
      <c r="H148" s="235"/>
      <c r="I148" s="235"/>
      <c r="J148" s="235"/>
      <c r="K148" s="235"/>
      <c r="L148" s="235"/>
      <c r="M148" s="235"/>
      <c r="N148" s="235"/>
      <c r="O148" s="236"/>
      <c r="Q148" s="233"/>
      <c r="R148" s="233"/>
      <c r="S148" s="233"/>
    </row>
    <row r="149" spans="1:19" ht="17.25" thickBot="1">
      <c r="A149" s="176" t="s">
        <v>297</v>
      </c>
      <c r="B149" s="234" t="s">
        <v>49</v>
      </c>
      <c r="C149" s="236"/>
      <c r="D149" s="234" t="s">
        <v>58</v>
      </c>
      <c r="E149" s="235"/>
      <c r="F149" s="236"/>
      <c r="G149" s="237">
        <f>_xlfn.IFNA(VLOOKUP(B149, 현재가테이블!$B$2:$D$200, 2, FALSE), "-")</f>
        <v>41418000</v>
      </c>
      <c r="H149" s="238"/>
      <c r="I149" s="239"/>
      <c r="J149" s="234" t="s">
        <v>59</v>
      </c>
      <c r="K149" s="235"/>
      <c r="L149" s="236"/>
      <c r="M149" s="240">
        <f>_xlfn.IFNA(VLOOKUP(B149, 현재가테이블!$B$2:$D$200, 3, FALSE), "-")</f>
        <v>-5.2176301000000001E-2</v>
      </c>
      <c r="N149" s="241"/>
      <c r="O149" s="242"/>
      <c r="Q149" s="233"/>
      <c r="R149" s="233"/>
      <c r="S149" s="233"/>
    </row>
    <row r="150" spans="1:19" ht="17.25" thickBot="1">
      <c r="A150" s="278" t="s">
        <v>55</v>
      </c>
      <c r="B150" s="274" t="str">
        <f>TEXT($G$1, "[$-ko-KR]yyyy-mm-dd(ddd) ") &amp; "오전 00:00"</f>
        <v>2021-06-05(토) 오전 00:00</v>
      </c>
      <c r="C150" s="275"/>
      <c r="D150" s="247" t="str">
        <f>TEXT($G$1, "[$-ko-KR]yyyy-mm-dd(ddd) ") &amp; "오후 14:00"</f>
        <v>2021-06-05(토) 오후 14:00</v>
      </c>
      <c r="E150" s="248"/>
      <c r="F150" s="249"/>
      <c r="G150" s="247" t="str">
        <f>TEXT($G$1, "[$-ko-KR]yyyy-mm-dd(ddd) ") &amp; "오후 19:00"</f>
        <v>2021-06-05(토) 오후 19:00</v>
      </c>
      <c r="H150" s="248"/>
      <c r="I150" s="249"/>
      <c r="J150" s="247" t="str">
        <f>TEXT($G$1, "[$-ko-KR]yyyy-mm-dd(ddd) ") &amp; "오후 21:00"</f>
        <v>2021-06-05(토) 오후 21:00</v>
      </c>
      <c r="K150" s="248"/>
      <c r="L150" s="249"/>
      <c r="M150" s="247" t="str">
        <f>TEXT($G$1+1, "[$-ko-KR]yyyy-mm-dd(ddd) ") &amp; "오전 00:00"</f>
        <v>2021-06-06(일) 오전 00:00</v>
      </c>
      <c r="N150" s="248"/>
      <c r="O150" s="249"/>
      <c r="Q150" s="233"/>
      <c r="R150" s="233"/>
      <c r="S150" s="233"/>
    </row>
    <row r="151" spans="1:19" ht="17.25" thickBot="1">
      <c r="A151" s="279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7" t="s">
        <v>58</v>
      </c>
      <c r="H151" s="178" t="s">
        <v>298</v>
      </c>
      <c r="I151" s="17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3"/>
      <c r="R151" s="223"/>
      <c r="S151" s="223"/>
    </row>
    <row r="152" spans="1:19" ht="17.25" thickBot="1">
      <c r="A152" s="161" t="s">
        <v>296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33"/>
      <c r="R152" s="233"/>
      <c r="S152" s="233"/>
    </row>
    <row r="153" spans="1:19" ht="17.25" thickBot="1">
      <c r="A153" s="162" t="s">
        <v>182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33"/>
      <c r="R153" s="233"/>
      <c r="S153" s="233"/>
    </row>
    <row r="154" spans="1:19" ht="17.25" thickBot="1">
      <c r="A154" s="162" t="s">
        <v>238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23"/>
      <c r="R154" s="223"/>
      <c r="S154" s="223"/>
    </row>
    <row r="155" spans="1:19" ht="17.25" thickBot="1">
      <c r="A155" s="162" t="s">
        <v>250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23"/>
      <c r="R155" s="223"/>
      <c r="S155" s="223"/>
    </row>
    <row r="156" spans="1:19" ht="17.25" thickBot="1">
      <c r="A156" s="163" t="s">
        <v>216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23"/>
      <c r="R156" s="223"/>
      <c r="S156" s="223"/>
    </row>
    <row r="157" spans="1:19" ht="17.25" thickBot="1">
      <c r="A157" s="162" t="s">
        <v>234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23"/>
      <c r="R157" s="223"/>
      <c r="S157" s="223"/>
    </row>
    <row r="158" spans="1:19" ht="17.25" thickBot="1">
      <c r="A158" s="162" t="s">
        <v>284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23"/>
      <c r="R158" s="223"/>
      <c r="S158" s="223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23"/>
      <c r="R159" s="223"/>
      <c r="S159" s="223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24"/>
      <c r="R161" s="225"/>
      <c r="S161" s="226"/>
    </row>
    <row r="162" spans="1:19">
      <c r="A162" s="161" t="s">
        <v>232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27"/>
      <c r="R162" s="228"/>
      <c r="S162" s="229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30"/>
      <c r="R163" s="231"/>
      <c r="S163" s="232"/>
    </row>
    <row r="164" spans="1:19" ht="17.25" thickBot="1">
      <c r="A164" s="162" t="s">
        <v>168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23"/>
      <c r="R164" s="223"/>
      <c r="S164" s="223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33"/>
      <c r="R165" s="233"/>
      <c r="S165" s="233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33"/>
      <c r="R166" s="233"/>
      <c r="S166" s="233"/>
    </row>
    <row r="167" spans="1:19" ht="17.25" thickBot="1">
      <c r="A167" s="162" t="s">
        <v>262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23"/>
      <c r="R167" s="223"/>
      <c r="S167" s="223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23"/>
      <c r="R168" s="223"/>
      <c r="S168" s="223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23"/>
      <c r="R169" s="223"/>
      <c r="S169" s="223"/>
    </row>
    <row r="170" spans="1:19">
      <c r="A170" s="162" t="s">
        <v>208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212"/>
      <c r="R170" s="213"/>
      <c r="S170" s="214"/>
    </row>
    <row r="171" spans="1:19" ht="17.25" thickBot="1">
      <c r="A171" s="130" t="s">
        <v>210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215"/>
      <c r="R171" s="216"/>
      <c r="S171" s="217"/>
    </row>
    <row r="172" spans="1:19" ht="17.25" thickBot="1">
      <c r="A172" s="132" t="s">
        <v>300</v>
      </c>
      <c r="B172" s="276">
        <f>$B$37</f>
        <v>100000</v>
      </c>
      <c r="C172" s="277"/>
      <c r="D172" s="26" t="s">
        <v>301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301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301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301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218"/>
      <c r="R172" s="219"/>
      <c r="S172" s="220"/>
    </row>
    <row r="174" spans="1:19" ht="17.25" thickBot="1"/>
    <row r="175" spans="1:19" ht="17.25" thickBot="1">
      <c r="A175" s="234" t="s">
        <v>285</v>
      </c>
      <c r="B175" s="235"/>
      <c r="C175" s="235"/>
      <c r="D175" s="235"/>
      <c r="E175" s="235"/>
      <c r="F175" s="235"/>
      <c r="G175" s="235"/>
      <c r="H175" s="235"/>
      <c r="I175" s="235"/>
      <c r="J175" s="235"/>
      <c r="K175" s="235"/>
      <c r="L175" s="235"/>
      <c r="M175" s="235"/>
      <c r="N175" s="235"/>
      <c r="O175" s="236"/>
      <c r="Q175" s="233"/>
      <c r="R175" s="233"/>
      <c r="S175" s="233"/>
    </row>
    <row r="176" spans="1:19" ht="17.25" thickBot="1">
      <c r="A176" s="176" t="s">
        <v>297</v>
      </c>
      <c r="B176" s="234" t="s">
        <v>49</v>
      </c>
      <c r="C176" s="236"/>
      <c r="D176" s="234" t="s">
        <v>58</v>
      </c>
      <c r="E176" s="235"/>
      <c r="F176" s="236"/>
      <c r="G176" s="237">
        <f>_xlfn.IFNA(VLOOKUP(B176, 현재가테이블!$B$2:$D$200, 2, FALSE), "-")</f>
        <v>41418000</v>
      </c>
      <c r="H176" s="238"/>
      <c r="I176" s="239"/>
      <c r="J176" s="234" t="s">
        <v>59</v>
      </c>
      <c r="K176" s="235"/>
      <c r="L176" s="236"/>
      <c r="M176" s="240">
        <f>_xlfn.IFNA(VLOOKUP(B176, 현재가테이블!$B$2:$D$200, 3, FALSE), "-")</f>
        <v>-5.2176301000000001E-2</v>
      </c>
      <c r="N176" s="241"/>
      <c r="O176" s="242"/>
      <c r="Q176" s="233"/>
      <c r="R176" s="233"/>
      <c r="S176" s="233"/>
    </row>
    <row r="177" spans="1:19" ht="17.25" thickBot="1">
      <c r="A177" s="278" t="s">
        <v>55</v>
      </c>
      <c r="B177" s="274" t="str">
        <f>TEXT($G$1, "[$-ko-KR]yyyy-mm-dd(ddd) ") &amp; "오전 00:00"</f>
        <v>2021-06-05(토) 오전 00:00</v>
      </c>
      <c r="C177" s="275"/>
      <c r="D177" s="247" t="str">
        <f>TEXT($G$1, "[$-ko-KR]yyyy-mm-dd(ddd) ") &amp; "오후 14:00"</f>
        <v>2021-06-05(토) 오후 14:00</v>
      </c>
      <c r="E177" s="248"/>
      <c r="F177" s="249"/>
      <c r="G177" s="247" t="str">
        <f>TEXT($G$1, "[$-ko-KR]yyyy-mm-dd(ddd) ") &amp; "오후 19:00"</f>
        <v>2021-06-05(토) 오후 19:00</v>
      </c>
      <c r="H177" s="248"/>
      <c r="I177" s="249"/>
      <c r="J177" s="247" t="str">
        <f>TEXT($G$1, "[$-ko-KR]yyyy-mm-dd(ddd) ") &amp; "오후 21:00"</f>
        <v>2021-06-05(토) 오후 21:00</v>
      </c>
      <c r="K177" s="248"/>
      <c r="L177" s="249"/>
      <c r="M177" s="247" t="str">
        <f>TEXT($G$1+1, "[$-ko-KR]yyyy-mm-dd(ddd) ") &amp; "오전 00:00"</f>
        <v>2021-06-06(일) 오전 00:00</v>
      </c>
      <c r="N177" s="248"/>
      <c r="O177" s="249"/>
      <c r="Q177" s="233"/>
      <c r="R177" s="233"/>
      <c r="S177" s="233"/>
    </row>
    <row r="178" spans="1:19" ht="17.25" thickBot="1">
      <c r="A178" s="279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7" t="s">
        <v>58</v>
      </c>
      <c r="H178" s="178" t="s">
        <v>298</v>
      </c>
      <c r="I178" s="17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3"/>
      <c r="R178" s="223"/>
      <c r="S178" s="223"/>
    </row>
    <row r="179" spans="1:19" ht="17.25" thickBot="1">
      <c r="A179" s="161" t="s">
        <v>264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33"/>
      <c r="R179" s="233"/>
      <c r="S179" s="233"/>
    </row>
    <row r="180" spans="1:19" ht="17.25" thickBot="1">
      <c r="A180" s="162" t="s">
        <v>168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33"/>
      <c r="R180" s="233"/>
      <c r="S180" s="233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23"/>
      <c r="R181" s="223"/>
      <c r="S181" s="223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23"/>
      <c r="R182" s="223"/>
      <c r="S182" s="223"/>
    </row>
    <row r="183" spans="1:19" ht="17.25" thickBot="1">
      <c r="A183" s="163" t="s">
        <v>262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23"/>
      <c r="R183" s="223"/>
      <c r="S183" s="223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23"/>
      <c r="R184" s="223"/>
      <c r="S184" s="223"/>
    </row>
    <row r="185" spans="1:19" ht="17.25" thickBot="1">
      <c r="A185" s="162" t="s">
        <v>274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23"/>
      <c r="R185" s="223"/>
      <c r="S185" s="223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23"/>
      <c r="R186" s="223"/>
      <c r="S186" s="223"/>
    </row>
    <row r="187" spans="1:19" ht="17.25" thickBot="1">
      <c r="A187" s="162" t="s">
        <v>208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24"/>
      <c r="R188" s="225"/>
      <c r="S188" s="226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27"/>
      <c r="R189" s="228"/>
      <c r="S189" s="229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30"/>
      <c r="R190" s="231"/>
      <c r="S190" s="232"/>
    </row>
    <row r="191" spans="1:19" ht="17.25" thickBot="1">
      <c r="A191" s="162" t="s">
        <v>248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23"/>
      <c r="R191" s="223"/>
      <c r="S191" s="223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33"/>
      <c r="R192" s="233"/>
      <c r="S192" s="233"/>
    </row>
    <row r="193" spans="1:19" ht="17.25" thickBot="1">
      <c r="A193" s="163" t="s">
        <v>164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33"/>
      <c r="R193" s="233"/>
      <c r="S193" s="233"/>
    </row>
    <row r="194" spans="1:19" ht="17.25" thickBot="1">
      <c r="A194" s="162" t="s">
        <v>210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23"/>
      <c r="R194" s="223"/>
      <c r="S194" s="223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23"/>
      <c r="R195" s="223"/>
      <c r="S195" s="223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23"/>
      <c r="R196" s="223"/>
      <c r="S196" s="223"/>
    </row>
    <row r="197" spans="1:19">
      <c r="A197" s="162" t="s">
        <v>192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212"/>
      <c r="R197" s="213"/>
      <c r="S197" s="214"/>
    </row>
    <row r="198" spans="1:19" ht="17.25" thickBot="1">
      <c r="A198" s="130" t="s">
        <v>242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215"/>
      <c r="R198" s="216"/>
      <c r="S198" s="217"/>
    </row>
    <row r="199" spans="1:19" ht="17.25" thickBot="1">
      <c r="A199" s="132" t="s">
        <v>300</v>
      </c>
      <c r="B199" s="276">
        <f>$B$37</f>
        <v>100000</v>
      </c>
      <c r="C199" s="277"/>
      <c r="D199" s="26" t="s">
        <v>301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301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301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301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218"/>
      <c r="R199" s="219"/>
      <c r="S199" s="22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03" priority="157">
      <formula>AND($N17 &gt; 0, ISNUMBER($N17))</formula>
    </cfRule>
    <cfRule type="expression" dxfId="1602" priority="158">
      <formula>AND($N17 = 0 * ISNUMBER($N17))</formula>
    </cfRule>
    <cfRule type="expression" dxfId="1601" priority="159">
      <formula>AND($N17 &lt; 0, ISNUMBER($N17))</formula>
    </cfRule>
  </conditionalFormatting>
  <conditionalFormatting sqref="A17:F36">
    <cfRule type="expression" dxfId="1600" priority="166">
      <formula>AND($E17 &gt; 0, ISNUMBER($E17))</formula>
    </cfRule>
    <cfRule type="expression" dxfId="1599" priority="167">
      <formula>AND($E17 = 0 * ISNUMBER($E17))</formula>
    </cfRule>
    <cfRule type="expression" dxfId="1598" priority="168">
      <formula>AND($E17 &lt; 0, ISNUMBER($E17))</formula>
    </cfRule>
  </conditionalFormatting>
  <conditionalFormatting sqref="A17:C36 G17:I36">
    <cfRule type="expression" dxfId="1597" priority="163">
      <formula>AND($H17 &gt; 0, ISNUMBER($H17))</formula>
    </cfRule>
    <cfRule type="expression" dxfId="1596" priority="164">
      <formula>AND($H17 = 0 * ISNUMBER($H17))</formula>
    </cfRule>
    <cfRule type="expression" dxfId="1595" priority="165">
      <formula>AND($H17 &lt; 0, ISNUMBER($H17))</formula>
    </cfRule>
  </conditionalFormatting>
  <conditionalFormatting sqref="A17:C36 J17:L36">
    <cfRule type="expression" dxfId="1594" priority="160">
      <formula>AND($K17 &gt; 0, ISNUMBER($K17))</formula>
    </cfRule>
    <cfRule type="expression" dxfId="1593" priority="161">
      <formula>AND($K17 = 0 * ISNUMBER($K17))</formula>
    </cfRule>
    <cfRule type="expression" dxfId="1592" priority="162">
      <formula>AND($K17 &lt; 0, ISNUMBER($K17))</formula>
    </cfRule>
  </conditionalFormatting>
  <conditionalFormatting sqref="D15:F16 E37:F37">
    <cfRule type="expression" dxfId="1591" priority="154">
      <formula>$E$37 &gt; 0</formula>
    </cfRule>
    <cfRule type="expression" dxfId="1590" priority="155">
      <formula>$E$37 = 0</formula>
    </cfRule>
    <cfRule type="expression" dxfId="1589" priority="156">
      <formula>$E$37 &lt; 0</formula>
    </cfRule>
  </conditionalFormatting>
  <conditionalFormatting sqref="G15:I16 H37:I37">
    <cfRule type="expression" dxfId="1588" priority="151">
      <formula>$H$37 &gt; 0</formula>
    </cfRule>
    <cfRule type="expression" dxfId="1587" priority="152">
      <formula>$H$37 = 0</formula>
    </cfRule>
    <cfRule type="expression" dxfId="1586" priority="153">
      <formula>$H$37 &lt; 0</formula>
    </cfRule>
  </conditionalFormatting>
  <conditionalFormatting sqref="J15:L16 K37:L37">
    <cfRule type="expression" dxfId="1585" priority="148">
      <formula>$K$37 &gt; 0</formula>
    </cfRule>
    <cfRule type="expression" dxfId="1584" priority="149">
      <formula>$K$37 = 0</formula>
    </cfRule>
    <cfRule type="expression" dxfId="1583" priority="150">
      <formula>$K$37 &lt; 0</formula>
    </cfRule>
  </conditionalFormatting>
  <conditionalFormatting sqref="M15:O16 N37:O37">
    <cfRule type="expression" dxfId="1582" priority="145">
      <formula>$N$37 &gt; 0</formula>
    </cfRule>
    <cfRule type="expression" dxfId="1581" priority="146">
      <formula>$N$37 = 0</formula>
    </cfRule>
    <cfRule type="expression" dxfId="1580" priority="147">
      <formula>$N$37 &lt; 0</formula>
    </cfRule>
  </conditionalFormatting>
  <conditionalFormatting sqref="A44:C63 M44:O63">
    <cfRule type="expression" dxfId="1579" priority="133">
      <formula>AND($N44 &gt; 0, ISNUMBER($N44))</formula>
    </cfRule>
    <cfRule type="expression" dxfId="1578" priority="134">
      <formula>AND($N44 = 0 * ISNUMBER($N44))</formula>
    </cfRule>
    <cfRule type="expression" dxfId="1577" priority="135">
      <formula>AND($N44 &lt; 0, ISNUMBER($N44))</formula>
    </cfRule>
  </conditionalFormatting>
  <conditionalFormatting sqref="A44:F63">
    <cfRule type="expression" dxfId="1576" priority="142">
      <formula>AND($E44 &gt; 0, ISNUMBER($E44))</formula>
    </cfRule>
    <cfRule type="expression" dxfId="1575" priority="143">
      <formula>AND($E44 = 0 * ISNUMBER($E44))</formula>
    </cfRule>
    <cfRule type="expression" dxfId="1574" priority="144">
      <formula>AND($E44 &lt; 0, ISNUMBER($E44))</formula>
    </cfRule>
  </conditionalFormatting>
  <conditionalFormatting sqref="A44:C63 G44:I63">
    <cfRule type="expression" dxfId="1573" priority="139">
      <formula>AND($H44 &gt; 0, ISNUMBER($H44))</formula>
    </cfRule>
    <cfRule type="expression" dxfId="1572" priority="140">
      <formula>AND($H44 = 0 * ISNUMBER($H44))</formula>
    </cfRule>
    <cfRule type="expression" dxfId="1571" priority="141">
      <formula>AND($H44 &lt; 0, ISNUMBER($H44))</formula>
    </cfRule>
  </conditionalFormatting>
  <conditionalFormatting sqref="A44:C63 J44:L63">
    <cfRule type="expression" dxfId="1570" priority="136">
      <formula>AND($K44 &gt; 0, ISNUMBER($K44))</formula>
    </cfRule>
    <cfRule type="expression" dxfId="1569" priority="137">
      <formula>AND($K44 = 0 * ISNUMBER($K44))</formula>
    </cfRule>
    <cfRule type="expression" dxfId="1568" priority="138">
      <formula>AND($K44 &lt; 0, ISNUMBER($K44))</formula>
    </cfRule>
  </conditionalFormatting>
  <conditionalFormatting sqref="D42:F43 E64:F64">
    <cfRule type="expression" dxfId="1567" priority="130">
      <formula>$E$64 &gt; 0</formula>
    </cfRule>
    <cfRule type="expression" dxfId="1566" priority="131">
      <formula>$E$64 = 0</formula>
    </cfRule>
    <cfRule type="expression" dxfId="1565" priority="132">
      <formula>$E$64 &lt; 0</formula>
    </cfRule>
  </conditionalFormatting>
  <conditionalFormatting sqref="G42:I43 H64:I64">
    <cfRule type="expression" dxfId="1564" priority="127">
      <formula>$H$64 &gt; 0</formula>
    </cfRule>
    <cfRule type="expression" dxfId="1563" priority="128">
      <formula>$H$64 = 0</formula>
    </cfRule>
    <cfRule type="expression" dxfId="1562" priority="129">
      <formula>$H$64 &lt; 0</formula>
    </cfRule>
  </conditionalFormatting>
  <conditionalFormatting sqref="J42:L43 K64:L64">
    <cfRule type="expression" dxfId="1561" priority="124">
      <formula>$K$64 &gt; 0</formula>
    </cfRule>
    <cfRule type="expression" dxfId="1560" priority="125">
      <formula>$K$64 = 0</formula>
    </cfRule>
    <cfRule type="expression" dxfId="1559" priority="126">
      <formula>$K$64 &lt; 0</formula>
    </cfRule>
  </conditionalFormatting>
  <conditionalFormatting sqref="M42:O43 N64:O64">
    <cfRule type="expression" dxfId="1558" priority="121">
      <formula>$N$64 &gt; 0</formula>
    </cfRule>
    <cfRule type="expression" dxfId="1557" priority="122">
      <formula>$N$64 = 0</formula>
    </cfRule>
    <cfRule type="expression" dxfId="1556" priority="123">
      <formula>$N$64 &lt; 0</formula>
    </cfRule>
  </conditionalFormatting>
  <conditionalFormatting sqref="A71:C90 M71:O90">
    <cfRule type="expression" dxfId="1555" priority="109">
      <formula>AND($N71 &gt; 0, ISNUMBER($N71))</formula>
    </cfRule>
    <cfRule type="expression" dxfId="1554" priority="110">
      <formula>AND($N71 = 0 * ISNUMBER($N71))</formula>
    </cfRule>
    <cfRule type="expression" dxfId="1553" priority="111">
      <formula>AND($N71 &lt; 0, ISNUMBER($N71))</formula>
    </cfRule>
  </conditionalFormatting>
  <conditionalFormatting sqref="A71:F90">
    <cfRule type="expression" dxfId="1552" priority="118">
      <formula>AND($E71 &gt; 0, ISNUMBER($E71))</formula>
    </cfRule>
    <cfRule type="expression" dxfId="1551" priority="119">
      <formula>AND($E71 = 0 * ISNUMBER($E71))</formula>
    </cfRule>
    <cfRule type="expression" dxfId="1550" priority="120">
      <formula>AND($E71 &lt; 0, ISNUMBER($E71))</formula>
    </cfRule>
  </conditionalFormatting>
  <conditionalFormatting sqref="A71:C90 G71:I90">
    <cfRule type="expression" dxfId="1549" priority="115">
      <formula>AND($H71 &gt; 0, ISNUMBER($H71))</formula>
    </cfRule>
    <cfRule type="expression" dxfId="1548" priority="116">
      <formula>AND($H71 = 0 * ISNUMBER($H71))</formula>
    </cfRule>
    <cfRule type="expression" dxfId="1547" priority="117">
      <formula>AND($H71 &lt; 0, ISNUMBER($H71))</formula>
    </cfRule>
  </conditionalFormatting>
  <conditionalFormatting sqref="A71:C90 J71:L90">
    <cfRule type="expression" dxfId="1546" priority="112">
      <formula>AND($K71 &gt; 0, ISNUMBER($K71))</formula>
    </cfRule>
    <cfRule type="expression" dxfId="1545" priority="113">
      <formula>AND($K71 = 0 * ISNUMBER($K71))</formula>
    </cfRule>
    <cfRule type="expression" dxfId="1544" priority="114">
      <formula>AND($K71 &lt; 0, ISNUMBER($K71))</formula>
    </cfRule>
  </conditionalFormatting>
  <conditionalFormatting sqref="D69:F70 E91:F91">
    <cfRule type="expression" dxfId="1543" priority="106">
      <formula>$E$91 &gt; 0</formula>
    </cfRule>
    <cfRule type="expression" dxfId="1542" priority="107">
      <formula>$E$91 = 0</formula>
    </cfRule>
    <cfRule type="expression" dxfId="1541" priority="108">
      <formula>$E$91 &lt; 0</formula>
    </cfRule>
  </conditionalFormatting>
  <conditionalFormatting sqref="G69:I70 H91:I91">
    <cfRule type="expression" dxfId="1540" priority="103">
      <formula>$H$91 &gt; 0</formula>
    </cfRule>
    <cfRule type="expression" dxfId="1539" priority="104">
      <formula>$H$91 = 0</formula>
    </cfRule>
    <cfRule type="expression" dxfId="1538" priority="105">
      <formula>$H$91 &lt; 0</formula>
    </cfRule>
  </conditionalFormatting>
  <conditionalFormatting sqref="J69:L70 K91:L91">
    <cfRule type="expression" dxfId="1537" priority="100">
      <formula>$K$91 &gt; 0</formula>
    </cfRule>
    <cfRule type="expression" dxfId="1536" priority="101">
      <formula>$K$91 = 0</formula>
    </cfRule>
    <cfRule type="expression" dxfId="1535" priority="102">
      <formula>$K$91 &lt; 0</formula>
    </cfRule>
  </conditionalFormatting>
  <conditionalFormatting sqref="M69:O70 N91:O91">
    <cfRule type="expression" dxfId="1534" priority="97">
      <formula>$N$91 &gt; 0</formula>
    </cfRule>
    <cfRule type="expression" dxfId="1533" priority="98">
      <formula>$N$91 = 0</formula>
    </cfRule>
    <cfRule type="expression" dxfId="1532" priority="99">
      <formula>$N$91 &lt; 0</formula>
    </cfRule>
  </conditionalFormatting>
  <conditionalFormatting sqref="A98:C117 M98:O117">
    <cfRule type="expression" dxfId="1531" priority="85">
      <formula>AND($N98 &gt; 0, ISNUMBER($N98))</formula>
    </cfRule>
    <cfRule type="expression" dxfId="1530" priority="86">
      <formula>AND($N98 = 0 * ISNUMBER($N98))</formula>
    </cfRule>
    <cfRule type="expression" dxfId="1529" priority="87">
      <formula>AND($N98 &lt; 0, ISNUMBER($N98))</formula>
    </cfRule>
  </conditionalFormatting>
  <conditionalFormatting sqref="A98:F117">
    <cfRule type="expression" dxfId="1528" priority="94">
      <formula>AND($E98 &gt; 0, ISNUMBER($E98))</formula>
    </cfRule>
    <cfRule type="expression" dxfId="1527" priority="95">
      <formula>AND($E98 = 0 * ISNUMBER($E98))</formula>
    </cfRule>
    <cfRule type="expression" dxfId="1526" priority="96">
      <formula>AND($E98 &lt; 0, ISNUMBER($E98))</formula>
    </cfRule>
  </conditionalFormatting>
  <conditionalFormatting sqref="A98:C117 G98:I117">
    <cfRule type="expression" dxfId="1525" priority="91">
      <formula>AND($H98 &gt; 0, ISNUMBER($H98))</formula>
    </cfRule>
    <cfRule type="expression" dxfId="1524" priority="92">
      <formula>AND($H98 = 0 * ISNUMBER($H98))</formula>
    </cfRule>
    <cfRule type="expression" dxfId="1523" priority="93">
      <formula>AND($H98 &lt; 0, ISNUMBER($H98))</formula>
    </cfRule>
  </conditionalFormatting>
  <conditionalFormatting sqref="A98:C117 J98:L117">
    <cfRule type="expression" dxfId="1522" priority="88">
      <formula>AND($K98 &gt; 0, ISNUMBER($K98))</formula>
    </cfRule>
    <cfRule type="expression" dxfId="1521" priority="89">
      <formula>AND($K98 = 0 * ISNUMBER($K98))</formula>
    </cfRule>
    <cfRule type="expression" dxfId="1520" priority="90">
      <formula>AND($K98 &lt; 0, ISNUMBER($K98))</formula>
    </cfRule>
  </conditionalFormatting>
  <conditionalFormatting sqref="D96:F97 E118:F118">
    <cfRule type="expression" dxfId="1519" priority="82">
      <formula>$E$118 &gt; 0</formula>
    </cfRule>
    <cfRule type="expression" dxfId="1518" priority="83">
      <formula>$E$118 = 0</formula>
    </cfRule>
    <cfRule type="expression" dxfId="1517" priority="84">
      <formula>$E$118 &lt; 0</formula>
    </cfRule>
  </conditionalFormatting>
  <conditionalFormatting sqref="G96:I97 H118:I118">
    <cfRule type="expression" dxfId="1516" priority="79">
      <formula>$H$118 &gt; 0</formula>
    </cfRule>
    <cfRule type="expression" dxfId="1515" priority="80">
      <formula>$H$118 = 0</formula>
    </cfRule>
    <cfRule type="expression" dxfId="1514" priority="81">
      <formula>$H$118 &lt; 0</formula>
    </cfRule>
  </conditionalFormatting>
  <conditionalFormatting sqref="J96:L97 K118:L118">
    <cfRule type="expression" dxfId="1513" priority="76">
      <formula>$K$118 &gt; 0</formula>
    </cfRule>
    <cfRule type="expression" dxfId="1512" priority="77">
      <formula>$K$118 = 0</formula>
    </cfRule>
    <cfRule type="expression" dxfId="1511" priority="78">
      <formula>$K$118 &lt; 0</formula>
    </cfRule>
  </conditionalFormatting>
  <conditionalFormatting sqref="M96:O97 N118:O118">
    <cfRule type="expression" dxfId="1510" priority="73">
      <formula>$N$118 &gt; 0</formula>
    </cfRule>
    <cfRule type="expression" dxfId="1509" priority="74">
      <formula>$N$118 = 0</formula>
    </cfRule>
    <cfRule type="expression" dxfId="1508" priority="75">
      <formula>$N$118 &lt; 0</formula>
    </cfRule>
  </conditionalFormatting>
  <conditionalFormatting sqref="A125:C144 M125:O144">
    <cfRule type="expression" dxfId="1507" priority="61">
      <formula>AND($N125 &gt; 0, ISNUMBER($N125))</formula>
    </cfRule>
    <cfRule type="expression" dxfId="1506" priority="62">
      <formula>AND($N125 = 0 * ISNUMBER($N125))</formula>
    </cfRule>
    <cfRule type="expression" dxfId="1505" priority="63">
      <formula>AND($N125 &lt; 0, ISNUMBER($N125))</formula>
    </cfRule>
  </conditionalFormatting>
  <conditionalFormatting sqref="A125:F144">
    <cfRule type="expression" dxfId="1504" priority="70">
      <formula>AND($E125 &gt; 0, ISNUMBER($E125))</formula>
    </cfRule>
    <cfRule type="expression" dxfId="1503" priority="71">
      <formula>AND($E125 = 0 * ISNUMBER($E125))</formula>
    </cfRule>
    <cfRule type="expression" dxfId="1502" priority="72">
      <formula>AND($E125 &lt; 0, ISNUMBER($E125))</formula>
    </cfRule>
  </conditionalFormatting>
  <conditionalFormatting sqref="A125:C144 G125:I144">
    <cfRule type="expression" dxfId="1501" priority="67">
      <formula>AND($H125 &gt; 0, ISNUMBER($H125))</formula>
    </cfRule>
    <cfRule type="expression" dxfId="1500" priority="68">
      <formula>AND($H125 = 0 * ISNUMBER($H125))</formula>
    </cfRule>
    <cfRule type="expression" dxfId="1499" priority="69">
      <formula>AND($H125 &lt; 0, ISNUMBER($H125))</formula>
    </cfRule>
  </conditionalFormatting>
  <conditionalFormatting sqref="A125:C144 J125:L144">
    <cfRule type="expression" dxfId="1498" priority="64">
      <formula>AND($K125 &gt; 0, ISNUMBER($K125))</formula>
    </cfRule>
    <cfRule type="expression" dxfId="1497" priority="65">
      <formula>AND($K125 = 0 * ISNUMBER($K125))</formula>
    </cfRule>
    <cfRule type="expression" dxfId="1496" priority="66">
      <formula>AND($K125 &lt; 0, ISNUMBER($K125))</formula>
    </cfRule>
  </conditionalFormatting>
  <conditionalFormatting sqref="D123:F124 E145:F145">
    <cfRule type="expression" dxfId="1495" priority="58">
      <formula>$E$145 &gt; 0</formula>
    </cfRule>
    <cfRule type="expression" dxfId="1494" priority="59">
      <formula>$E$145 = 0</formula>
    </cfRule>
    <cfRule type="expression" dxfId="1493" priority="60">
      <formula>$E$145 &lt; 0</formula>
    </cfRule>
  </conditionalFormatting>
  <conditionalFormatting sqref="G123:I124 H145:I145">
    <cfRule type="expression" dxfId="1492" priority="55">
      <formula>$H$145 &gt; 0</formula>
    </cfRule>
    <cfRule type="expression" dxfId="1491" priority="56">
      <formula>$H$145 = 0</formula>
    </cfRule>
    <cfRule type="expression" dxfId="1490" priority="57">
      <formula>$H$145 &lt; 0</formula>
    </cfRule>
  </conditionalFormatting>
  <conditionalFormatting sqref="J123:L124 K145:L145">
    <cfRule type="expression" dxfId="1489" priority="52">
      <formula>$K$145 &gt; 0</formula>
    </cfRule>
    <cfRule type="expression" dxfId="1488" priority="53">
      <formula>$K$145 = 0</formula>
    </cfRule>
    <cfRule type="expression" dxfId="1487" priority="54">
      <formula>$K$145 &lt; 0</formula>
    </cfRule>
  </conditionalFormatting>
  <conditionalFormatting sqref="M123:O124 N145:O145">
    <cfRule type="expression" dxfId="1486" priority="49">
      <formula>$N$145 &gt; 0</formula>
    </cfRule>
    <cfRule type="expression" dxfId="1485" priority="50">
      <formula>$N$145 = 0</formula>
    </cfRule>
    <cfRule type="expression" dxfId="1484" priority="51">
      <formula>$N$145 &lt; 0</formula>
    </cfRule>
  </conditionalFormatting>
  <conditionalFormatting sqref="A152:C171 M152:O171">
    <cfRule type="expression" dxfId="1483" priority="37">
      <formula>AND($N152 &gt; 0, ISNUMBER($N152))</formula>
    </cfRule>
    <cfRule type="expression" dxfId="1482" priority="38">
      <formula>AND($N152 = 0 * ISNUMBER($N152))</formula>
    </cfRule>
    <cfRule type="expression" dxfId="1481" priority="39">
      <formula>AND($N152 &lt; 0, ISNUMBER($N152))</formula>
    </cfRule>
  </conditionalFormatting>
  <conditionalFormatting sqref="A152:F171">
    <cfRule type="expression" dxfId="1480" priority="46">
      <formula>AND($E152 &gt; 0, ISNUMBER($E152))</formula>
    </cfRule>
    <cfRule type="expression" dxfId="1479" priority="47">
      <formula>AND($E152 = 0 * ISNUMBER($E152))</formula>
    </cfRule>
    <cfRule type="expression" dxfId="1478" priority="48">
      <formula>AND($E152 &lt; 0, ISNUMBER($E152))</formula>
    </cfRule>
  </conditionalFormatting>
  <conditionalFormatting sqref="A152:C171 G152:I171">
    <cfRule type="expression" dxfId="1477" priority="43">
      <formula>AND($H152 &gt; 0, ISNUMBER($H152))</formula>
    </cfRule>
    <cfRule type="expression" dxfId="1476" priority="44">
      <formula>AND($H152 = 0 * ISNUMBER($H152))</formula>
    </cfRule>
    <cfRule type="expression" dxfId="1475" priority="45">
      <formula>AND($H152 &lt; 0, ISNUMBER($H152))</formula>
    </cfRule>
  </conditionalFormatting>
  <conditionalFormatting sqref="A152:C171 J152:L171">
    <cfRule type="expression" dxfId="1474" priority="40">
      <formula>AND($K152 &gt; 0, ISNUMBER($K152))</formula>
    </cfRule>
    <cfRule type="expression" dxfId="1473" priority="41">
      <formula>AND($K152 = 0 * ISNUMBER($K152))</formula>
    </cfRule>
    <cfRule type="expression" dxfId="1472" priority="42">
      <formula>AND($K152 &lt; 0, ISNUMBER($K152))</formula>
    </cfRule>
  </conditionalFormatting>
  <conditionalFormatting sqref="D150:F151 E172:F172">
    <cfRule type="expression" dxfId="1471" priority="34">
      <formula>$E$172 &gt; 0</formula>
    </cfRule>
    <cfRule type="expression" dxfId="1470" priority="35">
      <formula>$E$172 = 0</formula>
    </cfRule>
    <cfRule type="expression" dxfId="1469" priority="36">
      <formula>$E$172 &lt; 0</formula>
    </cfRule>
  </conditionalFormatting>
  <conditionalFormatting sqref="G150:I151 H172:I172">
    <cfRule type="expression" dxfId="1468" priority="31">
      <formula>$H$172 &gt; 0</formula>
    </cfRule>
    <cfRule type="expression" dxfId="1467" priority="32">
      <formula>$H$172 = 0</formula>
    </cfRule>
    <cfRule type="expression" dxfId="1466" priority="33">
      <formula>$H$172 &lt; 0</formula>
    </cfRule>
  </conditionalFormatting>
  <conditionalFormatting sqref="J150:L151 K172:L172">
    <cfRule type="expression" dxfId="1465" priority="28">
      <formula>$K$172 &gt; 0</formula>
    </cfRule>
    <cfRule type="expression" dxfId="1464" priority="29">
      <formula>$K$172 = 0</formula>
    </cfRule>
    <cfRule type="expression" dxfId="1463" priority="30">
      <formula>$K$172 &lt; 0</formula>
    </cfRule>
  </conditionalFormatting>
  <conditionalFormatting sqref="M150:O151 N172:O172">
    <cfRule type="expression" dxfId="1462" priority="25">
      <formula>$N$172 &gt; 0</formula>
    </cfRule>
    <cfRule type="expression" dxfId="1461" priority="26">
      <formula>$N$172 = 0</formula>
    </cfRule>
    <cfRule type="expression" dxfId="1460" priority="27">
      <formula>$N$172 &lt; 0</formula>
    </cfRule>
  </conditionalFormatting>
  <conditionalFormatting sqref="A179:C198 M179:O198">
    <cfRule type="expression" dxfId="1459" priority="13">
      <formula>AND($N179 &gt; 0, ISNUMBER($N179))</formula>
    </cfRule>
    <cfRule type="expression" dxfId="1458" priority="14">
      <formula>AND($N179 = 0 * ISNUMBER($N179))</formula>
    </cfRule>
    <cfRule type="expression" dxfId="1457" priority="15">
      <formula>AND($N179 &lt; 0, ISNUMBER($N179))</formula>
    </cfRule>
  </conditionalFormatting>
  <conditionalFormatting sqref="A179:F198">
    <cfRule type="expression" dxfId="1456" priority="22">
      <formula>AND($E179 &gt; 0, ISNUMBER($E179))</formula>
    </cfRule>
    <cfRule type="expression" dxfId="1455" priority="23">
      <formula>AND($E179 = 0 * ISNUMBER($E179))</formula>
    </cfRule>
    <cfRule type="expression" dxfId="1454" priority="24">
      <formula>AND($E179 &lt; 0, ISNUMBER($E179))</formula>
    </cfRule>
  </conditionalFormatting>
  <conditionalFormatting sqref="A179:C198 G179:I198">
    <cfRule type="expression" dxfId="1453" priority="19">
      <formula>AND($H179 &gt; 0, ISNUMBER($H179))</formula>
    </cfRule>
    <cfRule type="expression" dxfId="1452" priority="20">
      <formula>AND($H179 = 0 * ISNUMBER($H179))</formula>
    </cfRule>
    <cfRule type="expression" dxfId="1451" priority="21">
      <formula>AND($H179 &lt; 0, ISNUMBER($H179))</formula>
    </cfRule>
  </conditionalFormatting>
  <conditionalFormatting sqref="A179:C198 J179:L198">
    <cfRule type="expression" dxfId="1450" priority="16">
      <formula>AND($K179 &gt; 0, ISNUMBER($K179))</formula>
    </cfRule>
    <cfRule type="expression" dxfId="1449" priority="17">
      <formula>AND($K179 = 0 * ISNUMBER($K179))</formula>
    </cfRule>
    <cfRule type="expression" dxfId="1448" priority="18">
      <formula>AND($K179 &lt; 0, ISNUMBER($K179))</formula>
    </cfRule>
  </conditionalFormatting>
  <conditionalFormatting sqref="D177:F178 E199:F199">
    <cfRule type="expression" dxfId="1447" priority="10">
      <formula>$E$199 &gt; 0</formula>
    </cfRule>
    <cfRule type="expression" dxfId="1446" priority="11">
      <formula>$E$199 = 0</formula>
    </cfRule>
    <cfRule type="expression" dxfId="1445" priority="12">
      <formula>$E$199 &lt; 0</formula>
    </cfRule>
  </conditionalFormatting>
  <conditionalFormatting sqref="G177:I178 H199:I199">
    <cfRule type="expression" dxfId="1444" priority="7">
      <formula>$H$199 &gt; 0</formula>
    </cfRule>
    <cfRule type="expression" dxfId="1443" priority="8">
      <formula>$H$199 = 0</formula>
    </cfRule>
    <cfRule type="expression" dxfId="1442" priority="9">
      <formula>$H$199 &lt; 0</formula>
    </cfRule>
  </conditionalFormatting>
  <conditionalFormatting sqref="J177:L178 K199:L199">
    <cfRule type="expression" dxfId="1441" priority="4">
      <formula>$K$199 &gt; 0</formula>
    </cfRule>
    <cfRule type="expression" dxfId="1440" priority="5">
      <formula>$K$199 = 0</formula>
    </cfRule>
    <cfRule type="expression" dxfId="1439" priority="6">
      <formula>$K$199 &lt; 0</formula>
    </cfRule>
  </conditionalFormatting>
  <conditionalFormatting sqref="M177:O178 N199:O199">
    <cfRule type="expression" dxfId="1438" priority="1">
      <formula>$N$199 &gt; 0</formula>
    </cfRule>
    <cfRule type="expression" dxfId="1437" priority="2">
      <formula>$N$199 = 0</formula>
    </cfRule>
    <cfRule type="expression" dxfId="14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4" t="s">
        <v>0</v>
      </c>
      <c r="B1" s="235"/>
      <c r="C1" s="235"/>
      <c r="D1" s="235"/>
      <c r="E1" s="235"/>
      <c r="F1" s="236"/>
      <c r="G1" s="265">
        <v>44353</v>
      </c>
      <c r="H1" s="266"/>
      <c r="I1" s="267"/>
      <c r="J1" s="234" t="s">
        <v>1</v>
      </c>
      <c r="K1" s="235"/>
      <c r="L1" s="235"/>
      <c r="M1" s="235"/>
      <c r="N1" s="235"/>
      <c r="O1" s="236"/>
      <c r="Q1" s="234" t="s">
        <v>2</v>
      </c>
      <c r="R1" s="236"/>
    </row>
    <row r="2" spans="1:19" ht="17.25" customHeight="1">
      <c r="A2" s="117" t="s">
        <v>3</v>
      </c>
      <c r="B2" s="268" t="s">
        <v>8</v>
      </c>
      <c r="C2" s="269"/>
      <c r="D2" s="269"/>
      <c r="E2" s="269"/>
      <c r="F2" s="270"/>
      <c r="G2" s="262" t="s">
        <v>46</v>
      </c>
      <c r="H2" s="263"/>
      <c r="I2" s="264"/>
      <c r="J2" s="1" t="s">
        <v>3</v>
      </c>
      <c r="K2" s="268" t="s">
        <v>350</v>
      </c>
      <c r="L2" s="269"/>
      <c r="M2" s="269"/>
      <c r="N2" s="269"/>
      <c r="O2" s="270"/>
      <c r="Q2" s="2" t="s">
        <v>6</v>
      </c>
      <c r="R2" s="3">
        <v>0.375</v>
      </c>
    </row>
    <row r="3" spans="1:19" ht="17.25" customHeight="1" thickBot="1">
      <c r="A3" s="118" t="s">
        <v>7</v>
      </c>
      <c r="B3" s="259" t="s">
        <v>358</v>
      </c>
      <c r="C3" s="260"/>
      <c r="D3" s="260"/>
      <c r="E3" s="260"/>
      <c r="F3" s="261"/>
      <c r="G3" s="25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56"/>
      <c r="I3" s="257"/>
      <c r="J3" s="4" t="s">
        <v>7</v>
      </c>
      <c r="K3" s="259" t="s">
        <v>351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9" t="s">
        <v>16</v>
      </c>
      <c r="C4" s="260"/>
      <c r="D4" s="260"/>
      <c r="E4" s="260"/>
      <c r="F4" s="261"/>
      <c r="G4" s="262" t="s">
        <v>44</v>
      </c>
      <c r="H4" s="263"/>
      <c r="I4" s="264"/>
      <c r="J4" s="4" t="s">
        <v>11</v>
      </c>
      <c r="K4" s="259" t="s">
        <v>352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9" t="s">
        <v>349</v>
      </c>
      <c r="C5" s="260"/>
      <c r="D5" s="260"/>
      <c r="E5" s="260"/>
      <c r="F5" s="261"/>
      <c r="G5" s="25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56"/>
      <c r="I5" s="257"/>
      <c r="J5" s="4" t="s">
        <v>15</v>
      </c>
      <c r="K5" s="259" t="s">
        <v>353</v>
      </c>
      <c r="L5" s="260"/>
      <c r="M5" s="260"/>
      <c r="N5" s="260"/>
      <c r="O5" s="261"/>
    </row>
    <row r="6" spans="1:19">
      <c r="A6" s="118" t="s">
        <v>18</v>
      </c>
      <c r="B6" s="259"/>
      <c r="C6" s="260"/>
      <c r="D6" s="260"/>
      <c r="E6" s="260"/>
      <c r="F6" s="261"/>
      <c r="G6" s="262" t="s">
        <v>45</v>
      </c>
      <c r="H6" s="263"/>
      <c r="I6" s="264"/>
      <c r="J6" s="4" t="s">
        <v>18</v>
      </c>
      <c r="K6" s="259" t="s">
        <v>354</v>
      </c>
      <c r="L6" s="260"/>
      <c r="M6" s="260"/>
      <c r="N6" s="260"/>
      <c r="O6" s="261"/>
    </row>
    <row r="7" spans="1:19" ht="17.25" thickBot="1">
      <c r="A7" s="118" t="s">
        <v>21</v>
      </c>
      <c r="B7" s="259"/>
      <c r="C7" s="260"/>
      <c r="D7" s="260"/>
      <c r="E7" s="260"/>
      <c r="F7" s="261"/>
      <c r="G7" s="25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56"/>
      <c r="I7" s="257"/>
      <c r="J7" s="4" t="s">
        <v>21</v>
      </c>
      <c r="K7" s="259" t="s">
        <v>355</v>
      </c>
      <c r="L7" s="260"/>
      <c r="M7" s="260"/>
      <c r="N7" s="260"/>
      <c r="O7" s="261"/>
    </row>
    <row r="8" spans="1:19" ht="17.25" thickBot="1">
      <c r="A8" s="118" t="s">
        <v>24</v>
      </c>
      <c r="B8" s="259"/>
      <c r="C8" s="260"/>
      <c r="D8" s="260"/>
      <c r="E8" s="260"/>
      <c r="F8" s="261"/>
      <c r="G8" s="262" t="s">
        <v>285</v>
      </c>
      <c r="H8" s="263"/>
      <c r="I8" s="264"/>
      <c r="J8" s="4" t="s">
        <v>24</v>
      </c>
      <c r="K8" s="259"/>
      <c r="L8" s="260"/>
      <c r="M8" s="260"/>
      <c r="N8" s="260"/>
      <c r="O8" s="261"/>
      <c r="Q8" s="234" t="s">
        <v>27</v>
      </c>
      <c r="R8" s="236"/>
    </row>
    <row r="9" spans="1:19" ht="17.25" thickBot="1">
      <c r="A9" s="118" t="s">
        <v>28</v>
      </c>
      <c r="B9" s="259"/>
      <c r="C9" s="260"/>
      <c r="D9" s="260"/>
      <c r="E9" s="260"/>
      <c r="F9" s="261"/>
      <c r="G9" s="25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56"/>
      <c r="I9" s="257"/>
      <c r="J9" s="4" t="s">
        <v>28</v>
      </c>
      <c r="K9" s="259"/>
      <c r="L9" s="260"/>
      <c r="M9" s="260"/>
      <c r="N9" s="260"/>
      <c r="O9" s="261"/>
      <c r="Q9" s="2" t="s">
        <v>29</v>
      </c>
      <c r="R9" s="6">
        <v>10</v>
      </c>
    </row>
    <row r="10" spans="1:19">
      <c r="A10" s="118" t="s">
        <v>30</v>
      </c>
      <c r="B10" s="259"/>
      <c r="C10" s="260"/>
      <c r="D10" s="260"/>
      <c r="E10" s="260"/>
      <c r="F10" s="261"/>
      <c r="G10" s="262" t="s">
        <v>47</v>
      </c>
      <c r="H10" s="263"/>
      <c r="I10" s="264"/>
      <c r="J10" s="4" t="s">
        <v>30</v>
      </c>
      <c r="K10" s="259" t="s">
        <v>356</v>
      </c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119" t="s">
        <v>32</v>
      </c>
      <c r="B11" s="252" t="s">
        <v>357</v>
      </c>
      <c r="C11" s="253"/>
      <c r="D11" s="253"/>
      <c r="E11" s="253"/>
      <c r="F11" s="254"/>
      <c r="G11" s="25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56"/>
      <c r="I11" s="257"/>
      <c r="J11" s="7" t="s">
        <v>32</v>
      </c>
      <c r="K11" s="252" t="s">
        <v>348</v>
      </c>
      <c r="L11" s="253"/>
      <c r="M11" s="253"/>
      <c r="N11" s="253"/>
      <c r="O11" s="254"/>
      <c r="Q11" s="65" t="s">
        <v>33</v>
      </c>
      <c r="R11" s="8">
        <v>1000</v>
      </c>
    </row>
    <row r="12" spans="1:19" ht="17.25" thickBot="1"/>
    <row r="13" spans="1:19" ht="17.25" customHeight="1" thickBot="1">
      <c r="A13" s="234" t="s">
        <v>34</v>
      </c>
      <c r="B13" s="235"/>
      <c r="C13" s="235"/>
      <c r="D13" s="235"/>
      <c r="E13" s="235"/>
      <c r="F13" s="235"/>
      <c r="G13" s="235"/>
      <c r="H13" s="235"/>
      <c r="I13" s="235"/>
      <c r="J13" s="235"/>
      <c r="K13" s="235"/>
      <c r="L13" s="235"/>
      <c r="M13" s="235"/>
      <c r="N13" s="235"/>
      <c r="O13" s="236"/>
      <c r="Q13" s="233"/>
      <c r="R13" s="233"/>
      <c r="S13" s="233"/>
    </row>
    <row r="14" spans="1:19" ht="17.25" customHeight="1" thickBot="1">
      <c r="A14" s="180" t="s">
        <v>35</v>
      </c>
      <c r="B14" s="234" t="s">
        <v>36</v>
      </c>
      <c r="C14" s="236"/>
      <c r="D14" s="234" t="s">
        <v>37</v>
      </c>
      <c r="E14" s="235"/>
      <c r="F14" s="236"/>
      <c r="G14" s="237">
        <f>_xlfn.IFNA(VLOOKUP(B14, 현재가테이블!$B$2:$D$200, 2, FALSE), "-")</f>
        <v>41418000</v>
      </c>
      <c r="H14" s="238"/>
      <c r="I14" s="239"/>
      <c r="J14" s="234" t="s">
        <v>38</v>
      </c>
      <c r="K14" s="235"/>
      <c r="L14" s="236"/>
      <c r="M14" s="240">
        <f>_xlfn.IFNA(VLOOKUP(B14, 현재가테이블!$B$2:$D$200, 3, FALSE), "-")</f>
        <v>-5.2176301000000001E-2</v>
      </c>
      <c r="N14" s="241"/>
      <c r="O14" s="242"/>
      <c r="Q14" s="233"/>
      <c r="R14" s="233"/>
      <c r="S14" s="233"/>
    </row>
    <row r="15" spans="1:19" ht="17.25" customHeight="1" thickBot="1">
      <c r="A15" s="271" t="s">
        <v>39</v>
      </c>
      <c r="B15" s="272" t="str">
        <f>TEXT($G$1, "[$-ko-KR]yyyy-mm-dd(ddd) ") &amp; "오전 00:00"</f>
        <v>2021-06-06(일) 오전 00:00</v>
      </c>
      <c r="C15" s="273"/>
      <c r="D15" s="247" t="str">
        <f>TEXT($G$1, "[$-ko-KR]yyyy-mm-dd(ddd) ") &amp; "오후 14:00"</f>
        <v>2021-06-06(일) 오후 14:00</v>
      </c>
      <c r="E15" s="248"/>
      <c r="F15" s="249"/>
      <c r="G15" s="247" t="str">
        <f>TEXT($G$1, "[$-ko-KR]yyyy-mm-dd(ddd) ") &amp; "오후 19:00"</f>
        <v>2021-06-06(일) 오후 19:00</v>
      </c>
      <c r="H15" s="248"/>
      <c r="I15" s="249"/>
      <c r="J15" s="247" t="str">
        <f>TEXT($G$1, "[$-ko-KR]yyyy-mm-dd(ddd) ") &amp; "오후 21:00"</f>
        <v>2021-06-06(일) 오후 21:00</v>
      </c>
      <c r="K15" s="248"/>
      <c r="L15" s="249"/>
      <c r="M15" s="247" t="str">
        <f>TEXT($G$1+1, "[$-ko-KR]yyyy-mm-dd(ddd) ") &amp; "오전 00:00"</f>
        <v>2021-06-07(월) 오전 00:00</v>
      </c>
      <c r="N15" s="248"/>
      <c r="O15" s="249"/>
      <c r="Q15" s="233"/>
      <c r="R15" s="233"/>
      <c r="S15" s="233"/>
    </row>
    <row r="16" spans="1:19" ht="17.25" customHeight="1" thickBot="1">
      <c r="A16" s="27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33"/>
      <c r="R17" s="233"/>
      <c r="S17" s="23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33"/>
      <c r="R18" s="233"/>
      <c r="S18" s="233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23"/>
      <c r="R19" s="223"/>
      <c r="S19" s="223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23"/>
      <c r="R20" s="223"/>
      <c r="S20" s="223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23"/>
      <c r="R21" s="223"/>
      <c r="S21" s="223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3"/>
      <c r="R22" s="223"/>
      <c r="S22" s="22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3"/>
      <c r="R23" s="223"/>
      <c r="S23" s="22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3"/>
      <c r="R24" s="223"/>
      <c r="S24" s="22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3"/>
      <c r="R29" s="223"/>
      <c r="S29" s="22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3"/>
      <c r="R30" s="233"/>
      <c r="S30" s="23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3"/>
      <c r="R31" s="233"/>
      <c r="S31" s="23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3"/>
      <c r="R32" s="223"/>
      <c r="S32" s="22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2"/>
      <c r="R35" s="213"/>
      <c r="S35" s="2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5"/>
      <c r="R36" s="216"/>
      <c r="S36" s="217"/>
    </row>
    <row r="37" spans="1:19" ht="17.25" customHeight="1" thickBot="1">
      <c r="A37" s="132" t="s">
        <v>42</v>
      </c>
      <c r="B37" s="276">
        <v>100000</v>
      </c>
      <c r="C37" s="277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218"/>
      <c r="R37" s="219"/>
      <c r="S37" s="220"/>
    </row>
    <row r="38" spans="1:19" ht="17.25" customHeight="1"/>
    <row r="39" spans="1:19" ht="17.25" customHeight="1" thickBot="1"/>
    <row r="40" spans="1:19" ht="17.25" customHeight="1" thickBot="1">
      <c r="A40" s="234" t="s">
        <v>44</v>
      </c>
      <c r="B40" s="235"/>
      <c r="C40" s="235"/>
      <c r="D40" s="235"/>
      <c r="E40" s="235"/>
      <c r="F40" s="235"/>
      <c r="G40" s="235"/>
      <c r="H40" s="235"/>
      <c r="I40" s="235"/>
      <c r="J40" s="235"/>
      <c r="K40" s="235"/>
      <c r="L40" s="235"/>
      <c r="M40" s="235"/>
      <c r="N40" s="235"/>
      <c r="O40" s="236"/>
      <c r="Q40" s="233"/>
      <c r="R40" s="233"/>
      <c r="S40" s="233"/>
    </row>
    <row r="41" spans="1:19" ht="17.25" customHeight="1" thickBot="1">
      <c r="A41" s="180" t="s">
        <v>297</v>
      </c>
      <c r="B41" s="234" t="s">
        <v>49</v>
      </c>
      <c r="C41" s="236"/>
      <c r="D41" s="234" t="s">
        <v>58</v>
      </c>
      <c r="E41" s="235"/>
      <c r="F41" s="236"/>
      <c r="G41" s="237">
        <f>_xlfn.IFNA(VLOOKUP(B41, 현재가테이블!$B$2:$D$200, 2, FALSE), "-")</f>
        <v>41418000</v>
      </c>
      <c r="H41" s="238"/>
      <c r="I41" s="239"/>
      <c r="J41" s="234" t="s">
        <v>59</v>
      </c>
      <c r="K41" s="235"/>
      <c r="L41" s="236"/>
      <c r="M41" s="240">
        <f>_xlfn.IFNA(VLOOKUP(B41, 현재가테이블!$B$2:$D$200, 3, FALSE), "-")</f>
        <v>-5.2176301000000001E-2</v>
      </c>
      <c r="N41" s="241"/>
      <c r="O41" s="242"/>
      <c r="Q41" s="233"/>
      <c r="R41" s="233"/>
      <c r="S41" s="233"/>
    </row>
    <row r="42" spans="1:19" ht="17.25" customHeight="1" thickBot="1">
      <c r="A42" s="278" t="s">
        <v>55</v>
      </c>
      <c r="B42" s="274" t="str">
        <f>TEXT($G$1, "[$-ko-KR]yyyy-mm-dd(ddd) ") &amp; "오전 00:00"</f>
        <v>2021-06-06(일) 오전 00:00</v>
      </c>
      <c r="C42" s="275"/>
      <c r="D42" s="247" t="str">
        <f>TEXT($G$1, "[$-ko-KR]yyyy-mm-dd(ddd) ") &amp; "오후 14:00"</f>
        <v>2021-06-06(일) 오후 14:00</v>
      </c>
      <c r="E42" s="248"/>
      <c r="F42" s="249"/>
      <c r="G42" s="247" t="str">
        <f>TEXT($G$1, "[$-ko-KR]yyyy-mm-dd(ddd) ") &amp; "오후 19:00"</f>
        <v>2021-06-06(일) 오후 19:00</v>
      </c>
      <c r="H42" s="248"/>
      <c r="I42" s="249"/>
      <c r="J42" s="247" t="str">
        <f>TEXT($G$1, "[$-ko-KR]yyyy-mm-dd(ddd) ") &amp; "오후 21:00"</f>
        <v>2021-06-06(일) 오후 21:00</v>
      </c>
      <c r="K42" s="248"/>
      <c r="L42" s="249"/>
      <c r="M42" s="247" t="str">
        <f>TEXT($G$1+1, "[$-ko-KR]yyyy-mm-dd(ddd) ") &amp; "오전 00:00"</f>
        <v>2021-06-07(월) 오전 00:00</v>
      </c>
      <c r="N42" s="248"/>
      <c r="O42" s="249"/>
      <c r="Q42" s="233"/>
      <c r="R42" s="233"/>
      <c r="S42" s="233"/>
    </row>
    <row r="43" spans="1:19" ht="17.25" customHeight="1" thickBot="1">
      <c r="A43" s="279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1" t="s">
        <v>58</v>
      </c>
      <c r="H43" s="182" t="s">
        <v>298</v>
      </c>
      <c r="I43" s="18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3"/>
      <c r="R43" s="223"/>
      <c r="S43" s="223"/>
    </row>
    <row r="44" spans="1:19" ht="17.25" customHeight="1" thickBot="1">
      <c r="A44" s="161" t="s">
        <v>186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33"/>
      <c r="R44" s="233"/>
      <c r="S44" s="233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33"/>
      <c r="R45" s="233"/>
      <c r="S45" s="233"/>
    </row>
    <row r="46" spans="1:19" ht="17.25" customHeight="1" thickBot="1">
      <c r="A46" s="162" t="s">
        <v>172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23"/>
      <c r="R46" s="223"/>
      <c r="S46" s="223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23"/>
      <c r="R47" s="223"/>
      <c r="S47" s="223"/>
    </row>
    <row r="48" spans="1:19" ht="17.25" customHeight="1" thickBot="1">
      <c r="A48" s="163" t="s">
        <v>196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23"/>
      <c r="R48" s="223"/>
      <c r="S48" s="223"/>
    </row>
    <row r="49" spans="1:19" ht="17.25" customHeight="1" thickBot="1">
      <c r="A49" s="162" t="s">
        <v>222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23"/>
      <c r="R49" s="223"/>
      <c r="S49" s="223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23"/>
      <c r="R50" s="223"/>
      <c r="S50" s="223"/>
    </row>
    <row r="51" spans="1:19" ht="17.25" customHeight="1" thickBot="1">
      <c r="A51" s="162" t="s">
        <v>220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23"/>
      <c r="R51" s="223"/>
      <c r="S51" s="223"/>
    </row>
    <row r="52" spans="1:19" ht="17.25" customHeight="1" thickBot="1">
      <c r="A52" s="162" t="s">
        <v>228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236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24"/>
      <c r="R53" s="225"/>
      <c r="S53" s="226"/>
    </row>
    <row r="54" spans="1:19" ht="17.25" customHeight="1">
      <c r="A54" s="161" t="s">
        <v>266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27"/>
      <c r="R54" s="228"/>
      <c r="S54" s="229"/>
    </row>
    <row r="55" spans="1:19" ht="17.25" customHeight="1" thickBot="1">
      <c r="A55" s="162" t="s">
        <v>254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30"/>
      <c r="R55" s="231"/>
      <c r="S55" s="232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23"/>
      <c r="R56" s="223"/>
      <c r="S56" s="223"/>
    </row>
    <row r="57" spans="1:19" ht="17.25" customHeight="1" thickBot="1">
      <c r="A57" s="162" t="s">
        <v>268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33"/>
      <c r="R57" s="233"/>
      <c r="S57" s="233"/>
    </row>
    <row r="58" spans="1:19" ht="17.25" customHeight="1" thickBot="1">
      <c r="A58" s="163" t="s">
        <v>214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33"/>
      <c r="R58" s="233"/>
      <c r="S58" s="233"/>
    </row>
    <row r="59" spans="1:19" ht="17.25" customHeight="1" thickBot="1">
      <c r="A59" s="162" t="s">
        <v>218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23"/>
      <c r="R59" s="223"/>
      <c r="S59" s="223"/>
    </row>
    <row r="60" spans="1:19" ht="17.25" customHeight="1" thickBot="1">
      <c r="A60" s="162" t="s">
        <v>198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23"/>
      <c r="R60" s="223"/>
      <c r="S60" s="223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23"/>
      <c r="R61" s="223"/>
      <c r="S61" s="223"/>
    </row>
    <row r="62" spans="1:19" ht="17.25" customHeight="1">
      <c r="A62" s="162" t="s">
        <v>260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212"/>
      <c r="R62" s="213"/>
      <c r="S62" s="214"/>
    </row>
    <row r="63" spans="1:19" ht="17.25" customHeight="1" thickBot="1">
      <c r="A63" s="130" t="s">
        <v>278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215"/>
      <c r="R63" s="216"/>
      <c r="S63" s="217"/>
    </row>
    <row r="64" spans="1:19" ht="17.25" customHeight="1" thickBot="1">
      <c r="A64" s="132" t="s">
        <v>300</v>
      </c>
      <c r="B64" s="276">
        <f>$B$37</f>
        <v>100000</v>
      </c>
      <c r="C64" s="277"/>
      <c r="D64" s="26" t="s">
        <v>301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301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301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301</v>
      </c>
      <c r="N64" s="27">
        <f>IF(COUNT(N44:N63), SUM(N44:N63) / COUNT(N44:N63), 0)</f>
        <v>3.166749302247894E-2</v>
      </c>
      <c r="O64" s="28">
        <f>SUM(O44:O63)</f>
        <v>63334.98604495787</v>
      </c>
      <c r="Q64" s="218"/>
      <c r="R64" s="219"/>
      <c r="S64" s="220"/>
    </row>
    <row r="65" spans="1:19" ht="17.25" customHeight="1"/>
    <row r="66" spans="1:19" ht="17.25" customHeight="1" thickBot="1"/>
    <row r="67" spans="1:19" ht="17.25" thickBot="1">
      <c r="A67" s="234" t="s">
        <v>45</v>
      </c>
      <c r="B67" s="235"/>
      <c r="C67" s="235"/>
      <c r="D67" s="235"/>
      <c r="E67" s="235"/>
      <c r="F67" s="235"/>
      <c r="G67" s="235"/>
      <c r="H67" s="235"/>
      <c r="I67" s="235"/>
      <c r="J67" s="235"/>
      <c r="K67" s="235"/>
      <c r="L67" s="235"/>
      <c r="M67" s="235"/>
      <c r="N67" s="235"/>
      <c r="O67" s="236"/>
      <c r="Q67" s="233"/>
      <c r="R67" s="233"/>
      <c r="S67" s="233"/>
    </row>
    <row r="68" spans="1:19" ht="17.25" thickBot="1">
      <c r="A68" s="180" t="s">
        <v>297</v>
      </c>
      <c r="B68" s="234" t="s">
        <v>49</v>
      </c>
      <c r="C68" s="236"/>
      <c r="D68" s="234" t="s">
        <v>58</v>
      </c>
      <c r="E68" s="235"/>
      <c r="F68" s="236"/>
      <c r="G68" s="237">
        <f>_xlfn.IFNA(VLOOKUP(B68, 현재가테이블!$B$2:$D$200, 2, FALSE), "-")</f>
        <v>41418000</v>
      </c>
      <c r="H68" s="238"/>
      <c r="I68" s="239"/>
      <c r="J68" s="234" t="s">
        <v>59</v>
      </c>
      <c r="K68" s="235"/>
      <c r="L68" s="236"/>
      <c r="M68" s="240">
        <f>_xlfn.IFNA(VLOOKUP(B68, 현재가테이블!$B$2:$D$200, 3, FALSE), "-")</f>
        <v>-5.2176301000000001E-2</v>
      </c>
      <c r="N68" s="241"/>
      <c r="O68" s="242"/>
      <c r="Q68" s="233"/>
      <c r="R68" s="233"/>
      <c r="S68" s="233"/>
    </row>
    <row r="69" spans="1:19" ht="17.25" thickBot="1">
      <c r="A69" s="278" t="s">
        <v>55</v>
      </c>
      <c r="B69" s="274" t="str">
        <f>TEXT($G$1, "[$-ko-KR]yyyy-mm-dd(ddd) ") &amp; "오전 00:00"</f>
        <v>2021-06-06(일) 오전 00:00</v>
      </c>
      <c r="C69" s="275"/>
      <c r="D69" s="247" t="str">
        <f>TEXT($G$1, "[$-ko-KR]yyyy-mm-dd(ddd) ") &amp; "오후 14:00"</f>
        <v>2021-06-06(일) 오후 14:00</v>
      </c>
      <c r="E69" s="248"/>
      <c r="F69" s="249"/>
      <c r="G69" s="247" t="str">
        <f>TEXT($G$1, "[$-ko-KR]yyyy-mm-dd(ddd) ") &amp; "오후 19:00"</f>
        <v>2021-06-06(일) 오후 19:00</v>
      </c>
      <c r="H69" s="248"/>
      <c r="I69" s="249"/>
      <c r="J69" s="247" t="str">
        <f>TEXT($G$1, "[$-ko-KR]yyyy-mm-dd(ddd) ") &amp; "오후 21:00"</f>
        <v>2021-06-06(일) 오후 21:00</v>
      </c>
      <c r="K69" s="248"/>
      <c r="L69" s="249"/>
      <c r="M69" s="247" t="str">
        <f>TEXT($G$1+1, "[$-ko-KR]yyyy-mm-dd(ddd) ") &amp; "오전 00:00"</f>
        <v>2021-06-07(월) 오전 00:00</v>
      </c>
      <c r="N69" s="248"/>
      <c r="O69" s="249"/>
      <c r="Q69" s="233"/>
      <c r="R69" s="233"/>
      <c r="S69" s="233"/>
    </row>
    <row r="70" spans="1:19" ht="17.25" thickBot="1">
      <c r="A70" s="279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1" t="s">
        <v>58</v>
      </c>
      <c r="H70" s="182" t="s">
        <v>298</v>
      </c>
      <c r="I70" s="18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3"/>
      <c r="R70" s="223"/>
      <c r="S70" s="223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33"/>
      <c r="R71" s="233"/>
      <c r="S71" s="233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33"/>
      <c r="R72" s="233"/>
      <c r="S72" s="233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23"/>
      <c r="R73" s="223"/>
      <c r="S73" s="223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23"/>
      <c r="R74" s="223"/>
      <c r="S74" s="223"/>
    </row>
    <row r="75" spans="1:19" ht="17.25" thickBot="1">
      <c r="A75" s="163" t="s">
        <v>296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23"/>
      <c r="R75" s="223"/>
      <c r="S75" s="223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23"/>
      <c r="R76" s="223"/>
      <c r="S76" s="223"/>
    </row>
    <row r="77" spans="1:19" ht="17.25" thickBot="1">
      <c r="A77" s="162" t="s">
        <v>232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23"/>
      <c r="R77" s="223"/>
      <c r="S77" s="223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23"/>
      <c r="R78" s="223"/>
      <c r="S78" s="223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24"/>
      <c r="R80" s="225"/>
      <c r="S80" s="226"/>
    </row>
    <row r="81" spans="1:19">
      <c r="A81" s="161" t="s">
        <v>262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27"/>
      <c r="R81" s="228"/>
      <c r="S81" s="229"/>
    </row>
    <row r="82" spans="1:19" ht="17.25" thickBot="1">
      <c r="A82" s="162" t="s">
        <v>246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30"/>
      <c r="R82" s="231"/>
      <c r="S82" s="232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23"/>
      <c r="R83" s="223"/>
      <c r="S83" s="223"/>
    </row>
    <row r="84" spans="1:19" ht="17.25" thickBot="1">
      <c r="A84" s="162" t="s">
        <v>282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33"/>
      <c r="R84" s="233"/>
      <c r="S84" s="233"/>
    </row>
    <row r="85" spans="1:19" ht="17.25" thickBot="1">
      <c r="A85" s="163" t="s">
        <v>202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33"/>
      <c r="R85" s="233"/>
      <c r="S85" s="233"/>
    </row>
    <row r="86" spans="1:19" ht="17.25" thickBot="1">
      <c r="A86" s="162" t="s">
        <v>216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23"/>
      <c r="R86" s="223"/>
      <c r="S86" s="223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23"/>
      <c r="R87" s="223"/>
      <c r="S87" s="223"/>
    </row>
    <row r="88" spans="1:19" ht="17.25" thickBot="1">
      <c r="A88" s="162" t="s">
        <v>230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23"/>
      <c r="R88" s="223"/>
      <c r="S88" s="223"/>
    </row>
    <row r="89" spans="1:19">
      <c r="A89" s="162" t="s">
        <v>174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212"/>
      <c r="R89" s="213"/>
      <c r="S89" s="214"/>
    </row>
    <row r="90" spans="1:19" ht="17.25" thickBot="1">
      <c r="A90" s="130" t="s">
        <v>238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215"/>
      <c r="R90" s="216"/>
      <c r="S90" s="217"/>
    </row>
    <row r="91" spans="1:19" ht="17.25" thickBot="1">
      <c r="A91" s="132" t="s">
        <v>300</v>
      </c>
      <c r="B91" s="276">
        <f>$B$37</f>
        <v>100000</v>
      </c>
      <c r="C91" s="277"/>
      <c r="D91" s="26" t="s">
        <v>301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301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301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301</v>
      </c>
      <c r="N91" s="27">
        <f>IF(COUNT(N71:N90), SUM(N71:N90) / COUNT(N71:N90), 0)</f>
        <v>6.4065985974526797E-3</v>
      </c>
      <c r="O91" s="28">
        <f>SUM(O71:O90)</f>
        <v>12813.197194905359</v>
      </c>
      <c r="Q91" s="218"/>
      <c r="R91" s="219"/>
      <c r="S91" s="220"/>
    </row>
    <row r="93" spans="1:19" ht="17.25" thickBot="1"/>
    <row r="94" spans="1:19" ht="17.25" thickBot="1">
      <c r="A94" s="234" t="s">
        <v>46</v>
      </c>
      <c r="B94" s="235"/>
      <c r="C94" s="235"/>
      <c r="D94" s="235"/>
      <c r="E94" s="235"/>
      <c r="F94" s="235"/>
      <c r="G94" s="235"/>
      <c r="H94" s="235"/>
      <c r="I94" s="235"/>
      <c r="J94" s="235"/>
      <c r="K94" s="235"/>
      <c r="L94" s="235"/>
      <c r="M94" s="235"/>
      <c r="N94" s="235"/>
      <c r="O94" s="236"/>
      <c r="Q94" s="233"/>
      <c r="R94" s="233"/>
      <c r="S94" s="233"/>
    </row>
    <row r="95" spans="1:19" ht="17.25" thickBot="1">
      <c r="A95" s="180" t="s">
        <v>297</v>
      </c>
      <c r="B95" s="234" t="s">
        <v>49</v>
      </c>
      <c r="C95" s="236"/>
      <c r="D95" s="234" t="s">
        <v>58</v>
      </c>
      <c r="E95" s="235"/>
      <c r="F95" s="236"/>
      <c r="G95" s="237">
        <f>_xlfn.IFNA(VLOOKUP(B95, 현재가테이블!$B$2:$D$200, 2, FALSE), "-")</f>
        <v>41418000</v>
      </c>
      <c r="H95" s="238"/>
      <c r="I95" s="239"/>
      <c r="J95" s="234" t="s">
        <v>59</v>
      </c>
      <c r="K95" s="235"/>
      <c r="L95" s="236"/>
      <c r="M95" s="240">
        <f>_xlfn.IFNA(VLOOKUP(B95, 현재가테이블!$B$2:$D$200, 3, FALSE), "-")</f>
        <v>-5.2176301000000001E-2</v>
      </c>
      <c r="N95" s="241"/>
      <c r="O95" s="242"/>
      <c r="Q95" s="233"/>
      <c r="R95" s="233"/>
      <c r="S95" s="233"/>
    </row>
    <row r="96" spans="1:19" ht="17.25" thickBot="1">
      <c r="A96" s="278" t="s">
        <v>55</v>
      </c>
      <c r="B96" s="274" t="str">
        <f>TEXT($G$1, "[$-ko-KR]yyyy-mm-dd(ddd) ") &amp; "오전 00:00"</f>
        <v>2021-06-06(일) 오전 00:00</v>
      </c>
      <c r="C96" s="275"/>
      <c r="D96" s="247" t="str">
        <f>TEXT($G$1, "[$-ko-KR]yyyy-mm-dd(ddd) ") &amp; "오후 14:00"</f>
        <v>2021-06-06(일) 오후 14:00</v>
      </c>
      <c r="E96" s="248"/>
      <c r="F96" s="249"/>
      <c r="G96" s="247" t="str">
        <f>TEXT($G$1, "[$-ko-KR]yyyy-mm-dd(ddd) ") &amp; "오후 19:00"</f>
        <v>2021-06-06(일) 오후 19:00</v>
      </c>
      <c r="H96" s="248"/>
      <c r="I96" s="249"/>
      <c r="J96" s="247" t="str">
        <f>TEXT($G$1, "[$-ko-KR]yyyy-mm-dd(ddd) ") &amp; "오후 21:00"</f>
        <v>2021-06-06(일) 오후 21:00</v>
      </c>
      <c r="K96" s="248"/>
      <c r="L96" s="249"/>
      <c r="M96" s="247" t="str">
        <f>TEXT($G$1+1, "[$-ko-KR]yyyy-mm-dd(ddd) ") &amp; "오전 00:00"</f>
        <v>2021-06-07(월) 오전 00:00</v>
      </c>
      <c r="N96" s="248"/>
      <c r="O96" s="249"/>
      <c r="Q96" s="233"/>
      <c r="R96" s="233"/>
      <c r="S96" s="233"/>
    </row>
    <row r="97" spans="1:19" ht="17.25" thickBot="1">
      <c r="A97" s="279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1" t="s">
        <v>58</v>
      </c>
      <c r="H97" s="182" t="s">
        <v>298</v>
      </c>
      <c r="I97" s="18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3"/>
      <c r="R97" s="223"/>
      <c r="S97" s="223"/>
    </row>
    <row r="98" spans="1:19" ht="17.25" thickBot="1">
      <c r="A98" s="161" t="s">
        <v>186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33"/>
      <c r="R98" s="233"/>
      <c r="S98" s="233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33"/>
      <c r="R99" s="233"/>
      <c r="S99" s="233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23"/>
      <c r="R100" s="223"/>
      <c r="S100" s="223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23"/>
      <c r="R101" s="223"/>
      <c r="S101" s="223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23"/>
      <c r="R102" s="223"/>
      <c r="S102" s="223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23"/>
      <c r="R103" s="223"/>
      <c r="S103" s="223"/>
    </row>
    <row r="104" spans="1:19" ht="17.25" thickBot="1">
      <c r="A104" s="162" t="s">
        <v>164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23"/>
      <c r="R104" s="223"/>
      <c r="S104" s="223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23"/>
      <c r="R105" s="223"/>
      <c r="S105" s="223"/>
    </row>
    <row r="106" spans="1:19" ht="17.25" thickBot="1">
      <c r="A106" s="162" t="s">
        <v>172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24"/>
      <c r="R107" s="225"/>
      <c r="S107" s="226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27"/>
      <c r="R108" s="228"/>
      <c r="S108" s="229"/>
    </row>
    <row r="109" spans="1:19" ht="17.25" thickBot="1">
      <c r="A109" s="162" t="s">
        <v>296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30"/>
      <c r="R109" s="231"/>
      <c r="S109" s="232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23"/>
      <c r="R110" s="223"/>
      <c r="S110" s="223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33"/>
      <c r="R111" s="233"/>
      <c r="S111" s="233"/>
    </row>
    <row r="112" spans="1:19" ht="17.25" thickBot="1">
      <c r="A112" s="163" t="s">
        <v>274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33"/>
      <c r="R112" s="233"/>
      <c r="S112" s="233"/>
    </row>
    <row r="113" spans="1:19" ht="17.25" thickBot="1">
      <c r="A113" s="162" t="s">
        <v>178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23"/>
      <c r="R113" s="223"/>
      <c r="S113" s="223"/>
    </row>
    <row r="114" spans="1:19" ht="17.25" thickBot="1">
      <c r="A114" s="162" t="s">
        <v>232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23"/>
      <c r="R114" s="223"/>
      <c r="S114" s="223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23"/>
      <c r="R115" s="223"/>
      <c r="S115" s="223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212"/>
      <c r="R116" s="213"/>
      <c r="S116" s="214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215"/>
      <c r="R117" s="216"/>
      <c r="S117" s="217"/>
    </row>
    <row r="118" spans="1:19" ht="17.25" thickBot="1">
      <c r="A118" s="132" t="s">
        <v>300</v>
      </c>
      <c r="B118" s="276">
        <f>$B$37</f>
        <v>100000</v>
      </c>
      <c r="C118" s="277"/>
      <c r="D118" s="26" t="s">
        <v>301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301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301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301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218"/>
      <c r="R118" s="219"/>
      <c r="S118" s="220"/>
    </row>
    <row r="120" spans="1:19" ht="17.25" thickBot="1"/>
    <row r="121" spans="1:19" ht="17.25" thickBot="1">
      <c r="A121" s="234" t="s">
        <v>288</v>
      </c>
      <c r="B121" s="235"/>
      <c r="C121" s="235"/>
      <c r="D121" s="235"/>
      <c r="E121" s="235"/>
      <c r="F121" s="235"/>
      <c r="G121" s="235"/>
      <c r="H121" s="235"/>
      <c r="I121" s="235"/>
      <c r="J121" s="235"/>
      <c r="K121" s="235"/>
      <c r="L121" s="235"/>
      <c r="M121" s="235"/>
      <c r="N121" s="235"/>
      <c r="O121" s="236"/>
      <c r="Q121" s="233"/>
      <c r="R121" s="233"/>
      <c r="S121" s="233"/>
    </row>
    <row r="122" spans="1:19" ht="17.25" thickBot="1">
      <c r="A122" s="180" t="s">
        <v>297</v>
      </c>
      <c r="B122" s="234" t="s">
        <v>49</v>
      </c>
      <c r="C122" s="236"/>
      <c r="D122" s="234" t="s">
        <v>58</v>
      </c>
      <c r="E122" s="235"/>
      <c r="F122" s="236"/>
      <c r="G122" s="237">
        <f>_xlfn.IFNA(VLOOKUP(B122, 현재가테이블!$B$2:$D$200, 2, FALSE), "-")</f>
        <v>41418000</v>
      </c>
      <c r="H122" s="238"/>
      <c r="I122" s="239"/>
      <c r="J122" s="234" t="s">
        <v>59</v>
      </c>
      <c r="K122" s="235"/>
      <c r="L122" s="236"/>
      <c r="M122" s="240">
        <f>_xlfn.IFNA(VLOOKUP(B122, 현재가테이블!$B$2:$D$200, 3, FALSE), "-")</f>
        <v>-5.2176301000000001E-2</v>
      </c>
      <c r="N122" s="241"/>
      <c r="O122" s="242"/>
      <c r="Q122" s="233"/>
      <c r="R122" s="233"/>
      <c r="S122" s="233"/>
    </row>
    <row r="123" spans="1:19" ht="17.25" thickBot="1">
      <c r="A123" s="278" t="s">
        <v>55</v>
      </c>
      <c r="B123" s="274" t="str">
        <f>TEXT($G$1, "[$-ko-KR]yyyy-mm-dd(ddd) ") &amp; "오전 00:00"</f>
        <v>2021-06-06(일) 오전 00:00</v>
      </c>
      <c r="C123" s="275"/>
      <c r="D123" s="247" t="str">
        <f>TEXT($G$1, "[$-ko-KR]yyyy-mm-dd(ddd) ") &amp; "오후 14:00"</f>
        <v>2021-06-06(일) 오후 14:00</v>
      </c>
      <c r="E123" s="248"/>
      <c r="F123" s="249"/>
      <c r="G123" s="247" t="str">
        <f>TEXT($G$1, "[$-ko-KR]yyyy-mm-dd(ddd) ") &amp; "오후 19:00"</f>
        <v>2021-06-06(일) 오후 19:00</v>
      </c>
      <c r="H123" s="248"/>
      <c r="I123" s="249"/>
      <c r="J123" s="247" t="str">
        <f>TEXT($G$1, "[$-ko-KR]yyyy-mm-dd(ddd) ") &amp; "오후 21:00"</f>
        <v>2021-06-06(일) 오후 21:00</v>
      </c>
      <c r="K123" s="248"/>
      <c r="L123" s="249"/>
      <c r="M123" s="247" t="str">
        <f>TEXT($G$1+1, "[$-ko-KR]yyyy-mm-dd(ddd) ") &amp; "오전 00:00"</f>
        <v>2021-06-07(월) 오전 00:00</v>
      </c>
      <c r="N123" s="248"/>
      <c r="O123" s="249"/>
      <c r="Q123" s="233"/>
      <c r="R123" s="233"/>
      <c r="S123" s="233"/>
    </row>
    <row r="124" spans="1:19" ht="17.25" thickBot="1">
      <c r="A124" s="279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1" t="s">
        <v>58</v>
      </c>
      <c r="H124" s="182" t="s">
        <v>298</v>
      </c>
      <c r="I124" s="18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3"/>
      <c r="R124" s="223"/>
      <c r="S124" s="223"/>
    </row>
    <row r="125" spans="1:19" ht="17.25" thickBot="1">
      <c r="A125" s="161" t="s">
        <v>222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33"/>
      <c r="R125" s="233"/>
      <c r="S125" s="233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33"/>
      <c r="R126" s="233"/>
      <c r="S126" s="233"/>
    </row>
    <row r="127" spans="1:19" ht="17.25" thickBot="1">
      <c r="A127" s="162" t="s">
        <v>220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23"/>
      <c r="R127" s="223"/>
      <c r="S127" s="223"/>
    </row>
    <row r="128" spans="1:19" ht="17.25" thickBot="1">
      <c r="A128" s="162" t="s">
        <v>228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23"/>
      <c r="R128" s="223"/>
      <c r="S128" s="223"/>
    </row>
    <row r="129" spans="1:19" ht="17.25" thickBot="1">
      <c r="A129" s="163" t="s">
        <v>236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23"/>
      <c r="R129" s="223"/>
      <c r="S129" s="223"/>
    </row>
    <row r="130" spans="1:19" ht="17.25" thickBot="1">
      <c r="A130" s="162" t="s">
        <v>266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23"/>
      <c r="R130" s="223"/>
      <c r="S130" s="223"/>
    </row>
    <row r="131" spans="1:19" ht="17.25" thickBot="1">
      <c r="A131" s="162" t="s">
        <v>254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23"/>
      <c r="R131" s="223"/>
      <c r="S131" s="223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23"/>
      <c r="R132" s="223"/>
      <c r="S132" s="223"/>
    </row>
    <row r="133" spans="1:19" ht="17.25" thickBot="1">
      <c r="A133" s="162" t="s">
        <v>268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214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24"/>
      <c r="R134" s="225"/>
      <c r="S134" s="226"/>
    </row>
    <row r="135" spans="1:19">
      <c r="A135" s="161" t="s">
        <v>218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27"/>
      <c r="R135" s="228"/>
      <c r="S135" s="229"/>
    </row>
    <row r="136" spans="1:19" ht="17.25" thickBot="1">
      <c r="A136" s="162" t="s">
        <v>198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30"/>
      <c r="R136" s="231"/>
      <c r="S136" s="232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23"/>
      <c r="R137" s="223"/>
      <c r="S137" s="223"/>
    </row>
    <row r="138" spans="1:19" ht="17.25" thickBot="1">
      <c r="A138" s="162" t="s">
        <v>260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33"/>
      <c r="R138" s="233"/>
      <c r="S138" s="233"/>
    </row>
    <row r="139" spans="1:19" ht="17.25" thickBot="1">
      <c r="A139" s="163" t="s">
        <v>278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33"/>
      <c r="R139" s="233"/>
      <c r="S139" s="233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23"/>
      <c r="R140" s="223"/>
      <c r="S140" s="223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23"/>
      <c r="R141" s="223"/>
      <c r="S141" s="223"/>
    </row>
    <row r="142" spans="1:19" ht="17.25" thickBot="1">
      <c r="A142" s="162" t="s">
        <v>264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23"/>
      <c r="R142" s="223"/>
      <c r="S142" s="223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212"/>
      <c r="R143" s="213"/>
      <c r="S143" s="214"/>
    </row>
    <row r="144" spans="1:19" ht="17.25" thickBot="1">
      <c r="A144" s="130" t="s">
        <v>212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215"/>
      <c r="R144" s="216"/>
      <c r="S144" s="217"/>
    </row>
    <row r="145" spans="1:19" ht="17.25" thickBot="1">
      <c r="A145" s="132" t="s">
        <v>300</v>
      </c>
      <c r="B145" s="276">
        <f>$B$37</f>
        <v>100000</v>
      </c>
      <c r="C145" s="277"/>
      <c r="D145" s="26" t="s">
        <v>301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301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301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301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218"/>
      <c r="R145" s="219"/>
      <c r="S145" s="220"/>
    </row>
    <row r="147" spans="1:19" ht="17.25" thickBot="1"/>
    <row r="148" spans="1:19" ht="17.25" thickBot="1">
      <c r="A148" s="234" t="s">
        <v>289</v>
      </c>
      <c r="B148" s="235"/>
      <c r="C148" s="235"/>
      <c r="D148" s="235"/>
      <c r="E148" s="235"/>
      <c r="F148" s="235"/>
      <c r="G148" s="235"/>
      <c r="H148" s="235"/>
      <c r="I148" s="235"/>
      <c r="J148" s="235"/>
      <c r="K148" s="235"/>
      <c r="L148" s="235"/>
      <c r="M148" s="235"/>
      <c r="N148" s="235"/>
      <c r="O148" s="236"/>
      <c r="Q148" s="233"/>
      <c r="R148" s="233"/>
      <c r="S148" s="233"/>
    </row>
    <row r="149" spans="1:19" ht="17.25" thickBot="1">
      <c r="A149" s="180" t="s">
        <v>297</v>
      </c>
      <c r="B149" s="234" t="s">
        <v>49</v>
      </c>
      <c r="C149" s="236"/>
      <c r="D149" s="234" t="s">
        <v>58</v>
      </c>
      <c r="E149" s="235"/>
      <c r="F149" s="236"/>
      <c r="G149" s="237">
        <f>_xlfn.IFNA(VLOOKUP(B149, 현재가테이블!$B$2:$D$200, 2, FALSE), "-")</f>
        <v>41418000</v>
      </c>
      <c r="H149" s="238"/>
      <c r="I149" s="239"/>
      <c r="J149" s="234" t="s">
        <v>59</v>
      </c>
      <c r="K149" s="235"/>
      <c r="L149" s="236"/>
      <c r="M149" s="240">
        <f>_xlfn.IFNA(VLOOKUP(B149, 현재가테이블!$B$2:$D$200, 3, FALSE), "-")</f>
        <v>-5.2176301000000001E-2</v>
      </c>
      <c r="N149" s="241"/>
      <c r="O149" s="242"/>
      <c r="Q149" s="233"/>
      <c r="R149" s="233"/>
      <c r="S149" s="233"/>
    </row>
    <row r="150" spans="1:19" ht="17.25" thickBot="1">
      <c r="A150" s="278" t="s">
        <v>55</v>
      </c>
      <c r="B150" s="274" t="str">
        <f>TEXT($G$1, "[$-ko-KR]yyyy-mm-dd(ddd) ") &amp; "오전 00:00"</f>
        <v>2021-06-06(일) 오전 00:00</v>
      </c>
      <c r="C150" s="275"/>
      <c r="D150" s="247" t="str">
        <f>TEXT($G$1, "[$-ko-KR]yyyy-mm-dd(ddd) ") &amp; "오후 14:00"</f>
        <v>2021-06-06(일) 오후 14:00</v>
      </c>
      <c r="E150" s="248"/>
      <c r="F150" s="249"/>
      <c r="G150" s="247" t="str">
        <f>TEXT($G$1, "[$-ko-KR]yyyy-mm-dd(ddd) ") &amp; "오후 19:00"</f>
        <v>2021-06-06(일) 오후 19:00</v>
      </c>
      <c r="H150" s="248"/>
      <c r="I150" s="249"/>
      <c r="J150" s="247" t="str">
        <f>TEXT($G$1, "[$-ko-KR]yyyy-mm-dd(ddd) ") &amp; "오후 21:00"</f>
        <v>2021-06-06(일) 오후 21:00</v>
      </c>
      <c r="K150" s="248"/>
      <c r="L150" s="249"/>
      <c r="M150" s="247" t="str">
        <f>TEXT($G$1+1, "[$-ko-KR]yyyy-mm-dd(ddd) ") &amp; "오전 00:00"</f>
        <v>2021-06-07(월) 오전 00:00</v>
      </c>
      <c r="N150" s="248"/>
      <c r="O150" s="249"/>
      <c r="Q150" s="233"/>
      <c r="R150" s="233"/>
      <c r="S150" s="233"/>
    </row>
    <row r="151" spans="1:19" ht="17.25" thickBot="1">
      <c r="A151" s="279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1" t="s">
        <v>58</v>
      </c>
      <c r="H151" s="182" t="s">
        <v>298</v>
      </c>
      <c r="I151" s="18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3"/>
      <c r="R151" s="223"/>
      <c r="S151" s="223"/>
    </row>
    <row r="152" spans="1:19" ht="17.25" thickBot="1">
      <c r="A152" s="161" t="s">
        <v>284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33"/>
      <c r="R152" s="233"/>
      <c r="S152" s="233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33"/>
      <c r="R153" s="233"/>
      <c r="S153" s="233"/>
    </row>
    <row r="154" spans="1:19" ht="17.25" thickBot="1">
      <c r="A154" s="162" t="s">
        <v>234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23"/>
      <c r="R154" s="223"/>
      <c r="S154" s="223"/>
    </row>
    <row r="155" spans="1:19" ht="17.25" thickBot="1">
      <c r="A155" s="162" t="s">
        <v>258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23"/>
      <c r="R155" s="223"/>
      <c r="S155" s="223"/>
    </row>
    <row r="156" spans="1:19" ht="17.25" thickBot="1">
      <c r="A156" s="163" t="s">
        <v>182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23"/>
      <c r="R156" s="223"/>
      <c r="S156" s="223"/>
    </row>
    <row r="157" spans="1:19" ht="17.25" thickBot="1">
      <c r="A157" s="162" t="s">
        <v>240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23"/>
      <c r="R157" s="223"/>
      <c r="S157" s="223"/>
    </row>
    <row r="158" spans="1:19" ht="17.25" thickBot="1">
      <c r="A158" s="162" t="s">
        <v>208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23"/>
      <c r="R158" s="223"/>
      <c r="S158" s="223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23"/>
      <c r="R159" s="223"/>
      <c r="S159" s="223"/>
    </row>
    <row r="160" spans="1:19" ht="17.25" thickBot="1">
      <c r="A160" s="162" t="s">
        <v>200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170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24"/>
      <c r="R161" s="225"/>
      <c r="S161" s="226"/>
    </row>
    <row r="162" spans="1:19">
      <c r="A162" s="161" t="s">
        <v>226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27"/>
      <c r="R162" s="228"/>
      <c r="S162" s="229"/>
    </row>
    <row r="163" spans="1:19" ht="17.25" thickBot="1">
      <c r="A163" s="162" t="s">
        <v>250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30"/>
      <c r="R163" s="231"/>
      <c r="S163" s="232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23"/>
      <c r="R164" s="223"/>
      <c r="S164" s="223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33"/>
      <c r="R165" s="233"/>
      <c r="S165" s="233"/>
    </row>
    <row r="166" spans="1:19" ht="17.25" thickBot="1">
      <c r="A166" s="163" t="s">
        <v>168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33"/>
      <c r="R166" s="233"/>
      <c r="S166" s="233"/>
    </row>
    <row r="167" spans="1:19" ht="17.25" thickBot="1">
      <c r="A167" s="162" t="s">
        <v>270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23"/>
      <c r="R167" s="223"/>
      <c r="S167" s="223"/>
    </row>
    <row r="168" spans="1:19" ht="17.25" thickBot="1">
      <c r="A168" s="162" t="s">
        <v>210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23"/>
      <c r="R168" s="223"/>
      <c r="S168" s="223"/>
    </row>
    <row r="169" spans="1:19" ht="17.25" thickBot="1">
      <c r="A169" s="162" t="s">
        <v>256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23"/>
      <c r="R169" s="223"/>
      <c r="S169" s="223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212"/>
      <c r="R170" s="213"/>
      <c r="S170" s="214"/>
    </row>
    <row r="171" spans="1:19" ht="17.25" thickBot="1">
      <c r="A171" s="130" t="s">
        <v>252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215"/>
      <c r="R171" s="216"/>
      <c r="S171" s="217"/>
    </row>
    <row r="172" spans="1:19" ht="17.25" thickBot="1">
      <c r="A172" s="132" t="s">
        <v>300</v>
      </c>
      <c r="B172" s="276">
        <f>$B$37</f>
        <v>100000</v>
      </c>
      <c r="C172" s="277"/>
      <c r="D172" s="26" t="s">
        <v>301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301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301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301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218"/>
      <c r="R172" s="219"/>
      <c r="S172" s="220"/>
    </row>
    <row r="174" spans="1:19" ht="17.25" thickBot="1"/>
    <row r="175" spans="1:19" ht="17.25" thickBot="1">
      <c r="A175" s="234" t="s">
        <v>285</v>
      </c>
      <c r="B175" s="235"/>
      <c r="C175" s="235"/>
      <c r="D175" s="235"/>
      <c r="E175" s="235"/>
      <c r="F175" s="235"/>
      <c r="G175" s="235"/>
      <c r="H175" s="235"/>
      <c r="I175" s="235"/>
      <c r="J175" s="235"/>
      <c r="K175" s="235"/>
      <c r="L175" s="235"/>
      <c r="M175" s="235"/>
      <c r="N175" s="235"/>
      <c r="O175" s="236"/>
      <c r="Q175" s="233"/>
      <c r="R175" s="233"/>
      <c r="S175" s="233"/>
    </row>
    <row r="176" spans="1:19" ht="17.25" thickBot="1">
      <c r="A176" s="180" t="s">
        <v>297</v>
      </c>
      <c r="B176" s="234" t="s">
        <v>49</v>
      </c>
      <c r="C176" s="236"/>
      <c r="D176" s="234" t="s">
        <v>58</v>
      </c>
      <c r="E176" s="235"/>
      <c r="F176" s="236"/>
      <c r="G176" s="237">
        <f>_xlfn.IFNA(VLOOKUP(B176, 현재가테이블!$B$2:$D$200, 2, FALSE), "-")</f>
        <v>41418000</v>
      </c>
      <c r="H176" s="238"/>
      <c r="I176" s="239"/>
      <c r="J176" s="234" t="s">
        <v>59</v>
      </c>
      <c r="K176" s="235"/>
      <c r="L176" s="236"/>
      <c r="M176" s="240">
        <f>_xlfn.IFNA(VLOOKUP(B176, 현재가테이블!$B$2:$D$200, 3, FALSE), "-")</f>
        <v>-5.2176301000000001E-2</v>
      </c>
      <c r="N176" s="241"/>
      <c r="O176" s="242"/>
      <c r="Q176" s="233"/>
      <c r="R176" s="233"/>
      <c r="S176" s="233"/>
    </row>
    <row r="177" spans="1:19" ht="17.25" thickBot="1">
      <c r="A177" s="278" t="s">
        <v>55</v>
      </c>
      <c r="B177" s="274" t="str">
        <f>TEXT($G$1, "[$-ko-KR]yyyy-mm-dd(ddd) ") &amp; "오전 00:00"</f>
        <v>2021-06-06(일) 오전 00:00</v>
      </c>
      <c r="C177" s="275"/>
      <c r="D177" s="247" t="str">
        <f>TEXT($G$1, "[$-ko-KR]yyyy-mm-dd(ddd) ") &amp; "오후 14:00"</f>
        <v>2021-06-06(일) 오후 14:00</v>
      </c>
      <c r="E177" s="248"/>
      <c r="F177" s="249"/>
      <c r="G177" s="247" t="str">
        <f>TEXT($G$1, "[$-ko-KR]yyyy-mm-dd(ddd) ") &amp; "오후 19:00"</f>
        <v>2021-06-06(일) 오후 19:00</v>
      </c>
      <c r="H177" s="248"/>
      <c r="I177" s="249"/>
      <c r="J177" s="247" t="str">
        <f>TEXT($G$1, "[$-ko-KR]yyyy-mm-dd(ddd) ") &amp; "오후 21:00"</f>
        <v>2021-06-06(일) 오후 21:00</v>
      </c>
      <c r="K177" s="248"/>
      <c r="L177" s="249"/>
      <c r="M177" s="247" t="str">
        <f>TEXT($G$1+1, "[$-ko-KR]yyyy-mm-dd(ddd) ") &amp; "오전 00:00"</f>
        <v>2021-06-07(월) 오전 00:00</v>
      </c>
      <c r="N177" s="248"/>
      <c r="O177" s="249"/>
      <c r="Q177" s="233"/>
      <c r="R177" s="233"/>
      <c r="S177" s="233"/>
    </row>
    <row r="178" spans="1:19" ht="17.25" thickBot="1">
      <c r="A178" s="279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1" t="s">
        <v>58</v>
      </c>
      <c r="H178" s="182" t="s">
        <v>298</v>
      </c>
      <c r="I178" s="18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3"/>
      <c r="R178" s="223"/>
      <c r="S178" s="223"/>
    </row>
    <row r="179" spans="1:19" ht="17.25" thickBot="1">
      <c r="A179" s="161" t="s">
        <v>278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33"/>
      <c r="R179" s="233"/>
      <c r="S179" s="233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33"/>
      <c r="R180" s="233"/>
      <c r="S180" s="233"/>
    </row>
    <row r="181" spans="1:19" ht="17.25" thickBot="1">
      <c r="A181" s="162" t="s">
        <v>168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23"/>
      <c r="R181" s="223"/>
      <c r="S181" s="223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23"/>
      <c r="R182" s="223"/>
      <c r="S182" s="223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23"/>
      <c r="R183" s="223"/>
      <c r="S183" s="223"/>
    </row>
    <row r="184" spans="1:19" ht="17.25" thickBot="1">
      <c r="A184" s="162" t="s">
        <v>242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23"/>
      <c r="R184" s="223"/>
      <c r="S184" s="223"/>
    </row>
    <row r="185" spans="1:19" ht="17.25" thickBot="1">
      <c r="A185" s="162" t="s">
        <v>270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23"/>
      <c r="R185" s="223"/>
      <c r="S185" s="223"/>
    </row>
    <row r="186" spans="1:19" ht="17.25" thickBot="1">
      <c r="A186" s="162" t="s">
        <v>210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23"/>
      <c r="R186" s="223"/>
      <c r="S186" s="223"/>
    </row>
    <row r="187" spans="1:19" ht="17.25" thickBot="1">
      <c r="A187" s="162" t="s">
        <v>166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256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24"/>
      <c r="R188" s="225"/>
      <c r="S188" s="226"/>
    </row>
    <row r="189" spans="1:19">
      <c r="A189" s="161" t="s">
        <v>272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27"/>
      <c r="R189" s="228"/>
      <c r="S189" s="229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30"/>
      <c r="R190" s="231"/>
      <c r="S190" s="232"/>
    </row>
    <row r="191" spans="1:19" ht="17.25" thickBot="1">
      <c r="A191" s="162" t="s">
        <v>264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23"/>
      <c r="R191" s="223"/>
      <c r="S191" s="223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33"/>
      <c r="R192" s="233"/>
      <c r="S192" s="233"/>
    </row>
    <row r="193" spans="1:19" ht="17.25" thickBot="1">
      <c r="A193" s="163" t="s">
        <v>206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33"/>
      <c r="R193" s="233"/>
      <c r="S193" s="233"/>
    </row>
    <row r="194" spans="1:19" ht="17.25" thickBot="1">
      <c r="A194" s="162" t="s">
        <v>252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23"/>
      <c r="R194" s="223"/>
      <c r="S194" s="223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23"/>
      <c r="R195" s="223"/>
      <c r="S195" s="223"/>
    </row>
    <row r="196" spans="1:19" ht="17.25" thickBot="1">
      <c r="A196" s="162" t="s">
        <v>212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23"/>
      <c r="R196" s="223"/>
      <c r="S196" s="223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212"/>
      <c r="R197" s="213"/>
      <c r="S197" s="214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215"/>
      <c r="R198" s="216"/>
      <c r="S198" s="217"/>
    </row>
    <row r="199" spans="1:19" ht="17.25" thickBot="1">
      <c r="A199" s="132" t="s">
        <v>300</v>
      </c>
      <c r="B199" s="276">
        <f>$B$37</f>
        <v>100000</v>
      </c>
      <c r="C199" s="277"/>
      <c r="D199" s="26" t="s">
        <v>301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301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301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301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218"/>
      <c r="R199" s="219"/>
      <c r="S199" s="22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25" priority="157">
      <formula>AND($N17 &gt; 0, ISNUMBER($N17))</formula>
    </cfRule>
    <cfRule type="expression" dxfId="1424" priority="158">
      <formula>AND($N17 = 0 * ISNUMBER($N17))</formula>
    </cfRule>
    <cfRule type="expression" dxfId="1423" priority="159">
      <formula>AND($N17 &lt; 0, ISNUMBER($N17))</formula>
    </cfRule>
  </conditionalFormatting>
  <conditionalFormatting sqref="A17:F36">
    <cfRule type="expression" dxfId="1422" priority="166">
      <formula>AND($E17 &gt; 0, ISNUMBER($E17))</formula>
    </cfRule>
    <cfRule type="expression" dxfId="1421" priority="167">
      <formula>AND($E17 = 0 * ISNUMBER($E17))</formula>
    </cfRule>
    <cfRule type="expression" dxfId="1420" priority="168">
      <formula>AND($E17 &lt; 0, ISNUMBER($E17))</formula>
    </cfRule>
  </conditionalFormatting>
  <conditionalFormatting sqref="A17:C36 G17:I36">
    <cfRule type="expression" dxfId="1419" priority="163">
      <formula>AND($H17 &gt; 0, ISNUMBER($H17))</formula>
    </cfRule>
    <cfRule type="expression" dxfId="1418" priority="164">
      <formula>AND($H17 = 0 * ISNUMBER($H17))</formula>
    </cfRule>
    <cfRule type="expression" dxfId="1417" priority="165">
      <formula>AND($H17 &lt; 0, ISNUMBER($H17))</formula>
    </cfRule>
  </conditionalFormatting>
  <conditionalFormatting sqref="A17:C36 J17:L36">
    <cfRule type="expression" dxfId="1416" priority="160">
      <formula>AND($K17 &gt; 0, ISNUMBER($K17))</formula>
    </cfRule>
    <cfRule type="expression" dxfId="1415" priority="161">
      <formula>AND($K17 = 0 * ISNUMBER($K17))</formula>
    </cfRule>
    <cfRule type="expression" dxfId="1414" priority="162">
      <formula>AND($K17 &lt; 0, ISNUMBER($K17))</formula>
    </cfRule>
  </conditionalFormatting>
  <conditionalFormatting sqref="D15:F16 E37:F37">
    <cfRule type="expression" dxfId="1413" priority="154">
      <formula>$E$37 &gt; 0</formula>
    </cfRule>
    <cfRule type="expression" dxfId="1412" priority="155">
      <formula>$E$37 = 0</formula>
    </cfRule>
    <cfRule type="expression" dxfId="1411" priority="156">
      <formula>$E$37 &lt; 0</formula>
    </cfRule>
  </conditionalFormatting>
  <conditionalFormatting sqref="G15:I16 H37:I37">
    <cfRule type="expression" dxfId="1410" priority="151">
      <formula>$H$37 &gt; 0</formula>
    </cfRule>
    <cfRule type="expression" dxfId="1409" priority="152">
      <formula>$H$37 = 0</formula>
    </cfRule>
    <cfRule type="expression" dxfId="1408" priority="153">
      <formula>$H$37 &lt; 0</formula>
    </cfRule>
  </conditionalFormatting>
  <conditionalFormatting sqref="J15:L16 K37:L37">
    <cfRule type="expression" dxfId="1407" priority="148">
      <formula>$K$37 &gt; 0</formula>
    </cfRule>
    <cfRule type="expression" dxfId="1406" priority="149">
      <formula>$K$37 = 0</formula>
    </cfRule>
    <cfRule type="expression" dxfId="1405" priority="150">
      <formula>$K$37 &lt; 0</formula>
    </cfRule>
  </conditionalFormatting>
  <conditionalFormatting sqref="M15:O16 N37:O37">
    <cfRule type="expression" dxfId="1404" priority="145">
      <formula>$N$37 &gt; 0</formula>
    </cfRule>
    <cfRule type="expression" dxfId="1403" priority="146">
      <formula>$N$37 = 0</formula>
    </cfRule>
    <cfRule type="expression" dxfId="1402" priority="147">
      <formula>$N$37 &lt; 0</formula>
    </cfRule>
  </conditionalFormatting>
  <conditionalFormatting sqref="A44:C63 M44:O63">
    <cfRule type="expression" dxfId="1401" priority="133">
      <formula>AND($N44 &gt; 0, ISNUMBER($N44))</formula>
    </cfRule>
    <cfRule type="expression" dxfId="1400" priority="134">
      <formula>AND($N44 = 0 * ISNUMBER($N44))</formula>
    </cfRule>
    <cfRule type="expression" dxfId="1399" priority="135">
      <formula>AND($N44 &lt; 0, ISNUMBER($N44))</formula>
    </cfRule>
  </conditionalFormatting>
  <conditionalFormatting sqref="A44:F63">
    <cfRule type="expression" dxfId="1398" priority="142">
      <formula>AND($E44 &gt; 0, ISNUMBER($E44))</formula>
    </cfRule>
    <cfRule type="expression" dxfId="1397" priority="143">
      <formula>AND($E44 = 0 * ISNUMBER($E44))</formula>
    </cfRule>
    <cfRule type="expression" dxfId="1396" priority="144">
      <formula>AND($E44 &lt; 0, ISNUMBER($E44))</formula>
    </cfRule>
  </conditionalFormatting>
  <conditionalFormatting sqref="A44:C63 G44:I63">
    <cfRule type="expression" dxfId="1395" priority="139">
      <formula>AND($H44 &gt; 0, ISNUMBER($H44))</formula>
    </cfRule>
    <cfRule type="expression" dxfId="1394" priority="140">
      <formula>AND($H44 = 0 * ISNUMBER($H44))</formula>
    </cfRule>
    <cfRule type="expression" dxfId="1393" priority="141">
      <formula>AND($H44 &lt; 0, ISNUMBER($H44))</formula>
    </cfRule>
  </conditionalFormatting>
  <conditionalFormatting sqref="A44:C63 J44:L63">
    <cfRule type="expression" dxfId="1392" priority="136">
      <formula>AND($K44 &gt; 0, ISNUMBER($K44))</formula>
    </cfRule>
    <cfRule type="expression" dxfId="1391" priority="137">
      <formula>AND($K44 = 0 * ISNUMBER($K44))</formula>
    </cfRule>
    <cfRule type="expression" dxfId="1390" priority="138">
      <formula>AND($K44 &lt; 0, ISNUMBER($K44))</formula>
    </cfRule>
  </conditionalFormatting>
  <conditionalFormatting sqref="D42:F43 E64:F64">
    <cfRule type="expression" dxfId="1389" priority="130">
      <formula>$E$64 &gt; 0</formula>
    </cfRule>
    <cfRule type="expression" dxfId="1388" priority="131">
      <formula>$E$64 = 0</formula>
    </cfRule>
    <cfRule type="expression" dxfId="1387" priority="132">
      <formula>$E$64 &lt; 0</formula>
    </cfRule>
  </conditionalFormatting>
  <conditionalFormatting sqref="G42:I43 H64:I64">
    <cfRule type="expression" dxfId="1386" priority="127">
      <formula>$H$64 &gt; 0</formula>
    </cfRule>
    <cfRule type="expression" dxfId="1385" priority="128">
      <formula>$H$64 = 0</formula>
    </cfRule>
    <cfRule type="expression" dxfId="1384" priority="129">
      <formula>$H$64 &lt; 0</formula>
    </cfRule>
  </conditionalFormatting>
  <conditionalFormatting sqref="J42:L43 K64:L64">
    <cfRule type="expression" dxfId="1383" priority="124">
      <formula>$K$64 &gt; 0</formula>
    </cfRule>
    <cfRule type="expression" dxfId="1382" priority="125">
      <formula>$K$64 = 0</formula>
    </cfRule>
    <cfRule type="expression" dxfId="1381" priority="126">
      <formula>$K$64 &lt; 0</formula>
    </cfRule>
  </conditionalFormatting>
  <conditionalFormatting sqref="M42:O43 N64:O64">
    <cfRule type="expression" dxfId="1380" priority="121">
      <formula>$N$64 &gt; 0</formula>
    </cfRule>
    <cfRule type="expression" dxfId="1379" priority="122">
      <formula>$N$64 = 0</formula>
    </cfRule>
    <cfRule type="expression" dxfId="1378" priority="123">
      <formula>$N$64 &lt; 0</formula>
    </cfRule>
  </conditionalFormatting>
  <conditionalFormatting sqref="A71:C90 M71:O90">
    <cfRule type="expression" dxfId="1377" priority="109">
      <formula>AND($N71 &gt; 0, ISNUMBER($N71))</formula>
    </cfRule>
    <cfRule type="expression" dxfId="1376" priority="110">
      <formula>AND($N71 = 0 * ISNUMBER($N71))</formula>
    </cfRule>
    <cfRule type="expression" dxfId="1375" priority="111">
      <formula>AND($N71 &lt; 0, ISNUMBER($N71))</formula>
    </cfRule>
  </conditionalFormatting>
  <conditionalFormatting sqref="A71:F90">
    <cfRule type="expression" dxfId="1374" priority="118">
      <formula>AND($E71 &gt; 0, ISNUMBER($E71))</formula>
    </cfRule>
    <cfRule type="expression" dxfId="1373" priority="119">
      <formula>AND($E71 = 0 * ISNUMBER($E71))</formula>
    </cfRule>
    <cfRule type="expression" dxfId="1372" priority="120">
      <formula>AND($E71 &lt; 0, ISNUMBER($E71))</formula>
    </cfRule>
  </conditionalFormatting>
  <conditionalFormatting sqref="A71:C90 G71:I90">
    <cfRule type="expression" dxfId="1371" priority="115">
      <formula>AND($H71 &gt; 0, ISNUMBER($H71))</formula>
    </cfRule>
    <cfRule type="expression" dxfId="1370" priority="116">
      <formula>AND($H71 = 0 * ISNUMBER($H71))</formula>
    </cfRule>
    <cfRule type="expression" dxfId="1369" priority="117">
      <formula>AND($H71 &lt; 0, ISNUMBER($H71))</formula>
    </cfRule>
  </conditionalFormatting>
  <conditionalFormatting sqref="A71:C90 J71:L90">
    <cfRule type="expression" dxfId="1368" priority="112">
      <formula>AND($K71 &gt; 0, ISNUMBER($K71))</formula>
    </cfRule>
    <cfRule type="expression" dxfId="1367" priority="113">
      <formula>AND($K71 = 0 * ISNUMBER($K71))</formula>
    </cfRule>
    <cfRule type="expression" dxfId="1366" priority="114">
      <formula>AND($K71 &lt; 0, ISNUMBER($K71))</formula>
    </cfRule>
  </conditionalFormatting>
  <conditionalFormatting sqref="D69:F70 E91:F91">
    <cfRule type="expression" dxfId="1365" priority="106">
      <formula>$E$91 &gt; 0</formula>
    </cfRule>
    <cfRule type="expression" dxfId="1364" priority="107">
      <formula>$E$91 = 0</formula>
    </cfRule>
    <cfRule type="expression" dxfId="1363" priority="108">
      <formula>$E$91 &lt; 0</formula>
    </cfRule>
  </conditionalFormatting>
  <conditionalFormatting sqref="G69:I70 H91:I91">
    <cfRule type="expression" dxfId="1362" priority="103">
      <formula>$H$91 &gt; 0</formula>
    </cfRule>
    <cfRule type="expression" dxfId="1361" priority="104">
      <formula>$H$91 = 0</formula>
    </cfRule>
    <cfRule type="expression" dxfId="1360" priority="105">
      <formula>$H$91 &lt; 0</formula>
    </cfRule>
  </conditionalFormatting>
  <conditionalFormatting sqref="J69:L70 K91:L91">
    <cfRule type="expression" dxfId="1359" priority="100">
      <formula>$K$91 &gt; 0</formula>
    </cfRule>
    <cfRule type="expression" dxfId="1358" priority="101">
      <formula>$K$91 = 0</formula>
    </cfRule>
    <cfRule type="expression" dxfId="1357" priority="102">
      <formula>$K$91 &lt; 0</formula>
    </cfRule>
  </conditionalFormatting>
  <conditionalFormatting sqref="M69:O70 N91:O91">
    <cfRule type="expression" dxfId="1356" priority="97">
      <formula>$N$91 &gt; 0</formula>
    </cfRule>
    <cfRule type="expression" dxfId="1355" priority="98">
      <formula>$N$91 = 0</formula>
    </cfRule>
    <cfRule type="expression" dxfId="1354" priority="99">
      <formula>$N$91 &lt; 0</formula>
    </cfRule>
  </conditionalFormatting>
  <conditionalFormatting sqref="A98:C117 M98:O117">
    <cfRule type="expression" dxfId="1353" priority="85">
      <formula>AND($N98 &gt; 0, ISNUMBER($N98))</formula>
    </cfRule>
    <cfRule type="expression" dxfId="1352" priority="86">
      <formula>AND($N98 = 0 * ISNUMBER($N98))</formula>
    </cfRule>
    <cfRule type="expression" dxfId="1351" priority="87">
      <formula>AND($N98 &lt; 0, ISNUMBER($N98))</formula>
    </cfRule>
  </conditionalFormatting>
  <conditionalFormatting sqref="A98:F117">
    <cfRule type="expression" dxfId="1350" priority="94">
      <formula>AND($E98 &gt; 0, ISNUMBER($E98))</formula>
    </cfRule>
    <cfRule type="expression" dxfId="1349" priority="95">
      <formula>AND($E98 = 0 * ISNUMBER($E98))</formula>
    </cfRule>
    <cfRule type="expression" dxfId="1348" priority="96">
      <formula>AND($E98 &lt; 0, ISNUMBER($E98))</formula>
    </cfRule>
  </conditionalFormatting>
  <conditionalFormatting sqref="A98:C117 G98:I117">
    <cfRule type="expression" dxfId="1347" priority="91">
      <formula>AND($H98 &gt; 0, ISNUMBER($H98))</formula>
    </cfRule>
    <cfRule type="expression" dxfId="1346" priority="92">
      <formula>AND($H98 = 0 * ISNUMBER($H98))</formula>
    </cfRule>
    <cfRule type="expression" dxfId="1345" priority="93">
      <formula>AND($H98 &lt; 0, ISNUMBER($H98))</formula>
    </cfRule>
  </conditionalFormatting>
  <conditionalFormatting sqref="A98:C117 J98:L117">
    <cfRule type="expression" dxfId="1344" priority="88">
      <formula>AND($K98 &gt; 0, ISNUMBER($K98))</formula>
    </cfRule>
    <cfRule type="expression" dxfId="1343" priority="89">
      <formula>AND($K98 = 0 * ISNUMBER($K98))</formula>
    </cfRule>
    <cfRule type="expression" dxfId="1342" priority="90">
      <formula>AND($K98 &lt; 0, ISNUMBER($K98))</formula>
    </cfRule>
  </conditionalFormatting>
  <conditionalFormatting sqref="D96:F97 E118:F118">
    <cfRule type="expression" dxfId="1341" priority="82">
      <formula>$E$118 &gt; 0</formula>
    </cfRule>
    <cfRule type="expression" dxfId="1340" priority="83">
      <formula>$E$118 = 0</formula>
    </cfRule>
    <cfRule type="expression" dxfId="1339" priority="84">
      <formula>$E$118 &lt; 0</formula>
    </cfRule>
  </conditionalFormatting>
  <conditionalFormatting sqref="G96:I97 H118:I118">
    <cfRule type="expression" dxfId="1338" priority="79">
      <formula>$H$118 &gt; 0</formula>
    </cfRule>
    <cfRule type="expression" dxfId="1337" priority="80">
      <formula>$H$118 = 0</formula>
    </cfRule>
    <cfRule type="expression" dxfId="1336" priority="81">
      <formula>$H$118 &lt; 0</formula>
    </cfRule>
  </conditionalFormatting>
  <conditionalFormatting sqref="J96:L97 K118:L118">
    <cfRule type="expression" dxfId="1335" priority="76">
      <formula>$K$118 &gt; 0</formula>
    </cfRule>
    <cfRule type="expression" dxfId="1334" priority="77">
      <formula>$K$118 = 0</formula>
    </cfRule>
    <cfRule type="expression" dxfId="1333" priority="78">
      <formula>$K$118 &lt; 0</formula>
    </cfRule>
  </conditionalFormatting>
  <conditionalFormatting sqref="M96:O97 N118:O118">
    <cfRule type="expression" dxfId="1332" priority="73">
      <formula>$N$118 &gt; 0</formula>
    </cfRule>
    <cfRule type="expression" dxfId="1331" priority="74">
      <formula>$N$118 = 0</formula>
    </cfRule>
    <cfRule type="expression" dxfId="1330" priority="75">
      <formula>$N$118 &lt; 0</formula>
    </cfRule>
  </conditionalFormatting>
  <conditionalFormatting sqref="A125:C144 M125:O144">
    <cfRule type="expression" dxfId="1329" priority="61">
      <formula>AND($N125 &gt; 0, ISNUMBER($N125))</formula>
    </cfRule>
    <cfRule type="expression" dxfId="1328" priority="62">
      <formula>AND($N125 = 0 * ISNUMBER($N125))</formula>
    </cfRule>
    <cfRule type="expression" dxfId="1327" priority="63">
      <formula>AND($N125 &lt; 0, ISNUMBER($N125))</formula>
    </cfRule>
  </conditionalFormatting>
  <conditionalFormatting sqref="A125:F144">
    <cfRule type="expression" dxfId="1326" priority="70">
      <formula>AND($E125 &gt; 0, ISNUMBER($E125))</formula>
    </cfRule>
    <cfRule type="expression" dxfId="1325" priority="71">
      <formula>AND($E125 = 0 * ISNUMBER($E125))</formula>
    </cfRule>
    <cfRule type="expression" dxfId="1324" priority="72">
      <formula>AND($E125 &lt; 0, ISNUMBER($E125))</formula>
    </cfRule>
  </conditionalFormatting>
  <conditionalFormatting sqref="A125:C144 G125:I144">
    <cfRule type="expression" dxfId="1323" priority="67">
      <formula>AND($H125 &gt; 0, ISNUMBER($H125))</formula>
    </cfRule>
    <cfRule type="expression" dxfId="1322" priority="68">
      <formula>AND($H125 = 0 * ISNUMBER($H125))</formula>
    </cfRule>
    <cfRule type="expression" dxfId="1321" priority="69">
      <formula>AND($H125 &lt; 0, ISNUMBER($H125))</formula>
    </cfRule>
  </conditionalFormatting>
  <conditionalFormatting sqref="A125:C144 J125:L144">
    <cfRule type="expression" dxfId="1320" priority="64">
      <formula>AND($K125 &gt; 0, ISNUMBER($K125))</formula>
    </cfRule>
    <cfRule type="expression" dxfId="1319" priority="65">
      <formula>AND($K125 = 0 * ISNUMBER($K125))</formula>
    </cfRule>
    <cfRule type="expression" dxfId="1318" priority="66">
      <formula>AND($K125 &lt; 0, ISNUMBER($K125))</formula>
    </cfRule>
  </conditionalFormatting>
  <conditionalFormatting sqref="D123:F124 E145:F145">
    <cfRule type="expression" dxfId="1317" priority="58">
      <formula>$E$145 &gt; 0</formula>
    </cfRule>
    <cfRule type="expression" dxfId="1316" priority="59">
      <formula>$E$145 = 0</formula>
    </cfRule>
    <cfRule type="expression" dxfId="1315" priority="60">
      <formula>$E$145 &lt; 0</formula>
    </cfRule>
  </conditionalFormatting>
  <conditionalFormatting sqref="G123:I124 H145:I145">
    <cfRule type="expression" dxfId="1314" priority="55">
      <formula>$H$145 &gt; 0</formula>
    </cfRule>
    <cfRule type="expression" dxfId="1313" priority="56">
      <formula>$H$145 = 0</formula>
    </cfRule>
    <cfRule type="expression" dxfId="1312" priority="57">
      <formula>$H$145 &lt; 0</formula>
    </cfRule>
  </conditionalFormatting>
  <conditionalFormatting sqref="J123:L124 K145:L145">
    <cfRule type="expression" dxfId="1311" priority="52">
      <formula>$K$145 &gt; 0</formula>
    </cfRule>
    <cfRule type="expression" dxfId="1310" priority="53">
      <formula>$K$145 = 0</formula>
    </cfRule>
    <cfRule type="expression" dxfId="1309" priority="54">
      <formula>$K$145 &lt; 0</formula>
    </cfRule>
  </conditionalFormatting>
  <conditionalFormatting sqref="M123:O124 N145:O145">
    <cfRule type="expression" dxfId="1308" priority="49">
      <formula>$N$145 &gt; 0</formula>
    </cfRule>
    <cfRule type="expression" dxfId="1307" priority="50">
      <formula>$N$145 = 0</formula>
    </cfRule>
    <cfRule type="expression" dxfId="1306" priority="51">
      <formula>$N$145 &lt; 0</formula>
    </cfRule>
  </conditionalFormatting>
  <conditionalFormatting sqref="A152:C171 M152:O171">
    <cfRule type="expression" dxfId="1305" priority="37">
      <formula>AND($N152 &gt; 0, ISNUMBER($N152))</formula>
    </cfRule>
    <cfRule type="expression" dxfId="1304" priority="38">
      <formula>AND($N152 = 0 * ISNUMBER($N152))</formula>
    </cfRule>
    <cfRule type="expression" dxfId="1303" priority="39">
      <formula>AND($N152 &lt; 0, ISNUMBER($N152))</formula>
    </cfRule>
  </conditionalFormatting>
  <conditionalFormatting sqref="A152:F171">
    <cfRule type="expression" dxfId="1302" priority="46">
      <formula>AND($E152 &gt; 0, ISNUMBER($E152))</formula>
    </cfRule>
    <cfRule type="expression" dxfId="1301" priority="47">
      <formula>AND($E152 = 0 * ISNUMBER($E152))</formula>
    </cfRule>
    <cfRule type="expression" dxfId="1300" priority="48">
      <formula>AND($E152 &lt; 0, ISNUMBER($E152))</formula>
    </cfRule>
  </conditionalFormatting>
  <conditionalFormatting sqref="A152:C171 G152:I171">
    <cfRule type="expression" dxfId="1299" priority="43">
      <formula>AND($H152 &gt; 0, ISNUMBER($H152))</formula>
    </cfRule>
    <cfRule type="expression" dxfId="1298" priority="44">
      <formula>AND($H152 = 0 * ISNUMBER($H152))</formula>
    </cfRule>
    <cfRule type="expression" dxfId="1297" priority="45">
      <formula>AND($H152 &lt; 0, ISNUMBER($H152))</formula>
    </cfRule>
  </conditionalFormatting>
  <conditionalFormatting sqref="A152:C171 J152:L171">
    <cfRule type="expression" dxfId="1296" priority="40">
      <formula>AND($K152 &gt; 0, ISNUMBER($K152))</formula>
    </cfRule>
    <cfRule type="expression" dxfId="1295" priority="41">
      <formula>AND($K152 = 0 * ISNUMBER($K152))</formula>
    </cfRule>
    <cfRule type="expression" dxfId="1294" priority="42">
      <formula>AND($K152 &lt; 0, ISNUMBER($K152))</formula>
    </cfRule>
  </conditionalFormatting>
  <conditionalFormatting sqref="D150:F151 E172:F172">
    <cfRule type="expression" dxfId="1293" priority="34">
      <formula>$E$172 &gt; 0</formula>
    </cfRule>
    <cfRule type="expression" dxfId="1292" priority="35">
      <formula>$E$172 = 0</formula>
    </cfRule>
    <cfRule type="expression" dxfId="1291" priority="36">
      <formula>$E$172 &lt; 0</formula>
    </cfRule>
  </conditionalFormatting>
  <conditionalFormatting sqref="G150:I151 H172:I172">
    <cfRule type="expression" dxfId="1290" priority="31">
      <formula>$H$172 &gt; 0</formula>
    </cfRule>
    <cfRule type="expression" dxfId="1289" priority="32">
      <formula>$H$172 = 0</formula>
    </cfRule>
    <cfRule type="expression" dxfId="1288" priority="33">
      <formula>$H$172 &lt; 0</formula>
    </cfRule>
  </conditionalFormatting>
  <conditionalFormatting sqref="J150:L151 K172:L172">
    <cfRule type="expression" dxfId="1287" priority="28">
      <formula>$K$172 &gt; 0</formula>
    </cfRule>
    <cfRule type="expression" dxfId="1286" priority="29">
      <formula>$K$172 = 0</formula>
    </cfRule>
    <cfRule type="expression" dxfId="1285" priority="30">
      <formula>$K$172 &lt; 0</formula>
    </cfRule>
  </conditionalFormatting>
  <conditionalFormatting sqref="M150:O151 N172:O172">
    <cfRule type="expression" dxfId="1284" priority="25">
      <formula>$N$172 &gt; 0</formula>
    </cfRule>
    <cfRule type="expression" dxfId="1283" priority="26">
      <formula>$N$172 = 0</formula>
    </cfRule>
    <cfRule type="expression" dxfId="1282" priority="27">
      <formula>$N$172 &lt; 0</formula>
    </cfRule>
  </conditionalFormatting>
  <conditionalFormatting sqref="A179:C198 M179:O198">
    <cfRule type="expression" dxfId="1281" priority="13">
      <formula>AND($N179 &gt; 0, ISNUMBER($N179))</formula>
    </cfRule>
    <cfRule type="expression" dxfId="1280" priority="14">
      <formula>AND($N179 = 0 * ISNUMBER($N179))</formula>
    </cfRule>
    <cfRule type="expression" dxfId="1279" priority="15">
      <formula>AND($N179 &lt; 0, ISNUMBER($N179))</formula>
    </cfRule>
  </conditionalFormatting>
  <conditionalFormatting sqref="A179:F198">
    <cfRule type="expression" dxfId="1278" priority="22">
      <formula>AND($E179 &gt; 0, ISNUMBER($E179))</formula>
    </cfRule>
    <cfRule type="expression" dxfId="1277" priority="23">
      <formula>AND($E179 = 0 * ISNUMBER($E179))</formula>
    </cfRule>
    <cfRule type="expression" dxfId="1276" priority="24">
      <formula>AND($E179 &lt; 0, ISNUMBER($E179))</formula>
    </cfRule>
  </conditionalFormatting>
  <conditionalFormatting sqref="A179:C198 G179:I198">
    <cfRule type="expression" dxfId="1275" priority="19">
      <formula>AND($H179 &gt; 0, ISNUMBER($H179))</formula>
    </cfRule>
    <cfRule type="expression" dxfId="1274" priority="20">
      <formula>AND($H179 = 0 * ISNUMBER($H179))</formula>
    </cfRule>
    <cfRule type="expression" dxfId="1273" priority="21">
      <formula>AND($H179 &lt; 0, ISNUMBER($H179))</formula>
    </cfRule>
  </conditionalFormatting>
  <conditionalFormatting sqref="A179:C198 J179:L198">
    <cfRule type="expression" dxfId="1272" priority="16">
      <formula>AND($K179 &gt; 0, ISNUMBER($K179))</formula>
    </cfRule>
    <cfRule type="expression" dxfId="1271" priority="17">
      <formula>AND($K179 = 0 * ISNUMBER($K179))</formula>
    </cfRule>
    <cfRule type="expression" dxfId="1270" priority="18">
      <formula>AND($K179 &lt; 0, ISNUMBER($K179))</formula>
    </cfRule>
  </conditionalFormatting>
  <conditionalFormatting sqref="D177:F178 E199:F199">
    <cfRule type="expression" dxfId="1269" priority="10">
      <formula>$E$199 &gt; 0</formula>
    </cfRule>
    <cfRule type="expression" dxfId="1268" priority="11">
      <formula>$E$199 = 0</formula>
    </cfRule>
    <cfRule type="expression" dxfId="1267" priority="12">
      <formula>$E$199 &lt; 0</formula>
    </cfRule>
  </conditionalFormatting>
  <conditionalFormatting sqref="G177:I178 H199:I199">
    <cfRule type="expression" dxfId="1266" priority="7">
      <formula>$H$199 &gt; 0</formula>
    </cfRule>
    <cfRule type="expression" dxfId="1265" priority="8">
      <formula>$H$199 = 0</formula>
    </cfRule>
    <cfRule type="expression" dxfId="1264" priority="9">
      <formula>$H$199 &lt; 0</formula>
    </cfRule>
  </conditionalFormatting>
  <conditionalFormatting sqref="J177:L178 K199:L199">
    <cfRule type="expression" dxfId="1263" priority="4">
      <formula>$K$199 &gt; 0</formula>
    </cfRule>
    <cfRule type="expression" dxfId="1262" priority="5">
      <formula>$K$199 = 0</formula>
    </cfRule>
    <cfRule type="expression" dxfId="1261" priority="6">
      <formula>$K$199 &lt; 0</formula>
    </cfRule>
  </conditionalFormatting>
  <conditionalFormatting sqref="M177:O178 N199:O199">
    <cfRule type="expression" dxfId="1260" priority="1">
      <formula>$N$199 &gt; 0</formula>
    </cfRule>
    <cfRule type="expression" dxfId="1259" priority="2">
      <formula>$N$199 = 0</formula>
    </cfRule>
    <cfRule type="expression" dxfId="12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4" t="s">
        <v>0</v>
      </c>
      <c r="B1" s="235"/>
      <c r="C1" s="235"/>
      <c r="D1" s="235"/>
      <c r="E1" s="235"/>
      <c r="F1" s="236"/>
      <c r="G1" s="265">
        <v>44354</v>
      </c>
      <c r="H1" s="266"/>
      <c r="I1" s="267"/>
      <c r="J1" s="234" t="s">
        <v>1</v>
      </c>
      <c r="K1" s="235"/>
      <c r="L1" s="235"/>
      <c r="M1" s="235"/>
      <c r="N1" s="235"/>
      <c r="O1" s="236"/>
      <c r="Q1" s="234" t="s">
        <v>2</v>
      </c>
      <c r="R1" s="236"/>
    </row>
    <row r="2" spans="1:19" ht="17.25" customHeight="1">
      <c r="A2" s="117" t="s">
        <v>3</v>
      </c>
      <c r="B2" s="268" t="s">
        <v>8</v>
      </c>
      <c r="C2" s="269"/>
      <c r="D2" s="269"/>
      <c r="E2" s="269"/>
      <c r="F2" s="270"/>
      <c r="G2" s="262" t="s">
        <v>46</v>
      </c>
      <c r="H2" s="263"/>
      <c r="I2" s="264"/>
      <c r="J2" s="1" t="s">
        <v>3</v>
      </c>
      <c r="K2" s="268" t="s">
        <v>350</v>
      </c>
      <c r="L2" s="269"/>
      <c r="M2" s="269"/>
      <c r="N2" s="269"/>
      <c r="O2" s="270"/>
      <c r="Q2" s="2" t="s">
        <v>6</v>
      </c>
      <c r="R2" s="3">
        <v>0.375</v>
      </c>
    </row>
    <row r="3" spans="1:19" ht="17.25" customHeight="1" thickBot="1">
      <c r="A3" s="118" t="s">
        <v>7</v>
      </c>
      <c r="B3" s="259" t="s">
        <v>358</v>
      </c>
      <c r="C3" s="260"/>
      <c r="D3" s="260"/>
      <c r="E3" s="260"/>
      <c r="F3" s="261"/>
      <c r="G3" s="25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256"/>
      <c r="I3" s="257"/>
      <c r="J3" s="4" t="s">
        <v>7</v>
      </c>
      <c r="K3" s="259" t="s">
        <v>351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9" t="s">
        <v>16</v>
      </c>
      <c r="C4" s="260"/>
      <c r="D4" s="260"/>
      <c r="E4" s="260"/>
      <c r="F4" s="261"/>
      <c r="G4" s="262" t="s">
        <v>44</v>
      </c>
      <c r="H4" s="263"/>
      <c r="I4" s="264"/>
      <c r="J4" s="4" t="s">
        <v>11</v>
      </c>
      <c r="K4" s="259" t="s">
        <v>352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9" t="s">
        <v>349</v>
      </c>
      <c r="C5" s="260"/>
      <c r="D5" s="260"/>
      <c r="E5" s="260"/>
      <c r="F5" s="261"/>
      <c r="G5" s="25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256"/>
      <c r="I5" s="257"/>
      <c r="J5" s="4" t="s">
        <v>15</v>
      </c>
      <c r="K5" s="259" t="s">
        <v>353</v>
      </c>
      <c r="L5" s="260"/>
      <c r="M5" s="260"/>
      <c r="N5" s="260"/>
      <c r="O5" s="261"/>
    </row>
    <row r="6" spans="1:19">
      <c r="A6" s="118" t="s">
        <v>18</v>
      </c>
      <c r="B6" s="259"/>
      <c r="C6" s="260"/>
      <c r="D6" s="260"/>
      <c r="E6" s="260"/>
      <c r="F6" s="261"/>
      <c r="G6" s="262" t="s">
        <v>45</v>
      </c>
      <c r="H6" s="263"/>
      <c r="I6" s="264"/>
      <c r="J6" s="4" t="s">
        <v>18</v>
      </c>
      <c r="K6" s="259" t="s">
        <v>354</v>
      </c>
      <c r="L6" s="260"/>
      <c r="M6" s="260"/>
      <c r="N6" s="260"/>
      <c r="O6" s="261"/>
    </row>
    <row r="7" spans="1:19" ht="17.25" thickBot="1">
      <c r="A7" s="118" t="s">
        <v>21</v>
      </c>
      <c r="B7" s="259"/>
      <c r="C7" s="260"/>
      <c r="D7" s="260"/>
      <c r="E7" s="260"/>
      <c r="F7" s="261"/>
      <c r="G7" s="25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256"/>
      <c r="I7" s="257"/>
      <c r="J7" s="4" t="s">
        <v>21</v>
      </c>
      <c r="K7" s="259" t="s">
        <v>355</v>
      </c>
      <c r="L7" s="260"/>
      <c r="M7" s="260"/>
      <c r="N7" s="260"/>
      <c r="O7" s="261"/>
    </row>
    <row r="8" spans="1:19" ht="17.25" thickBot="1">
      <c r="A8" s="118" t="s">
        <v>24</v>
      </c>
      <c r="B8" s="259"/>
      <c r="C8" s="260"/>
      <c r="D8" s="260"/>
      <c r="E8" s="260"/>
      <c r="F8" s="261"/>
      <c r="G8" s="262" t="s">
        <v>285</v>
      </c>
      <c r="H8" s="263"/>
      <c r="I8" s="264"/>
      <c r="J8" s="4" t="s">
        <v>24</v>
      </c>
      <c r="K8" s="259"/>
      <c r="L8" s="260"/>
      <c r="M8" s="260"/>
      <c r="N8" s="260"/>
      <c r="O8" s="261"/>
      <c r="Q8" s="234" t="s">
        <v>27</v>
      </c>
      <c r="R8" s="236"/>
    </row>
    <row r="9" spans="1:19" ht="17.25" thickBot="1">
      <c r="A9" s="118" t="s">
        <v>28</v>
      </c>
      <c r="B9" s="259"/>
      <c r="C9" s="260"/>
      <c r="D9" s="260"/>
      <c r="E9" s="260"/>
      <c r="F9" s="261"/>
      <c r="G9" s="25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256"/>
      <c r="I9" s="257"/>
      <c r="J9" s="4" t="s">
        <v>28</v>
      </c>
      <c r="K9" s="259"/>
      <c r="L9" s="260"/>
      <c r="M9" s="260"/>
      <c r="N9" s="260"/>
      <c r="O9" s="261"/>
      <c r="Q9" s="2" t="s">
        <v>29</v>
      </c>
      <c r="R9" s="6">
        <v>10</v>
      </c>
    </row>
    <row r="10" spans="1:19">
      <c r="A10" s="118" t="s">
        <v>30</v>
      </c>
      <c r="B10" s="259"/>
      <c r="C10" s="260"/>
      <c r="D10" s="260"/>
      <c r="E10" s="260"/>
      <c r="F10" s="261"/>
      <c r="G10" s="262" t="s">
        <v>47</v>
      </c>
      <c r="H10" s="263"/>
      <c r="I10" s="264"/>
      <c r="J10" s="4" t="s">
        <v>30</v>
      </c>
      <c r="K10" s="259" t="s">
        <v>356</v>
      </c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119" t="s">
        <v>32</v>
      </c>
      <c r="B11" s="252" t="s">
        <v>357</v>
      </c>
      <c r="C11" s="253"/>
      <c r="D11" s="253"/>
      <c r="E11" s="253"/>
      <c r="F11" s="254"/>
      <c r="G11" s="25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256"/>
      <c r="I11" s="257"/>
      <c r="J11" s="7" t="s">
        <v>32</v>
      </c>
      <c r="K11" s="252" t="s">
        <v>348</v>
      </c>
      <c r="L11" s="253"/>
      <c r="M11" s="253"/>
      <c r="N11" s="253"/>
      <c r="O11" s="254"/>
      <c r="Q11" s="65" t="s">
        <v>33</v>
      </c>
      <c r="R11" s="8">
        <v>1000</v>
      </c>
    </row>
    <row r="12" spans="1:19" ht="17.25" thickBot="1"/>
    <row r="13" spans="1:19" ht="17.25" customHeight="1" thickBot="1">
      <c r="A13" s="234" t="s">
        <v>34</v>
      </c>
      <c r="B13" s="235"/>
      <c r="C13" s="235"/>
      <c r="D13" s="235"/>
      <c r="E13" s="235"/>
      <c r="F13" s="235"/>
      <c r="G13" s="235"/>
      <c r="H13" s="235"/>
      <c r="I13" s="235"/>
      <c r="J13" s="235"/>
      <c r="K13" s="235"/>
      <c r="L13" s="235"/>
      <c r="M13" s="235"/>
      <c r="N13" s="235"/>
      <c r="O13" s="236"/>
      <c r="Q13" s="233"/>
      <c r="R13" s="233"/>
      <c r="S13" s="233"/>
    </row>
    <row r="14" spans="1:19" ht="17.25" customHeight="1" thickBot="1">
      <c r="A14" s="184" t="s">
        <v>35</v>
      </c>
      <c r="B14" s="234" t="s">
        <v>36</v>
      </c>
      <c r="C14" s="236"/>
      <c r="D14" s="234" t="s">
        <v>37</v>
      </c>
      <c r="E14" s="235"/>
      <c r="F14" s="236"/>
      <c r="G14" s="237">
        <f>_xlfn.IFNA(VLOOKUP(B14, 현재가테이블!$B$2:$D$200, 2, FALSE), "-")</f>
        <v>41418000</v>
      </c>
      <c r="H14" s="238"/>
      <c r="I14" s="239"/>
      <c r="J14" s="234" t="s">
        <v>38</v>
      </c>
      <c r="K14" s="235"/>
      <c r="L14" s="236"/>
      <c r="M14" s="240">
        <f>_xlfn.IFNA(VLOOKUP(B14, 현재가테이블!$B$2:$D$200, 3, FALSE), "-")</f>
        <v>-5.2176301000000001E-2</v>
      </c>
      <c r="N14" s="241"/>
      <c r="O14" s="242"/>
      <c r="Q14" s="233"/>
      <c r="R14" s="233"/>
      <c r="S14" s="233"/>
    </row>
    <row r="15" spans="1:19" ht="17.25" customHeight="1" thickBot="1">
      <c r="A15" s="271" t="s">
        <v>39</v>
      </c>
      <c r="B15" s="272" t="str">
        <f>TEXT($G$1, "[$-ko-KR]yyyy-mm-dd(ddd) ") &amp; "오전 00:00"</f>
        <v>2021-06-07(월) 오전 00:00</v>
      </c>
      <c r="C15" s="273"/>
      <c r="D15" s="247" t="str">
        <f>TEXT($G$1, "[$-ko-KR]yyyy-mm-dd(ddd) ") &amp; "오후 14:00"</f>
        <v>2021-06-07(월) 오후 14:00</v>
      </c>
      <c r="E15" s="248"/>
      <c r="F15" s="249"/>
      <c r="G15" s="247" t="str">
        <f>TEXT($G$1, "[$-ko-KR]yyyy-mm-dd(ddd) ") &amp; "오후 19:00"</f>
        <v>2021-06-07(월) 오후 19:00</v>
      </c>
      <c r="H15" s="248"/>
      <c r="I15" s="249"/>
      <c r="J15" s="247" t="str">
        <f>TEXT($G$1, "[$-ko-KR]yyyy-mm-dd(ddd) ") &amp; "오후 21:00"</f>
        <v>2021-06-07(월) 오후 21:00</v>
      </c>
      <c r="K15" s="248"/>
      <c r="L15" s="249"/>
      <c r="M15" s="247" t="str">
        <f>TEXT($G$1+1, "[$-ko-KR]yyyy-mm-dd(ddd) ") &amp; "오전 00:00"</f>
        <v>2021-06-08(화) 오전 00:00</v>
      </c>
      <c r="N15" s="248"/>
      <c r="O15" s="249"/>
      <c r="Q15" s="233"/>
      <c r="R15" s="233"/>
      <c r="S15" s="233"/>
    </row>
    <row r="16" spans="1:19" ht="17.25" customHeight="1" thickBot="1">
      <c r="A16" s="27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33"/>
      <c r="R17" s="233"/>
      <c r="S17" s="23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33"/>
      <c r="R18" s="233"/>
      <c r="S18" s="233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23"/>
      <c r="R19" s="223"/>
      <c r="S19" s="223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23"/>
      <c r="R20" s="223"/>
      <c r="S20" s="223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23"/>
      <c r="R21" s="223"/>
      <c r="S21" s="223"/>
    </row>
    <row r="22" spans="1:19" ht="17.25" customHeight="1" thickBot="1">
      <c r="A22" s="162" t="s">
        <v>192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23"/>
      <c r="R22" s="223"/>
      <c r="S22" s="223"/>
    </row>
    <row r="23" spans="1:19" ht="17.25" customHeight="1" thickBot="1">
      <c r="A23" s="162" t="s">
        <v>200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23"/>
      <c r="R23" s="223"/>
      <c r="S23" s="223"/>
    </row>
    <row r="24" spans="1:19" ht="17.25" customHeight="1" thickBot="1">
      <c r="A24" s="162" t="s">
        <v>166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23"/>
      <c r="R24" s="223"/>
      <c r="S24" s="223"/>
    </row>
    <row r="25" spans="1:19" ht="17.25" customHeight="1" thickBot="1">
      <c r="A25" s="162" t="s">
        <v>228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24"/>
      <c r="R26" s="225"/>
      <c r="S26" s="226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227"/>
      <c r="R27" s="228"/>
      <c r="S27" s="229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230"/>
      <c r="R28" s="231"/>
      <c r="S28" s="232"/>
    </row>
    <row r="29" spans="1:19" ht="17.25" customHeight="1" thickBot="1">
      <c r="A29" s="162" t="s">
        <v>202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23"/>
      <c r="R29" s="223"/>
      <c r="S29" s="223"/>
    </row>
    <row r="30" spans="1:19" ht="17.25" customHeight="1" thickBot="1">
      <c r="A30" s="162" t="s">
        <v>194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33"/>
      <c r="R30" s="233"/>
      <c r="S30" s="233"/>
    </row>
    <row r="31" spans="1:19" ht="17.25" customHeight="1" thickBot="1">
      <c r="A31" s="163" t="s">
        <v>220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33"/>
      <c r="R31" s="233"/>
      <c r="S31" s="23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3"/>
      <c r="R32" s="223"/>
      <c r="S32" s="22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2"/>
      <c r="R35" s="213"/>
      <c r="S35" s="2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5"/>
      <c r="R36" s="216"/>
      <c r="S36" s="217"/>
    </row>
    <row r="37" spans="1:19" ht="17.25" customHeight="1" thickBot="1">
      <c r="A37" s="132" t="s">
        <v>42</v>
      </c>
      <c r="B37" s="276">
        <v>100000</v>
      </c>
      <c r="C37" s="277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218"/>
      <c r="R37" s="219"/>
      <c r="S37" s="220"/>
    </row>
    <row r="38" spans="1:19" ht="17.25" customHeight="1"/>
    <row r="39" spans="1:19" ht="17.25" customHeight="1" thickBot="1"/>
    <row r="40" spans="1:19" ht="17.25" customHeight="1" thickBot="1">
      <c r="A40" s="234" t="s">
        <v>44</v>
      </c>
      <c r="B40" s="235"/>
      <c r="C40" s="235"/>
      <c r="D40" s="235"/>
      <c r="E40" s="235"/>
      <c r="F40" s="235"/>
      <c r="G40" s="235"/>
      <c r="H40" s="235"/>
      <c r="I40" s="235"/>
      <c r="J40" s="235"/>
      <c r="K40" s="235"/>
      <c r="L40" s="235"/>
      <c r="M40" s="235"/>
      <c r="N40" s="235"/>
      <c r="O40" s="236"/>
      <c r="Q40" s="233"/>
      <c r="R40" s="233"/>
      <c r="S40" s="233"/>
    </row>
    <row r="41" spans="1:19" ht="17.25" customHeight="1" thickBot="1">
      <c r="A41" s="184" t="s">
        <v>297</v>
      </c>
      <c r="B41" s="234" t="s">
        <v>49</v>
      </c>
      <c r="C41" s="236"/>
      <c r="D41" s="234" t="s">
        <v>58</v>
      </c>
      <c r="E41" s="235"/>
      <c r="F41" s="236"/>
      <c r="G41" s="237">
        <f>_xlfn.IFNA(VLOOKUP(B41, 현재가테이블!$B$2:$D$200, 2, FALSE), "-")</f>
        <v>41418000</v>
      </c>
      <c r="H41" s="238"/>
      <c r="I41" s="239"/>
      <c r="J41" s="234" t="s">
        <v>59</v>
      </c>
      <c r="K41" s="235"/>
      <c r="L41" s="236"/>
      <c r="M41" s="240">
        <f>_xlfn.IFNA(VLOOKUP(B41, 현재가테이블!$B$2:$D$200, 3, FALSE), "-")</f>
        <v>-5.2176301000000001E-2</v>
      </c>
      <c r="N41" s="241"/>
      <c r="O41" s="242"/>
      <c r="Q41" s="233"/>
      <c r="R41" s="233"/>
      <c r="S41" s="233"/>
    </row>
    <row r="42" spans="1:19" ht="17.25" customHeight="1" thickBot="1">
      <c r="A42" s="278" t="s">
        <v>55</v>
      </c>
      <c r="B42" s="274" t="str">
        <f>TEXT($G$1, "[$-ko-KR]yyyy-mm-dd(ddd) ") &amp; "오전 00:00"</f>
        <v>2021-06-07(월) 오전 00:00</v>
      </c>
      <c r="C42" s="275"/>
      <c r="D42" s="247" t="str">
        <f>TEXT($G$1, "[$-ko-KR]yyyy-mm-dd(ddd) ") &amp; "오후 14:00"</f>
        <v>2021-06-07(월) 오후 14:00</v>
      </c>
      <c r="E42" s="248"/>
      <c r="F42" s="249"/>
      <c r="G42" s="247" t="str">
        <f>TEXT($G$1, "[$-ko-KR]yyyy-mm-dd(ddd) ") &amp; "오후 19:00"</f>
        <v>2021-06-07(월) 오후 19:00</v>
      </c>
      <c r="H42" s="248"/>
      <c r="I42" s="249"/>
      <c r="J42" s="247" t="str">
        <f>TEXT($G$1, "[$-ko-KR]yyyy-mm-dd(ddd) ") &amp; "오후 21:00"</f>
        <v>2021-06-07(월) 오후 21:00</v>
      </c>
      <c r="K42" s="248"/>
      <c r="L42" s="249"/>
      <c r="M42" s="247" t="str">
        <f>TEXT($G$1+1, "[$-ko-KR]yyyy-mm-dd(ddd) ") &amp; "오전 00:00"</f>
        <v>2021-06-08(화) 오전 00:00</v>
      </c>
      <c r="N42" s="248"/>
      <c r="O42" s="249"/>
      <c r="Q42" s="233"/>
      <c r="R42" s="233"/>
      <c r="S42" s="233"/>
    </row>
    <row r="43" spans="1:19" ht="17.25" customHeight="1" thickBot="1">
      <c r="A43" s="279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5" t="s">
        <v>58</v>
      </c>
      <c r="H43" s="186" t="s">
        <v>298</v>
      </c>
      <c r="I43" s="18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3"/>
      <c r="R43" s="223"/>
      <c r="S43" s="223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33"/>
      <c r="R44" s="233"/>
      <c r="S44" s="233"/>
    </row>
    <row r="45" spans="1:19" ht="17.25" customHeight="1" thickBot="1">
      <c r="A45" s="162" t="s">
        <v>228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33"/>
      <c r="R45" s="233"/>
      <c r="S45" s="233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23"/>
      <c r="R46" s="223"/>
      <c r="S46" s="223"/>
    </row>
    <row r="47" spans="1:19" ht="17.25" customHeight="1" thickBot="1">
      <c r="A47" s="162" t="s">
        <v>220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23"/>
      <c r="R47" s="223"/>
      <c r="S47" s="223"/>
    </row>
    <row r="48" spans="1:19" ht="17.25" customHeight="1" thickBot="1">
      <c r="A48" s="163" t="s">
        <v>266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23"/>
      <c r="R48" s="223"/>
      <c r="S48" s="223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23"/>
      <c r="R49" s="223"/>
      <c r="S49" s="223"/>
    </row>
    <row r="50" spans="1:19" ht="17.25" customHeight="1" thickBot="1">
      <c r="A50" s="162" t="s">
        <v>278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23"/>
      <c r="R50" s="223"/>
      <c r="S50" s="223"/>
    </row>
    <row r="51" spans="1:19" ht="17.25" customHeight="1" thickBot="1">
      <c r="A51" s="162" t="s">
        <v>196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23"/>
      <c r="R51" s="223"/>
      <c r="S51" s="223"/>
    </row>
    <row r="52" spans="1:19" ht="17.25" customHeight="1" thickBot="1">
      <c r="A52" s="162" t="s">
        <v>268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214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24"/>
      <c r="R53" s="225"/>
      <c r="S53" s="226"/>
    </row>
    <row r="54" spans="1:19" ht="17.25" customHeight="1">
      <c r="A54" s="161" t="s">
        <v>186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227"/>
      <c r="R54" s="228"/>
      <c r="S54" s="229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230"/>
      <c r="R55" s="231"/>
      <c r="S55" s="232"/>
    </row>
    <row r="56" spans="1:19" ht="17.25" customHeight="1" thickBot="1">
      <c r="A56" s="162" t="s">
        <v>198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23"/>
      <c r="R56" s="223"/>
      <c r="S56" s="223"/>
    </row>
    <row r="57" spans="1:19" ht="17.25" customHeight="1" thickBot="1">
      <c r="A57" s="162" t="s">
        <v>218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33"/>
      <c r="R57" s="233"/>
      <c r="S57" s="233"/>
    </row>
    <row r="58" spans="1:19" ht="17.25" customHeight="1" thickBot="1">
      <c r="A58" s="163" t="s">
        <v>254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33"/>
      <c r="R58" s="233"/>
      <c r="S58" s="233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23"/>
      <c r="R59" s="223"/>
      <c r="S59" s="223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23"/>
      <c r="R60" s="223"/>
      <c r="S60" s="223"/>
    </row>
    <row r="61" spans="1:19" ht="17.25" customHeight="1" thickBot="1">
      <c r="A61" s="162" t="s">
        <v>264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23"/>
      <c r="R61" s="223"/>
      <c r="S61" s="223"/>
    </row>
    <row r="62" spans="1:19" ht="17.25" customHeight="1">
      <c r="A62" s="162" t="s">
        <v>260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212"/>
      <c r="R62" s="213"/>
      <c r="S62" s="214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215"/>
      <c r="R63" s="216"/>
      <c r="S63" s="217"/>
    </row>
    <row r="64" spans="1:19" ht="17.25" customHeight="1" thickBot="1">
      <c r="A64" s="132" t="s">
        <v>300</v>
      </c>
      <c r="B64" s="276">
        <f>$B$37</f>
        <v>100000</v>
      </c>
      <c r="C64" s="277"/>
      <c r="D64" s="26" t="s">
        <v>301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301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301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301</v>
      </c>
      <c r="N64" s="27">
        <f>IF(COUNT(N44:N63), SUM(N44:N63) / COUNT(N44:N63), 0)</f>
        <v>1.3848662110890369E-2</v>
      </c>
      <c r="O64" s="28">
        <f>SUM(O44:O63)</f>
        <v>27697.324221780742</v>
      </c>
      <c r="Q64" s="218"/>
      <c r="R64" s="219"/>
      <c r="S64" s="220"/>
    </row>
    <row r="65" spans="1:19" ht="17.25" customHeight="1"/>
    <row r="66" spans="1:19" ht="17.25" customHeight="1" thickBot="1"/>
    <row r="67" spans="1:19" ht="17.25" thickBot="1">
      <c r="A67" s="234" t="s">
        <v>45</v>
      </c>
      <c r="B67" s="235"/>
      <c r="C67" s="235"/>
      <c r="D67" s="235"/>
      <c r="E67" s="235"/>
      <c r="F67" s="235"/>
      <c r="G67" s="235"/>
      <c r="H67" s="235"/>
      <c r="I67" s="235"/>
      <c r="J67" s="235"/>
      <c r="K67" s="235"/>
      <c r="L67" s="235"/>
      <c r="M67" s="235"/>
      <c r="N67" s="235"/>
      <c r="O67" s="236"/>
      <c r="Q67" s="233"/>
      <c r="R67" s="233"/>
      <c r="S67" s="233"/>
    </row>
    <row r="68" spans="1:19" ht="17.25" thickBot="1">
      <c r="A68" s="184" t="s">
        <v>297</v>
      </c>
      <c r="B68" s="234" t="s">
        <v>49</v>
      </c>
      <c r="C68" s="236"/>
      <c r="D68" s="234" t="s">
        <v>58</v>
      </c>
      <c r="E68" s="235"/>
      <c r="F68" s="236"/>
      <c r="G68" s="237">
        <f>_xlfn.IFNA(VLOOKUP(B68, 현재가테이블!$B$2:$D$200, 2, FALSE), "-")</f>
        <v>41418000</v>
      </c>
      <c r="H68" s="238"/>
      <c r="I68" s="239"/>
      <c r="J68" s="234" t="s">
        <v>59</v>
      </c>
      <c r="K68" s="235"/>
      <c r="L68" s="236"/>
      <c r="M68" s="240">
        <f>_xlfn.IFNA(VLOOKUP(B68, 현재가테이블!$B$2:$D$200, 3, FALSE), "-")</f>
        <v>-5.2176301000000001E-2</v>
      </c>
      <c r="N68" s="241"/>
      <c r="O68" s="242"/>
      <c r="Q68" s="233"/>
      <c r="R68" s="233"/>
      <c r="S68" s="233"/>
    </row>
    <row r="69" spans="1:19" ht="17.25" thickBot="1">
      <c r="A69" s="278" t="s">
        <v>55</v>
      </c>
      <c r="B69" s="274" t="str">
        <f>TEXT($G$1, "[$-ko-KR]yyyy-mm-dd(ddd) ") &amp; "오전 00:00"</f>
        <v>2021-06-07(월) 오전 00:00</v>
      </c>
      <c r="C69" s="275"/>
      <c r="D69" s="247" t="str">
        <f>TEXT($G$1, "[$-ko-KR]yyyy-mm-dd(ddd) ") &amp; "오후 14:00"</f>
        <v>2021-06-07(월) 오후 14:00</v>
      </c>
      <c r="E69" s="248"/>
      <c r="F69" s="249"/>
      <c r="G69" s="247" t="str">
        <f>TEXT($G$1, "[$-ko-KR]yyyy-mm-dd(ddd) ") &amp; "오후 19:00"</f>
        <v>2021-06-07(월) 오후 19:00</v>
      </c>
      <c r="H69" s="248"/>
      <c r="I69" s="249"/>
      <c r="J69" s="247" t="str">
        <f>TEXT($G$1, "[$-ko-KR]yyyy-mm-dd(ddd) ") &amp; "오후 21:00"</f>
        <v>2021-06-07(월) 오후 21:00</v>
      </c>
      <c r="K69" s="248"/>
      <c r="L69" s="249"/>
      <c r="M69" s="247" t="str">
        <f>TEXT($G$1+1, "[$-ko-KR]yyyy-mm-dd(ddd) ") &amp; "오전 00:00"</f>
        <v>2021-06-08(화) 오전 00:00</v>
      </c>
      <c r="N69" s="248"/>
      <c r="O69" s="249"/>
      <c r="Q69" s="233"/>
      <c r="R69" s="233"/>
      <c r="S69" s="233"/>
    </row>
    <row r="70" spans="1:19" ht="17.25" thickBot="1">
      <c r="A70" s="279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5" t="s">
        <v>58</v>
      </c>
      <c r="H70" s="186" t="s">
        <v>298</v>
      </c>
      <c r="I70" s="18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3"/>
      <c r="R70" s="223"/>
      <c r="S70" s="223"/>
    </row>
    <row r="71" spans="1:19" ht="17.25" thickBot="1">
      <c r="A71" s="161" t="s">
        <v>200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33"/>
      <c r="R71" s="233"/>
      <c r="S71" s="233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33"/>
      <c r="R72" s="233"/>
      <c r="S72" s="233"/>
    </row>
    <row r="73" spans="1:19" ht="17.25" thickBot="1">
      <c r="A73" s="162" t="s">
        <v>202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23"/>
      <c r="R73" s="223"/>
      <c r="S73" s="223"/>
    </row>
    <row r="74" spans="1:19" ht="17.25" thickBot="1">
      <c r="A74" s="162" t="s">
        <v>240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23"/>
      <c r="R74" s="223"/>
      <c r="S74" s="223"/>
    </row>
    <row r="75" spans="1:19" ht="17.25" thickBot="1">
      <c r="A75" s="163" t="s">
        <v>232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23"/>
      <c r="R75" s="223"/>
      <c r="S75" s="223"/>
    </row>
    <row r="76" spans="1:19" ht="17.25" thickBot="1">
      <c r="A76" s="162" t="s">
        <v>250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23"/>
      <c r="R76" s="223"/>
      <c r="S76" s="223"/>
    </row>
    <row r="77" spans="1:19" ht="17.25" thickBot="1">
      <c r="A77" s="162" t="s">
        <v>210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23"/>
      <c r="R77" s="223"/>
      <c r="S77" s="223"/>
    </row>
    <row r="78" spans="1:19" ht="17.25" thickBot="1">
      <c r="A78" s="162" t="s">
        <v>208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23"/>
      <c r="R78" s="223"/>
      <c r="S78" s="223"/>
    </row>
    <row r="79" spans="1:19" ht="17.25" thickBot="1">
      <c r="A79" s="162" t="s">
        <v>174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182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24"/>
      <c r="R80" s="225"/>
      <c r="S80" s="226"/>
    </row>
    <row r="81" spans="1:19">
      <c r="A81" s="161" t="s">
        <v>282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227"/>
      <c r="R81" s="228"/>
      <c r="S81" s="229"/>
    </row>
    <row r="82" spans="1:19" ht="17.25" thickBot="1">
      <c r="A82" s="162" t="s">
        <v>230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230"/>
      <c r="R82" s="231"/>
      <c r="S82" s="232"/>
    </row>
    <row r="83" spans="1:19" ht="17.25" thickBot="1">
      <c r="A83" s="162" t="s">
        <v>256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23"/>
      <c r="R83" s="223"/>
      <c r="S83" s="223"/>
    </row>
    <row r="84" spans="1:19" ht="17.25" thickBot="1">
      <c r="A84" s="162" t="s">
        <v>262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33"/>
      <c r="R84" s="233"/>
      <c r="S84" s="233"/>
    </row>
    <row r="85" spans="1:19" ht="17.25" thickBot="1">
      <c r="A85" s="163" t="s">
        <v>258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33"/>
      <c r="R85" s="233"/>
      <c r="S85" s="233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23"/>
      <c r="R86" s="223"/>
      <c r="S86" s="223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23"/>
      <c r="R87" s="223"/>
      <c r="S87" s="223"/>
    </row>
    <row r="88" spans="1:19" ht="17.25" thickBot="1">
      <c r="A88" s="162" t="s">
        <v>238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23"/>
      <c r="R88" s="223"/>
      <c r="S88" s="223"/>
    </row>
    <row r="89" spans="1:19">
      <c r="A89" s="162" t="s">
        <v>252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212"/>
      <c r="R89" s="213"/>
      <c r="S89" s="214"/>
    </row>
    <row r="90" spans="1:19" ht="17.25" thickBot="1">
      <c r="A90" s="130" t="s">
        <v>168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215"/>
      <c r="R90" s="216"/>
      <c r="S90" s="217"/>
    </row>
    <row r="91" spans="1:19" ht="17.25" thickBot="1">
      <c r="A91" s="132" t="s">
        <v>300</v>
      </c>
      <c r="B91" s="276">
        <f>$B$37</f>
        <v>100000</v>
      </c>
      <c r="C91" s="277"/>
      <c r="D91" s="26" t="s">
        <v>301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301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301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301</v>
      </c>
      <c r="N91" s="27">
        <f>IF(COUNT(N71:N90), SUM(N71:N90) / COUNT(N71:N90), 0)</f>
        <v>2.297050103376317E-2</v>
      </c>
      <c r="O91" s="28">
        <f>SUM(O71:O90)</f>
        <v>45941.002067526351</v>
      </c>
      <c r="Q91" s="218"/>
      <c r="R91" s="219"/>
      <c r="S91" s="220"/>
    </row>
    <row r="93" spans="1:19" ht="17.25" thickBot="1"/>
    <row r="94" spans="1:19" ht="17.25" thickBot="1">
      <c r="A94" s="234" t="s">
        <v>46</v>
      </c>
      <c r="B94" s="235"/>
      <c r="C94" s="235"/>
      <c r="D94" s="235"/>
      <c r="E94" s="235"/>
      <c r="F94" s="235"/>
      <c r="G94" s="235"/>
      <c r="H94" s="235"/>
      <c r="I94" s="235"/>
      <c r="J94" s="235"/>
      <c r="K94" s="235"/>
      <c r="L94" s="235"/>
      <c r="M94" s="235"/>
      <c r="N94" s="235"/>
      <c r="O94" s="236"/>
      <c r="Q94" s="233"/>
      <c r="R94" s="233"/>
      <c r="S94" s="233"/>
    </row>
    <row r="95" spans="1:19" ht="17.25" thickBot="1">
      <c r="A95" s="184" t="s">
        <v>297</v>
      </c>
      <c r="B95" s="234" t="s">
        <v>49</v>
      </c>
      <c r="C95" s="236"/>
      <c r="D95" s="234" t="s">
        <v>58</v>
      </c>
      <c r="E95" s="235"/>
      <c r="F95" s="236"/>
      <c r="G95" s="237">
        <f>_xlfn.IFNA(VLOOKUP(B95, 현재가테이블!$B$2:$D$200, 2, FALSE), "-")</f>
        <v>41418000</v>
      </c>
      <c r="H95" s="238"/>
      <c r="I95" s="239"/>
      <c r="J95" s="234" t="s">
        <v>59</v>
      </c>
      <c r="K95" s="235"/>
      <c r="L95" s="236"/>
      <c r="M95" s="240">
        <f>_xlfn.IFNA(VLOOKUP(B95, 현재가테이블!$B$2:$D$200, 3, FALSE), "-")</f>
        <v>-5.2176301000000001E-2</v>
      </c>
      <c r="N95" s="241"/>
      <c r="O95" s="242"/>
      <c r="Q95" s="233"/>
      <c r="R95" s="233"/>
      <c r="S95" s="233"/>
    </row>
    <row r="96" spans="1:19" ht="17.25" thickBot="1">
      <c r="A96" s="278" t="s">
        <v>55</v>
      </c>
      <c r="B96" s="274" t="str">
        <f>TEXT($G$1, "[$-ko-KR]yyyy-mm-dd(ddd) ") &amp; "오전 00:00"</f>
        <v>2021-06-07(월) 오전 00:00</v>
      </c>
      <c r="C96" s="275"/>
      <c r="D96" s="247" t="str">
        <f>TEXT($G$1, "[$-ko-KR]yyyy-mm-dd(ddd) ") &amp; "오후 14:00"</f>
        <v>2021-06-07(월) 오후 14:00</v>
      </c>
      <c r="E96" s="248"/>
      <c r="F96" s="249"/>
      <c r="G96" s="247" t="str">
        <f>TEXT($G$1, "[$-ko-KR]yyyy-mm-dd(ddd) ") &amp; "오후 19:00"</f>
        <v>2021-06-07(월) 오후 19:00</v>
      </c>
      <c r="H96" s="248"/>
      <c r="I96" s="249"/>
      <c r="J96" s="247" t="str">
        <f>TEXT($G$1, "[$-ko-KR]yyyy-mm-dd(ddd) ") &amp; "오후 21:00"</f>
        <v>2021-06-07(월) 오후 21:00</v>
      </c>
      <c r="K96" s="248"/>
      <c r="L96" s="249"/>
      <c r="M96" s="247" t="str">
        <f>TEXT($G$1+1, "[$-ko-KR]yyyy-mm-dd(ddd) ") &amp; "오전 00:00"</f>
        <v>2021-06-08(화) 오전 00:00</v>
      </c>
      <c r="N96" s="248"/>
      <c r="O96" s="249"/>
      <c r="Q96" s="233"/>
      <c r="R96" s="233"/>
      <c r="S96" s="233"/>
    </row>
    <row r="97" spans="1:19" ht="17.25" thickBot="1">
      <c r="A97" s="279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5" t="s">
        <v>58</v>
      </c>
      <c r="H97" s="186" t="s">
        <v>298</v>
      </c>
      <c r="I97" s="18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3"/>
      <c r="R97" s="223"/>
      <c r="S97" s="223"/>
    </row>
    <row r="98" spans="1:19" ht="17.25" thickBot="1">
      <c r="A98" s="161" t="s">
        <v>190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33"/>
      <c r="R98" s="233"/>
      <c r="S98" s="233"/>
    </row>
    <row r="99" spans="1:19" ht="17.25" thickBot="1">
      <c r="A99" s="162" t="s">
        <v>164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33"/>
      <c r="R99" s="233"/>
      <c r="S99" s="233"/>
    </row>
    <row r="100" spans="1:19" ht="17.25" thickBot="1">
      <c r="A100" s="162" t="s">
        <v>276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23"/>
      <c r="R100" s="223"/>
      <c r="S100" s="223"/>
    </row>
    <row r="101" spans="1:19" ht="17.25" thickBot="1">
      <c r="A101" s="162" t="s">
        <v>180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23"/>
      <c r="R101" s="223"/>
      <c r="S101" s="223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23"/>
      <c r="R102" s="223"/>
      <c r="S102" s="223"/>
    </row>
    <row r="103" spans="1:19" ht="17.25" thickBot="1">
      <c r="A103" s="162" t="s">
        <v>192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23"/>
      <c r="R103" s="223"/>
      <c r="S103" s="223"/>
    </row>
    <row r="104" spans="1:19" ht="17.25" thickBot="1">
      <c r="A104" s="162" t="s">
        <v>200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23"/>
      <c r="R104" s="223"/>
      <c r="S104" s="223"/>
    </row>
    <row r="105" spans="1:19" ht="17.25" thickBot="1">
      <c r="A105" s="162" t="s">
        <v>166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23"/>
      <c r="R105" s="223"/>
      <c r="S105" s="223"/>
    </row>
    <row r="106" spans="1:19" ht="17.25" thickBot="1">
      <c r="A106" s="162" t="s">
        <v>228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24"/>
      <c r="R107" s="225"/>
      <c r="S107" s="226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227"/>
      <c r="R108" s="228"/>
      <c r="S108" s="229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230"/>
      <c r="R109" s="231"/>
      <c r="S109" s="232"/>
    </row>
    <row r="110" spans="1:19" ht="17.25" thickBot="1">
      <c r="A110" s="162" t="s">
        <v>202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23"/>
      <c r="R110" s="223"/>
      <c r="S110" s="223"/>
    </row>
    <row r="111" spans="1:19" ht="17.25" thickBot="1">
      <c r="A111" s="162" t="s">
        <v>194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33"/>
      <c r="R111" s="233"/>
      <c r="S111" s="233"/>
    </row>
    <row r="112" spans="1:19" ht="17.25" thickBot="1">
      <c r="A112" s="163" t="s">
        <v>220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33"/>
      <c r="R112" s="233"/>
      <c r="S112" s="233"/>
    </row>
    <row r="113" spans="1:19" ht="17.25" thickBot="1">
      <c r="A113" s="162" t="s">
        <v>280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23"/>
      <c r="R113" s="223"/>
      <c r="S113" s="223"/>
    </row>
    <row r="114" spans="1:19" ht="17.25" thickBot="1">
      <c r="A114" s="162" t="s">
        <v>240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23"/>
      <c r="R114" s="223"/>
      <c r="S114" s="223"/>
    </row>
    <row r="115" spans="1:19" ht="17.25" thickBot="1">
      <c r="A115" s="162" t="s">
        <v>266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23"/>
      <c r="R115" s="223"/>
      <c r="S115" s="223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212"/>
      <c r="R116" s="213"/>
      <c r="S116" s="214"/>
    </row>
    <row r="117" spans="1:19" ht="17.25" thickBot="1">
      <c r="A117" s="130" t="s">
        <v>272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215"/>
      <c r="R117" s="216"/>
      <c r="S117" s="217"/>
    </row>
    <row r="118" spans="1:19" ht="17.25" thickBot="1">
      <c r="A118" s="132" t="s">
        <v>300</v>
      </c>
      <c r="B118" s="276">
        <f>$B$37</f>
        <v>100000</v>
      </c>
      <c r="C118" s="277"/>
      <c r="D118" s="26" t="s">
        <v>301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301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301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301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218"/>
      <c r="R118" s="219"/>
      <c r="S118" s="220"/>
    </row>
    <row r="120" spans="1:19" ht="17.25" thickBot="1"/>
    <row r="121" spans="1:19" ht="17.25" thickBot="1">
      <c r="A121" s="234" t="s">
        <v>288</v>
      </c>
      <c r="B121" s="235"/>
      <c r="C121" s="235"/>
      <c r="D121" s="235"/>
      <c r="E121" s="235"/>
      <c r="F121" s="235"/>
      <c r="G121" s="235"/>
      <c r="H121" s="235"/>
      <c r="I121" s="235"/>
      <c r="J121" s="235"/>
      <c r="K121" s="235"/>
      <c r="L121" s="235"/>
      <c r="M121" s="235"/>
      <c r="N121" s="235"/>
      <c r="O121" s="236"/>
      <c r="Q121" s="233"/>
      <c r="R121" s="233"/>
      <c r="S121" s="233"/>
    </row>
    <row r="122" spans="1:19" ht="17.25" thickBot="1">
      <c r="A122" s="184" t="s">
        <v>297</v>
      </c>
      <c r="B122" s="234" t="s">
        <v>49</v>
      </c>
      <c r="C122" s="236"/>
      <c r="D122" s="234" t="s">
        <v>58</v>
      </c>
      <c r="E122" s="235"/>
      <c r="F122" s="236"/>
      <c r="G122" s="237">
        <f>_xlfn.IFNA(VLOOKUP(B122, 현재가테이블!$B$2:$D$200, 2, FALSE), "-")</f>
        <v>41418000</v>
      </c>
      <c r="H122" s="238"/>
      <c r="I122" s="239"/>
      <c r="J122" s="234" t="s">
        <v>59</v>
      </c>
      <c r="K122" s="235"/>
      <c r="L122" s="236"/>
      <c r="M122" s="240">
        <f>_xlfn.IFNA(VLOOKUP(B122, 현재가테이블!$B$2:$D$200, 3, FALSE), "-")</f>
        <v>-5.2176301000000001E-2</v>
      </c>
      <c r="N122" s="241"/>
      <c r="O122" s="242"/>
      <c r="Q122" s="233"/>
      <c r="R122" s="233"/>
      <c r="S122" s="233"/>
    </row>
    <row r="123" spans="1:19" ht="17.25" thickBot="1">
      <c r="A123" s="278" t="s">
        <v>55</v>
      </c>
      <c r="B123" s="274" t="str">
        <f>TEXT($G$1, "[$-ko-KR]yyyy-mm-dd(ddd) ") &amp; "오전 00:00"</f>
        <v>2021-06-07(월) 오전 00:00</v>
      </c>
      <c r="C123" s="275"/>
      <c r="D123" s="247" t="str">
        <f>TEXT($G$1, "[$-ko-KR]yyyy-mm-dd(ddd) ") &amp; "오후 14:00"</f>
        <v>2021-06-07(월) 오후 14:00</v>
      </c>
      <c r="E123" s="248"/>
      <c r="F123" s="249"/>
      <c r="G123" s="247" t="str">
        <f>TEXT($G$1, "[$-ko-KR]yyyy-mm-dd(ddd) ") &amp; "오후 19:00"</f>
        <v>2021-06-07(월) 오후 19:00</v>
      </c>
      <c r="H123" s="248"/>
      <c r="I123" s="249"/>
      <c r="J123" s="247" t="str">
        <f>TEXT($G$1, "[$-ko-KR]yyyy-mm-dd(ddd) ") &amp; "오후 21:00"</f>
        <v>2021-06-07(월) 오후 21:00</v>
      </c>
      <c r="K123" s="248"/>
      <c r="L123" s="249"/>
      <c r="M123" s="247" t="str">
        <f>TEXT($G$1+1, "[$-ko-KR]yyyy-mm-dd(ddd) ") &amp; "오전 00:00"</f>
        <v>2021-06-08(화) 오전 00:00</v>
      </c>
      <c r="N123" s="248"/>
      <c r="O123" s="249"/>
      <c r="Q123" s="233"/>
      <c r="R123" s="233"/>
      <c r="S123" s="233"/>
    </row>
    <row r="124" spans="1:19" ht="17.25" thickBot="1">
      <c r="A124" s="279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5" t="s">
        <v>58</v>
      </c>
      <c r="H124" s="186" t="s">
        <v>298</v>
      </c>
      <c r="I124" s="18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3"/>
      <c r="R124" s="223"/>
      <c r="S124" s="223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33"/>
      <c r="R125" s="233"/>
      <c r="S125" s="233"/>
    </row>
    <row r="126" spans="1:19" ht="17.25" thickBot="1">
      <c r="A126" s="162" t="s">
        <v>278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33"/>
      <c r="R126" s="233"/>
      <c r="S126" s="233"/>
    </row>
    <row r="127" spans="1:19" ht="17.25" thickBot="1">
      <c r="A127" s="162" t="s">
        <v>196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23"/>
      <c r="R127" s="223"/>
      <c r="S127" s="223"/>
    </row>
    <row r="128" spans="1:19" ht="17.25" thickBot="1">
      <c r="A128" s="162" t="s">
        <v>268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23"/>
      <c r="R128" s="223"/>
      <c r="S128" s="223"/>
    </row>
    <row r="129" spans="1:19" ht="17.25" thickBot="1">
      <c r="A129" s="163" t="s">
        <v>214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23"/>
      <c r="R129" s="223"/>
      <c r="S129" s="223"/>
    </row>
    <row r="130" spans="1:19" ht="17.25" thickBot="1">
      <c r="A130" s="162" t="s">
        <v>186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23"/>
      <c r="R130" s="223"/>
      <c r="S130" s="223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23"/>
      <c r="R131" s="223"/>
      <c r="S131" s="223"/>
    </row>
    <row r="132" spans="1:19" ht="17.25" thickBot="1">
      <c r="A132" s="162" t="s">
        <v>198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23"/>
      <c r="R132" s="223"/>
      <c r="S132" s="223"/>
    </row>
    <row r="133" spans="1:19" ht="17.25" thickBot="1">
      <c r="A133" s="162" t="s">
        <v>218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254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24"/>
      <c r="R134" s="225"/>
      <c r="S134" s="226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227"/>
      <c r="R135" s="228"/>
      <c r="S135" s="229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230"/>
      <c r="R136" s="231"/>
      <c r="S136" s="232"/>
    </row>
    <row r="137" spans="1:19" ht="17.25" thickBot="1">
      <c r="A137" s="162" t="s">
        <v>264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23"/>
      <c r="R137" s="223"/>
      <c r="S137" s="223"/>
    </row>
    <row r="138" spans="1:19" ht="17.25" thickBot="1">
      <c r="A138" s="162" t="s">
        <v>260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33"/>
      <c r="R138" s="233"/>
      <c r="S138" s="233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33"/>
      <c r="R139" s="233"/>
      <c r="S139" s="233"/>
    </row>
    <row r="140" spans="1:19" ht="17.25" thickBot="1">
      <c r="A140" s="162" t="s">
        <v>212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23"/>
      <c r="R140" s="223"/>
      <c r="S140" s="223"/>
    </row>
    <row r="141" spans="1:19" ht="17.25" thickBot="1">
      <c r="A141" s="162" t="s">
        <v>236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23"/>
      <c r="R141" s="223"/>
      <c r="S141" s="223"/>
    </row>
    <row r="142" spans="1:19" ht="17.25" thickBot="1">
      <c r="A142" s="162" t="s">
        <v>172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23"/>
      <c r="R142" s="223"/>
      <c r="S142" s="223"/>
    </row>
    <row r="143" spans="1:19">
      <c r="A143" s="162" t="s">
        <v>222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212"/>
      <c r="R143" s="213"/>
      <c r="S143" s="214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215"/>
      <c r="R144" s="216"/>
      <c r="S144" s="217"/>
    </row>
    <row r="145" spans="1:19" ht="17.25" thickBot="1">
      <c r="A145" s="132" t="s">
        <v>300</v>
      </c>
      <c r="B145" s="276">
        <f>$B$37</f>
        <v>100000</v>
      </c>
      <c r="C145" s="277"/>
      <c r="D145" s="26" t="s">
        <v>301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301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301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301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218"/>
      <c r="R145" s="219"/>
      <c r="S145" s="220"/>
    </row>
    <row r="147" spans="1:19" ht="17.25" thickBot="1"/>
    <row r="148" spans="1:19" ht="17.25" thickBot="1">
      <c r="A148" s="234" t="s">
        <v>289</v>
      </c>
      <c r="B148" s="235"/>
      <c r="C148" s="235"/>
      <c r="D148" s="235"/>
      <c r="E148" s="235"/>
      <c r="F148" s="235"/>
      <c r="G148" s="235"/>
      <c r="H148" s="235"/>
      <c r="I148" s="235"/>
      <c r="J148" s="235"/>
      <c r="K148" s="235"/>
      <c r="L148" s="235"/>
      <c r="M148" s="235"/>
      <c r="N148" s="235"/>
      <c r="O148" s="236"/>
      <c r="Q148" s="233"/>
      <c r="R148" s="233"/>
      <c r="S148" s="233"/>
    </row>
    <row r="149" spans="1:19" ht="17.25" thickBot="1">
      <c r="A149" s="184" t="s">
        <v>297</v>
      </c>
      <c r="B149" s="234" t="s">
        <v>49</v>
      </c>
      <c r="C149" s="236"/>
      <c r="D149" s="234" t="s">
        <v>58</v>
      </c>
      <c r="E149" s="235"/>
      <c r="F149" s="236"/>
      <c r="G149" s="237">
        <f>_xlfn.IFNA(VLOOKUP(B149, 현재가테이블!$B$2:$D$200, 2, FALSE), "-")</f>
        <v>41418000</v>
      </c>
      <c r="H149" s="238"/>
      <c r="I149" s="239"/>
      <c r="J149" s="234" t="s">
        <v>59</v>
      </c>
      <c r="K149" s="235"/>
      <c r="L149" s="236"/>
      <c r="M149" s="240">
        <f>_xlfn.IFNA(VLOOKUP(B149, 현재가테이블!$B$2:$D$200, 3, FALSE), "-")</f>
        <v>-5.2176301000000001E-2</v>
      </c>
      <c r="N149" s="241"/>
      <c r="O149" s="242"/>
      <c r="Q149" s="233"/>
      <c r="R149" s="233"/>
      <c r="S149" s="233"/>
    </row>
    <row r="150" spans="1:19" ht="17.25" thickBot="1">
      <c r="A150" s="278" t="s">
        <v>55</v>
      </c>
      <c r="B150" s="274" t="str">
        <f>TEXT($G$1, "[$-ko-KR]yyyy-mm-dd(ddd) ") &amp; "오전 00:00"</f>
        <v>2021-06-07(월) 오전 00:00</v>
      </c>
      <c r="C150" s="275"/>
      <c r="D150" s="247" t="str">
        <f>TEXT($G$1, "[$-ko-KR]yyyy-mm-dd(ddd) ") &amp; "오후 14:00"</f>
        <v>2021-06-07(월) 오후 14:00</v>
      </c>
      <c r="E150" s="248"/>
      <c r="F150" s="249"/>
      <c r="G150" s="247" t="str">
        <f>TEXT($G$1, "[$-ko-KR]yyyy-mm-dd(ddd) ") &amp; "오후 19:00"</f>
        <v>2021-06-07(월) 오후 19:00</v>
      </c>
      <c r="H150" s="248"/>
      <c r="I150" s="249"/>
      <c r="J150" s="247" t="str">
        <f>TEXT($G$1, "[$-ko-KR]yyyy-mm-dd(ddd) ") &amp; "오후 21:00"</f>
        <v>2021-06-07(월) 오후 21:00</v>
      </c>
      <c r="K150" s="248"/>
      <c r="L150" s="249"/>
      <c r="M150" s="247" t="str">
        <f>TEXT($G$1+1, "[$-ko-KR]yyyy-mm-dd(ddd) ") &amp; "오전 00:00"</f>
        <v>2021-06-08(화) 오전 00:00</v>
      </c>
      <c r="N150" s="248"/>
      <c r="O150" s="249"/>
      <c r="Q150" s="233"/>
      <c r="R150" s="233"/>
      <c r="S150" s="233"/>
    </row>
    <row r="151" spans="1:19" ht="17.25" thickBot="1">
      <c r="A151" s="279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5" t="s">
        <v>58</v>
      </c>
      <c r="H151" s="186" t="s">
        <v>298</v>
      </c>
      <c r="I151" s="18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3"/>
      <c r="R151" s="223"/>
      <c r="S151" s="223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33"/>
      <c r="R152" s="233"/>
      <c r="S152" s="233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33"/>
      <c r="R153" s="233"/>
      <c r="S153" s="233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23"/>
      <c r="R154" s="223"/>
      <c r="S154" s="223"/>
    </row>
    <row r="155" spans="1:19" ht="17.25" thickBot="1">
      <c r="A155" s="162" t="s">
        <v>284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23"/>
      <c r="R155" s="223"/>
      <c r="S155" s="223"/>
    </row>
    <row r="156" spans="1:19" ht="17.25" thickBot="1">
      <c r="A156" s="163" t="s">
        <v>216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23"/>
      <c r="R156" s="223"/>
      <c r="S156" s="223"/>
    </row>
    <row r="157" spans="1:19" ht="17.25" thickBot="1">
      <c r="A157" s="162" t="s">
        <v>170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23"/>
      <c r="R157" s="223"/>
      <c r="S157" s="223"/>
    </row>
    <row r="158" spans="1:19" ht="17.25" thickBot="1">
      <c r="A158" s="162" t="s">
        <v>234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23"/>
      <c r="R158" s="223"/>
      <c r="S158" s="223"/>
    </row>
    <row r="159" spans="1:19" ht="17.25" thickBot="1">
      <c r="A159" s="162" t="s">
        <v>226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23"/>
      <c r="R159" s="223"/>
      <c r="S159" s="223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246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24"/>
      <c r="R161" s="225"/>
      <c r="S161" s="226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227"/>
      <c r="R162" s="228"/>
      <c r="S162" s="229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230"/>
      <c r="R163" s="231"/>
      <c r="S163" s="232"/>
    </row>
    <row r="164" spans="1:19" ht="17.25" thickBot="1">
      <c r="A164" s="162" t="s">
        <v>270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23"/>
      <c r="R164" s="223"/>
      <c r="S164" s="223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33"/>
      <c r="R165" s="233"/>
      <c r="S165" s="233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33"/>
      <c r="R166" s="233"/>
      <c r="S166" s="233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23"/>
      <c r="R167" s="223"/>
      <c r="S167" s="223"/>
    </row>
    <row r="168" spans="1:19" ht="17.25" thickBot="1">
      <c r="A168" s="162" t="s">
        <v>296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23"/>
      <c r="R168" s="223"/>
      <c r="S168" s="223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23"/>
      <c r="R169" s="223"/>
      <c r="S169" s="223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212"/>
      <c r="R170" s="213"/>
      <c r="S170" s="214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215"/>
      <c r="R171" s="216"/>
      <c r="S171" s="217"/>
    </row>
    <row r="172" spans="1:19" ht="17.25" thickBot="1">
      <c r="A172" s="132" t="s">
        <v>300</v>
      </c>
      <c r="B172" s="276">
        <f>$B$37</f>
        <v>100000</v>
      </c>
      <c r="C172" s="277"/>
      <c r="D172" s="26" t="s">
        <v>301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301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301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301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218"/>
      <c r="R172" s="219"/>
      <c r="S172" s="220"/>
    </row>
    <row r="174" spans="1:19" ht="17.25" thickBot="1"/>
    <row r="175" spans="1:19" ht="17.25" thickBot="1">
      <c r="A175" s="234" t="s">
        <v>285</v>
      </c>
      <c r="B175" s="235"/>
      <c r="C175" s="235"/>
      <c r="D175" s="235"/>
      <c r="E175" s="235"/>
      <c r="F175" s="235"/>
      <c r="G175" s="235"/>
      <c r="H175" s="235"/>
      <c r="I175" s="235"/>
      <c r="J175" s="235"/>
      <c r="K175" s="235"/>
      <c r="L175" s="235"/>
      <c r="M175" s="235"/>
      <c r="N175" s="235"/>
      <c r="O175" s="236"/>
      <c r="Q175" s="233"/>
      <c r="R175" s="233"/>
      <c r="S175" s="233"/>
    </row>
    <row r="176" spans="1:19" ht="17.25" thickBot="1">
      <c r="A176" s="184" t="s">
        <v>297</v>
      </c>
      <c r="B176" s="234" t="s">
        <v>49</v>
      </c>
      <c r="C176" s="236"/>
      <c r="D176" s="234" t="s">
        <v>58</v>
      </c>
      <c r="E176" s="235"/>
      <c r="F176" s="236"/>
      <c r="G176" s="237">
        <f>_xlfn.IFNA(VLOOKUP(B176, 현재가테이블!$B$2:$D$200, 2, FALSE), "-")</f>
        <v>41418000</v>
      </c>
      <c r="H176" s="238"/>
      <c r="I176" s="239"/>
      <c r="J176" s="234" t="s">
        <v>59</v>
      </c>
      <c r="K176" s="235"/>
      <c r="L176" s="236"/>
      <c r="M176" s="240">
        <f>_xlfn.IFNA(VLOOKUP(B176, 현재가테이블!$B$2:$D$200, 3, FALSE), "-")</f>
        <v>-5.2176301000000001E-2</v>
      </c>
      <c r="N176" s="241"/>
      <c r="O176" s="242"/>
      <c r="Q176" s="233"/>
      <c r="R176" s="233"/>
      <c r="S176" s="233"/>
    </row>
    <row r="177" spans="1:19" ht="17.25" thickBot="1">
      <c r="A177" s="278" t="s">
        <v>55</v>
      </c>
      <c r="B177" s="274" t="str">
        <f>TEXT($G$1, "[$-ko-KR]yyyy-mm-dd(ddd) ") &amp; "오전 00:00"</f>
        <v>2021-06-07(월) 오전 00:00</v>
      </c>
      <c r="C177" s="275"/>
      <c r="D177" s="247" t="str">
        <f>TEXT($G$1, "[$-ko-KR]yyyy-mm-dd(ddd) ") &amp; "오후 14:00"</f>
        <v>2021-06-07(월) 오후 14:00</v>
      </c>
      <c r="E177" s="248"/>
      <c r="F177" s="249"/>
      <c r="G177" s="247" t="str">
        <f>TEXT($G$1, "[$-ko-KR]yyyy-mm-dd(ddd) ") &amp; "오후 19:00"</f>
        <v>2021-06-07(월) 오후 19:00</v>
      </c>
      <c r="H177" s="248"/>
      <c r="I177" s="249"/>
      <c r="J177" s="247" t="str">
        <f>TEXT($G$1, "[$-ko-KR]yyyy-mm-dd(ddd) ") &amp; "오후 21:00"</f>
        <v>2021-06-07(월) 오후 21:00</v>
      </c>
      <c r="K177" s="248"/>
      <c r="L177" s="249"/>
      <c r="M177" s="247" t="str">
        <f>TEXT($G$1+1, "[$-ko-KR]yyyy-mm-dd(ddd) ") &amp; "오전 00:00"</f>
        <v>2021-06-08(화) 오전 00:00</v>
      </c>
      <c r="N177" s="248"/>
      <c r="O177" s="249"/>
      <c r="Q177" s="233"/>
      <c r="R177" s="233"/>
      <c r="S177" s="233"/>
    </row>
    <row r="178" spans="1:19" ht="17.25" thickBot="1">
      <c r="A178" s="279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5" t="s">
        <v>58</v>
      </c>
      <c r="H178" s="186" t="s">
        <v>298</v>
      </c>
      <c r="I178" s="18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3"/>
      <c r="R178" s="223"/>
      <c r="S178" s="223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33"/>
      <c r="R179" s="233"/>
      <c r="S179" s="233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33"/>
      <c r="R180" s="233"/>
      <c r="S180" s="233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23"/>
      <c r="R181" s="223"/>
      <c r="S181" s="223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23"/>
      <c r="R182" s="223"/>
      <c r="S182" s="223"/>
    </row>
    <row r="183" spans="1:19" ht="17.25" thickBot="1">
      <c r="A183" s="163" t="s">
        <v>188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23"/>
      <c r="R183" s="223"/>
      <c r="S183" s="223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23"/>
      <c r="R184" s="223"/>
      <c r="S184" s="223"/>
    </row>
    <row r="185" spans="1:19" ht="17.25" thickBot="1">
      <c r="A185" s="162" t="s">
        <v>274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23"/>
      <c r="R185" s="223"/>
      <c r="S185" s="223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23"/>
      <c r="R186" s="223"/>
      <c r="S186" s="223"/>
    </row>
    <row r="187" spans="1:19" ht="17.25" thickBot="1">
      <c r="A187" s="162" t="s">
        <v>184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222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24"/>
      <c r="R188" s="225"/>
      <c r="S188" s="226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227"/>
      <c r="R189" s="228"/>
      <c r="S189" s="229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230"/>
      <c r="R190" s="231"/>
      <c r="S190" s="232"/>
    </row>
    <row r="191" spans="1:19" ht="17.25" thickBot="1">
      <c r="A191" s="162" t="s">
        <v>296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23"/>
      <c r="R191" s="223"/>
      <c r="S191" s="223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33"/>
      <c r="R192" s="233"/>
      <c r="S192" s="233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33"/>
      <c r="R193" s="233"/>
      <c r="S193" s="233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23"/>
      <c r="R194" s="223"/>
      <c r="S194" s="223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23"/>
      <c r="R195" s="223"/>
      <c r="S195" s="223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23"/>
      <c r="R196" s="223"/>
      <c r="S196" s="223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212"/>
      <c r="R197" s="213"/>
      <c r="S197" s="214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215"/>
      <c r="R198" s="216"/>
      <c r="S198" s="217"/>
    </row>
    <row r="199" spans="1:19" ht="17.25" thickBot="1">
      <c r="A199" s="132" t="s">
        <v>300</v>
      </c>
      <c r="B199" s="276">
        <f>$B$37</f>
        <v>100000</v>
      </c>
      <c r="C199" s="277"/>
      <c r="D199" s="26" t="s">
        <v>301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301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301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301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218"/>
      <c r="R199" s="219"/>
      <c r="S199" s="22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47" priority="157">
      <formula>AND($N17 &gt; 0, ISNUMBER($N17))</formula>
    </cfRule>
    <cfRule type="expression" dxfId="1246" priority="158">
      <formula>AND($N17 = 0 * ISNUMBER($N17))</formula>
    </cfRule>
    <cfRule type="expression" dxfId="1245" priority="159">
      <formula>AND($N17 &lt; 0, ISNUMBER($N17))</formula>
    </cfRule>
  </conditionalFormatting>
  <conditionalFormatting sqref="A17:F36">
    <cfRule type="expression" dxfId="1244" priority="166">
      <formula>AND($E17 &gt; 0, ISNUMBER($E17))</formula>
    </cfRule>
    <cfRule type="expression" dxfId="1243" priority="167">
      <formula>AND($E17 = 0 * ISNUMBER($E17))</formula>
    </cfRule>
    <cfRule type="expression" dxfId="1242" priority="168">
      <formula>AND($E17 &lt; 0, ISNUMBER($E17))</formula>
    </cfRule>
  </conditionalFormatting>
  <conditionalFormatting sqref="A17:C36 G17:I36">
    <cfRule type="expression" dxfId="1241" priority="163">
      <formula>AND($H17 &gt; 0, ISNUMBER($H17))</formula>
    </cfRule>
    <cfRule type="expression" dxfId="1240" priority="164">
      <formula>AND($H17 = 0 * ISNUMBER($H17))</formula>
    </cfRule>
    <cfRule type="expression" dxfId="1239" priority="165">
      <formula>AND($H17 &lt; 0, ISNUMBER($H17))</formula>
    </cfRule>
  </conditionalFormatting>
  <conditionalFormatting sqref="A17:C36 J17:L36">
    <cfRule type="expression" dxfId="1238" priority="160">
      <formula>AND($K17 &gt; 0, ISNUMBER($K17))</formula>
    </cfRule>
    <cfRule type="expression" dxfId="1237" priority="161">
      <formula>AND($K17 = 0 * ISNUMBER($K17))</formula>
    </cfRule>
    <cfRule type="expression" dxfId="1236" priority="162">
      <formula>AND($K17 &lt; 0, ISNUMBER($K17))</formula>
    </cfRule>
  </conditionalFormatting>
  <conditionalFormatting sqref="D15:F16 E37:F37">
    <cfRule type="expression" dxfId="1235" priority="154">
      <formula>$E$37 &gt; 0</formula>
    </cfRule>
    <cfRule type="expression" dxfId="1234" priority="155">
      <formula>$E$37 = 0</formula>
    </cfRule>
    <cfRule type="expression" dxfId="1233" priority="156">
      <formula>$E$37 &lt; 0</formula>
    </cfRule>
  </conditionalFormatting>
  <conditionalFormatting sqref="G15:I16 H37:I37">
    <cfRule type="expression" dxfId="1232" priority="151">
      <formula>$H$37 &gt; 0</formula>
    </cfRule>
    <cfRule type="expression" dxfId="1231" priority="152">
      <formula>$H$37 = 0</formula>
    </cfRule>
    <cfRule type="expression" dxfId="1230" priority="153">
      <formula>$H$37 &lt; 0</formula>
    </cfRule>
  </conditionalFormatting>
  <conditionalFormatting sqref="J15:L16 K37:L37">
    <cfRule type="expression" dxfId="1229" priority="148">
      <formula>$K$37 &gt; 0</formula>
    </cfRule>
    <cfRule type="expression" dxfId="1228" priority="149">
      <formula>$K$37 = 0</formula>
    </cfRule>
    <cfRule type="expression" dxfId="1227" priority="150">
      <formula>$K$37 &lt; 0</formula>
    </cfRule>
  </conditionalFormatting>
  <conditionalFormatting sqref="M15:O16 N37:O37">
    <cfRule type="expression" dxfId="1226" priority="145">
      <formula>$N$37 &gt; 0</formula>
    </cfRule>
    <cfRule type="expression" dxfId="1225" priority="146">
      <formula>$N$37 = 0</formula>
    </cfRule>
    <cfRule type="expression" dxfId="1224" priority="147">
      <formula>$N$37 &lt; 0</formula>
    </cfRule>
  </conditionalFormatting>
  <conditionalFormatting sqref="A44:C63 M44:O63">
    <cfRule type="expression" dxfId="1223" priority="133">
      <formula>AND($N44 &gt; 0, ISNUMBER($N44))</formula>
    </cfRule>
    <cfRule type="expression" dxfId="1222" priority="134">
      <formula>AND($N44 = 0 * ISNUMBER($N44))</formula>
    </cfRule>
    <cfRule type="expression" dxfId="1221" priority="135">
      <formula>AND($N44 &lt; 0, ISNUMBER($N44))</formula>
    </cfRule>
  </conditionalFormatting>
  <conditionalFormatting sqref="A44:F63">
    <cfRule type="expression" dxfId="1220" priority="142">
      <formula>AND($E44 &gt; 0, ISNUMBER($E44))</formula>
    </cfRule>
    <cfRule type="expression" dxfId="1219" priority="143">
      <formula>AND($E44 = 0 * ISNUMBER($E44))</formula>
    </cfRule>
    <cfRule type="expression" dxfId="1218" priority="144">
      <formula>AND($E44 &lt; 0, ISNUMBER($E44))</formula>
    </cfRule>
  </conditionalFormatting>
  <conditionalFormatting sqref="A44:C63 G44:I63">
    <cfRule type="expression" dxfId="1217" priority="139">
      <formula>AND($H44 &gt; 0, ISNUMBER($H44))</formula>
    </cfRule>
    <cfRule type="expression" dxfId="1216" priority="140">
      <formula>AND($H44 = 0 * ISNUMBER($H44))</formula>
    </cfRule>
    <cfRule type="expression" dxfId="1215" priority="141">
      <formula>AND($H44 &lt; 0, ISNUMBER($H44))</formula>
    </cfRule>
  </conditionalFormatting>
  <conditionalFormatting sqref="A44:C63 J44:L63">
    <cfRule type="expression" dxfId="1214" priority="136">
      <formula>AND($K44 &gt; 0, ISNUMBER($K44))</formula>
    </cfRule>
    <cfRule type="expression" dxfId="1213" priority="137">
      <formula>AND($K44 = 0 * ISNUMBER($K44))</formula>
    </cfRule>
    <cfRule type="expression" dxfId="1212" priority="138">
      <formula>AND($K44 &lt; 0, ISNUMBER($K44))</formula>
    </cfRule>
  </conditionalFormatting>
  <conditionalFormatting sqref="D42:F43 E64:F64">
    <cfRule type="expression" dxfId="1211" priority="130">
      <formula>$E$64 &gt; 0</formula>
    </cfRule>
    <cfRule type="expression" dxfId="1210" priority="131">
      <formula>$E$64 = 0</formula>
    </cfRule>
    <cfRule type="expression" dxfId="1209" priority="132">
      <formula>$E$64 &lt; 0</formula>
    </cfRule>
  </conditionalFormatting>
  <conditionalFormatting sqref="G42:I43 H64:I64">
    <cfRule type="expression" dxfId="1208" priority="127">
      <formula>$H$64 &gt; 0</formula>
    </cfRule>
    <cfRule type="expression" dxfId="1207" priority="128">
      <formula>$H$64 = 0</formula>
    </cfRule>
    <cfRule type="expression" dxfId="1206" priority="129">
      <formula>$H$64 &lt; 0</formula>
    </cfRule>
  </conditionalFormatting>
  <conditionalFormatting sqref="J42:L43 K64:L64">
    <cfRule type="expression" dxfId="1205" priority="124">
      <formula>$K$64 &gt; 0</formula>
    </cfRule>
    <cfRule type="expression" dxfId="1204" priority="125">
      <formula>$K$64 = 0</formula>
    </cfRule>
    <cfRule type="expression" dxfId="1203" priority="126">
      <formula>$K$64 &lt; 0</formula>
    </cfRule>
  </conditionalFormatting>
  <conditionalFormatting sqref="M42:O43 N64:O64">
    <cfRule type="expression" dxfId="1202" priority="121">
      <formula>$N$64 &gt; 0</formula>
    </cfRule>
    <cfRule type="expression" dxfId="1201" priority="122">
      <formula>$N$64 = 0</formula>
    </cfRule>
    <cfRule type="expression" dxfId="1200" priority="123">
      <formula>$N$64 &lt; 0</formula>
    </cfRule>
  </conditionalFormatting>
  <conditionalFormatting sqref="A71:C90 M71:O90">
    <cfRule type="expression" dxfId="1199" priority="109">
      <formula>AND($N71 &gt; 0, ISNUMBER($N71))</formula>
    </cfRule>
    <cfRule type="expression" dxfId="1198" priority="110">
      <formula>AND($N71 = 0 * ISNUMBER($N71))</formula>
    </cfRule>
    <cfRule type="expression" dxfId="1197" priority="111">
      <formula>AND($N71 &lt; 0, ISNUMBER($N71))</formula>
    </cfRule>
  </conditionalFormatting>
  <conditionalFormatting sqref="A71:F90">
    <cfRule type="expression" dxfId="1196" priority="118">
      <formula>AND($E71 &gt; 0, ISNUMBER($E71))</formula>
    </cfRule>
    <cfRule type="expression" dxfId="1195" priority="119">
      <formula>AND($E71 = 0 * ISNUMBER($E71))</formula>
    </cfRule>
    <cfRule type="expression" dxfId="1194" priority="120">
      <formula>AND($E71 &lt; 0, ISNUMBER($E71))</formula>
    </cfRule>
  </conditionalFormatting>
  <conditionalFormatting sqref="A71:C90 G71:I90">
    <cfRule type="expression" dxfId="1193" priority="115">
      <formula>AND($H71 &gt; 0, ISNUMBER($H71))</formula>
    </cfRule>
    <cfRule type="expression" dxfId="1192" priority="116">
      <formula>AND($H71 = 0 * ISNUMBER($H71))</formula>
    </cfRule>
    <cfRule type="expression" dxfId="1191" priority="117">
      <formula>AND($H71 &lt; 0, ISNUMBER($H71))</formula>
    </cfRule>
  </conditionalFormatting>
  <conditionalFormatting sqref="A71:C90 J71:L90">
    <cfRule type="expression" dxfId="1190" priority="112">
      <formula>AND($K71 &gt; 0, ISNUMBER($K71))</formula>
    </cfRule>
    <cfRule type="expression" dxfId="1189" priority="113">
      <formula>AND($K71 = 0 * ISNUMBER($K71))</formula>
    </cfRule>
    <cfRule type="expression" dxfId="1188" priority="114">
      <formula>AND($K71 &lt; 0, ISNUMBER($K71))</formula>
    </cfRule>
  </conditionalFormatting>
  <conditionalFormatting sqref="D69:F70 E91:F91">
    <cfRule type="expression" dxfId="1187" priority="106">
      <formula>$E$91 &gt; 0</formula>
    </cfRule>
    <cfRule type="expression" dxfId="1186" priority="107">
      <formula>$E$91 = 0</formula>
    </cfRule>
    <cfRule type="expression" dxfId="1185" priority="108">
      <formula>$E$91 &lt; 0</formula>
    </cfRule>
  </conditionalFormatting>
  <conditionalFormatting sqref="G69:I70 H91:I91">
    <cfRule type="expression" dxfId="1184" priority="103">
      <formula>$H$91 &gt; 0</formula>
    </cfRule>
    <cfRule type="expression" dxfId="1183" priority="104">
      <formula>$H$91 = 0</formula>
    </cfRule>
    <cfRule type="expression" dxfId="1182" priority="105">
      <formula>$H$91 &lt; 0</formula>
    </cfRule>
  </conditionalFormatting>
  <conditionalFormatting sqref="J69:L70 K91:L91">
    <cfRule type="expression" dxfId="1181" priority="100">
      <formula>$K$91 &gt; 0</formula>
    </cfRule>
    <cfRule type="expression" dxfId="1180" priority="101">
      <formula>$K$91 = 0</formula>
    </cfRule>
    <cfRule type="expression" dxfId="1179" priority="102">
      <formula>$K$91 &lt; 0</formula>
    </cfRule>
  </conditionalFormatting>
  <conditionalFormatting sqref="M69:O70 N91:O91">
    <cfRule type="expression" dxfId="1178" priority="97">
      <formula>$N$91 &gt; 0</formula>
    </cfRule>
    <cfRule type="expression" dxfId="1177" priority="98">
      <formula>$N$91 = 0</formula>
    </cfRule>
    <cfRule type="expression" dxfId="1176" priority="99">
      <formula>$N$91 &lt; 0</formula>
    </cfRule>
  </conditionalFormatting>
  <conditionalFormatting sqref="A98:C117 M98:O117">
    <cfRule type="expression" dxfId="1175" priority="85">
      <formula>AND($N98 &gt; 0, ISNUMBER($N98))</formula>
    </cfRule>
    <cfRule type="expression" dxfId="1174" priority="86">
      <formula>AND($N98 = 0 * ISNUMBER($N98))</formula>
    </cfRule>
    <cfRule type="expression" dxfId="1173" priority="87">
      <formula>AND($N98 &lt; 0, ISNUMBER($N98))</formula>
    </cfRule>
  </conditionalFormatting>
  <conditionalFormatting sqref="A98:F117">
    <cfRule type="expression" dxfId="1172" priority="94">
      <formula>AND($E98 &gt; 0, ISNUMBER($E98))</formula>
    </cfRule>
    <cfRule type="expression" dxfId="1171" priority="95">
      <formula>AND($E98 = 0 * ISNUMBER($E98))</formula>
    </cfRule>
    <cfRule type="expression" dxfId="1170" priority="96">
      <formula>AND($E98 &lt; 0, ISNUMBER($E98))</formula>
    </cfRule>
  </conditionalFormatting>
  <conditionalFormatting sqref="A98:C117 G98:I117">
    <cfRule type="expression" dxfId="1169" priority="91">
      <formula>AND($H98 &gt; 0, ISNUMBER($H98))</formula>
    </cfRule>
    <cfRule type="expression" dxfId="1168" priority="92">
      <formula>AND($H98 = 0 * ISNUMBER($H98))</formula>
    </cfRule>
    <cfRule type="expression" dxfId="1167" priority="93">
      <formula>AND($H98 &lt; 0, ISNUMBER($H98))</formula>
    </cfRule>
  </conditionalFormatting>
  <conditionalFormatting sqref="A98:C117 J98:L117">
    <cfRule type="expression" dxfId="1166" priority="88">
      <formula>AND($K98 &gt; 0, ISNUMBER($K98))</formula>
    </cfRule>
    <cfRule type="expression" dxfId="1165" priority="89">
      <formula>AND($K98 = 0 * ISNUMBER($K98))</formula>
    </cfRule>
    <cfRule type="expression" dxfId="1164" priority="90">
      <formula>AND($K98 &lt; 0, ISNUMBER($K98))</formula>
    </cfRule>
  </conditionalFormatting>
  <conditionalFormatting sqref="D96:F97 E118:F118">
    <cfRule type="expression" dxfId="1163" priority="82">
      <formula>$E$118 &gt; 0</formula>
    </cfRule>
    <cfRule type="expression" dxfId="1162" priority="83">
      <formula>$E$118 = 0</formula>
    </cfRule>
    <cfRule type="expression" dxfId="1161" priority="84">
      <formula>$E$118 &lt; 0</formula>
    </cfRule>
  </conditionalFormatting>
  <conditionalFormatting sqref="G96:I97 H118:I118">
    <cfRule type="expression" dxfId="1160" priority="79">
      <formula>$H$118 &gt; 0</formula>
    </cfRule>
    <cfRule type="expression" dxfId="1159" priority="80">
      <formula>$H$118 = 0</formula>
    </cfRule>
    <cfRule type="expression" dxfId="1158" priority="81">
      <formula>$H$118 &lt; 0</formula>
    </cfRule>
  </conditionalFormatting>
  <conditionalFormatting sqref="J96:L97 K118:L118">
    <cfRule type="expression" dxfId="1157" priority="76">
      <formula>$K$118 &gt; 0</formula>
    </cfRule>
    <cfRule type="expression" dxfId="1156" priority="77">
      <formula>$K$118 = 0</formula>
    </cfRule>
    <cfRule type="expression" dxfId="1155" priority="78">
      <formula>$K$118 &lt; 0</formula>
    </cfRule>
  </conditionalFormatting>
  <conditionalFormatting sqref="M96:O97 N118:O118">
    <cfRule type="expression" dxfId="1154" priority="73">
      <formula>$N$118 &gt; 0</formula>
    </cfRule>
    <cfRule type="expression" dxfId="1153" priority="74">
      <formula>$N$118 = 0</formula>
    </cfRule>
    <cfRule type="expression" dxfId="1152" priority="75">
      <formula>$N$118 &lt; 0</formula>
    </cfRule>
  </conditionalFormatting>
  <conditionalFormatting sqref="A125:C144 M125:O144">
    <cfRule type="expression" dxfId="1151" priority="61">
      <formula>AND($N125 &gt; 0, ISNUMBER($N125))</formula>
    </cfRule>
    <cfRule type="expression" dxfId="1150" priority="62">
      <formula>AND($N125 = 0 * ISNUMBER($N125))</formula>
    </cfRule>
    <cfRule type="expression" dxfId="1149" priority="63">
      <formula>AND($N125 &lt; 0, ISNUMBER($N125))</formula>
    </cfRule>
  </conditionalFormatting>
  <conditionalFormatting sqref="A125:F144">
    <cfRule type="expression" dxfId="1148" priority="70">
      <formula>AND($E125 &gt; 0, ISNUMBER($E125))</formula>
    </cfRule>
    <cfRule type="expression" dxfId="1147" priority="71">
      <formula>AND($E125 = 0 * ISNUMBER($E125))</formula>
    </cfRule>
    <cfRule type="expression" dxfId="1146" priority="72">
      <formula>AND($E125 &lt; 0, ISNUMBER($E125))</formula>
    </cfRule>
  </conditionalFormatting>
  <conditionalFormatting sqref="A125:C144 G125:I144">
    <cfRule type="expression" dxfId="1145" priority="67">
      <formula>AND($H125 &gt; 0, ISNUMBER($H125))</formula>
    </cfRule>
    <cfRule type="expression" dxfId="1144" priority="68">
      <formula>AND($H125 = 0 * ISNUMBER($H125))</formula>
    </cfRule>
    <cfRule type="expression" dxfId="1143" priority="69">
      <formula>AND($H125 &lt; 0, ISNUMBER($H125))</formula>
    </cfRule>
  </conditionalFormatting>
  <conditionalFormatting sqref="A125:C144 J125:L144">
    <cfRule type="expression" dxfId="1142" priority="64">
      <formula>AND($K125 &gt; 0, ISNUMBER($K125))</formula>
    </cfRule>
    <cfRule type="expression" dxfId="1141" priority="65">
      <formula>AND($K125 = 0 * ISNUMBER($K125))</formula>
    </cfRule>
    <cfRule type="expression" dxfId="1140" priority="66">
      <formula>AND($K125 &lt; 0, ISNUMBER($K125))</formula>
    </cfRule>
  </conditionalFormatting>
  <conditionalFormatting sqref="D123:F124 E145:F145">
    <cfRule type="expression" dxfId="1139" priority="58">
      <formula>$E$145 &gt; 0</formula>
    </cfRule>
    <cfRule type="expression" dxfId="1138" priority="59">
      <formula>$E$145 = 0</formula>
    </cfRule>
    <cfRule type="expression" dxfId="1137" priority="60">
      <formula>$E$145 &lt; 0</formula>
    </cfRule>
  </conditionalFormatting>
  <conditionalFormatting sqref="G123:I124 H145:I145">
    <cfRule type="expression" dxfId="1136" priority="55">
      <formula>$H$145 &gt; 0</formula>
    </cfRule>
    <cfRule type="expression" dxfId="1135" priority="56">
      <formula>$H$145 = 0</formula>
    </cfRule>
    <cfRule type="expression" dxfId="1134" priority="57">
      <formula>$H$145 &lt; 0</formula>
    </cfRule>
  </conditionalFormatting>
  <conditionalFormatting sqref="J123:L124 K145:L145">
    <cfRule type="expression" dxfId="1133" priority="52">
      <formula>$K$145 &gt; 0</formula>
    </cfRule>
    <cfRule type="expression" dxfId="1132" priority="53">
      <formula>$K$145 = 0</formula>
    </cfRule>
    <cfRule type="expression" dxfId="1131" priority="54">
      <formula>$K$145 &lt; 0</formula>
    </cfRule>
  </conditionalFormatting>
  <conditionalFormatting sqref="M123:O124 N145:O145">
    <cfRule type="expression" dxfId="1130" priority="49">
      <formula>$N$145 &gt; 0</formula>
    </cfRule>
    <cfRule type="expression" dxfId="1129" priority="50">
      <formula>$N$145 = 0</formula>
    </cfRule>
    <cfRule type="expression" dxfId="1128" priority="51">
      <formula>$N$145 &lt; 0</formula>
    </cfRule>
  </conditionalFormatting>
  <conditionalFormatting sqref="A152:C171 M152:O171">
    <cfRule type="expression" dxfId="1127" priority="37">
      <formula>AND($N152 &gt; 0, ISNUMBER($N152))</formula>
    </cfRule>
    <cfRule type="expression" dxfId="1126" priority="38">
      <formula>AND($N152 = 0 * ISNUMBER($N152))</formula>
    </cfRule>
    <cfRule type="expression" dxfId="1125" priority="39">
      <formula>AND($N152 &lt; 0, ISNUMBER($N152))</formula>
    </cfRule>
  </conditionalFormatting>
  <conditionalFormatting sqref="A152:F171">
    <cfRule type="expression" dxfId="1124" priority="46">
      <formula>AND($E152 &gt; 0, ISNUMBER($E152))</formula>
    </cfRule>
    <cfRule type="expression" dxfId="1123" priority="47">
      <formula>AND($E152 = 0 * ISNUMBER($E152))</formula>
    </cfRule>
    <cfRule type="expression" dxfId="1122" priority="48">
      <formula>AND($E152 &lt; 0, ISNUMBER($E152))</formula>
    </cfRule>
  </conditionalFormatting>
  <conditionalFormatting sqref="A152:C171 G152:I171">
    <cfRule type="expression" dxfId="1121" priority="43">
      <formula>AND($H152 &gt; 0, ISNUMBER($H152))</formula>
    </cfRule>
    <cfRule type="expression" dxfId="1120" priority="44">
      <formula>AND($H152 = 0 * ISNUMBER($H152))</formula>
    </cfRule>
    <cfRule type="expression" dxfId="1119" priority="45">
      <formula>AND($H152 &lt; 0, ISNUMBER($H152))</formula>
    </cfRule>
  </conditionalFormatting>
  <conditionalFormatting sqref="A152:C171 J152:L171">
    <cfRule type="expression" dxfId="1118" priority="40">
      <formula>AND($K152 &gt; 0, ISNUMBER($K152))</formula>
    </cfRule>
    <cfRule type="expression" dxfId="1117" priority="41">
      <formula>AND($K152 = 0 * ISNUMBER($K152))</formula>
    </cfRule>
    <cfRule type="expression" dxfId="1116" priority="42">
      <formula>AND($K152 &lt; 0, ISNUMBER($K152))</formula>
    </cfRule>
  </conditionalFormatting>
  <conditionalFormatting sqref="D150:F151 E172:F172">
    <cfRule type="expression" dxfId="1115" priority="34">
      <formula>$E$172 &gt; 0</formula>
    </cfRule>
    <cfRule type="expression" dxfId="1114" priority="35">
      <formula>$E$172 = 0</formula>
    </cfRule>
    <cfRule type="expression" dxfId="1113" priority="36">
      <formula>$E$172 &lt; 0</formula>
    </cfRule>
  </conditionalFormatting>
  <conditionalFormatting sqref="G150:I151 H172:I172">
    <cfRule type="expression" dxfId="1112" priority="31">
      <formula>$H$172 &gt; 0</formula>
    </cfRule>
    <cfRule type="expression" dxfId="1111" priority="32">
      <formula>$H$172 = 0</formula>
    </cfRule>
    <cfRule type="expression" dxfId="1110" priority="33">
      <formula>$H$172 &lt; 0</formula>
    </cfRule>
  </conditionalFormatting>
  <conditionalFormatting sqref="J150:L151 K172:L172">
    <cfRule type="expression" dxfId="1109" priority="28">
      <formula>$K$172 &gt; 0</formula>
    </cfRule>
    <cfRule type="expression" dxfId="1108" priority="29">
      <formula>$K$172 = 0</formula>
    </cfRule>
    <cfRule type="expression" dxfId="1107" priority="30">
      <formula>$K$172 &lt; 0</formula>
    </cfRule>
  </conditionalFormatting>
  <conditionalFormatting sqref="M150:O151 N172:O172">
    <cfRule type="expression" dxfId="1106" priority="25">
      <formula>$N$172 &gt; 0</formula>
    </cfRule>
    <cfRule type="expression" dxfId="1105" priority="26">
      <formula>$N$172 = 0</formula>
    </cfRule>
    <cfRule type="expression" dxfId="1104" priority="27">
      <formula>$N$172 &lt; 0</formula>
    </cfRule>
  </conditionalFormatting>
  <conditionalFormatting sqref="A179:C198 M179:O198">
    <cfRule type="expression" dxfId="1103" priority="13">
      <formula>AND($N179 &gt; 0, ISNUMBER($N179))</formula>
    </cfRule>
    <cfRule type="expression" dxfId="1102" priority="14">
      <formula>AND($N179 = 0 * ISNUMBER($N179))</formula>
    </cfRule>
    <cfRule type="expression" dxfId="1101" priority="15">
      <formula>AND($N179 &lt; 0, ISNUMBER($N179))</formula>
    </cfRule>
  </conditionalFormatting>
  <conditionalFormatting sqref="A179:F198">
    <cfRule type="expression" dxfId="1100" priority="22">
      <formula>AND($E179 &gt; 0, ISNUMBER($E179))</formula>
    </cfRule>
    <cfRule type="expression" dxfId="1099" priority="23">
      <formula>AND($E179 = 0 * ISNUMBER($E179))</formula>
    </cfRule>
    <cfRule type="expression" dxfId="1098" priority="24">
      <formula>AND($E179 &lt; 0, ISNUMBER($E179))</formula>
    </cfRule>
  </conditionalFormatting>
  <conditionalFormatting sqref="A179:C198 G179:I198">
    <cfRule type="expression" dxfId="1097" priority="19">
      <formula>AND($H179 &gt; 0, ISNUMBER($H179))</formula>
    </cfRule>
    <cfRule type="expression" dxfId="1096" priority="20">
      <formula>AND($H179 = 0 * ISNUMBER($H179))</formula>
    </cfRule>
    <cfRule type="expression" dxfId="1095" priority="21">
      <formula>AND($H179 &lt; 0, ISNUMBER($H179))</formula>
    </cfRule>
  </conditionalFormatting>
  <conditionalFormatting sqref="A179:C198 J179:L198">
    <cfRule type="expression" dxfId="1094" priority="16">
      <formula>AND($K179 &gt; 0, ISNUMBER($K179))</formula>
    </cfRule>
    <cfRule type="expression" dxfId="1093" priority="17">
      <formula>AND($K179 = 0 * ISNUMBER($K179))</formula>
    </cfRule>
    <cfRule type="expression" dxfId="1092" priority="18">
      <formula>AND($K179 &lt; 0, ISNUMBER($K179))</formula>
    </cfRule>
  </conditionalFormatting>
  <conditionalFormatting sqref="D177:F178 E199:F199">
    <cfRule type="expression" dxfId="1091" priority="10">
      <formula>$E$199 &gt; 0</formula>
    </cfRule>
    <cfRule type="expression" dxfId="1090" priority="11">
      <formula>$E$199 = 0</formula>
    </cfRule>
    <cfRule type="expression" dxfId="1089" priority="12">
      <formula>$E$199 &lt; 0</formula>
    </cfRule>
  </conditionalFormatting>
  <conditionalFormatting sqref="G177:I178 H199:I199">
    <cfRule type="expression" dxfId="1088" priority="7">
      <formula>$H$199 &gt; 0</formula>
    </cfRule>
    <cfRule type="expression" dxfId="1087" priority="8">
      <formula>$H$199 = 0</formula>
    </cfRule>
    <cfRule type="expression" dxfId="1086" priority="9">
      <formula>$H$199 &lt; 0</formula>
    </cfRule>
  </conditionalFormatting>
  <conditionalFormatting sqref="J177:L178 K199:L199">
    <cfRule type="expression" dxfId="1085" priority="4">
      <formula>$K$199 &gt; 0</formula>
    </cfRule>
    <cfRule type="expression" dxfId="1084" priority="5">
      <formula>$K$199 = 0</formula>
    </cfRule>
    <cfRule type="expression" dxfId="1083" priority="6">
      <formula>$K$199 &lt; 0</formula>
    </cfRule>
  </conditionalFormatting>
  <conditionalFormatting sqref="M177:O178 N199:O199">
    <cfRule type="expression" dxfId="1082" priority="1">
      <formula>$N$199 &gt; 0</formula>
    </cfRule>
    <cfRule type="expression" dxfId="1081" priority="2">
      <formula>$N$199 = 0</formula>
    </cfRule>
    <cfRule type="expression" dxfId="10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4" t="s">
        <v>0</v>
      </c>
      <c r="B1" s="235"/>
      <c r="C1" s="235"/>
      <c r="D1" s="235"/>
      <c r="E1" s="235"/>
      <c r="F1" s="236"/>
      <c r="G1" s="265">
        <v>44355</v>
      </c>
      <c r="H1" s="266"/>
      <c r="I1" s="267"/>
      <c r="J1" s="234" t="s">
        <v>1</v>
      </c>
      <c r="K1" s="235"/>
      <c r="L1" s="235"/>
      <c r="M1" s="235"/>
      <c r="N1" s="235"/>
      <c r="O1" s="236"/>
      <c r="Q1" s="234" t="s">
        <v>2</v>
      </c>
      <c r="R1" s="236"/>
    </row>
    <row r="2" spans="1:19" ht="17.25" customHeight="1">
      <c r="A2" s="117" t="s">
        <v>3</v>
      </c>
      <c r="B2" s="268" t="s">
        <v>8</v>
      </c>
      <c r="C2" s="269"/>
      <c r="D2" s="269"/>
      <c r="E2" s="269"/>
      <c r="F2" s="270"/>
      <c r="G2" s="262" t="s">
        <v>46</v>
      </c>
      <c r="H2" s="263"/>
      <c r="I2" s="264"/>
      <c r="J2" s="1" t="s">
        <v>3</v>
      </c>
      <c r="K2" s="268" t="s">
        <v>350</v>
      </c>
      <c r="L2" s="269"/>
      <c r="M2" s="269"/>
      <c r="N2" s="269"/>
      <c r="O2" s="270"/>
      <c r="Q2" s="2" t="s">
        <v>6</v>
      </c>
      <c r="R2" s="3">
        <v>0.375</v>
      </c>
    </row>
    <row r="3" spans="1:19" ht="17.25" customHeight="1" thickBot="1">
      <c r="A3" s="118" t="s">
        <v>7</v>
      </c>
      <c r="B3" s="259" t="s">
        <v>358</v>
      </c>
      <c r="C3" s="260"/>
      <c r="D3" s="260"/>
      <c r="E3" s="260"/>
      <c r="F3" s="261"/>
      <c r="G3" s="25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-347,551 KRW (-17.38%)</v>
      </c>
      <c r="H3" s="256"/>
      <c r="I3" s="257"/>
      <c r="J3" s="4" t="s">
        <v>7</v>
      </c>
      <c r="K3" s="259" t="s">
        <v>351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9" t="s">
        <v>16</v>
      </c>
      <c r="C4" s="260"/>
      <c r="D4" s="260"/>
      <c r="E4" s="260"/>
      <c r="F4" s="261"/>
      <c r="G4" s="262" t="s">
        <v>44</v>
      </c>
      <c r="H4" s="263"/>
      <c r="I4" s="264"/>
      <c r="J4" s="4" t="s">
        <v>11</v>
      </c>
      <c r="K4" s="259" t="s">
        <v>352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9" t="s">
        <v>349</v>
      </c>
      <c r="C5" s="260"/>
      <c r="D5" s="260"/>
      <c r="E5" s="260"/>
      <c r="F5" s="261"/>
      <c r="G5" s="25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-362,991 KRW (-18.15%)</v>
      </c>
      <c r="H5" s="256"/>
      <c r="I5" s="257"/>
      <c r="J5" s="4" t="s">
        <v>15</v>
      </c>
      <c r="K5" s="259" t="s">
        <v>353</v>
      </c>
      <c r="L5" s="260"/>
      <c r="M5" s="260"/>
      <c r="N5" s="260"/>
      <c r="O5" s="261"/>
    </row>
    <row r="6" spans="1:19">
      <c r="A6" s="118" t="s">
        <v>18</v>
      </c>
      <c r="B6" s="259"/>
      <c r="C6" s="260"/>
      <c r="D6" s="260"/>
      <c r="E6" s="260"/>
      <c r="F6" s="261"/>
      <c r="G6" s="262" t="s">
        <v>45</v>
      </c>
      <c r="H6" s="263"/>
      <c r="I6" s="264"/>
      <c r="J6" s="4" t="s">
        <v>18</v>
      </c>
      <c r="K6" s="259" t="s">
        <v>354</v>
      </c>
      <c r="L6" s="260"/>
      <c r="M6" s="260"/>
      <c r="N6" s="260"/>
      <c r="O6" s="261"/>
    </row>
    <row r="7" spans="1:19" ht="17.25" thickBot="1">
      <c r="A7" s="118" t="s">
        <v>21</v>
      </c>
      <c r="B7" s="259"/>
      <c r="C7" s="260"/>
      <c r="D7" s="260"/>
      <c r="E7" s="260"/>
      <c r="F7" s="261"/>
      <c r="G7" s="25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-336,383 KRW (-16.82%)</v>
      </c>
      <c r="H7" s="256"/>
      <c r="I7" s="257"/>
      <c r="J7" s="4" t="s">
        <v>21</v>
      </c>
      <c r="K7" s="259" t="s">
        <v>355</v>
      </c>
      <c r="L7" s="260"/>
      <c r="M7" s="260"/>
      <c r="N7" s="260"/>
      <c r="O7" s="261"/>
    </row>
    <row r="8" spans="1:19" ht="17.25" thickBot="1">
      <c r="A8" s="118" t="s">
        <v>24</v>
      </c>
      <c r="B8" s="259"/>
      <c r="C8" s="260"/>
      <c r="D8" s="260"/>
      <c r="E8" s="260"/>
      <c r="F8" s="261"/>
      <c r="G8" s="262" t="s">
        <v>285</v>
      </c>
      <c r="H8" s="263"/>
      <c r="I8" s="264"/>
      <c r="J8" s="4" t="s">
        <v>24</v>
      </c>
      <c r="K8" s="259"/>
      <c r="L8" s="260"/>
      <c r="M8" s="260"/>
      <c r="N8" s="260"/>
      <c r="O8" s="261"/>
      <c r="Q8" s="234" t="s">
        <v>27</v>
      </c>
      <c r="R8" s="236"/>
    </row>
    <row r="9" spans="1:19" ht="17.25" thickBot="1">
      <c r="A9" s="118" t="s">
        <v>28</v>
      </c>
      <c r="B9" s="259"/>
      <c r="C9" s="260"/>
      <c r="D9" s="260"/>
      <c r="E9" s="260"/>
      <c r="F9" s="261"/>
      <c r="G9" s="25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-355,698 KRW (-17.78%)</v>
      </c>
      <c r="H9" s="256"/>
      <c r="I9" s="257"/>
      <c r="J9" s="4" t="s">
        <v>28</v>
      </c>
      <c r="K9" s="259"/>
      <c r="L9" s="260"/>
      <c r="M9" s="260"/>
      <c r="N9" s="260"/>
      <c r="O9" s="261"/>
      <c r="Q9" s="2" t="s">
        <v>29</v>
      </c>
      <c r="R9" s="6">
        <v>10</v>
      </c>
    </row>
    <row r="10" spans="1:19">
      <c r="A10" s="118" t="s">
        <v>30</v>
      </c>
      <c r="B10" s="259"/>
      <c r="C10" s="260"/>
      <c r="D10" s="260"/>
      <c r="E10" s="260"/>
      <c r="F10" s="261"/>
      <c r="G10" s="262" t="s">
        <v>47</v>
      </c>
      <c r="H10" s="263"/>
      <c r="I10" s="264"/>
      <c r="J10" s="4" t="s">
        <v>30</v>
      </c>
      <c r="K10" s="259" t="s">
        <v>356</v>
      </c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119" t="s">
        <v>32</v>
      </c>
      <c r="B11" s="252" t="s">
        <v>357</v>
      </c>
      <c r="C11" s="253"/>
      <c r="D11" s="253"/>
      <c r="E11" s="253"/>
      <c r="F11" s="254"/>
      <c r="G11" s="25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-92,745 KRW (-18.55%)</v>
      </c>
      <c r="H11" s="256"/>
      <c r="I11" s="257"/>
      <c r="J11" s="7" t="s">
        <v>32</v>
      </c>
      <c r="K11" s="252" t="s">
        <v>348</v>
      </c>
      <c r="L11" s="253"/>
      <c r="M11" s="253"/>
      <c r="N11" s="253"/>
      <c r="O11" s="254"/>
      <c r="Q11" s="65" t="s">
        <v>33</v>
      </c>
      <c r="R11" s="8">
        <v>1000</v>
      </c>
    </row>
    <row r="12" spans="1:19" ht="17.25" thickBot="1"/>
    <row r="13" spans="1:19" ht="17.25" customHeight="1" thickBot="1">
      <c r="A13" s="234" t="s">
        <v>34</v>
      </c>
      <c r="B13" s="235"/>
      <c r="C13" s="235"/>
      <c r="D13" s="235"/>
      <c r="E13" s="235"/>
      <c r="F13" s="235"/>
      <c r="G13" s="235"/>
      <c r="H13" s="235"/>
      <c r="I13" s="235"/>
      <c r="J13" s="235"/>
      <c r="K13" s="235"/>
      <c r="L13" s="235"/>
      <c r="M13" s="235"/>
      <c r="N13" s="235"/>
      <c r="O13" s="236"/>
      <c r="Q13" s="233"/>
      <c r="R13" s="233"/>
      <c r="S13" s="233"/>
    </row>
    <row r="14" spans="1:19" ht="17.25" customHeight="1" thickBot="1">
      <c r="A14" s="188" t="s">
        <v>35</v>
      </c>
      <c r="B14" s="234" t="s">
        <v>36</v>
      </c>
      <c r="C14" s="236"/>
      <c r="D14" s="234" t="s">
        <v>37</v>
      </c>
      <c r="E14" s="235"/>
      <c r="F14" s="236"/>
      <c r="G14" s="237">
        <f>_xlfn.IFNA(VLOOKUP(B14, 현재가테이블!$B$2:$D$200, 2, FALSE), "-")</f>
        <v>41418000</v>
      </c>
      <c r="H14" s="238"/>
      <c r="I14" s="239"/>
      <c r="J14" s="234" t="s">
        <v>38</v>
      </c>
      <c r="K14" s="235"/>
      <c r="L14" s="236"/>
      <c r="M14" s="240">
        <f>_xlfn.IFNA(VLOOKUP(B14, 현재가테이블!$B$2:$D$200, 3, FALSE), "-")</f>
        <v>-5.2176301000000001E-2</v>
      </c>
      <c r="N14" s="241"/>
      <c r="O14" s="242"/>
      <c r="Q14" s="233"/>
      <c r="R14" s="233"/>
      <c r="S14" s="233"/>
    </row>
    <row r="15" spans="1:19" ht="17.25" customHeight="1" thickBot="1">
      <c r="A15" s="271" t="s">
        <v>39</v>
      </c>
      <c r="B15" s="272" t="str">
        <f>TEXT($G$1, "[$-ko-KR]yyyy-mm-dd(ddd) ") &amp; "오전 00:00"</f>
        <v>2021-06-08(화) 오전 00:00</v>
      </c>
      <c r="C15" s="273"/>
      <c r="D15" s="247" t="str">
        <f>TEXT($G$1, "[$-ko-KR]yyyy-mm-dd(ddd) ") &amp; "오후 14:00"</f>
        <v>2021-06-08(화) 오후 14:00</v>
      </c>
      <c r="E15" s="248"/>
      <c r="F15" s="249"/>
      <c r="G15" s="247" t="str">
        <f>TEXT($G$1, "[$-ko-KR]yyyy-mm-dd(ddd) ") &amp; "오후 19:00"</f>
        <v>2021-06-08(화) 오후 19:00</v>
      </c>
      <c r="H15" s="248"/>
      <c r="I15" s="249"/>
      <c r="J15" s="247" t="str">
        <f>TEXT($G$1, "[$-ko-KR]yyyy-mm-dd(ddd) ") &amp; "오후 21:00"</f>
        <v>2021-06-08(화) 오후 21:00</v>
      </c>
      <c r="K15" s="248"/>
      <c r="L15" s="249"/>
      <c r="M15" s="247" t="str">
        <f>TEXT($G$1+1, "[$-ko-KR]yyyy-mm-dd(ddd) ") &amp; "오전 00:00"</f>
        <v>2021-06-09(수) 오전 00:00</v>
      </c>
      <c r="N15" s="248"/>
      <c r="O15" s="249"/>
      <c r="Q15" s="233"/>
      <c r="R15" s="233"/>
      <c r="S15" s="233"/>
    </row>
    <row r="16" spans="1:19" ht="17.25" customHeight="1" thickBot="1">
      <c r="A16" s="27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-0.13941825476429293</v>
      </c>
      <c r="F17" s="16">
        <f>IF(NOT(ISBLANK(_xlfn.IFNA(VLOOKUP($A17, $A$40:$O$199, 6, FALSE), ))), _xlfn.IFNA(VLOOKUP($A17, $A$40:$O$199, 6, FALSE), ), "")</f>
        <v>-13941.825476429292</v>
      </c>
      <c r="G17" s="29">
        <f>IF(NOT(ISBLANK(_xlfn.IFNA(VLOOKUP($A17, $A$40:$O$199, 7, FALSE), ))), _xlfn.IFNA(VLOOKUP($A17, $A$40:$O$199, 7, FALSE), ), "")</f>
        <v>87</v>
      </c>
      <c r="H17" s="14">
        <f>IF(NOT(ISBLANK(_xlfn.IFNA(VLOOKUP($A17, $A$40:$O$199, 8, FALSE), ))), _xlfn.IFNA(VLOOKUP($A17, $A$40:$O$199, 8, FALSE), ), "")</f>
        <v>-0.12738214643931797</v>
      </c>
      <c r="I17" s="100">
        <f>IF(NOT(ISBLANK(_xlfn.IFNA(VLOOKUP($A17, $A$40:$O$199, 9, FALSE), ))), _xlfn.IFNA(VLOOKUP($A17, $A$40:$O$199, 9, FALSE), ), "")</f>
        <v>-12738.214643931797</v>
      </c>
      <c r="J17" s="13">
        <f>IF(NOT(ISBLANK(_xlfn.IFNA(VLOOKUP($A17, $A$40:$O$199, 10, FALSE), ))), _xlfn.IFNA(VLOOKUP($A17, $A$40:$O$199, 10, FALSE), ), "")</f>
        <v>86.5</v>
      </c>
      <c r="K17" s="14">
        <f>IF(NOT(ISBLANK(_xlfn.IFNA(VLOOKUP($A17, $A$40:$O$199, 11, FALSE), ))), _xlfn.IFNA(VLOOKUP($A17, $A$40:$O$199, 11, FALSE), ), "")</f>
        <v>-0.13239719157472421</v>
      </c>
      <c r="L17" s="16">
        <f>IF(NOT(ISBLANK(_xlfn.IFNA(VLOOKUP($A17, $A$40:$O$199, 12, FALSE), ))), _xlfn.IFNA(VLOOKUP($A17, $A$40:$O$199, 12, FALSE), ), "")</f>
        <v>-13239.71915747242</v>
      </c>
      <c r="M17" s="29">
        <f>IF(NOT(ISBLANK(_xlfn.IFNA(VLOOKUP($A17, $A$40:$O$199, 13, FALSE), ))), _xlfn.IFNA(VLOOKUP($A17, $A$40:$O$199, 13, FALSE), ), "")</f>
        <v>82.2</v>
      </c>
      <c r="N17" s="14">
        <f>IF(NOT(ISBLANK(_xlfn.IFNA(VLOOKUP($A17, $A$40:$O$199, 14, FALSE), ))), _xlfn.IFNA(VLOOKUP($A17, $A$40:$O$199, 14, FALSE), ), "")</f>
        <v>-0.17552657973921765</v>
      </c>
      <c r="O17" s="16">
        <f>IF(NOT(ISBLANK(_xlfn.IFNA(VLOOKUP($A17, $A$40:$O$199, 15, FALSE), ))), _xlfn.IFNA(VLOOKUP($A17, $A$40:$O$199, 15, FALSE), ), "")</f>
        <v>-17552.657973921763</v>
      </c>
      <c r="Q17" s="233"/>
      <c r="R17" s="233"/>
      <c r="S17" s="23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>
        <f t="shared" ref="D18:D36" si="2">IF(NOT(ISBLANK(_xlfn.IFNA(VLOOKUP($A18, $A$40:$O$199, 4, FALSE), ))), _xlfn.IFNA(VLOOKUP($A18, $A$40:$O$199, 4, FALSE), ), "")</f>
        <v>67</v>
      </c>
      <c r="E18" s="32">
        <f t="shared" ref="E18:E36" si="3">IF(NOT(ISBLANK(_xlfn.IFNA(VLOOKUP($A18, $A$40:$O$199, 5, FALSE), ))), _xlfn.IFNA(VLOOKUP($A18, $A$40:$O$199, 5, FALSE), ), "")</f>
        <v>-0.1582914572864321</v>
      </c>
      <c r="F18" s="18">
        <f t="shared" ref="F18:F36" si="4">IF(NOT(ISBLANK(_xlfn.IFNA(VLOOKUP($A18, $A$40:$O$199, 6, FALSE), ))), _xlfn.IFNA(VLOOKUP($A18, $A$40:$O$199, 6, FALSE), ), "")</f>
        <v>-15829.145728643211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-0.157035175879397</v>
      </c>
      <c r="I18" s="101">
        <f t="shared" ref="I18:I36" si="7">IF(NOT(ISBLANK(_xlfn.IFNA(VLOOKUP($A18, $A$40:$O$199, 9, FALSE), ))), _xlfn.IFNA(VLOOKUP($A18, $A$40:$O$199, 9, FALSE), ), "")</f>
        <v>-15703.517587939699</v>
      </c>
      <c r="J18" s="15">
        <f t="shared" ref="J18:J36" si="8">IF(NOT(ISBLANK(_xlfn.IFNA(VLOOKUP($A18, $A$40:$O$199, 10, FALSE), ))), _xlfn.IFNA(VLOOKUP($A18, $A$40:$O$199, 10, FALSE), ), "")</f>
        <v>67.2</v>
      </c>
      <c r="K18" s="32">
        <f t="shared" ref="K18:K36" si="9">IF(NOT(ISBLANK(_xlfn.IFNA(VLOOKUP($A18, $A$40:$O$199, 11, FALSE), ))), _xlfn.IFNA(VLOOKUP($A18, $A$40:$O$199, 11, FALSE), ), "")</f>
        <v>-0.15577889447236171</v>
      </c>
      <c r="L18" s="18">
        <f t="shared" ref="L18:L36" si="10">IF(NOT(ISBLANK(_xlfn.IFNA(VLOOKUP($A18, $A$40:$O$199, 12, FALSE), ))), _xlfn.IFNA(VLOOKUP($A18, $A$40:$O$199, 12, FALSE), ), "")</f>
        <v>-15577.88944723617</v>
      </c>
      <c r="M18" s="31">
        <f t="shared" ref="M18:M36" si="11">IF(NOT(ISBLANK(_xlfn.IFNA(VLOOKUP($A18, $A$40:$O$199, 13, FALSE), ))), _xlfn.IFNA(VLOOKUP($A18, $A$40:$O$199, 13, FALSE), ), "")</f>
        <v>62</v>
      </c>
      <c r="N18" s="32">
        <f t="shared" ref="N18:N36" si="12">IF(NOT(ISBLANK(_xlfn.IFNA(VLOOKUP($A18, $A$40:$O$199, 14, FALSE), ))), _xlfn.IFNA(VLOOKUP($A18, $A$40:$O$199, 14, FALSE), ), "")</f>
        <v>-0.22110552763819091</v>
      </c>
      <c r="O18" s="18">
        <f t="shared" ref="O18:O36" si="13">IF(NOT(ISBLANK(_xlfn.IFNA(VLOOKUP($A18, $A$40:$O$199, 15, FALSE), ))), _xlfn.IFNA(VLOOKUP($A18, $A$40:$O$199, 15, FALSE), ), "")</f>
        <v>-22110.552763819091</v>
      </c>
      <c r="Q18" s="233"/>
      <c r="R18" s="233"/>
      <c r="S18" s="233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7.8125E-3</v>
      </c>
      <c r="D19" s="15">
        <f t="shared" si="2"/>
        <v>111</v>
      </c>
      <c r="E19" s="32">
        <f t="shared" si="3"/>
        <v>-0.13953488372093023</v>
      </c>
      <c r="F19" s="18">
        <f t="shared" si="4"/>
        <v>-13953.488372093023</v>
      </c>
      <c r="G19" s="31">
        <f t="shared" si="5"/>
        <v>108</v>
      </c>
      <c r="H19" s="32">
        <f t="shared" si="6"/>
        <v>-0.16279069767441862</v>
      </c>
      <c r="I19" s="101">
        <f t="shared" si="7"/>
        <v>-16279.069767441862</v>
      </c>
      <c r="J19" s="15">
        <f t="shared" si="8"/>
        <v>108</v>
      </c>
      <c r="K19" s="32">
        <f t="shared" si="9"/>
        <v>-0.16279069767441862</v>
      </c>
      <c r="L19" s="18">
        <f t="shared" si="10"/>
        <v>-16279.069767441862</v>
      </c>
      <c r="M19" s="31">
        <f t="shared" si="11"/>
        <v>102</v>
      </c>
      <c r="N19" s="32">
        <f t="shared" si="12"/>
        <v>-0.20930232558139536</v>
      </c>
      <c r="O19" s="18">
        <f t="shared" si="13"/>
        <v>-20930.232558139534</v>
      </c>
      <c r="Q19" s="223"/>
      <c r="R19" s="223"/>
      <c r="S19" s="223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>
        <f t="shared" si="2"/>
        <v>130</v>
      </c>
      <c r="E20" s="32">
        <f t="shared" si="3"/>
        <v>-0.10344827586206896</v>
      </c>
      <c r="F20" s="18">
        <f t="shared" si="4"/>
        <v>-10344.827586206897</v>
      </c>
      <c r="G20" s="31">
        <f t="shared" si="5"/>
        <v>131</v>
      </c>
      <c r="H20" s="32">
        <f t="shared" si="6"/>
        <v>-9.6551724137931033E-2</v>
      </c>
      <c r="I20" s="101">
        <f t="shared" si="7"/>
        <v>-9655.1724137931033</v>
      </c>
      <c r="J20" s="15">
        <f t="shared" si="8"/>
        <v>133</v>
      </c>
      <c r="K20" s="32">
        <f t="shared" si="9"/>
        <v>-8.2758620689655171E-2</v>
      </c>
      <c r="L20" s="18">
        <f t="shared" si="10"/>
        <v>-8275.8620689655163</v>
      </c>
      <c r="M20" s="31">
        <f t="shared" si="11"/>
        <v>126</v>
      </c>
      <c r="N20" s="32">
        <f t="shared" si="12"/>
        <v>-0.1310344827586207</v>
      </c>
      <c r="O20" s="18">
        <f t="shared" si="13"/>
        <v>-13103.448275862071</v>
      </c>
      <c r="Q20" s="223"/>
      <c r="R20" s="223"/>
      <c r="S20" s="223"/>
    </row>
    <row r="21" spans="1:19" ht="17.25" customHeight="1" thickBot="1">
      <c r="A21" s="163" t="s">
        <v>246</v>
      </c>
      <c r="B21" s="128">
        <f t="shared" si="0"/>
        <v>315</v>
      </c>
      <c r="C21" s="78">
        <f t="shared" si="1"/>
        <v>-3.1645570000000001E-3</v>
      </c>
      <c r="D21" s="20">
        <f t="shared" si="2"/>
        <v>270</v>
      </c>
      <c r="E21" s="21">
        <f t="shared" si="3"/>
        <v>-0.14285714285714285</v>
      </c>
      <c r="F21" s="22">
        <f t="shared" si="4"/>
        <v>-14285.714285714284</v>
      </c>
      <c r="G21" s="30">
        <f t="shared" si="5"/>
        <v>272</v>
      </c>
      <c r="H21" s="21">
        <f t="shared" si="6"/>
        <v>-0.13650793650793649</v>
      </c>
      <c r="I21" s="105">
        <f t="shared" si="7"/>
        <v>-13650.79365079365</v>
      </c>
      <c r="J21" s="20">
        <f t="shared" si="8"/>
        <v>274</v>
      </c>
      <c r="K21" s="21">
        <f t="shared" si="9"/>
        <v>-0.13015873015873017</v>
      </c>
      <c r="L21" s="22">
        <f t="shared" si="10"/>
        <v>-13015.873015873018</v>
      </c>
      <c r="M21" s="30">
        <f t="shared" si="11"/>
        <v>255</v>
      </c>
      <c r="N21" s="21">
        <f t="shared" si="12"/>
        <v>-0.19047619047619047</v>
      </c>
      <c r="O21" s="22">
        <f t="shared" si="13"/>
        <v>-19047.619047619046</v>
      </c>
      <c r="Q21" s="223"/>
      <c r="R21" s="223"/>
      <c r="S21" s="223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3"/>
      <c r="R22" s="223"/>
      <c r="S22" s="22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3"/>
      <c r="R23" s="223"/>
      <c r="S23" s="22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3"/>
      <c r="R24" s="223"/>
      <c r="S24" s="22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3"/>
      <c r="R29" s="223"/>
      <c r="S29" s="22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3"/>
      <c r="R30" s="233"/>
      <c r="S30" s="23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3"/>
      <c r="R31" s="233"/>
      <c r="S31" s="23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3"/>
      <c r="R32" s="223"/>
      <c r="S32" s="22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2"/>
      <c r="R35" s="213"/>
      <c r="S35" s="2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5"/>
      <c r="R36" s="216"/>
      <c r="S36" s="217"/>
    </row>
    <row r="37" spans="1:19" ht="17.25" customHeight="1" thickBot="1">
      <c r="A37" s="132" t="s">
        <v>42</v>
      </c>
      <c r="B37" s="276">
        <v>100000</v>
      </c>
      <c r="C37" s="277"/>
      <c r="D37" s="26" t="s">
        <v>43</v>
      </c>
      <c r="E37" s="27">
        <f>IF(COUNT(E17:E36), SUM(E17:E36) / COUNT(E17:E36), 0)</f>
        <v>-0.13671000289817342</v>
      </c>
      <c r="F37" s="28">
        <f>SUM(F17:F36)</f>
        <v>-68355.001449086718</v>
      </c>
      <c r="G37" s="26" t="s">
        <v>43</v>
      </c>
      <c r="H37" s="27">
        <f>IF(COUNT(H17:H36), SUM(H17:H36) / COUNT(H17:H36), 0)</f>
        <v>-0.13605353612780022</v>
      </c>
      <c r="I37" s="28">
        <f>SUM(I17:I36)</f>
        <v>-68026.768063900105</v>
      </c>
      <c r="J37" s="26" t="s">
        <v>43</v>
      </c>
      <c r="K37" s="27">
        <f>IF(COUNT(K17:K36), SUM(K17:K36) / COUNT(K17:K36), 0)</f>
        <v>-0.13277682691397796</v>
      </c>
      <c r="L37" s="28">
        <f>SUM(L17:L36)</f>
        <v>-66388.413456988987</v>
      </c>
      <c r="M37" s="26" t="s">
        <v>43</v>
      </c>
      <c r="N37" s="27">
        <f>IF(COUNT(N17:N36), SUM(N17:N36) / COUNT(N17:N36), 0)</f>
        <v>-0.18548902123872302</v>
      </c>
      <c r="O37" s="28">
        <f>SUM(O17:O36)</f>
        <v>-92744.510619361507</v>
      </c>
      <c r="Q37" s="218"/>
      <c r="R37" s="219"/>
      <c r="S37" s="220"/>
    </row>
    <row r="38" spans="1:19" ht="17.25" customHeight="1"/>
    <row r="39" spans="1:19" ht="17.25" customHeight="1" thickBot="1"/>
    <row r="40" spans="1:19" ht="17.25" customHeight="1" thickBot="1">
      <c r="A40" s="234" t="s">
        <v>44</v>
      </c>
      <c r="B40" s="235"/>
      <c r="C40" s="235"/>
      <c r="D40" s="235"/>
      <c r="E40" s="235"/>
      <c r="F40" s="235"/>
      <c r="G40" s="235"/>
      <c r="H40" s="235"/>
      <c r="I40" s="235"/>
      <c r="J40" s="235"/>
      <c r="K40" s="235"/>
      <c r="L40" s="235"/>
      <c r="M40" s="235"/>
      <c r="N40" s="235"/>
      <c r="O40" s="236"/>
      <c r="Q40" s="233"/>
      <c r="R40" s="233"/>
      <c r="S40" s="233"/>
    </row>
    <row r="41" spans="1:19" ht="17.25" customHeight="1" thickBot="1">
      <c r="A41" s="188" t="s">
        <v>297</v>
      </c>
      <c r="B41" s="234" t="s">
        <v>49</v>
      </c>
      <c r="C41" s="236"/>
      <c r="D41" s="234" t="s">
        <v>58</v>
      </c>
      <c r="E41" s="235"/>
      <c r="F41" s="236"/>
      <c r="G41" s="237">
        <f>_xlfn.IFNA(VLOOKUP(B41, 현재가테이블!$B$2:$D$200, 2, FALSE), "-")</f>
        <v>41418000</v>
      </c>
      <c r="H41" s="238"/>
      <c r="I41" s="239"/>
      <c r="J41" s="234" t="s">
        <v>59</v>
      </c>
      <c r="K41" s="235"/>
      <c r="L41" s="236"/>
      <c r="M41" s="240">
        <f>_xlfn.IFNA(VLOOKUP(B41, 현재가테이블!$B$2:$D$200, 3, FALSE), "-")</f>
        <v>-5.2176301000000001E-2</v>
      </c>
      <c r="N41" s="241"/>
      <c r="O41" s="242"/>
      <c r="Q41" s="233"/>
      <c r="R41" s="233"/>
      <c r="S41" s="233"/>
    </row>
    <row r="42" spans="1:19" ht="17.25" customHeight="1" thickBot="1">
      <c r="A42" s="278" t="s">
        <v>55</v>
      </c>
      <c r="B42" s="274" t="str">
        <f>TEXT($G$1, "[$-ko-KR]yyyy-mm-dd(ddd) ") &amp; "오전 00:00"</f>
        <v>2021-06-08(화) 오전 00:00</v>
      </c>
      <c r="C42" s="275"/>
      <c r="D42" s="247" t="str">
        <f>TEXT($G$1, "[$-ko-KR]yyyy-mm-dd(ddd) ") &amp; "오후 14:00"</f>
        <v>2021-06-08(화) 오후 14:00</v>
      </c>
      <c r="E42" s="248"/>
      <c r="F42" s="249"/>
      <c r="G42" s="247" t="str">
        <f>TEXT($G$1, "[$-ko-KR]yyyy-mm-dd(ddd) ") &amp; "오후 19:00"</f>
        <v>2021-06-08(화) 오후 19:00</v>
      </c>
      <c r="H42" s="248"/>
      <c r="I42" s="249"/>
      <c r="J42" s="247" t="str">
        <f>TEXT($G$1, "[$-ko-KR]yyyy-mm-dd(ddd) ") &amp; "오후 21:00"</f>
        <v>2021-06-08(화) 오후 21:00</v>
      </c>
      <c r="K42" s="248"/>
      <c r="L42" s="249"/>
      <c r="M42" s="247" t="str">
        <f>TEXT($G$1+1, "[$-ko-KR]yyyy-mm-dd(ddd) ") &amp; "오전 00:00"</f>
        <v>2021-06-09(수) 오전 00:00</v>
      </c>
      <c r="N42" s="248"/>
      <c r="O42" s="249"/>
      <c r="Q42" s="233"/>
      <c r="R42" s="233"/>
      <c r="S42" s="233"/>
    </row>
    <row r="43" spans="1:19" ht="17.25" customHeight="1" thickBot="1">
      <c r="A43" s="279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9" t="s">
        <v>58</v>
      </c>
      <c r="H43" s="190" t="s">
        <v>298</v>
      </c>
      <c r="I43" s="19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3"/>
      <c r="R43" s="223"/>
      <c r="S43" s="223"/>
    </row>
    <row r="44" spans="1:19" ht="17.25" customHeight="1" thickBot="1">
      <c r="A44" s="161" t="s">
        <v>220</v>
      </c>
      <c r="B44" s="124">
        <v>13</v>
      </c>
      <c r="C44" s="76">
        <v>8.3333333300000006E-2</v>
      </c>
      <c r="D44" s="13">
        <v>10.9</v>
      </c>
      <c r="E44" s="14">
        <f>IF(ISNUMBER(D44), (D44 - $B44) / $B44, "")</f>
        <v>-0.16153846153846152</v>
      </c>
      <c r="F44" s="16">
        <f>IF(ISNUMBER(D44), $B64 * E44, "")</f>
        <v>-16153.846153846152</v>
      </c>
      <c r="G44" s="29">
        <v>11.1</v>
      </c>
      <c r="H44" s="14">
        <f>IF(ISNUMBER(G44), (G44 - $B44) / $B44, "")</f>
        <v>-0.14615384615384619</v>
      </c>
      <c r="I44" s="100">
        <f>IF(ISNUMBER(G44), $B64 * H44, "")</f>
        <v>-14615.384615384619</v>
      </c>
      <c r="J44" s="13">
        <v>11</v>
      </c>
      <c r="K44" s="14">
        <f>IF(ISNUMBER(J44), (J44 - $B44) / $B44, "")</f>
        <v>-0.15384615384615385</v>
      </c>
      <c r="L44" s="16">
        <f>IF(ISNUMBER(J44), $B64 * K44, "")</f>
        <v>-15384.615384615385</v>
      </c>
      <c r="M44" s="29">
        <v>10.3</v>
      </c>
      <c r="N44" s="14">
        <f>IF(ISNUMBER(M44), (M44 - $B44) / $B44, "")</f>
        <v>-0.20769230769230765</v>
      </c>
      <c r="O44" s="16">
        <f>IF(ISNUMBER(M44), $B64 * N44, "")</f>
        <v>-20769.230769230766</v>
      </c>
      <c r="Q44" s="233"/>
      <c r="R44" s="233"/>
      <c r="S44" s="233"/>
    </row>
    <row r="45" spans="1:19" ht="17.25" customHeight="1" thickBot="1">
      <c r="A45" s="162" t="s">
        <v>236</v>
      </c>
      <c r="B45" s="126">
        <v>55.9</v>
      </c>
      <c r="C45" s="77">
        <v>3.3271718999999998E-2</v>
      </c>
      <c r="D45" s="15">
        <v>52.2</v>
      </c>
      <c r="E45" s="32">
        <f t="shared" ref="E45:E48" si="14">IF(ISNUMBER(D45), (D45 - $B45) / $B45, "")</f>
        <v>-6.6189624329159133E-2</v>
      </c>
      <c r="F45" s="18">
        <f>IF(ISNUMBER(D45), $B64 * E45, "")</f>
        <v>-6618.9624329159133</v>
      </c>
      <c r="G45" s="31">
        <v>54.2</v>
      </c>
      <c r="H45" s="32">
        <f t="shared" ref="H45:H48" si="15">IF(ISNUMBER(G45), (G45 - $B45) / $B45, "")</f>
        <v>-3.0411449016100104E-2</v>
      </c>
      <c r="I45" s="101">
        <f>IF(ISNUMBER(G45), $B64 * H45, "")</f>
        <v>-3041.1449016100105</v>
      </c>
      <c r="J45" s="15">
        <v>54.5</v>
      </c>
      <c r="K45" s="32">
        <f t="shared" ref="K45:K48" si="16">IF(ISNUMBER(J45), (J45 - $B45) / $B45, "")</f>
        <v>-2.50447227191413E-2</v>
      </c>
      <c r="L45" s="18">
        <f>IF(ISNUMBER(J45), $B64 * K45, "")</f>
        <v>-2504.47227191413</v>
      </c>
      <c r="M45" s="31">
        <v>50.6</v>
      </c>
      <c r="N45" s="32">
        <f t="shared" ref="N45:N48" si="17">IF(ISNUMBER(M45), (M45 - $B45) / $B45, "")</f>
        <v>-9.4812164579606395E-2</v>
      </c>
      <c r="O45" s="18">
        <f>IF(ISNUMBER(M45), $B64 * N45, "")</f>
        <v>-9481.2164579606397</v>
      </c>
      <c r="Q45" s="233"/>
      <c r="R45" s="233"/>
      <c r="S45" s="233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>
        <v>19.3</v>
      </c>
      <c r="E46" s="32">
        <f t="shared" si="14"/>
        <v>-0.15720524017467241</v>
      </c>
      <c r="F46" s="18">
        <f>IF(ISNUMBER(D46), $B64 * E46, "")</f>
        <v>-15720.524017467242</v>
      </c>
      <c r="G46" s="31">
        <v>19</v>
      </c>
      <c r="H46" s="32">
        <f t="shared" si="15"/>
        <v>-0.17030567685589515</v>
      </c>
      <c r="I46" s="101">
        <f>IF(ISNUMBER(G46), $B64 * H46, "")</f>
        <v>-17030.567685589514</v>
      </c>
      <c r="J46" s="15">
        <v>18.899999999999999</v>
      </c>
      <c r="K46" s="32">
        <f t="shared" si="16"/>
        <v>-0.17467248908296945</v>
      </c>
      <c r="L46" s="18">
        <f>IF(ISNUMBER(J46), $B64 * K46, "")</f>
        <v>-17467.248908296944</v>
      </c>
      <c r="M46" s="31">
        <v>17.5</v>
      </c>
      <c r="N46" s="32">
        <f t="shared" si="17"/>
        <v>-0.23580786026200867</v>
      </c>
      <c r="O46" s="18">
        <f>IF(ISNUMBER(M46), $B64 * N46, "")</f>
        <v>-23580.786026200869</v>
      </c>
      <c r="Q46" s="223"/>
      <c r="R46" s="223"/>
      <c r="S46" s="223"/>
    </row>
    <row r="47" spans="1:19" ht="17.25" customHeight="1" thickBot="1">
      <c r="A47" s="162" t="s">
        <v>228</v>
      </c>
      <c r="B47" s="126">
        <v>11.4</v>
      </c>
      <c r="C47" s="77">
        <v>1.7857142900000001E-2</v>
      </c>
      <c r="D47" s="15">
        <v>9.99</v>
      </c>
      <c r="E47" s="32">
        <f t="shared" si="14"/>
        <v>-0.1236842105263158</v>
      </c>
      <c r="F47" s="18">
        <f>IF(ISNUMBER(D47), $B64 * E47, "")</f>
        <v>-12368.42105263158</v>
      </c>
      <c r="G47" s="31">
        <v>9.7100000000000009</v>
      </c>
      <c r="H47" s="32">
        <f t="shared" si="15"/>
        <v>-0.14824561403508768</v>
      </c>
      <c r="I47" s="101">
        <f>IF(ISNUMBER(G47), $B64 * H47, "")</f>
        <v>-14824.561403508767</v>
      </c>
      <c r="J47" s="15">
        <v>9.84</v>
      </c>
      <c r="K47" s="32">
        <f t="shared" si="16"/>
        <v>-0.13684210526315793</v>
      </c>
      <c r="L47" s="18">
        <f>IF(ISNUMBER(J47), $B64 * K47, "")</f>
        <v>-13684.210526315794</v>
      </c>
      <c r="M47" s="31">
        <v>8.98</v>
      </c>
      <c r="N47" s="32">
        <f t="shared" si="17"/>
        <v>-0.21228070175438596</v>
      </c>
      <c r="O47" s="18">
        <f>IF(ISNUMBER(M47), $B64 * N47, "")</f>
        <v>-21228.070175438595</v>
      </c>
      <c r="Q47" s="223"/>
      <c r="R47" s="223"/>
      <c r="S47" s="223"/>
    </row>
    <row r="48" spans="1:19" ht="17.25" customHeight="1" thickBot="1">
      <c r="A48" s="163" t="s">
        <v>196</v>
      </c>
      <c r="B48" s="128">
        <v>12.3</v>
      </c>
      <c r="C48" s="78">
        <v>1.6528925600000001E-2</v>
      </c>
      <c r="D48" s="20">
        <v>10.9</v>
      </c>
      <c r="E48" s="21">
        <f t="shared" si="14"/>
        <v>-0.11382113821138214</v>
      </c>
      <c r="F48" s="22">
        <f>IF(ISNUMBER(D48), $B64 * E48, "")</f>
        <v>-11382.113821138213</v>
      </c>
      <c r="G48" s="30">
        <v>11.3</v>
      </c>
      <c r="H48" s="21">
        <f t="shared" si="15"/>
        <v>-8.1300813008130079E-2</v>
      </c>
      <c r="I48" s="105">
        <f>IF(ISNUMBER(G48), $B64 * H48, "")</f>
        <v>-8130.0813008130081</v>
      </c>
      <c r="J48" s="20">
        <v>11.6</v>
      </c>
      <c r="K48" s="21">
        <f t="shared" si="16"/>
        <v>-5.6910569105691138E-2</v>
      </c>
      <c r="L48" s="22">
        <f>IF(ISNUMBER(J48), $B64 * K48, "")</f>
        <v>-5691.0569105691138</v>
      </c>
      <c r="M48" s="30">
        <v>10.7</v>
      </c>
      <c r="N48" s="21">
        <f t="shared" si="17"/>
        <v>-0.13008130081300823</v>
      </c>
      <c r="O48" s="22">
        <f>IF(ISNUMBER(M48), $B64 * N48, "")</f>
        <v>-13008.130081300822</v>
      </c>
      <c r="Q48" s="223"/>
      <c r="R48" s="223"/>
      <c r="S48" s="223"/>
    </row>
    <row r="49" spans="1:19" ht="17.25" customHeight="1" thickBot="1">
      <c r="A49" s="162" t="s">
        <v>266</v>
      </c>
      <c r="B49" s="129">
        <v>59.9</v>
      </c>
      <c r="C49" s="80">
        <v>1.5254237299999999E-2</v>
      </c>
      <c r="D49" s="106">
        <v>52.2</v>
      </c>
      <c r="E49" s="107">
        <f>IF(ISNUMBER(D49), (D49 - $B49) / $B49, "")</f>
        <v>-0.12854757929883132</v>
      </c>
      <c r="F49" s="108">
        <f>IF(ISNUMBER(D49), $B64 * E49, "")</f>
        <v>-12854.757929883132</v>
      </c>
      <c r="G49" s="109">
        <v>51.2</v>
      </c>
      <c r="H49" s="107">
        <f>IF(ISNUMBER(G49), (G49 - $B49) / $B49, "")</f>
        <v>-0.14524207011686135</v>
      </c>
      <c r="I49" s="110">
        <f>IF(ISNUMBER(G49), $B64 * H49, "")</f>
        <v>-14524.207011686136</v>
      </c>
      <c r="J49" s="106">
        <v>51.9</v>
      </c>
      <c r="K49" s="107">
        <f>IF(ISNUMBER(J49), (J49 - $B49) / $B49, "")</f>
        <v>-0.13355592654424039</v>
      </c>
      <c r="L49" s="108">
        <f>IF(ISNUMBER(J49), $B64 * K49, "")</f>
        <v>-13355.592654424039</v>
      </c>
      <c r="M49" s="109">
        <v>48.3</v>
      </c>
      <c r="N49" s="107">
        <f>IF(ISNUMBER(M49), (M49 - $B49) / $B49, "")</f>
        <v>-0.19365609348914861</v>
      </c>
      <c r="O49" s="108">
        <f>IF(ISNUMBER(M49), $B64 * N49, "")</f>
        <v>-19365.609348914862</v>
      </c>
      <c r="Q49" s="223"/>
      <c r="R49" s="223"/>
      <c r="S49" s="223"/>
    </row>
    <row r="50" spans="1:19" ht="17.25" customHeight="1" thickBot="1">
      <c r="A50" s="162" t="s">
        <v>264</v>
      </c>
      <c r="B50" s="126">
        <v>90.2</v>
      </c>
      <c r="C50" s="77">
        <v>1.2345679E-2</v>
      </c>
      <c r="D50" s="15">
        <v>76.900000000000006</v>
      </c>
      <c r="E50" s="32">
        <f t="shared" ref="E50:E53" si="18">IF(ISNUMBER(D50), (D50 - $B50) / $B50, "")</f>
        <v>-0.14745011086474497</v>
      </c>
      <c r="F50" s="18">
        <f>IF(ISNUMBER(D50), $B64 * E50, "")</f>
        <v>-14745.011086474497</v>
      </c>
      <c r="G50" s="31">
        <v>76.099999999999994</v>
      </c>
      <c r="H50" s="32">
        <f t="shared" ref="H50:H53" si="19">IF(ISNUMBER(G50), (G50 - $B50) / $B50, "")</f>
        <v>-0.156319290465632</v>
      </c>
      <c r="I50" s="101">
        <f>IF(ISNUMBER(G50), $B64 * H50, "")</f>
        <v>-15631.9290465632</v>
      </c>
      <c r="J50" s="15">
        <v>76.8</v>
      </c>
      <c r="K50" s="32">
        <f t="shared" ref="K50:K53" si="20">IF(ISNUMBER(J50), (J50 - $B50) / $B50, "")</f>
        <v>-0.14855875831485593</v>
      </c>
      <c r="L50" s="18">
        <f>IF(ISNUMBER(J50), $B64 * K50, "")</f>
        <v>-14855.875831485593</v>
      </c>
      <c r="M50" s="31">
        <v>71.8</v>
      </c>
      <c r="N50" s="32">
        <f t="shared" ref="N50:N53" si="21">IF(ISNUMBER(M50), (M50 - $B50) / $B50, "")</f>
        <v>-0.20399113082039916</v>
      </c>
      <c r="O50" s="18">
        <f>IF(ISNUMBER(M50), $B64 * N50, "")</f>
        <v>-20399.113082039916</v>
      </c>
      <c r="Q50" s="223"/>
      <c r="R50" s="223"/>
      <c r="S50" s="223"/>
    </row>
    <row r="51" spans="1:19" ht="17.25" customHeight="1" thickBot="1">
      <c r="A51" s="162" t="s">
        <v>222</v>
      </c>
      <c r="B51" s="126">
        <v>12.1</v>
      </c>
      <c r="C51" s="77">
        <v>8.3333333000000006E-3</v>
      </c>
      <c r="D51" s="15">
        <v>10.4</v>
      </c>
      <c r="E51" s="32">
        <f t="shared" si="18"/>
        <v>-0.14049586776859499</v>
      </c>
      <c r="F51" s="18">
        <f>IF(ISNUMBER(D51), $B64 * E51, "")</f>
        <v>-14049.5867768595</v>
      </c>
      <c r="G51" s="31">
        <v>10.4</v>
      </c>
      <c r="H51" s="32">
        <f t="shared" si="19"/>
        <v>-0.14049586776859499</v>
      </c>
      <c r="I51" s="101">
        <f>IF(ISNUMBER(G51), $B64 * H51, "")</f>
        <v>-14049.5867768595</v>
      </c>
      <c r="J51" s="15">
        <v>10.6</v>
      </c>
      <c r="K51" s="32">
        <f t="shared" si="20"/>
        <v>-0.12396694214876033</v>
      </c>
      <c r="L51" s="18">
        <f>IF(ISNUMBER(J51), $B64 * K51, "")</f>
        <v>-12396.694214876034</v>
      </c>
      <c r="M51" s="31">
        <v>10.1</v>
      </c>
      <c r="N51" s="32">
        <f t="shared" si="21"/>
        <v>-0.16528925619834711</v>
      </c>
      <c r="O51" s="18">
        <f>IF(ISNUMBER(M51), $B64 * N51, "")</f>
        <v>-16528.92561983471</v>
      </c>
      <c r="Q51" s="223"/>
      <c r="R51" s="223"/>
      <c r="S51" s="223"/>
    </row>
    <row r="52" spans="1:19" ht="17.25" customHeight="1" thickBot="1">
      <c r="A52" s="162" t="s">
        <v>214</v>
      </c>
      <c r="B52" s="126">
        <v>14.4</v>
      </c>
      <c r="C52" s="77">
        <v>6.9930069999999999E-3</v>
      </c>
      <c r="D52" s="15">
        <v>12.4</v>
      </c>
      <c r="E52" s="32">
        <f t="shared" si="18"/>
        <v>-0.1388888888888889</v>
      </c>
      <c r="F52" s="18">
        <f>IF(ISNUMBER(D52), $B64 * E52, "")</f>
        <v>-13888.888888888889</v>
      </c>
      <c r="G52" s="31">
        <v>12.4</v>
      </c>
      <c r="H52" s="32">
        <f t="shared" si="19"/>
        <v>-0.1388888888888889</v>
      </c>
      <c r="I52" s="101">
        <f>IF(ISNUMBER(G52), $B64 * H52, "")</f>
        <v>-13888.888888888889</v>
      </c>
      <c r="J52" s="15">
        <v>12.5</v>
      </c>
      <c r="K52" s="32">
        <f t="shared" si="20"/>
        <v>-0.13194444444444448</v>
      </c>
      <c r="L52" s="18">
        <f>IF(ISNUMBER(J52), $B64 * K52, "")</f>
        <v>-13194.444444444447</v>
      </c>
      <c r="M52" s="31">
        <v>11.4</v>
      </c>
      <c r="N52" s="32">
        <f t="shared" si="21"/>
        <v>-0.20833333333333331</v>
      </c>
      <c r="O52" s="18">
        <f>IF(ISNUMBER(M52), $B64 * N52, "")</f>
        <v>-20833.333333333332</v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>
        <v>25.9</v>
      </c>
      <c r="E53" s="25">
        <f t="shared" si="18"/>
        <v>-0.1480263157894737</v>
      </c>
      <c r="F53" s="104">
        <f>IF(ISNUMBER(D53), $B64 * E53, "")</f>
        <v>-14802.63157894737</v>
      </c>
      <c r="G53" s="102">
        <v>25.6</v>
      </c>
      <c r="H53" s="25">
        <f t="shared" si="19"/>
        <v>-0.15789473684210517</v>
      </c>
      <c r="I53" s="103">
        <f>IF(ISNUMBER(G53), $B64 * H53, "")</f>
        <v>-15789.473684210518</v>
      </c>
      <c r="J53" s="24">
        <v>25.7</v>
      </c>
      <c r="K53" s="25">
        <f t="shared" si="20"/>
        <v>-0.15460526315789472</v>
      </c>
      <c r="L53" s="104">
        <f>IF(ISNUMBER(J53), $B64 * K53, "")</f>
        <v>-15460.526315789471</v>
      </c>
      <c r="M53" s="102">
        <v>24.1</v>
      </c>
      <c r="N53" s="25">
        <f t="shared" si="21"/>
        <v>-0.20723684210526308</v>
      </c>
      <c r="O53" s="104">
        <f>IF(ISNUMBER(M53), $B64 * N53, "")</f>
        <v>-20723.684210526309</v>
      </c>
      <c r="Q53" s="224"/>
      <c r="R53" s="225"/>
      <c r="S53" s="226"/>
    </row>
    <row r="54" spans="1:19" ht="17.25" customHeight="1">
      <c r="A54" s="161" t="s">
        <v>254</v>
      </c>
      <c r="B54" s="124">
        <v>52.5</v>
      </c>
      <c r="C54" s="76">
        <v>5.7471264000000001E-3</v>
      </c>
      <c r="D54" s="13">
        <v>44.8</v>
      </c>
      <c r="E54" s="14">
        <f>IF(ISNUMBER(D54), (D54 - $B54) / $B54, "")</f>
        <v>-0.14666666666666672</v>
      </c>
      <c r="F54" s="16">
        <f>IF(ISNUMBER(D54), $B64 * E54, "")</f>
        <v>-14666.666666666672</v>
      </c>
      <c r="G54" s="29">
        <v>44.5</v>
      </c>
      <c r="H54" s="14">
        <f>IF(ISNUMBER(G54), (G54 - $B54) / $B54, "")</f>
        <v>-0.15238095238095239</v>
      </c>
      <c r="I54" s="100">
        <f>IF(ISNUMBER(G54), $B64 * H54, "")</f>
        <v>-15238.09523809524</v>
      </c>
      <c r="J54" s="13">
        <v>44.8</v>
      </c>
      <c r="K54" s="14">
        <f>IF(ISNUMBER(J54), (J54 - $B54) / $B54, "")</f>
        <v>-0.14666666666666672</v>
      </c>
      <c r="L54" s="16">
        <f>IF(ISNUMBER(J54), $B64 * K54, "")</f>
        <v>-14666.666666666672</v>
      </c>
      <c r="M54" s="29">
        <v>42.2</v>
      </c>
      <c r="N54" s="14">
        <f>IF(ISNUMBER(M54), (M54 - $B54) / $B54, "")</f>
        <v>-0.19619047619047614</v>
      </c>
      <c r="O54" s="16">
        <f>IF(ISNUMBER(M54), $B64 * N54, "")</f>
        <v>-19619.047619047615</v>
      </c>
      <c r="Q54" s="227"/>
      <c r="R54" s="228"/>
      <c r="S54" s="229"/>
    </row>
    <row r="55" spans="1:19" ht="17.25" customHeight="1" thickBot="1">
      <c r="A55" s="162" t="s">
        <v>172</v>
      </c>
      <c r="B55" s="126">
        <v>15.5</v>
      </c>
      <c r="C55" s="77">
        <v>0</v>
      </c>
      <c r="D55" s="15">
        <v>14.5</v>
      </c>
      <c r="E55" s="32">
        <f t="shared" ref="E55:E58" si="22">IF(ISNUMBER(D55), (D55 - $B55) / $B55, "")</f>
        <v>-6.4516129032258063E-2</v>
      </c>
      <c r="F55" s="18">
        <f>IF(ISNUMBER(D55), $B64 * E55, "")</f>
        <v>-6451.6129032258059</v>
      </c>
      <c r="G55" s="31">
        <v>14.7</v>
      </c>
      <c r="H55" s="32">
        <f t="shared" ref="H55:H58" si="23">IF(ISNUMBER(G55), (G55 - $B55) / $B55, "")</f>
        <v>-5.16129032258065E-2</v>
      </c>
      <c r="I55" s="101">
        <f>IF(ISNUMBER(G55), $B64 * H55, "")</f>
        <v>-5161.2903225806504</v>
      </c>
      <c r="J55" s="15">
        <v>14.8</v>
      </c>
      <c r="K55" s="32">
        <f t="shared" ref="K55:K58" si="24">IF(ISNUMBER(J55), (J55 - $B55) / $B55, "")</f>
        <v>-4.5161290322580601E-2</v>
      </c>
      <c r="L55" s="18">
        <f>IF(ISNUMBER(J55), $B64 * K55, "")</f>
        <v>-4516.1290322580599</v>
      </c>
      <c r="M55" s="31">
        <v>13.5</v>
      </c>
      <c r="N55" s="32">
        <f t="shared" ref="N55:N58" si="25">IF(ISNUMBER(M55), (M55 - $B55) / $B55, "")</f>
        <v>-0.12903225806451613</v>
      </c>
      <c r="O55" s="18">
        <f>IF(ISNUMBER(M55), $B64 * N55, "")</f>
        <v>-12903.225806451612</v>
      </c>
      <c r="Q55" s="230"/>
      <c r="R55" s="231"/>
      <c r="S55" s="232"/>
    </row>
    <row r="56" spans="1:19" ht="17.25" customHeight="1" thickBot="1">
      <c r="A56" s="162" t="s">
        <v>268</v>
      </c>
      <c r="B56" s="126">
        <v>54.3</v>
      </c>
      <c r="C56" s="77">
        <v>0</v>
      </c>
      <c r="D56" s="15">
        <v>46.7</v>
      </c>
      <c r="E56" s="32">
        <f t="shared" si="22"/>
        <v>-0.13996316758747687</v>
      </c>
      <c r="F56" s="18">
        <f>IF(ISNUMBER(D56), $B64 * E56, "")</f>
        <v>-13996.316758747687</v>
      </c>
      <c r="G56" s="31">
        <v>47.1</v>
      </c>
      <c r="H56" s="32">
        <f t="shared" si="23"/>
        <v>-0.13259668508287287</v>
      </c>
      <c r="I56" s="101">
        <f>IF(ISNUMBER(G56), $B64 * H56, "")</f>
        <v>-13259.668508287286</v>
      </c>
      <c r="J56" s="15">
        <v>46.7</v>
      </c>
      <c r="K56" s="32">
        <f t="shared" si="24"/>
        <v>-0.13996316758747687</v>
      </c>
      <c r="L56" s="18">
        <f>IF(ISNUMBER(J56), $B64 * K56, "")</f>
        <v>-13996.316758747687</v>
      </c>
      <c r="M56" s="31">
        <v>43.3</v>
      </c>
      <c r="N56" s="32">
        <f t="shared" si="25"/>
        <v>-0.20257826887661143</v>
      </c>
      <c r="O56" s="18">
        <f>IF(ISNUMBER(M56), $B64 * N56, "")</f>
        <v>-20257.826887661144</v>
      </c>
      <c r="Q56" s="223"/>
      <c r="R56" s="223"/>
      <c r="S56" s="223"/>
    </row>
    <row r="57" spans="1:19" ht="17.25" customHeight="1" thickBot="1">
      <c r="A57" s="162" t="s">
        <v>198</v>
      </c>
      <c r="B57" s="126">
        <v>17</v>
      </c>
      <c r="C57" s="77">
        <v>0</v>
      </c>
      <c r="D57" s="15">
        <v>14.8</v>
      </c>
      <c r="E57" s="32">
        <f t="shared" si="22"/>
        <v>-0.12941176470588231</v>
      </c>
      <c r="F57" s="18">
        <f>IF(ISNUMBER(D57), $B64 * E57, "")</f>
        <v>-12941.176470588231</v>
      </c>
      <c r="G57" s="31">
        <v>14.7</v>
      </c>
      <c r="H57" s="32">
        <f t="shared" si="23"/>
        <v>-0.13529411764705887</v>
      </c>
      <c r="I57" s="101">
        <f>IF(ISNUMBER(G57), $B64 * H57, "")</f>
        <v>-13529.411764705887</v>
      </c>
      <c r="J57" s="15">
        <v>14.6</v>
      </c>
      <c r="K57" s="32">
        <f t="shared" si="24"/>
        <v>-0.14117647058823532</v>
      </c>
      <c r="L57" s="18">
        <f>IF(ISNUMBER(J57), $B64 * K57, "")</f>
        <v>-14117.647058823532</v>
      </c>
      <c r="M57" s="31">
        <v>13.6</v>
      </c>
      <c r="N57" s="32">
        <f t="shared" si="25"/>
        <v>-0.2</v>
      </c>
      <c r="O57" s="18">
        <f>IF(ISNUMBER(M57), $B64 * N57, "")</f>
        <v>-20000</v>
      </c>
      <c r="Q57" s="233"/>
      <c r="R57" s="233"/>
      <c r="S57" s="233"/>
    </row>
    <row r="58" spans="1:19" ht="17.25" customHeight="1" thickBot="1">
      <c r="A58" s="163" t="s">
        <v>260</v>
      </c>
      <c r="B58" s="128">
        <v>76.599999999999994</v>
      </c>
      <c r="C58" s="78">
        <v>-3.9011703999999999E-3</v>
      </c>
      <c r="D58" s="20">
        <v>64.7</v>
      </c>
      <c r="E58" s="21">
        <f t="shared" si="22"/>
        <v>-0.15535248041775446</v>
      </c>
      <c r="F58" s="22">
        <f>IF(ISNUMBER(D58), $B64 * E58, "")</f>
        <v>-15535.248041775445</v>
      </c>
      <c r="G58" s="30">
        <v>63.9</v>
      </c>
      <c r="H58" s="21">
        <f t="shared" si="23"/>
        <v>-0.16579634464751955</v>
      </c>
      <c r="I58" s="105">
        <f>IF(ISNUMBER(G58), $B64 * H58, "")</f>
        <v>-16579.634464751955</v>
      </c>
      <c r="J58" s="20">
        <v>64.099999999999994</v>
      </c>
      <c r="K58" s="21">
        <f t="shared" si="24"/>
        <v>-0.16318537859007834</v>
      </c>
      <c r="L58" s="22">
        <f>IF(ISNUMBER(J58), $B64 * K58, "")</f>
        <v>-16318.537859007834</v>
      </c>
      <c r="M58" s="30">
        <v>59.7</v>
      </c>
      <c r="N58" s="21">
        <f t="shared" si="25"/>
        <v>-0.22062663185378581</v>
      </c>
      <c r="O58" s="22">
        <f>IF(ISNUMBER(M58), $B64 * N58, "")</f>
        <v>-22062.66318537858</v>
      </c>
      <c r="Q58" s="233"/>
      <c r="R58" s="233"/>
      <c r="S58" s="233"/>
    </row>
    <row r="59" spans="1:19" ht="17.25" customHeight="1" thickBot="1">
      <c r="A59" s="162" t="s">
        <v>212</v>
      </c>
      <c r="B59" s="129">
        <v>79.599999999999994</v>
      </c>
      <c r="C59" s="80">
        <v>-5.0000000000000001E-3</v>
      </c>
      <c r="D59" s="106">
        <v>67</v>
      </c>
      <c r="E59" s="107">
        <f>IF(ISNUMBER(D59), (D59 - $B59) / $B59, "")</f>
        <v>-0.1582914572864321</v>
      </c>
      <c r="F59" s="108">
        <f>IF(ISNUMBER(D59), $B64 * E59, "")</f>
        <v>-15829.145728643211</v>
      </c>
      <c r="G59" s="109">
        <v>67.099999999999994</v>
      </c>
      <c r="H59" s="107">
        <f>IF(ISNUMBER(G59), (G59 - $B59) / $B59, "")</f>
        <v>-0.157035175879397</v>
      </c>
      <c r="I59" s="110">
        <f>IF(ISNUMBER(G59), $B64 * H59, "")</f>
        <v>-15703.517587939699</v>
      </c>
      <c r="J59" s="106">
        <v>67.2</v>
      </c>
      <c r="K59" s="107">
        <f>IF(ISNUMBER(J59), (J59 - $B59) / $B59, "")</f>
        <v>-0.15577889447236171</v>
      </c>
      <c r="L59" s="108">
        <f>IF(ISNUMBER(J59), $B64 * K59, "")</f>
        <v>-15577.88944723617</v>
      </c>
      <c r="M59" s="109">
        <v>62</v>
      </c>
      <c r="N59" s="107">
        <f>IF(ISNUMBER(M59), (M59 - $B59) / $B59, "")</f>
        <v>-0.22110552763819091</v>
      </c>
      <c r="O59" s="108">
        <f>IF(ISNUMBER(M59), $B64 * N59, "")</f>
        <v>-22110.552763819091</v>
      </c>
      <c r="Q59" s="223"/>
      <c r="R59" s="223"/>
      <c r="S59" s="223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>
        <v>81.3</v>
      </c>
      <c r="E60" s="32">
        <f t="shared" ref="E60:E63" si="26">IF(ISNUMBER(D60), (D60 - $B60) / $B60, "")</f>
        <v>-9.5661846496106873E-2</v>
      </c>
      <c r="F60" s="18">
        <f>IF(ISNUMBER(D60), $B64 * E60, "")</f>
        <v>-9566.1846496106864</v>
      </c>
      <c r="G60" s="31">
        <v>82.3</v>
      </c>
      <c r="H60" s="32">
        <f t="shared" ref="H60:H63" si="27">IF(ISNUMBER(G60), (G60 - $B60) / $B60, "")</f>
        <v>-8.4538375973303756E-2</v>
      </c>
      <c r="I60" s="101">
        <f>IF(ISNUMBER(G60), $B64 * H60, "")</f>
        <v>-8453.8375973303755</v>
      </c>
      <c r="J60" s="15">
        <v>82.9</v>
      </c>
      <c r="K60" s="32">
        <f t="shared" ref="K60:K63" si="28">IF(ISNUMBER(J60), (J60 - $B60) / $B60, "")</f>
        <v>-7.7864293659621803E-2</v>
      </c>
      <c r="L60" s="18">
        <f>IF(ISNUMBER(J60), $B64 * K60, "")</f>
        <v>-7786.4293659621799</v>
      </c>
      <c r="M60" s="31">
        <v>79.900000000000006</v>
      </c>
      <c r="N60" s="32">
        <f t="shared" ref="N60:N63" si="29">IF(ISNUMBER(M60), (M60 - $B60) / $B60, "")</f>
        <v>-0.11123470522803114</v>
      </c>
      <c r="O60" s="18">
        <f>IF(ISNUMBER(M60), $B64 * N60, "")</f>
        <v>-11123.470522803114</v>
      </c>
      <c r="Q60" s="223"/>
      <c r="R60" s="223"/>
      <c r="S60" s="223"/>
    </row>
    <row r="61" spans="1:19" ht="17.25" customHeight="1" thickBot="1">
      <c r="A61" s="162" t="s">
        <v>278</v>
      </c>
      <c r="B61" s="126">
        <v>81.900000000000006</v>
      </c>
      <c r="C61" s="77">
        <v>-8.4745762999999998E-3</v>
      </c>
      <c r="D61" s="15">
        <v>72.3</v>
      </c>
      <c r="E61" s="32">
        <f t="shared" si="26"/>
        <v>-0.11721611721611731</v>
      </c>
      <c r="F61" s="18">
        <f>IF(ISNUMBER(D61), $B64 * E61, "")</f>
        <v>-11721.611721611731</v>
      </c>
      <c r="G61" s="31">
        <v>74.2</v>
      </c>
      <c r="H61" s="32">
        <f t="shared" si="27"/>
        <v>-9.4017094017094044E-2</v>
      </c>
      <c r="I61" s="101">
        <f>IF(ISNUMBER(G61), $B64 * H61, "")</f>
        <v>-9401.7094017094041</v>
      </c>
      <c r="J61" s="15">
        <v>74.2</v>
      </c>
      <c r="K61" s="32">
        <f t="shared" si="28"/>
        <v>-9.4017094017094044E-2</v>
      </c>
      <c r="L61" s="18">
        <f>IF(ISNUMBER(J61), $B64 * K61, "")</f>
        <v>-9401.7094017094041</v>
      </c>
      <c r="M61" s="31">
        <v>70.900000000000006</v>
      </c>
      <c r="N61" s="32">
        <f t="shared" si="29"/>
        <v>-0.1343101343101343</v>
      </c>
      <c r="O61" s="18">
        <f>IF(ISNUMBER(M61), $B64 * N61, "")</f>
        <v>-13431.013431013431</v>
      </c>
      <c r="Q61" s="223"/>
      <c r="R61" s="223"/>
      <c r="S61" s="223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>
        <v>10.199999999999999</v>
      </c>
      <c r="E62" s="32">
        <f t="shared" si="26"/>
        <v>-0.12068965517241383</v>
      </c>
      <c r="F62" s="18">
        <f>IF(ISNUMBER(D62), $B64 * E62, "")</f>
        <v>-12068.965517241382</v>
      </c>
      <c r="G62" s="31">
        <v>10.199999999999999</v>
      </c>
      <c r="H62" s="32">
        <f t="shared" si="27"/>
        <v>-0.12068965517241383</v>
      </c>
      <c r="I62" s="101">
        <f>IF(ISNUMBER(G62), $B64 * H62, "")</f>
        <v>-12068.965517241382</v>
      </c>
      <c r="J62" s="15">
        <v>10.5</v>
      </c>
      <c r="K62" s="32">
        <f t="shared" si="28"/>
        <v>-9.4827586206896519E-2</v>
      </c>
      <c r="L62" s="18">
        <f>IF(ISNUMBER(J62), $B64 * K62, "")</f>
        <v>-9482.7586206896522</v>
      </c>
      <c r="M62" s="31">
        <v>9.8800000000000008</v>
      </c>
      <c r="N62" s="32">
        <f t="shared" si="29"/>
        <v>-0.14827586206896542</v>
      </c>
      <c r="O62" s="18">
        <f>IF(ISNUMBER(M62), $B64 * N62, "")</f>
        <v>-14827.586206896542</v>
      </c>
      <c r="Q62" s="212"/>
      <c r="R62" s="213"/>
      <c r="S62" s="214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>
        <v>18.399999999999999</v>
      </c>
      <c r="E63" s="25">
        <f t="shared" si="26"/>
        <v>-0.15207373271889404</v>
      </c>
      <c r="F63" s="104">
        <f>IF(ISNUMBER(D63), $B64 * E63, "")</f>
        <v>-15207.373271889404</v>
      </c>
      <c r="G63" s="102">
        <v>18.7</v>
      </c>
      <c r="H63" s="25">
        <f t="shared" si="27"/>
        <v>-0.13824884792626729</v>
      </c>
      <c r="I63" s="103">
        <f>IF(ISNUMBER(G63), $B64 * H63, "")</f>
        <v>-13824.88479262673</v>
      </c>
      <c r="J63" s="24">
        <v>18.600000000000001</v>
      </c>
      <c r="K63" s="25">
        <f t="shared" si="28"/>
        <v>-0.14285714285714277</v>
      </c>
      <c r="L63" s="104">
        <f>IF(ISNUMBER(J63), $B64 * K63, "")</f>
        <v>-14285.714285714277</v>
      </c>
      <c r="M63" s="102">
        <v>17.2</v>
      </c>
      <c r="N63" s="25">
        <f t="shared" si="29"/>
        <v>-0.20737327188940094</v>
      </c>
      <c r="O63" s="104">
        <f>IF(ISNUMBER(M63), $B64 * N63, "")</f>
        <v>-20737.327188940093</v>
      </c>
      <c r="Q63" s="215"/>
      <c r="R63" s="216"/>
      <c r="S63" s="217"/>
    </row>
    <row r="64" spans="1:19" ht="17.25" customHeight="1" thickBot="1">
      <c r="A64" s="132" t="s">
        <v>300</v>
      </c>
      <c r="B64" s="276">
        <f>$B$37</f>
        <v>100000</v>
      </c>
      <c r="C64" s="277"/>
      <c r="D64" s="26" t="s">
        <v>301</v>
      </c>
      <c r="E64" s="27">
        <f>IF(COUNT(E44:E63), SUM(E44:E63) / COUNT(E44:E63), 0)</f>
        <v>-0.13028452273452634</v>
      </c>
      <c r="F64" s="28">
        <f>SUM(F44:F63)</f>
        <v>-260569.04546905271</v>
      </c>
      <c r="G64" s="26" t="s">
        <v>301</v>
      </c>
      <c r="H64" s="27">
        <f>IF(COUNT(H44:H63), SUM(H44:H63) / COUNT(H44:H63), 0)</f>
        <v>-0.12737342025519136</v>
      </c>
      <c r="I64" s="28">
        <f>SUM(I44:I63)</f>
        <v>-254746.84051038272</v>
      </c>
      <c r="J64" s="26" t="s">
        <v>301</v>
      </c>
      <c r="K64" s="27">
        <f>IF(COUNT(K44:K63), SUM(K44:K63) / COUNT(K44:K63), 0)</f>
        <v>-0.12207226797977319</v>
      </c>
      <c r="L64" s="28">
        <f>SUM(L44:L63)</f>
        <v>-244144.53595954643</v>
      </c>
      <c r="M64" s="26" t="s">
        <v>301</v>
      </c>
      <c r="N64" s="27">
        <f>IF(COUNT(N44:N63), SUM(N44:N63) / COUNT(N44:N63), 0)</f>
        <v>-0.18149540635839603</v>
      </c>
      <c r="O64" s="28">
        <f>SUM(O44:O63)</f>
        <v>-362990.8127167921</v>
      </c>
      <c r="Q64" s="218"/>
      <c r="R64" s="219"/>
      <c r="S64" s="220"/>
    </row>
    <row r="65" spans="1:19" ht="17.25" customHeight="1"/>
    <row r="66" spans="1:19" ht="17.25" customHeight="1" thickBot="1"/>
    <row r="67" spans="1:19" ht="17.25" thickBot="1">
      <c r="A67" s="234" t="s">
        <v>45</v>
      </c>
      <c r="B67" s="235"/>
      <c r="C67" s="235"/>
      <c r="D67" s="235"/>
      <c r="E67" s="235"/>
      <c r="F67" s="235"/>
      <c r="G67" s="235"/>
      <c r="H67" s="235"/>
      <c r="I67" s="235"/>
      <c r="J67" s="235"/>
      <c r="K67" s="235"/>
      <c r="L67" s="235"/>
      <c r="M67" s="235"/>
      <c r="N67" s="235"/>
      <c r="O67" s="236"/>
      <c r="Q67" s="233"/>
      <c r="R67" s="233"/>
      <c r="S67" s="233"/>
    </row>
    <row r="68" spans="1:19" ht="17.25" thickBot="1">
      <c r="A68" s="188" t="s">
        <v>297</v>
      </c>
      <c r="B68" s="234" t="s">
        <v>49</v>
      </c>
      <c r="C68" s="236"/>
      <c r="D68" s="234" t="s">
        <v>58</v>
      </c>
      <c r="E68" s="235"/>
      <c r="F68" s="236"/>
      <c r="G68" s="237">
        <f>_xlfn.IFNA(VLOOKUP(B68, 현재가테이블!$B$2:$D$200, 2, FALSE), "-")</f>
        <v>41418000</v>
      </c>
      <c r="H68" s="238"/>
      <c r="I68" s="239"/>
      <c r="J68" s="234" t="s">
        <v>59</v>
      </c>
      <c r="K68" s="235"/>
      <c r="L68" s="236"/>
      <c r="M68" s="240">
        <f>_xlfn.IFNA(VLOOKUP(B68, 현재가테이블!$B$2:$D$200, 3, FALSE), "-")</f>
        <v>-5.2176301000000001E-2</v>
      </c>
      <c r="N68" s="241"/>
      <c r="O68" s="242"/>
      <c r="Q68" s="233"/>
      <c r="R68" s="233"/>
      <c r="S68" s="233"/>
    </row>
    <row r="69" spans="1:19" ht="17.25" thickBot="1">
      <c r="A69" s="278" t="s">
        <v>55</v>
      </c>
      <c r="B69" s="274" t="str">
        <f>TEXT($G$1, "[$-ko-KR]yyyy-mm-dd(ddd) ") &amp; "오전 00:00"</f>
        <v>2021-06-08(화) 오전 00:00</v>
      </c>
      <c r="C69" s="275"/>
      <c r="D69" s="247" t="str">
        <f>TEXT($G$1, "[$-ko-KR]yyyy-mm-dd(ddd) ") &amp; "오후 14:00"</f>
        <v>2021-06-08(화) 오후 14:00</v>
      </c>
      <c r="E69" s="248"/>
      <c r="F69" s="249"/>
      <c r="G69" s="247" t="str">
        <f>TEXT($G$1, "[$-ko-KR]yyyy-mm-dd(ddd) ") &amp; "오후 19:00"</f>
        <v>2021-06-08(화) 오후 19:00</v>
      </c>
      <c r="H69" s="248"/>
      <c r="I69" s="249"/>
      <c r="J69" s="247" t="str">
        <f>TEXT($G$1, "[$-ko-KR]yyyy-mm-dd(ddd) ") &amp; "오후 21:00"</f>
        <v>2021-06-08(화) 오후 21:00</v>
      </c>
      <c r="K69" s="248"/>
      <c r="L69" s="249"/>
      <c r="M69" s="247" t="str">
        <f>TEXT($G$1+1, "[$-ko-KR]yyyy-mm-dd(ddd) ") &amp; "오전 00:00"</f>
        <v>2021-06-09(수) 오전 00:00</v>
      </c>
      <c r="N69" s="248"/>
      <c r="O69" s="249"/>
      <c r="Q69" s="233"/>
      <c r="R69" s="233"/>
      <c r="S69" s="233"/>
    </row>
    <row r="70" spans="1:19" ht="17.25" thickBot="1">
      <c r="A70" s="279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9" t="s">
        <v>58</v>
      </c>
      <c r="H70" s="190" t="s">
        <v>298</v>
      </c>
      <c r="I70" s="19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3"/>
      <c r="R70" s="223"/>
      <c r="S70" s="223"/>
    </row>
    <row r="71" spans="1:19" ht="17.25" thickBot="1">
      <c r="A71" s="161" t="s">
        <v>142</v>
      </c>
      <c r="B71" s="124">
        <v>567</v>
      </c>
      <c r="C71" s="76">
        <v>0.107421875</v>
      </c>
      <c r="D71" s="13">
        <v>591</v>
      </c>
      <c r="E71" s="14">
        <f>IF(ISNUMBER(D71), (D71 - $B71) / $B71, "")</f>
        <v>4.2328042328042326E-2</v>
      </c>
      <c r="F71" s="16">
        <f>IF(ISNUMBER(D71), $B91 * E71, "")</f>
        <v>4232.8042328042329</v>
      </c>
      <c r="G71" s="29">
        <v>690</v>
      </c>
      <c r="H71" s="14">
        <f>IF(ISNUMBER(G71), (G71 - $B71) / $B71, "")</f>
        <v>0.21693121693121692</v>
      </c>
      <c r="I71" s="100">
        <f>IF(ISNUMBER(G71), $B91 * H71, "")</f>
        <v>21693.121693121691</v>
      </c>
      <c r="J71" s="13">
        <v>673</v>
      </c>
      <c r="K71" s="14">
        <f>IF(ISNUMBER(J71), (J71 - $B71) / $B71, "")</f>
        <v>0.18694885361552027</v>
      </c>
      <c r="L71" s="16">
        <f>IF(ISNUMBER(J71), $B91 * K71, "")</f>
        <v>18694.885361552027</v>
      </c>
      <c r="M71" s="29">
        <v>616</v>
      </c>
      <c r="N71" s="14">
        <f>IF(ISNUMBER(M71), (M71 - $B71) / $B71, "")</f>
        <v>8.6419753086419748E-2</v>
      </c>
      <c r="O71" s="16">
        <f>IF(ISNUMBER(M71), $B91 * N71, "")</f>
        <v>8641.9753086419751</v>
      </c>
      <c r="Q71" s="233"/>
      <c r="R71" s="233"/>
      <c r="S71" s="233"/>
    </row>
    <row r="72" spans="1:19" ht="17.25" thickBot="1">
      <c r="A72" s="162" t="s">
        <v>282</v>
      </c>
      <c r="B72" s="126">
        <v>122</v>
      </c>
      <c r="C72" s="77">
        <v>8.9285714299999999E-2</v>
      </c>
      <c r="D72" s="15">
        <v>108</v>
      </c>
      <c r="E72" s="32">
        <f t="shared" ref="E72:E75" si="30">IF(ISNUMBER(D72), (D72 - $B72) / $B72, "")</f>
        <v>-0.11475409836065574</v>
      </c>
      <c r="F72" s="18">
        <f>IF(ISNUMBER(D72), $B91 * E72, "")</f>
        <v>-11475.409836065573</v>
      </c>
      <c r="G72" s="31">
        <v>108</v>
      </c>
      <c r="H72" s="32">
        <f t="shared" ref="H72:H75" si="31">IF(ISNUMBER(G72), (G72 - $B72) / $B72, "")</f>
        <v>-0.11475409836065574</v>
      </c>
      <c r="I72" s="101">
        <f>IF(ISNUMBER(G72), $B91 * H72, "")</f>
        <v>-11475.409836065573</v>
      </c>
      <c r="J72" s="15">
        <v>107</v>
      </c>
      <c r="K72" s="32">
        <f t="shared" ref="K72:K75" si="32">IF(ISNUMBER(J72), (J72 - $B72) / $B72, "")</f>
        <v>-0.12295081967213115</v>
      </c>
      <c r="L72" s="18">
        <f>IF(ISNUMBER(J72), $B91 * K72, "")</f>
        <v>-12295.081967213115</v>
      </c>
      <c r="M72" s="31">
        <v>102</v>
      </c>
      <c r="N72" s="32">
        <f t="shared" ref="N72:N75" si="33">IF(ISNUMBER(M72), (M72 - $B72) / $B72, "")</f>
        <v>-0.16393442622950818</v>
      </c>
      <c r="O72" s="18">
        <f>IF(ISNUMBER(M72), $B91 * N72, "")</f>
        <v>-16393.442622950817</v>
      </c>
      <c r="Q72" s="233"/>
      <c r="R72" s="233"/>
      <c r="S72" s="233"/>
    </row>
    <row r="73" spans="1:19" ht="17.25" thickBot="1">
      <c r="A73" s="162" t="s">
        <v>230</v>
      </c>
      <c r="B73" s="126">
        <v>124</v>
      </c>
      <c r="C73" s="77">
        <v>8.7719298200000004E-2</v>
      </c>
      <c r="D73" s="15">
        <v>109</v>
      </c>
      <c r="E73" s="32">
        <f t="shared" si="30"/>
        <v>-0.12096774193548387</v>
      </c>
      <c r="F73" s="18">
        <f>IF(ISNUMBER(D73), $B91 * E73, "")</f>
        <v>-12096.774193548388</v>
      </c>
      <c r="G73" s="31">
        <v>108</v>
      </c>
      <c r="H73" s="32">
        <f t="shared" si="31"/>
        <v>-0.12903225806451613</v>
      </c>
      <c r="I73" s="101">
        <f>IF(ISNUMBER(G73), $B91 * H73, "")</f>
        <v>-12903.225806451612</v>
      </c>
      <c r="J73" s="15">
        <v>109</v>
      </c>
      <c r="K73" s="32">
        <f t="shared" si="32"/>
        <v>-0.12096774193548387</v>
      </c>
      <c r="L73" s="18">
        <f>IF(ISNUMBER(J73), $B91 * K73, "")</f>
        <v>-12096.774193548388</v>
      </c>
      <c r="M73" s="31">
        <v>102</v>
      </c>
      <c r="N73" s="32">
        <f t="shared" si="33"/>
        <v>-0.17741935483870969</v>
      </c>
      <c r="O73" s="18">
        <f>IF(ISNUMBER(M73), $B91 * N73, "")</f>
        <v>-17741.93548387097</v>
      </c>
      <c r="Q73" s="223"/>
      <c r="R73" s="223"/>
      <c r="S73" s="223"/>
    </row>
    <row r="74" spans="1:19" ht="17.25" thickBot="1">
      <c r="A74" s="162" t="s">
        <v>250</v>
      </c>
      <c r="B74" s="126">
        <v>127</v>
      </c>
      <c r="C74" s="77">
        <v>4.9586776899999997E-2</v>
      </c>
      <c r="D74" s="15">
        <v>119</v>
      </c>
      <c r="E74" s="32">
        <f t="shared" si="30"/>
        <v>-6.2992125984251968E-2</v>
      </c>
      <c r="F74" s="18">
        <f>IF(ISNUMBER(D74), $B91 * E74, "")</f>
        <v>-6299.212598425197</v>
      </c>
      <c r="G74" s="31">
        <v>120</v>
      </c>
      <c r="H74" s="32">
        <f t="shared" si="31"/>
        <v>-5.5118110236220472E-2</v>
      </c>
      <c r="I74" s="101">
        <f>IF(ISNUMBER(G74), $B91 * H74, "")</f>
        <v>-5511.8110236220473</v>
      </c>
      <c r="J74" s="15">
        <v>120</v>
      </c>
      <c r="K74" s="32">
        <f t="shared" si="32"/>
        <v>-5.5118110236220472E-2</v>
      </c>
      <c r="L74" s="18">
        <f>IF(ISNUMBER(J74), $B91 * K74, "")</f>
        <v>-5511.8110236220473</v>
      </c>
      <c r="M74" s="31">
        <v>109</v>
      </c>
      <c r="N74" s="32">
        <f t="shared" si="33"/>
        <v>-0.14173228346456693</v>
      </c>
      <c r="O74" s="18">
        <f>IF(ISNUMBER(M74), $B91 * N74, "")</f>
        <v>-14173.228346456694</v>
      </c>
      <c r="Q74" s="223"/>
      <c r="R74" s="223"/>
      <c r="S74" s="223"/>
    </row>
    <row r="75" spans="1:19" ht="17.25" thickBot="1">
      <c r="A75" s="163" t="s">
        <v>182</v>
      </c>
      <c r="B75" s="128">
        <v>308</v>
      </c>
      <c r="C75" s="78">
        <v>3.7037037000000002E-2</v>
      </c>
      <c r="D75" s="20">
        <v>281</v>
      </c>
      <c r="E75" s="21">
        <f t="shared" si="30"/>
        <v>-8.7662337662337664E-2</v>
      </c>
      <c r="F75" s="22">
        <f>IF(ISNUMBER(D75), $B91 * E75, "")</f>
        <v>-8766.2337662337668</v>
      </c>
      <c r="G75" s="30">
        <v>279</v>
      </c>
      <c r="H75" s="21">
        <f t="shared" si="31"/>
        <v>-9.4155844155844159E-2</v>
      </c>
      <c r="I75" s="105">
        <f>IF(ISNUMBER(G75), $B91 * H75, "")</f>
        <v>-9415.5844155844152</v>
      </c>
      <c r="J75" s="20">
        <v>279</v>
      </c>
      <c r="K75" s="21">
        <f t="shared" si="32"/>
        <v>-9.4155844155844159E-2</v>
      </c>
      <c r="L75" s="22">
        <f>IF(ISNUMBER(J75), $B91 * K75, "")</f>
        <v>-9415.5844155844152</v>
      </c>
      <c r="M75" s="30">
        <v>260</v>
      </c>
      <c r="N75" s="21">
        <f t="shared" si="33"/>
        <v>-0.15584415584415584</v>
      </c>
      <c r="O75" s="22">
        <f>IF(ISNUMBER(M75), $B91 * N75, "")</f>
        <v>-15584.415584415585</v>
      </c>
      <c r="Q75" s="223"/>
      <c r="R75" s="223"/>
      <c r="S75" s="223"/>
    </row>
    <row r="76" spans="1:19" ht="17.25" thickBot="1">
      <c r="A76" s="162" t="s">
        <v>252</v>
      </c>
      <c r="B76" s="129">
        <v>331</v>
      </c>
      <c r="C76" s="80">
        <v>3.1152648000000002E-2</v>
      </c>
      <c r="D76" s="106">
        <v>292</v>
      </c>
      <c r="E76" s="107">
        <f>IF(ISNUMBER(D76), (D76 - $B76) / $B76, "")</f>
        <v>-0.11782477341389729</v>
      </c>
      <c r="F76" s="108">
        <f>IF(ISNUMBER(D76), $B91 * E76, "")</f>
        <v>-11782.477341389729</v>
      </c>
      <c r="G76" s="109">
        <v>290</v>
      </c>
      <c r="H76" s="107">
        <f>IF(ISNUMBER(G76), (G76 - $B76) / $B76, "")</f>
        <v>-0.12386706948640483</v>
      </c>
      <c r="I76" s="110">
        <f>IF(ISNUMBER(G76), $B91 * H76, "")</f>
        <v>-12386.706948640483</v>
      </c>
      <c r="J76" s="106">
        <v>291</v>
      </c>
      <c r="K76" s="107">
        <f>IF(ISNUMBER(J76), (J76 - $B76) / $B76, "")</f>
        <v>-0.12084592145015106</v>
      </c>
      <c r="L76" s="108">
        <f>IF(ISNUMBER(J76), $B91 * K76, "")</f>
        <v>-12084.592145015107</v>
      </c>
      <c r="M76" s="109">
        <v>266</v>
      </c>
      <c r="N76" s="107">
        <f>IF(ISNUMBER(M76), (M76 - $B76) / $B76, "")</f>
        <v>-0.19637462235649547</v>
      </c>
      <c r="O76" s="108">
        <f>IF(ISNUMBER(M76), $B91 * N76, "")</f>
        <v>-19637.462235649546</v>
      </c>
      <c r="Q76" s="223"/>
      <c r="R76" s="223"/>
      <c r="S76" s="223"/>
    </row>
    <row r="77" spans="1:19" ht="17.25" thickBot="1">
      <c r="A77" s="162" t="s">
        <v>210</v>
      </c>
      <c r="B77" s="126">
        <v>135</v>
      </c>
      <c r="C77" s="77">
        <v>2.2727272699999999E-2</v>
      </c>
      <c r="D77" s="15">
        <v>115</v>
      </c>
      <c r="E77" s="32">
        <f t="shared" ref="E77:E80" si="34">IF(ISNUMBER(D77), (D77 - $B77) / $B77, "")</f>
        <v>-0.14814814814814814</v>
      </c>
      <c r="F77" s="18">
        <f>IF(ISNUMBER(D77), $B91 * E77, "")</f>
        <v>-14814.814814814814</v>
      </c>
      <c r="G77" s="31">
        <v>115</v>
      </c>
      <c r="H77" s="32">
        <f t="shared" ref="H77:H80" si="35">IF(ISNUMBER(G77), (G77 - $B77) / $B77, "")</f>
        <v>-0.14814814814814814</v>
      </c>
      <c r="I77" s="101">
        <f>IF(ISNUMBER(G77), $B91 * H77, "")</f>
        <v>-14814.814814814814</v>
      </c>
      <c r="J77" s="15">
        <v>115</v>
      </c>
      <c r="K77" s="32">
        <f t="shared" ref="K77:K80" si="36">IF(ISNUMBER(J77), (J77 - $B77) / $B77, "")</f>
        <v>-0.14814814814814814</v>
      </c>
      <c r="L77" s="18">
        <f>IF(ISNUMBER(J77), $B91 * K77, "")</f>
        <v>-14814.814814814814</v>
      </c>
      <c r="M77" s="31">
        <v>109</v>
      </c>
      <c r="N77" s="32">
        <f t="shared" ref="N77:N80" si="37">IF(ISNUMBER(M77), (M77 - $B77) / $B77, "")</f>
        <v>-0.19259259259259259</v>
      </c>
      <c r="O77" s="18">
        <f>IF(ISNUMBER(M77), $B91 * N77, "")</f>
        <v>-19259.259259259259</v>
      </c>
      <c r="Q77" s="223"/>
      <c r="R77" s="223"/>
      <c r="S77" s="223"/>
    </row>
    <row r="78" spans="1:19" ht="17.25" thickBot="1">
      <c r="A78" s="162" t="s">
        <v>226</v>
      </c>
      <c r="B78" s="126">
        <v>307</v>
      </c>
      <c r="C78" s="77">
        <v>1.9933554799999999E-2</v>
      </c>
      <c r="D78" s="15">
        <v>266</v>
      </c>
      <c r="E78" s="32">
        <f t="shared" si="34"/>
        <v>-0.13355048859934854</v>
      </c>
      <c r="F78" s="18">
        <f>IF(ISNUMBER(D78), $B91 * E78, "")</f>
        <v>-13355.048859934854</v>
      </c>
      <c r="G78" s="31">
        <v>270</v>
      </c>
      <c r="H78" s="32">
        <f t="shared" si="35"/>
        <v>-0.12052117263843648</v>
      </c>
      <c r="I78" s="101">
        <f>IF(ISNUMBER(G78), $B91 * H78, "")</f>
        <v>-12052.117263843647</v>
      </c>
      <c r="J78" s="15">
        <v>269</v>
      </c>
      <c r="K78" s="32">
        <f t="shared" si="36"/>
        <v>-0.12377850162866449</v>
      </c>
      <c r="L78" s="18">
        <f>IF(ISNUMBER(J78), $B91 * K78, "")</f>
        <v>-12377.850162866449</v>
      </c>
      <c r="M78" s="31">
        <v>253</v>
      </c>
      <c r="N78" s="32">
        <f t="shared" si="37"/>
        <v>-0.1758957654723127</v>
      </c>
      <c r="O78" s="18">
        <f>IF(ISNUMBER(M78), $B91 * N78, "")</f>
        <v>-17589.576547231271</v>
      </c>
      <c r="Q78" s="223"/>
      <c r="R78" s="223"/>
      <c r="S78" s="223"/>
    </row>
    <row r="79" spans="1:19" ht="17.25" thickBot="1">
      <c r="A79" s="162" t="s">
        <v>234</v>
      </c>
      <c r="B79" s="126">
        <v>857</v>
      </c>
      <c r="C79" s="77">
        <v>1.66073547E-2</v>
      </c>
      <c r="D79" s="15">
        <v>729</v>
      </c>
      <c r="E79" s="32">
        <f t="shared" si="34"/>
        <v>-0.14935822637106183</v>
      </c>
      <c r="F79" s="18">
        <f>IF(ISNUMBER(D79), $B91 * E79, "")</f>
        <v>-14935.822637106183</v>
      </c>
      <c r="G79" s="31">
        <v>732</v>
      </c>
      <c r="H79" s="32">
        <f t="shared" si="35"/>
        <v>-0.14585764294049008</v>
      </c>
      <c r="I79" s="101">
        <f>IF(ISNUMBER(G79), $B91 * H79, "")</f>
        <v>-14585.764294049008</v>
      </c>
      <c r="J79" s="15">
        <v>733</v>
      </c>
      <c r="K79" s="32">
        <f t="shared" si="36"/>
        <v>-0.14469078179696615</v>
      </c>
      <c r="L79" s="18">
        <f>IF(ISNUMBER(J79), $B91 * K79, "")</f>
        <v>-14469.078179696615</v>
      </c>
      <c r="M79" s="31">
        <v>676</v>
      </c>
      <c r="N79" s="32">
        <f t="shared" si="37"/>
        <v>-0.21120186697782964</v>
      </c>
      <c r="O79" s="18">
        <f>IF(ISNUMBER(M79), $B91 * N79, "")</f>
        <v>-21120.186697782963</v>
      </c>
      <c r="Q79" s="33"/>
      <c r="R79" s="33"/>
    </row>
    <row r="80" spans="1:19" ht="17.25" thickBot="1">
      <c r="A80" s="130" t="s">
        <v>284</v>
      </c>
      <c r="B80" s="131">
        <v>262</v>
      </c>
      <c r="C80" s="79">
        <v>1.5503876E-2</v>
      </c>
      <c r="D80" s="24">
        <v>223</v>
      </c>
      <c r="E80" s="25">
        <f t="shared" si="34"/>
        <v>-0.14885496183206107</v>
      </c>
      <c r="F80" s="104">
        <f>IF(ISNUMBER(D80), $B91 * E80, "")</f>
        <v>-14885.496183206107</v>
      </c>
      <c r="G80" s="102">
        <v>225</v>
      </c>
      <c r="H80" s="25">
        <f t="shared" si="35"/>
        <v>-0.14122137404580154</v>
      </c>
      <c r="I80" s="103">
        <f>IF(ISNUMBER(G80), $B91 * H80, "")</f>
        <v>-14122.137404580153</v>
      </c>
      <c r="J80" s="24">
        <v>227</v>
      </c>
      <c r="K80" s="25">
        <f t="shared" si="36"/>
        <v>-0.13358778625954199</v>
      </c>
      <c r="L80" s="104">
        <f>IF(ISNUMBER(J80), $B91 * K80, "")</f>
        <v>-13358.778625954199</v>
      </c>
      <c r="M80" s="102">
        <v>213</v>
      </c>
      <c r="N80" s="25">
        <f t="shared" si="37"/>
        <v>-0.18702290076335878</v>
      </c>
      <c r="O80" s="104">
        <f>IF(ISNUMBER(M80), $B91 * N80, "")</f>
        <v>-18702.290076335878</v>
      </c>
      <c r="Q80" s="224"/>
      <c r="R80" s="225"/>
      <c r="S80" s="226"/>
    </row>
    <row r="81" spans="1:19">
      <c r="A81" s="161" t="s">
        <v>112</v>
      </c>
      <c r="B81" s="124">
        <v>202</v>
      </c>
      <c r="C81" s="76">
        <v>1.50753769E-2</v>
      </c>
      <c r="D81" s="13">
        <v>184</v>
      </c>
      <c r="E81" s="14">
        <f>IF(ISNUMBER(D81), (D81 - $B81) / $B81, "")</f>
        <v>-8.9108910891089105E-2</v>
      </c>
      <c r="F81" s="16">
        <f>IF(ISNUMBER(D81), $B91 * E81, "")</f>
        <v>-8910.8910891089108</v>
      </c>
      <c r="G81" s="29">
        <v>181</v>
      </c>
      <c r="H81" s="14">
        <f>IF(ISNUMBER(G81), (G81 - $B81) / $B81, "")</f>
        <v>-0.10396039603960396</v>
      </c>
      <c r="I81" s="100">
        <f>IF(ISNUMBER(G81), $B91 * H81, "")</f>
        <v>-10396.039603960395</v>
      </c>
      <c r="J81" s="13">
        <v>181</v>
      </c>
      <c r="K81" s="14">
        <f>IF(ISNUMBER(J81), (J81 - $B81) / $B81, "")</f>
        <v>-0.10396039603960396</v>
      </c>
      <c r="L81" s="16">
        <f>IF(ISNUMBER(J81), $B91 * K81, "")</f>
        <v>-10396.039603960395</v>
      </c>
      <c r="M81" s="29">
        <v>168</v>
      </c>
      <c r="N81" s="14">
        <f>IF(ISNUMBER(M81), (M81 - $B81) / $B81, "")</f>
        <v>-0.16831683168316833</v>
      </c>
      <c r="O81" s="16">
        <f>IF(ISNUMBER(M81), $B91 * N81, "")</f>
        <v>-16831.683168316831</v>
      </c>
      <c r="Q81" s="227"/>
      <c r="R81" s="228"/>
      <c r="S81" s="229"/>
    </row>
    <row r="82" spans="1:19" ht="17.25" thickBot="1">
      <c r="A82" s="162" t="s">
        <v>262</v>
      </c>
      <c r="B82" s="126">
        <v>657</v>
      </c>
      <c r="C82" s="77">
        <v>1.38888889E-2</v>
      </c>
      <c r="D82" s="15">
        <v>568</v>
      </c>
      <c r="E82" s="32">
        <f t="shared" ref="E82:E85" si="38">IF(ISNUMBER(D82), (D82 - $B82) / $B82, "")</f>
        <v>-0.13546423135464231</v>
      </c>
      <c r="F82" s="18">
        <f>IF(ISNUMBER(D82), $B91 * E82, "")</f>
        <v>-13546.423135464231</v>
      </c>
      <c r="G82" s="31">
        <v>570</v>
      </c>
      <c r="H82" s="32">
        <f t="shared" ref="H82:H85" si="39">IF(ISNUMBER(G82), (G82 - $B82) / $B82, "")</f>
        <v>-0.13242009132420091</v>
      </c>
      <c r="I82" s="101">
        <f>IF(ISNUMBER(G82), $B91 * H82, "")</f>
        <v>-13242.009132420091</v>
      </c>
      <c r="J82" s="15">
        <v>569</v>
      </c>
      <c r="K82" s="32">
        <f t="shared" ref="K82:K85" si="40">IF(ISNUMBER(J82), (J82 - $B82) / $B82, "")</f>
        <v>-0.13394216133942161</v>
      </c>
      <c r="L82" s="18">
        <f>IF(ISNUMBER(J82), $B91 * K82, "")</f>
        <v>-13394.21613394216</v>
      </c>
      <c r="M82" s="31">
        <v>535</v>
      </c>
      <c r="N82" s="32">
        <f t="shared" ref="N82:N85" si="41">IF(ISNUMBER(M82), (M82 - $B82) / $B82, "")</f>
        <v>-0.18569254185692541</v>
      </c>
      <c r="O82" s="18">
        <f>IF(ISNUMBER(M82), $B91 * N82, "")</f>
        <v>-18569.254185692542</v>
      </c>
      <c r="Q82" s="230"/>
      <c r="R82" s="231"/>
      <c r="S82" s="232"/>
    </row>
    <row r="83" spans="1:19" ht="17.25" thickBot="1">
      <c r="A83" s="162" t="s">
        <v>238</v>
      </c>
      <c r="B83" s="126">
        <v>190</v>
      </c>
      <c r="C83" s="77">
        <v>1.06382979E-2</v>
      </c>
      <c r="D83" s="15">
        <v>166</v>
      </c>
      <c r="E83" s="32">
        <f t="shared" si="38"/>
        <v>-0.12631578947368421</v>
      </c>
      <c r="F83" s="18">
        <f>IF(ISNUMBER(D83), $B91 * E83, "")</f>
        <v>-12631.578947368422</v>
      </c>
      <c r="G83" s="31">
        <v>169</v>
      </c>
      <c r="H83" s="32">
        <f t="shared" si="39"/>
        <v>-0.11052631578947368</v>
      </c>
      <c r="I83" s="101">
        <f>IF(ISNUMBER(G83), $B91 * H83, "")</f>
        <v>-11052.631578947368</v>
      </c>
      <c r="J83" s="15">
        <v>165</v>
      </c>
      <c r="K83" s="32">
        <f t="shared" si="40"/>
        <v>-0.13157894736842105</v>
      </c>
      <c r="L83" s="18">
        <f>IF(ISNUMBER(J83), $B91 * K83, "")</f>
        <v>-13157.894736842105</v>
      </c>
      <c r="M83" s="31">
        <v>155</v>
      </c>
      <c r="N83" s="32">
        <f t="shared" si="41"/>
        <v>-0.18421052631578946</v>
      </c>
      <c r="O83" s="18">
        <f>IF(ISNUMBER(M83), $B91 * N83, "")</f>
        <v>-18421.052631578947</v>
      </c>
      <c r="Q83" s="223"/>
      <c r="R83" s="223"/>
      <c r="S83" s="223"/>
    </row>
    <row r="84" spans="1:19" ht="17.25" thickBot="1">
      <c r="A84" s="162" t="s">
        <v>200</v>
      </c>
      <c r="B84" s="126">
        <v>225</v>
      </c>
      <c r="C84" s="77">
        <v>8.9686099000000005E-3</v>
      </c>
      <c r="D84" s="15">
        <v>189</v>
      </c>
      <c r="E84" s="32">
        <f t="shared" si="38"/>
        <v>-0.16</v>
      </c>
      <c r="F84" s="18">
        <f>IF(ISNUMBER(D84), $B91 * E84, "")</f>
        <v>-16000</v>
      </c>
      <c r="G84" s="31">
        <v>190</v>
      </c>
      <c r="H84" s="32">
        <f t="shared" si="39"/>
        <v>-0.15555555555555556</v>
      </c>
      <c r="I84" s="101">
        <f>IF(ISNUMBER(G84), $B91 * H84, "")</f>
        <v>-15555.555555555557</v>
      </c>
      <c r="J84" s="15">
        <v>192</v>
      </c>
      <c r="K84" s="32">
        <f t="shared" si="40"/>
        <v>-0.14666666666666667</v>
      </c>
      <c r="L84" s="18">
        <f>IF(ISNUMBER(J84), $B91 * K84, "")</f>
        <v>-14666.666666666666</v>
      </c>
      <c r="M84" s="31">
        <v>175</v>
      </c>
      <c r="N84" s="32">
        <f t="shared" si="41"/>
        <v>-0.22222222222222221</v>
      </c>
      <c r="O84" s="18">
        <f>IF(ISNUMBER(M84), $B91 * N84, "")</f>
        <v>-22222.222222222223</v>
      </c>
      <c r="Q84" s="233"/>
      <c r="R84" s="233"/>
      <c r="S84" s="233"/>
    </row>
    <row r="85" spans="1:19" ht="17.25" thickBot="1">
      <c r="A85" s="163" t="s">
        <v>202</v>
      </c>
      <c r="B85" s="128">
        <v>129</v>
      </c>
      <c r="C85" s="78">
        <v>7.8125E-3</v>
      </c>
      <c r="D85" s="20">
        <v>111</v>
      </c>
      <c r="E85" s="21">
        <f t="shared" si="38"/>
        <v>-0.13953488372093023</v>
      </c>
      <c r="F85" s="22">
        <f>IF(ISNUMBER(D85), $B91 * E85, "")</f>
        <v>-13953.488372093023</v>
      </c>
      <c r="G85" s="30">
        <v>108</v>
      </c>
      <c r="H85" s="21">
        <f t="shared" si="39"/>
        <v>-0.16279069767441862</v>
      </c>
      <c r="I85" s="105">
        <f>IF(ISNUMBER(G85), $B91 * H85, "")</f>
        <v>-16279.069767441862</v>
      </c>
      <c r="J85" s="20">
        <v>108</v>
      </c>
      <c r="K85" s="21">
        <f t="shared" si="40"/>
        <v>-0.16279069767441862</v>
      </c>
      <c r="L85" s="22">
        <f>IF(ISNUMBER(J85), $B91 * K85, "")</f>
        <v>-16279.069767441862</v>
      </c>
      <c r="M85" s="30">
        <v>102</v>
      </c>
      <c r="N85" s="21">
        <f t="shared" si="41"/>
        <v>-0.20930232558139536</v>
      </c>
      <c r="O85" s="22">
        <f>IF(ISNUMBER(M85), $B91 * N85, "")</f>
        <v>-20930.232558139534</v>
      </c>
      <c r="Q85" s="233"/>
      <c r="R85" s="233"/>
      <c r="S85" s="233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>
        <v>130</v>
      </c>
      <c r="E86" s="107">
        <f>IF(ISNUMBER(D86), (D86 - $B86) / $B86, "")</f>
        <v>-0.10344827586206896</v>
      </c>
      <c r="F86" s="108">
        <f>IF(ISNUMBER(D86), $B91 * E86, "")</f>
        <v>-10344.827586206897</v>
      </c>
      <c r="G86" s="109">
        <v>131</v>
      </c>
      <c r="H86" s="107">
        <f>IF(ISNUMBER(G86), (G86 - $B86) / $B86, "")</f>
        <v>-9.6551724137931033E-2</v>
      </c>
      <c r="I86" s="110">
        <f>IF(ISNUMBER(G86), $B91 * H86, "")</f>
        <v>-9655.1724137931033</v>
      </c>
      <c r="J86" s="106">
        <v>133</v>
      </c>
      <c r="K86" s="107">
        <f>IF(ISNUMBER(J86), (J86 - $B86) / $B86, "")</f>
        <v>-8.2758620689655171E-2</v>
      </c>
      <c r="L86" s="108">
        <f>IF(ISNUMBER(J86), $B91 * K86, "")</f>
        <v>-8275.8620689655163</v>
      </c>
      <c r="M86" s="109">
        <v>126</v>
      </c>
      <c r="N86" s="107">
        <f>IF(ISNUMBER(M86), (M86 - $B86) / $B86, "")</f>
        <v>-0.1310344827586207</v>
      </c>
      <c r="O86" s="108">
        <f>IF(ISNUMBER(M86), $B91 * N86, "")</f>
        <v>-13103.448275862071</v>
      </c>
      <c r="Q86" s="223"/>
      <c r="R86" s="223"/>
      <c r="S86" s="223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>
        <v>125</v>
      </c>
      <c r="E87" s="32">
        <f t="shared" ref="E87:E90" si="42">IF(ISNUMBER(D87), (D87 - $B87) / $B87, "")</f>
        <v>-0.14383561643835616</v>
      </c>
      <c r="F87" s="18">
        <f>IF(ISNUMBER(D87), $B91 * E87, "")</f>
        <v>-14383.561643835616</v>
      </c>
      <c r="G87" s="31">
        <v>124</v>
      </c>
      <c r="H87" s="32">
        <f t="shared" ref="H87:H90" si="43">IF(ISNUMBER(G87), (G87 - $B87) / $B87, "")</f>
        <v>-0.15068493150684931</v>
      </c>
      <c r="I87" s="101">
        <f>IF(ISNUMBER(G87), $B91 * H87, "")</f>
        <v>-15068.49315068493</v>
      </c>
      <c r="J87" s="15">
        <v>126</v>
      </c>
      <c r="K87" s="32">
        <f t="shared" ref="K87:K90" si="44">IF(ISNUMBER(J87), (J87 - $B87) / $B87, "")</f>
        <v>-0.13698630136986301</v>
      </c>
      <c r="L87" s="18">
        <f>IF(ISNUMBER(J87), $B91 * K87, "")</f>
        <v>-13698.630136986301</v>
      </c>
      <c r="M87" s="31">
        <v>118</v>
      </c>
      <c r="N87" s="32">
        <f t="shared" ref="N87:N90" si="45">IF(ISNUMBER(M87), (M87 - $B87) / $B87, "")</f>
        <v>-0.19178082191780821</v>
      </c>
      <c r="O87" s="18">
        <f>IF(ISNUMBER(M87), $B91 * N87, "")</f>
        <v>-19178.082191780821</v>
      </c>
      <c r="Q87" s="223"/>
      <c r="R87" s="223"/>
      <c r="S87" s="223"/>
    </row>
    <row r="88" spans="1:19" ht="17.25" thickBot="1">
      <c r="A88" s="162" t="s">
        <v>256</v>
      </c>
      <c r="B88" s="126">
        <v>181</v>
      </c>
      <c r="C88" s="77">
        <v>5.5555556000000004E-3</v>
      </c>
      <c r="D88" s="15">
        <v>155</v>
      </c>
      <c r="E88" s="32">
        <f t="shared" si="42"/>
        <v>-0.143646408839779</v>
      </c>
      <c r="F88" s="18">
        <f>IF(ISNUMBER(D88), $B91 * E88, "")</f>
        <v>-14364.6408839779</v>
      </c>
      <c r="G88" s="31">
        <v>156</v>
      </c>
      <c r="H88" s="32">
        <f t="shared" si="43"/>
        <v>-0.13812154696132597</v>
      </c>
      <c r="I88" s="101">
        <f>IF(ISNUMBER(G88), $B91 * H88, "")</f>
        <v>-13812.154696132597</v>
      </c>
      <c r="J88" s="15">
        <v>158</v>
      </c>
      <c r="K88" s="32">
        <f t="shared" si="44"/>
        <v>-0.1270718232044199</v>
      </c>
      <c r="L88" s="18">
        <f>IF(ISNUMBER(J88), $B91 * K88, "")</f>
        <v>-12707.182320441991</v>
      </c>
      <c r="M88" s="31">
        <v>148</v>
      </c>
      <c r="N88" s="32">
        <f t="shared" si="45"/>
        <v>-0.18232044198895028</v>
      </c>
      <c r="O88" s="18">
        <f>IF(ISNUMBER(M88), $B91 * N88, "")</f>
        <v>-18232.04419889503</v>
      </c>
      <c r="Q88" s="223"/>
      <c r="R88" s="223"/>
      <c r="S88" s="223"/>
    </row>
    <row r="89" spans="1:19">
      <c r="A89" s="162" t="s">
        <v>80</v>
      </c>
      <c r="B89" s="126">
        <v>893</v>
      </c>
      <c r="C89" s="77">
        <v>4.4994376000000004E-3</v>
      </c>
      <c r="D89" s="15">
        <v>782</v>
      </c>
      <c r="E89" s="32">
        <f t="shared" si="42"/>
        <v>-0.12430011198208286</v>
      </c>
      <c r="F89" s="18">
        <f>IF(ISNUMBER(D89), $B91 * E89, "")</f>
        <v>-12430.011198208287</v>
      </c>
      <c r="G89" s="31">
        <v>781</v>
      </c>
      <c r="H89" s="32">
        <f t="shared" si="43"/>
        <v>-0.12541993281075028</v>
      </c>
      <c r="I89" s="101">
        <f>IF(ISNUMBER(G89), $B91 * H89, "")</f>
        <v>-12541.993281075029</v>
      </c>
      <c r="J89" s="15">
        <v>790</v>
      </c>
      <c r="K89" s="32">
        <f t="shared" si="44"/>
        <v>-0.11534154535274356</v>
      </c>
      <c r="L89" s="18">
        <f>IF(ISNUMBER(J89), $B91 * K89, "")</f>
        <v>-11534.154535274356</v>
      </c>
      <c r="M89" s="31">
        <v>730</v>
      </c>
      <c r="N89" s="32">
        <f t="shared" si="45"/>
        <v>-0.18253079507278835</v>
      </c>
      <c r="O89" s="18">
        <f>IF(ISNUMBER(M89), $B91 * N89, "")</f>
        <v>-18253.079507278835</v>
      </c>
      <c r="Q89" s="212"/>
      <c r="R89" s="213"/>
      <c r="S89" s="214"/>
    </row>
    <row r="90" spans="1:19" ht="17.25" thickBot="1">
      <c r="A90" s="130" t="s">
        <v>168</v>
      </c>
      <c r="B90" s="131">
        <v>109</v>
      </c>
      <c r="C90" s="79">
        <v>0</v>
      </c>
      <c r="D90" s="24">
        <v>93.3</v>
      </c>
      <c r="E90" s="25">
        <f t="shared" si="42"/>
        <v>-0.14403669724770646</v>
      </c>
      <c r="F90" s="104">
        <f>IF(ISNUMBER(D90), $B91 * E90, "")</f>
        <v>-14403.669724770645</v>
      </c>
      <c r="G90" s="102">
        <v>93.3</v>
      </c>
      <c r="H90" s="25">
        <f t="shared" si="43"/>
        <v>-0.14403669724770646</v>
      </c>
      <c r="I90" s="103">
        <f>IF(ISNUMBER(G90), $B91 * H90, "")</f>
        <v>-14403.669724770645</v>
      </c>
      <c r="J90" s="24">
        <v>94</v>
      </c>
      <c r="K90" s="25">
        <f t="shared" si="44"/>
        <v>-0.13761467889908258</v>
      </c>
      <c r="L90" s="104">
        <f>IF(ISNUMBER(J90), $B91 * K90, "")</f>
        <v>-13761.467889908257</v>
      </c>
      <c r="M90" s="102">
        <v>88.2</v>
      </c>
      <c r="N90" s="25">
        <f t="shared" si="45"/>
        <v>-0.19082568807339448</v>
      </c>
      <c r="O90" s="104">
        <f>IF(ISNUMBER(M90), $B91 * N90, "")</f>
        <v>-19082.568807339449</v>
      </c>
      <c r="Q90" s="215"/>
      <c r="R90" s="216"/>
      <c r="S90" s="217"/>
    </row>
    <row r="91" spans="1:19" ht="17.25" thickBot="1">
      <c r="A91" s="132" t="s">
        <v>300</v>
      </c>
      <c r="B91" s="276">
        <f>$B$37</f>
        <v>100000</v>
      </c>
      <c r="C91" s="277"/>
      <c r="D91" s="26" t="s">
        <v>301</v>
      </c>
      <c r="E91" s="27">
        <f>IF(COUNT(E71:E90), SUM(E71:E90) / COUNT(E71:E90), 0)</f>
        <v>-0.11757378928947718</v>
      </c>
      <c r="F91" s="28">
        <f>SUM(F71:F90)</f>
        <v>-235147.57857895433</v>
      </c>
      <c r="G91" s="26" t="s">
        <v>301</v>
      </c>
      <c r="H91" s="27">
        <f>IF(COUNT(H71:H90), SUM(H71:H90) / COUNT(H71:H90), 0)</f>
        <v>-0.10879061950965581</v>
      </c>
      <c r="I91" s="28">
        <f>SUM(I71:I90)</f>
        <v>-217581.23901931164</v>
      </c>
      <c r="J91" s="26" t="s">
        <v>301</v>
      </c>
      <c r="K91" s="27">
        <f>IF(COUNT(K71:K90), SUM(K71:K90) / COUNT(K71:K90), 0)</f>
        <v>-0.10780033201359636</v>
      </c>
      <c r="L91" s="28">
        <f>SUM(L71:L90)</f>
        <v>-215600.66402719272</v>
      </c>
      <c r="M91" s="26" t="s">
        <v>301</v>
      </c>
      <c r="N91" s="27">
        <f>IF(COUNT(N71:N90), SUM(N71:N90) / COUNT(N71:N90), 0)</f>
        <v>-0.16819174464620862</v>
      </c>
      <c r="O91" s="28">
        <f>SUM(O71:O90)</f>
        <v>-336383.48929241742</v>
      </c>
      <c r="Q91" s="218"/>
      <c r="R91" s="219"/>
      <c r="S91" s="220"/>
    </row>
    <row r="93" spans="1:19" ht="17.25" thickBot="1"/>
    <row r="94" spans="1:19" ht="17.25" thickBot="1">
      <c r="A94" s="234" t="s">
        <v>46</v>
      </c>
      <c r="B94" s="235"/>
      <c r="C94" s="235"/>
      <c r="D94" s="235"/>
      <c r="E94" s="235"/>
      <c r="F94" s="235"/>
      <c r="G94" s="235"/>
      <c r="H94" s="235"/>
      <c r="I94" s="235"/>
      <c r="J94" s="235"/>
      <c r="K94" s="235"/>
      <c r="L94" s="235"/>
      <c r="M94" s="235"/>
      <c r="N94" s="235"/>
      <c r="O94" s="236"/>
      <c r="Q94" s="233"/>
      <c r="R94" s="233"/>
      <c r="S94" s="233"/>
    </row>
    <row r="95" spans="1:19" ht="17.25" thickBot="1">
      <c r="A95" s="188" t="s">
        <v>297</v>
      </c>
      <c r="B95" s="234" t="s">
        <v>49</v>
      </c>
      <c r="C95" s="236"/>
      <c r="D95" s="234" t="s">
        <v>58</v>
      </c>
      <c r="E95" s="235"/>
      <c r="F95" s="236"/>
      <c r="G95" s="237">
        <f>_xlfn.IFNA(VLOOKUP(B95, 현재가테이블!$B$2:$D$200, 2, FALSE), "-")</f>
        <v>41418000</v>
      </c>
      <c r="H95" s="238"/>
      <c r="I95" s="239"/>
      <c r="J95" s="234" t="s">
        <v>59</v>
      </c>
      <c r="K95" s="235"/>
      <c r="L95" s="236"/>
      <c r="M95" s="240">
        <f>_xlfn.IFNA(VLOOKUP(B95, 현재가테이블!$B$2:$D$200, 3, FALSE), "-")</f>
        <v>-5.2176301000000001E-2</v>
      </c>
      <c r="N95" s="241"/>
      <c r="O95" s="242"/>
      <c r="Q95" s="233"/>
      <c r="R95" s="233"/>
      <c r="S95" s="233"/>
    </row>
    <row r="96" spans="1:19" ht="17.25" thickBot="1">
      <c r="A96" s="278" t="s">
        <v>55</v>
      </c>
      <c r="B96" s="274" t="str">
        <f>TEXT($G$1, "[$-ko-KR]yyyy-mm-dd(ddd) ") &amp; "오전 00:00"</f>
        <v>2021-06-08(화) 오전 00:00</v>
      </c>
      <c r="C96" s="275"/>
      <c r="D96" s="247" t="str">
        <f>TEXT($G$1, "[$-ko-KR]yyyy-mm-dd(ddd) ") &amp; "오후 14:00"</f>
        <v>2021-06-08(화) 오후 14:00</v>
      </c>
      <c r="E96" s="248"/>
      <c r="F96" s="249"/>
      <c r="G96" s="247" t="str">
        <f>TEXT($G$1, "[$-ko-KR]yyyy-mm-dd(ddd) ") &amp; "오후 19:00"</f>
        <v>2021-06-08(화) 오후 19:00</v>
      </c>
      <c r="H96" s="248"/>
      <c r="I96" s="249"/>
      <c r="J96" s="247" t="str">
        <f>TEXT($G$1, "[$-ko-KR]yyyy-mm-dd(ddd) ") &amp; "오후 21:00"</f>
        <v>2021-06-08(화) 오후 21:00</v>
      </c>
      <c r="K96" s="248"/>
      <c r="L96" s="249"/>
      <c r="M96" s="247" t="str">
        <f>TEXT($G$1+1, "[$-ko-KR]yyyy-mm-dd(ddd) ") &amp; "오전 00:00"</f>
        <v>2021-06-09(수) 오전 00:00</v>
      </c>
      <c r="N96" s="248"/>
      <c r="O96" s="249"/>
      <c r="Q96" s="233"/>
      <c r="R96" s="233"/>
      <c r="S96" s="233"/>
    </row>
    <row r="97" spans="1:19" ht="17.25" thickBot="1">
      <c r="A97" s="279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9" t="s">
        <v>58</v>
      </c>
      <c r="H97" s="190" t="s">
        <v>298</v>
      </c>
      <c r="I97" s="19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3"/>
      <c r="R97" s="223"/>
      <c r="S97" s="223"/>
    </row>
    <row r="98" spans="1:19" ht="17.25" thickBot="1">
      <c r="A98" s="161" t="s">
        <v>180</v>
      </c>
      <c r="B98" s="124">
        <v>3675</v>
      </c>
      <c r="C98" s="76">
        <v>0.28721541160000003</v>
      </c>
      <c r="D98" s="13">
        <v>2970</v>
      </c>
      <c r="E98" s="14">
        <f>IF(ISNUMBER(D98), (D98 - $B98) / $B98, "")</f>
        <v>-0.19183673469387755</v>
      </c>
      <c r="F98" s="16">
        <f>IF(ISNUMBER(D98), $B118 * E98, "")</f>
        <v>-19183.673469387755</v>
      </c>
      <c r="G98" s="29">
        <v>2945</v>
      </c>
      <c r="H98" s="14">
        <f>IF(ISNUMBER(G98), (G98 - $B98) / $B98, "")</f>
        <v>-0.19863945578231293</v>
      </c>
      <c r="I98" s="100">
        <f>IF(ISNUMBER(G98), $B118 * H98, "")</f>
        <v>-19863.945578231294</v>
      </c>
      <c r="J98" s="13">
        <v>2985</v>
      </c>
      <c r="K98" s="14">
        <f>IF(ISNUMBER(J98), (J98 - $B98) / $B98, "")</f>
        <v>-0.18775510204081633</v>
      </c>
      <c r="L98" s="16">
        <f>IF(ISNUMBER(J98), $B118 * K98, "")</f>
        <v>-18775.510204081635</v>
      </c>
      <c r="M98" s="29">
        <v>2720</v>
      </c>
      <c r="N98" s="14">
        <f>IF(ISNUMBER(M98), (M98 - $B98) / $B98, "")</f>
        <v>-0.25986394557823128</v>
      </c>
      <c r="O98" s="16">
        <f>IF(ISNUMBER(M98), $B118 * N98, "")</f>
        <v>-25986.394557823129</v>
      </c>
      <c r="Q98" s="233"/>
      <c r="R98" s="233"/>
      <c r="S98" s="233"/>
    </row>
    <row r="99" spans="1:19" ht="17.25" thickBot="1">
      <c r="A99" s="162" t="s">
        <v>142</v>
      </c>
      <c r="B99" s="126">
        <v>567</v>
      </c>
      <c r="C99" s="77">
        <v>0.107421875</v>
      </c>
      <c r="D99" s="15">
        <v>591</v>
      </c>
      <c r="E99" s="32">
        <f t="shared" ref="E99:E102" si="46">IF(ISNUMBER(D99), (D99 - $B99) / $B99, "")</f>
        <v>4.2328042328042326E-2</v>
      </c>
      <c r="F99" s="18">
        <f>IF(ISNUMBER(D99), $B118 * E99, "")</f>
        <v>4232.8042328042329</v>
      </c>
      <c r="G99" s="31">
        <v>690</v>
      </c>
      <c r="H99" s="32">
        <f t="shared" ref="H99:H102" si="47">IF(ISNUMBER(G99), (G99 - $B99) / $B99, "")</f>
        <v>0.21693121693121692</v>
      </c>
      <c r="I99" s="101">
        <f>IF(ISNUMBER(G99), $B118 * H99, "")</f>
        <v>21693.121693121691</v>
      </c>
      <c r="J99" s="15">
        <v>673</v>
      </c>
      <c r="K99" s="32">
        <f t="shared" ref="K99:K102" si="48">IF(ISNUMBER(J99), (J99 - $B99) / $B99, "")</f>
        <v>0.18694885361552027</v>
      </c>
      <c r="L99" s="18">
        <f>IF(ISNUMBER(J99), $B118 * K99, "")</f>
        <v>18694.885361552027</v>
      </c>
      <c r="M99" s="31">
        <v>616</v>
      </c>
      <c r="N99" s="32">
        <f t="shared" ref="N99:N102" si="49">IF(ISNUMBER(M99), (M99 - $B99) / $B99, "")</f>
        <v>8.6419753086419748E-2</v>
      </c>
      <c r="O99" s="18">
        <f>IF(ISNUMBER(M99), $B118 * N99, "")</f>
        <v>8641.9753086419751</v>
      </c>
      <c r="Q99" s="233"/>
      <c r="R99" s="233"/>
      <c r="S99" s="233"/>
    </row>
    <row r="100" spans="1:19" ht="17.25" thickBot="1">
      <c r="A100" s="162" t="s">
        <v>276</v>
      </c>
      <c r="B100" s="126">
        <v>3610</v>
      </c>
      <c r="C100" s="77">
        <v>9.5599393000000005E-2</v>
      </c>
      <c r="D100" s="15">
        <v>2985</v>
      </c>
      <c r="E100" s="32">
        <f t="shared" si="46"/>
        <v>-0.17313019390581719</v>
      </c>
      <c r="F100" s="18">
        <f>IF(ISNUMBER(D100), $B118 * E100, "")</f>
        <v>-17313.019390581718</v>
      </c>
      <c r="G100" s="31">
        <v>2950</v>
      </c>
      <c r="H100" s="32">
        <f t="shared" si="47"/>
        <v>-0.18282548476454294</v>
      </c>
      <c r="I100" s="101">
        <f>IF(ISNUMBER(G100), $B118 * H100, "")</f>
        <v>-18282.548476454293</v>
      </c>
      <c r="J100" s="15">
        <v>2980</v>
      </c>
      <c r="K100" s="32">
        <f t="shared" si="48"/>
        <v>-0.17451523545706371</v>
      </c>
      <c r="L100" s="18">
        <f>IF(ISNUMBER(J100), $B118 * K100, "")</f>
        <v>-17451.523545706372</v>
      </c>
      <c r="M100" s="31">
        <v>2780</v>
      </c>
      <c r="N100" s="32">
        <f t="shared" si="49"/>
        <v>-0.22991689750692521</v>
      </c>
      <c r="O100" s="18">
        <f>IF(ISNUMBER(M100), $B118 * N100, "")</f>
        <v>-22991.68975069252</v>
      </c>
      <c r="Q100" s="223"/>
      <c r="R100" s="223"/>
      <c r="S100" s="223"/>
    </row>
    <row r="101" spans="1:19" ht="17.25" thickBot="1">
      <c r="A101" s="162" t="s">
        <v>282</v>
      </c>
      <c r="B101" s="126">
        <v>122</v>
      </c>
      <c r="C101" s="77">
        <v>8.9285714299999999E-2</v>
      </c>
      <c r="D101" s="15">
        <v>108</v>
      </c>
      <c r="E101" s="32">
        <f t="shared" si="46"/>
        <v>-0.11475409836065574</v>
      </c>
      <c r="F101" s="18">
        <f>IF(ISNUMBER(D101), $B118 * E101, "")</f>
        <v>-11475.409836065573</v>
      </c>
      <c r="G101" s="31">
        <v>108</v>
      </c>
      <c r="H101" s="32">
        <f t="shared" si="47"/>
        <v>-0.11475409836065574</v>
      </c>
      <c r="I101" s="101">
        <f>IF(ISNUMBER(G101), $B118 * H101, "")</f>
        <v>-11475.409836065573</v>
      </c>
      <c r="J101" s="15">
        <v>107</v>
      </c>
      <c r="K101" s="32">
        <f t="shared" si="48"/>
        <v>-0.12295081967213115</v>
      </c>
      <c r="L101" s="18">
        <f>IF(ISNUMBER(J101), $B118 * K101, "")</f>
        <v>-12295.081967213115</v>
      </c>
      <c r="M101" s="31">
        <v>102</v>
      </c>
      <c r="N101" s="32">
        <f t="shared" si="49"/>
        <v>-0.16393442622950818</v>
      </c>
      <c r="O101" s="18">
        <f>IF(ISNUMBER(M101), $B118 * N101, "")</f>
        <v>-16393.442622950817</v>
      </c>
      <c r="Q101" s="223"/>
      <c r="R101" s="223"/>
      <c r="S101" s="223"/>
    </row>
    <row r="102" spans="1:19" ht="17.25" thickBot="1">
      <c r="A102" s="163" t="s">
        <v>230</v>
      </c>
      <c r="B102" s="128">
        <v>124</v>
      </c>
      <c r="C102" s="78">
        <v>8.7719298200000004E-2</v>
      </c>
      <c r="D102" s="20">
        <v>109</v>
      </c>
      <c r="E102" s="21">
        <f t="shared" si="46"/>
        <v>-0.12096774193548387</v>
      </c>
      <c r="F102" s="22">
        <f>IF(ISNUMBER(D102), $B118 * E102, "")</f>
        <v>-12096.774193548388</v>
      </c>
      <c r="G102" s="30">
        <v>108</v>
      </c>
      <c r="H102" s="21">
        <f t="shared" si="47"/>
        <v>-0.12903225806451613</v>
      </c>
      <c r="I102" s="105">
        <f>IF(ISNUMBER(G102), $B118 * H102, "")</f>
        <v>-12903.225806451612</v>
      </c>
      <c r="J102" s="20">
        <v>109</v>
      </c>
      <c r="K102" s="21">
        <f t="shared" si="48"/>
        <v>-0.12096774193548387</v>
      </c>
      <c r="L102" s="22">
        <f>IF(ISNUMBER(J102), $B118 * K102, "")</f>
        <v>-12096.774193548388</v>
      </c>
      <c r="M102" s="30">
        <v>102</v>
      </c>
      <c r="N102" s="21">
        <f t="shared" si="49"/>
        <v>-0.17741935483870969</v>
      </c>
      <c r="O102" s="22">
        <f>IF(ISNUMBER(M102), $B118 * N102, "")</f>
        <v>-17741.93548387097</v>
      </c>
      <c r="Q102" s="223"/>
      <c r="R102" s="223"/>
      <c r="S102" s="223"/>
    </row>
    <row r="103" spans="1:19" ht="17.25" thickBot="1">
      <c r="A103" s="162" t="s">
        <v>220</v>
      </c>
      <c r="B103" s="129">
        <v>13</v>
      </c>
      <c r="C103" s="80">
        <v>8.3333333300000006E-2</v>
      </c>
      <c r="D103" s="106">
        <v>10.9</v>
      </c>
      <c r="E103" s="107">
        <f>IF(ISNUMBER(D103), (D103 - $B103) / $B103, "")</f>
        <v>-0.16153846153846152</v>
      </c>
      <c r="F103" s="108">
        <f>IF(ISNUMBER(D103), $B118 * E103, "")</f>
        <v>-16153.846153846152</v>
      </c>
      <c r="G103" s="109">
        <v>11.1</v>
      </c>
      <c r="H103" s="107">
        <f>IF(ISNUMBER(G103), (G103 - $B103) / $B103, "")</f>
        <v>-0.14615384615384619</v>
      </c>
      <c r="I103" s="110">
        <f>IF(ISNUMBER(G103), $B118 * H103, "")</f>
        <v>-14615.384615384619</v>
      </c>
      <c r="J103" s="106">
        <v>11</v>
      </c>
      <c r="K103" s="107">
        <f>IF(ISNUMBER(J103), (J103 - $B103) / $B103, "")</f>
        <v>-0.15384615384615385</v>
      </c>
      <c r="L103" s="108">
        <f>IF(ISNUMBER(J103), $B118 * K103, "")</f>
        <v>-15384.615384615385</v>
      </c>
      <c r="M103" s="109">
        <v>10.3</v>
      </c>
      <c r="N103" s="107">
        <f>IF(ISNUMBER(M103), (M103 - $B103) / $B103, "")</f>
        <v>-0.20769230769230765</v>
      </c>
      <c r="O103" s="108">
        <f>IF(ISNUMBER(M103), $B118 * N103, "")</f>
        <v>-20769.230769230766</v>
      </c>
      <c r="Q103" s="223"/>
      <c r="R103" s="223"/>
      <c r="S103" s="223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>
        <v>10140</v>
      </c>
      <c r="E104" s="32">
        <f t="shared" ref="E104:E107" si="50">IF(ISNUMBER(D104), (D104 - $B104) / $B104, "")</f>
        <v>-8.5662759242560865E-2</v>
      </c>
      <c r="F104" s="18">
        <f>IF(ISNUMBER(D104), $B118 * E104, "")</f>
        <v>-8566.275924256086</v>
      </c>
      <c r="G104" s="31">
        <v>11090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10900</v>
      </c>
      <c r="K104" s="32">
        <f t="shared" ref="K104:K107" si="52">IF(ISNUMBER(J104), (J104 - $B104) / $B104, "")</f>
        <v>-1.7132551848512173E-2</v>
      </c>
      <c r="L104" s="18">
        <f>IF(ISNUMBER(J104), $B118 * K104, "")</f>
        <v>-1713.2551848512173</v>
      </c>
      <c r="M104" s="31">
        <v>9865</v>
      </c>
      <c r="N104" s="32">
        <f t="shared" ref="N104:N107" si="53">IF(ISNUMBER(M104), (M104 - $B104) / $B104, "")</f>
        <v>-0.11045987376014428</v>
      </c>
      <c r="O104" s="18">
        <f>IF(ISNUMBER(M104), $B118 * N104, "")</f>
        <v>-11045.987376014427</v>
      </c>
      <c r="Q104" s="223"/>
      <c r="R104" s="223"/>
      <c r="S104" s="223"/>
    </row>
    <row r="105" spans="1:19" ht="17.25" thickBot="1">
      <c r="A105" s="162" t="s">
        <v>272</v>
      </c>
      <c r="B105" s="126">
        <v>1515</v>
      </c>
      <c r="C105" s="77">
        <v>6.6901408499999995E-2</v>
      </c>
      <c r="D105" s="15">
        <v>1285</v>
      </c>
      <c r="E105" s="32">
        <f t="shared" si="50"/>
        <v>-0.15181518151815182</v>
      </c>
      <c r="F105" s="18">
        <f>IF(ISNUMBER(D105), $B118 * E105, "")</f>
        <v>-15181.518151815182</v>
      </c>
      <c r="G105" s="31">
        <v>1280</v>
      </c>
      <c r="H105" s="32">
        <f t="shared" si="51"/>
        <v>-0.15511551155115511</v>
      </c>
      <c r="I105" s="101">
        <f>IF(ISNUMBER(G105), $B118 * H105, "")</f>
        <v>-15511.55115511551</v>
      </c>
      <c r="J105" s="15">
        <v>1290</v>
      </c>
      <c r="K105" s="32">
        <f t="shared" si="52"/>
        <v>-0.14851485148514851</v>
      </c>
      <c r="L105" s="18">
        <f>IF(ISNUMBER(J105), $B118 * K105, "")</f>
        <v>-14851.48514851485</v>
      </c>
      <c r="M105" s="31">
        <v>1195</v>
      </c>
      <c r="N105" s="32">
        <f t="shared" si="53"/>
        <v>-0.21122112211221122</v>
      </c>
      <c r="O105" s="18">
        <f>IF(ISNUMBER(M105), $B118 * N105, "")</f>
        <v>-21122.112211221123</v>
      </c>
      <c r="Q105" s="223"/>
      <c r="R105" s="223"/>
      <c r="S105" s="223"/>
    </row>
    <row r="106" spans="1:19" ht="17.25" thickBot="1">
      <c r="A106" s="162" t="s">
        <v>69</v>
      </c>
      <c r="B106" s="126">
        <v>5900</v>
      </c>
      <c r="C106" s="77">
        <v>5.4512958E-2</v>
      </c>
      <c r="D106" s="15">
        <v>4925</v>
      </c>
      <c r="E106" s="32">
        <f t="shared" si="50"/>
        <v>-0.1652542372881356</v>
      </c>
      <c r="F106" s="18">
        <f>IF(ISNUMBER(D106), $B118 * E106, "")</f>
        <v>-16525.423728813559</v>
      </c>
      <c r="G106" s="31">
        <v>4840</v>
      </c>
      <c r="H106" s="32">
        <f t="shared" si="51"/>
        <v>-0.17966101694915254</v>
      </c>
      <c r="I106" s="101">
        <f>IF(ISNUMBER(G106), $B118 * H106, "")</f>
        <v>-17966.101694915254</v>
      </c>
      <c r="J106" s="15">
        <v>4930</v>
      </c>
      <c r="K106" s="32">
        <f t="shared" si="52"/>
        <v>-0.16440677966101694</v>
      </c>
      <c r="L106" s="18">
        <f>IF(ISNUMBER(J106), $B118 * K106, "")</f>
        <v>-16440.677966101695</v>
      </c>
      <c r="M106" s="31">
        <v>4520</v>
      </c>
      <c r="N106" s="32">
        <f t="shared" si="53"/>
        <v>-0.23389830508474577</v>
      </c>
      <c r="O106" s="18">
        <f>IF(ISNUMBER(M106), $B118 * N106, "")</f>
        <v>-23389.830508474577</v>
      </c>
      <c r="Q106" s="33"/>
      <c r="R106" s="33"/>
    </row>
    <row r="107" spans="1:19" ht="17.25" thickBot="1">
      <c r="A107" s="130" t="s">
        <v>194</v>
      </c>
      <c r="B107" s="131">
        <v>9415</v>
      </c>
      <c r="C107" s="79">
        <v>5.4311310199999997E-2</v>
      </c>
      <c r="D107" s="24">
        <v>8090</v>
      </c>
      <c r="E107" s="25">
        <f t="shared" si="50"/>
        <v>-0.1407328730748805</v>
      </c>
      <c r="F107" s="104">
        <f>IF(ISNUMBER(D107), $B118 * E107, "")</f>
        <v>-14073.28730748805</v>
      </c>
      <c r="G107" s="102">
        <v>8075</v>
      </c>
      <c r="H107" s="25">
        <f t="shared" si="51"/>
        <v>-0.14232607541157727</v>
      </c>
      <c r="I107" s="103">
        <f>IF(ISNUMBER(G107), $B118 * H107, "")</f>
        <v>-14232.607541157728</v>
      </c>
      <c r="J107" s="24">
        <v>8100</v>
      </c>
      <c r="K107" s="25">
        <f t="shared" si="52"/>
        <v>-0.13967073818374934</v>
      </c>
      <c r="L107" s="104">
        <f>IF(ISNUMBER(J107), $B118 * K107, "")</f>
        <v>-13967.073818374934</v>
      </c>
      <c r="M107" s="102">
        <v>7535</v>
      </c>
      <c r="N107" s="25">
        <f t="shared" si="53"/>
        <v>-0.19968135953266064</v>
      </c>
      <c r="O107" s="104">
        <f>IF(ISNUMBER(M107), $B118 * N107, "")</f>
        <v>-19968.135953266064</v>
      </c>
      <c r="Q107" s="224"/>
      <c r="R107" s="225"/>
      <c r="S107" s="226"/>
    </row>
    <row r="108" spans="1:19">
      <c r="A108" s="161" t="s">
        <v>250</v>
      </c>
      <c r="B108" s="124">
        <v>127</v>
      </c>
      <c r="C108" s="76">
        <v>4.9586776899999997E-2</v>
      </c>
      <c r="D108" s="13">
        <v>119</v>
      </c>
      <c r="E108" s="14">
        <f>IF(ISNUMBER(D108), (D108 - $B108) / $B108, "")</f>
        <v>-6.2992125984251968E-2</v>
      </c>
      <c r="F108" s="16">
        <f>IF(ISNUMBER(D108), $B118 * E108, "")</f>
        <v>-6299.212598425197</v>
      </c>
      <c r="G108" s="29">
        <v>120</v>
      </c>
      <c r="H108" s="14">
        <f>IF(ISNUMBER(G108), (G108 - $B108) / $B108, "")</f>
        <v>-5.5118110236220472E-2</v>
      </c>
      <c r="I108" s="100">
        <f>IF(ISNUMBER(G108), $B118 * H108, "")</f>
        <v>-5511.8110236220473</v>
      </c>
      <c r="J108" s="13">
        <v>120</v>
      </c>
      <c r="K108" s="14">
        <f>IF(ISNUMBER(J108), (J108 - $B108) / $B108, "")</f>
        <v>-5.5118110236220472E-2</v>
      </c>
      <c r="L108" s="16">
        <f>IF(ISNUMBER(J108), $B118 * K108, "")</f>
        <v>-5511.8110236220473</v>
      </c>
      <c r="M108" s="29">
        <v>109</v>
      </c>
      <c r="N108" s="14">
        <f>IF(ISNUMBER(M108), (M108 - $B108) / $B108, "")</f>
        <v>-0.14173228346456693</v>
      </c>
      <c r="O108" s="16">
        <f>IF(ISNUMBER(M108), $B118 * N108, "")</f>
        <v>-14173.228346456694</v>
      </c>
      <c r="Q108" s="227"/>
      <c r="R108" s="228"/>
      <c r="S108" s="229"/>
    </row>
    <row r="109" spans="1:19" ht="17.25" thickBot="1">
      <c r="A109" s="162" t="s">
        <v>280</v>
      </c>
      <c r="B109" s="126">
        <v>1115</v>
      </c>
      <c r="C109" s="77">
        <v>4.2056074800000003E-2</v>
      </c>
      <c r="D109" s="15">
        <v>941</v>
      </c>
      <c r="E109" s="32">
        <f t="shared" ref="E109:E112" si="54">IF(ISNUMBER(D109), (D109 - $B109) / $B109, "")</f>
        <v>-0.15605381165919283</v>
      </c>
      <c r="F109" s="18">
        <f>IF(ISNUMBER(D109), $B118 * E109, "")</f>
        <v>-15605.381165919283</v>
      </c>
      <c r="G109" s="31">
        <v>939</v>
      </c>
      <c r="H109" s="32">
        <f t="shared" ref="H109:H112" si="55">IF(ISNUMBER(G109), (G109 - $B109) / $B109, "")</f>
        <v>-0.15784753363228698</v>
      </c>
      <c r="I109" s="101">
        <f>IF(ISNUMBER(G109), $B118 * H109, "")</f>
        <v>-15784.753363228698</v>
      </c>
      <c r="J109" s="15">
        <v>947</v>
      </c>
      <c r="K109" s="32">
        <f t="shared" ref="K109:K112" si="56">IF(ISNUMBER(J109), (J109 - $B109) / $B109, "")</f>
        <v>-0.15067264573991032</v>
      </c>
      <c r="L109" s="18">
        <f>IF(ISNUMBER(J109), $B118 * K109, "")</f>
        <v>-15067.264573991031</v>
      </c>
      <c r="M109" s="31">
        <v>889</v>
      </c>
      <c r="N109" s="32">
        <f t="shared" ref="N109:N112" si="57">IF(ISNUMBER(M109), (M109 - $B109) / $B109, "")</f>
        <v>-0.20269058295964126</v>
      </c>
      <c r="O109" s="18">
        <f>IF(ISNUMBER(M109), $B118 * N109, "")</f>
        <v>-20269.058295964125</v>
      </c>
      <c r="Q109" s="230"/>
      <c r="R109" s="231"/>
      <c r="S109" s="232"/>
    </row>
    <row r="110" spans="1:19" ht="17.25" thickBot="1">
      <c r="A110" s="162" t="s">
        <v>182</v>
      </c>
      <c r="B110" s="126">
        <v>308</v>
      </c>
      <c r="C110" s="77">
        <v>3.7037037000000002E-2</v>
      </c>
      <c r="D110" s="15">
        <v>281</v>
      </c>
      <c r="E110" s="32">
        <f t="shared" si="54"/>
        <v>-8.7662337662337664E-2</v>
      </c>
      <c r="F110" s="18">
        <f>IF(ISNUMBER(D110), $B118 * E110, "")</f>
        <v>-8766.2337662337668</v>
      </c>
      <c r="G110" s="31">
        <v>279</v>
      </c>
      <c r="H110" s="32">
        <f t="shared" si="55"/>
        <v>-9.4155844155844159E-2</v>
      </c>
      <c r="I110" s="101">
        <f>IF(ISNUMBER(G110), $B118 * H110, "")</f>
        <v>-9415.5844155844152</v>
      </c>
      <c r="J110" s="15">
        <v>279</v>
      </c>
      <c r="K110" s="32">
        <f t="shared" si="56"/>
        <v>-9.4155844155844159E-2</v>
      </c>
      <c r="L110" s="18">
        <f>IF(ISNUMBER(J110), $B118 * K110, "")</f>
        <v>-9415.5844155844152</v>
      </c>
      <c r="M110" s="31">
        <v>260</v>
      </c>
      <c r="N110" s="32">
        <f t="shared" si="57"/>
        <v>-0.15584415584415584</v>
      </c>
      <c r="O110" s="18">
        <f>IF(ISNUMBER(M110), $B118 * N110, "")</f>
        <v>-15584.415584415585</v>
      </c>
      <c r="Q110" s="223"/>
      <c r="R110" s="223"/>
      <c r="S110" s="223"/>
    </row>
    <row r="111" spans="1:19" ht="17.25" thickBot="1">
      <c r="A111" s="162" t="s">
        <v>248</v>
      </c>
      <c r="B111" s="126">
        <v>1880</v>
      </c>
      <c r="C111" s="77">
        <v>3.5812672199999999E-2</v>
      </c>
      <c r="D111" s="15">
        <v>1610</v>
      </c>
      <c r="E111" s="32">
        <f t="shared" si="54"/>
        <v>-0.14361702127659576</v>
      </c>
      <c r="F111" s="18">
        <f>IF(ISNUMBER(D111), $B118 * E111, "")</f>
        <v>-14361.702127659575</v>
      </c>
      <c r="G111" s="31">
        <v>1615</v>
      </c>
      <c r="H111" s="32">
        <f t="shared" si="55"/>
        <v>-0.14095744680851063</v>
      </c>
      <c r="I111" s="101">
        <f>IF(ISNUMBER(G111), $B118 * H111, "")</f>
        <v>-14095.744680851063</v>
      </c>
      <c r="J111" s="15">
        <v>1620</v>
      </c>
      <c r="K111" s="32">
        <f t="shared" si="56"/>
        <v>-0.13829787234042554</v>
      </c>
      <c r="L111" s="18">
        <f>IF(ISNUMBER(J111), $B118 * K111, "")</f>
        <v>-13829.787234042553</v>
      </c>
      <c r="M111" s="31">
        <v>1515</v>
      </c>
      <c r="N111" s="32">
        <f t="shared" si="57"/>
        <v>-0.19414893617021275</v>
      </c>
      <c r="O111" s="18">
        <f>IF(ISNUMBER(M111), $B118 * N111, "")</f>
        <v>-19414.893617021276</v>
      </c>
      <c r="Q111" s="233"/>
      <c r="R111" s="233"/>
      <c r="S111" s="233"/>
    </row>
    <row r="112" spans="1:19" ht="17.25" thickBot="1">
      <c r="A112" s="163" t="s">
        <v>274</v>
      </c>
      <c r="B112" s="128">
        <v>9615</v>
      </c>
      <c r="C112" s="78">
        <v>3.5541195499999997E-2</v>
      </c>
      <c r="D112" s="20">
        <v>8620</v>
      </c>
      <c r="E112" s="21">
        <f t="shared" si="54"/>
        <v>-0.10348413936557463</v>
      </c>
      <c r="F112" s="22">
        <f>IF(ISNUMBER(D112), $B118 * E112, "")</f>
        <v>-10348.413936557463</v>
      </c>
      <c r="G112" s="30">
        <v>8510</v>
      </c>
      <c r="H112" s="21">
        <f t="shared" si="55"/>
        <v>-0.11492459698387936</v>
      </c>
      <c r="I112" s="105">
        <f>IF(ISNUMBER(G112), $B118 * H112, "")</f>
        <v>-11492.459698387936</v>
      </c>
      <c r="J112" s="20">
        <v>8530</v>
      </c>
      <c r="K112" s="21">
        <f t="shared" si="56"/>
        <v>-0.11284451378055123</v>
      </c>
      <c r="L112" s="22">
        <f>IF(ISNUMBER(J112), $B118 * K112, "")</f>
        <v>-11284.451378055122</v>
      </c>
      <c r="M112" s="30">
        <v>7980</v>
      </c>
      <c r="N112" s="21">
        <f t="shared" si="57"/>
        <v>-0.17004680187207488</v>
      </c>
      <c r="O112" s="22">
        <f>IF(ISNUMBER(M112), $B118 * N112, "")</f>
        <v>-17004.680187207487</v>
      </c>
      <c r="Q112" s="233"/>
      <c r="R112" s="233"/>
      <c r="S112" s="233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>
        <v>3815</v>
      </c>
      <c r="E113" s="107">
        <f>IF(ISNUMBER(D113), (D113 - $B113) / $B113, "")</f>
        <v>-0.17155266015200868</v>
      </c>
      <c r="F113" s="108">
        <f>IF(ISNUMBER(D113), $B118 * E113, "")</f>
        <v>-17155.266015200868</v>
      </c>
      <c r="G113" s="109">
        <v>3830</v>
      </c>
      <c r="H113" s="107">
        <f>IF(ISNUMBER(G113), (G113 - $B113) / $B113, "")</f>
        <v>-0.16829533116178066</v>
      </c>
      <c r="I113" s="110">
        <f>IF(ISNUMBER(G113), $B118 * H113, "")</f>
        <v>-16829.533116178067</v>
      </c>
      <c r="J113" s="106">
        <v>3965</v>
      </c>
      <c r="K113" s="107">
        <f>IF(ISNUMBER(J113), (J113 - $B113) / $B113, "")</f>
        <v>-0.13897937024972856</v>
      </c>
      <c r="L113" s="108">
        <f>IF(ISNUMBER(J113), $B118 * K113, "")</f>
        <v>-13897.937024972856</v>
      </c>
      <c r="M113" s="109">
        <v>3690</v>
      </c>
      <c r="N113" s="107">
        <f>IF(ISNUMBER(M113), (M113 - $B113) / $B113, "")</f>
        <v>-0.1986970684039088</v>
      </c>
      <c r="O113" s="108">
        <f>IF(ISNUMBER(M113), $B118 * N113, "")</f>
        <v>-19869.706840390882</v>
      </c>
      <c r="Q113" s="223"/>
      <c r="R113" s="223"/>
      <c r="S113" s="223"/>
    </row>
    <row r="114" spans="1:19" ht="17.25" thickBot="1">
      <c r="A114" s="162" t="s">
        <v>236</v>
      </c>
      <c r="B114" s="126">
        <v>55.9</v>
      </c>
      <c r="C114" s="77">
        <v>3.3271718999999998E-2</v>
      </c>
      <c r="D114" s="15">
        <v>52.2</v>
      </c>
      <c r="E114" s="32">
        <f t="shared" ref="E114:E117" si="58">IF(ISNUMBER(D114), (D114 - $B114) / $B114, "")</f>
        <v>-6.6189624329159133E-2</v>
      </c>
      <c r="F114" s="18">
        <f>IF(ISNUMBER(D114), $B118 * E114, "")</f>
        <v>-6618.9624329159133</v>
      </c>
      <c r="G114" s="31">
        <v>54.2</v>
      </c>
      <c r="H114" s="32">
        <f t="shared" ref="H114:H117" si="59">IF(ISNUMBER(G114), (G114 - $B114) / $B114, "")</f>
        <v>-3.0411449016100104E-2</v>
      </c>
      <c r="I114" s="101">
        <f>IF(ISNUMBER(G114), $B118 * H114, "")</f>
        <v>-3041.1449016100105</v>
      </c>
      <c r="J114" s="15">
        <v>54.5</v>
      </c>
      <c r="K114" s="32">
        <f t="shared" ref="K114:K117" si="60">IF(ISNUMBER(J114), (J114 - $B114) / $B114, "")</f>
        <v>-2.50447227191413E-2</v>
      </c>
      <c r="L114" s="18">
        <f>IF(ISNUMBER(J114), $B118 * K114, "")</f>
        <v>-2504.47227191413</v>
      </c>
      <c r="M114" s="31">
        <v>50.6</v>
      </c>
      <c r="N114" s="32">
        <f t="shared" ref="N114:N117" si="61">IF(ISNUMBER(M114), (M114 - $B114) / $B114, "")</f>
        <v>-9.4812164579606395E-2</v>
      </c>
      <c r="O114" s="18">
        <f>IF(ISNUMBER(M114), $B118 * N114, "")</f>
        <v>-9481.2164579606397</v>
      </c>
      <c r="Q114" s="223"/>
      <c r="R114" s="223"/>
      <c r="S114" s="223"/>
    </row>
    <row r="115" spans="1:19" ht="17.25" thickBot="1">
      <c r="A115" s="162" t="s">
        <v>252</v>
      </c>
      <c r="B115" s="126">
        <v>331</v>
      </c>
      <c r="C115" s="77">
        <v>3.1152648000000002E-2</v>
      </c>
      <c r="D115" s="15">
        <v>292</v>
      </c>
      <c r="E115" s="32">
        <f t="shared" si="58"/>
        <v>-0.11782477341389729</v>
      </c>
      <c r="F115" s="18">
        <f>IF(ISNUMBER(D115), $B118 * E115, "")</f>
        <v>-11782.477341389729</v>
      </c>
      <c r="G115" s="31">
        <v>290</v>
      </c>
      <c r="H115" s="32">
        <f t="shared" si="59"/>
        <v>-0.12386706948640483</v>
      </c>
      <c r="I115" s="101">
        <f>IF(ISNUMBER(G115), $B118 * H115, "")</f>
        <v>-12386.706948640483</v>
      </c>
      <c r="J115" s="15">
        <v>291</v>
      </c>
      <c r="K115" s="32">
        <f t="shared" si="60"/>
        <v>-0.12084592145015106</v>
      </c>
      <c r="L115" s="18">
        <f>IF(ISNUMBER(J115), $B118 * K115, "")</f>
        <v>-12084.592145015107</v>
      </c>
      <c r="M115" s="31">
        <v>266</v>
      </c>
      <c r="N115" s="32">
        <f t="shared" si="61"/>
        <v>-0.19637462235649547</v>
      </c>
      <c r="O115" s="18">
        <f>IF(ISNUMBER(M115), $B118 * N115, "")</f>
        <v>-19637.462235649546</v>
      </c>
      <c r="Q115" s="223"/>
      <c r="R115" s="223"/>
      <c r="S115" s="223"/>
    </row>
    <row r="116" spans="1:19">
      <c r="A116" s="162" t="s">
        <v>242</v>
      </c>
      <c r="B116" s="126">
        <v>4210</v>
      </c>
      <c r="C116" s="77">
        <v>2.3086269699999998E-2</v>
      </c>
      <c r="D116" s="15">
        <v>3585</v>
      </c>
      <c r="E116" s="32">
        <f t="shared" si="58"/>
        <v>-0.14845605700712589</v>
      </c>
      <c r="F116" s="18">
        <f>IF(ISNUMBER(D116), $B118 * E116, "")</f>
        <v>-14845.605700712589</v>
      </c>
      <c r="G116" s="31">
        <v>3570</v>
      </c>
      <c r="H116" s="32">
        <f t="shared" si="59"/>
        <v>-0.15201900237529692</v>
      </c>
      <c r="I116" s="101">
        <f>IF(ISNUMBER(G116), $B118 * H116, "")</f>
        <v>-15201.900237529691</v>
      </c>
      <c r="J116" s="15">
        <v>3585</v>
      </c>
      <c r="K116" s="32">
        <f t="shared" si="60"/>
        <v>-0.14845605700712589</v>
      </c>
      <c r="L116" s="18">
        <f>IF(ISNUMBER(J116), $B118 * K116, "")</f>
        <v>-14845.605700712589</v>
      </c>
      <c r="M116" s="31">
        <v>3280</v>
      </c>
      <c r="N116" s="32">
        <f t="shared" si="61"/>
        <v>-0.22090261282660331</v>
      </c>
      <c r="O116" s="18">
        <f>IF(ISNUMBER(M116), $B118 * N116, "")</f>
        <v>-22090.261282660333</v>
      </c>
      <c r="Q116" s="212"/>
      <c r="R116" s="213"/>
      <c r="S116" s="214"/>
    </row>
    <row r="117" spans="1:19" ht="17.25" thickBot="1">
      <c r="A117" s="130" t="s">
        <v>210</v>
      </c>
      <c r="B117" s="131">
        <v>135</v>
      </c>
      <c r="C117" s="79">
        <v>2.2727272699999999E-2</v>
      </c>
      <c r="D117" s="24">
        <v>115</v>
      </c>
      <c r="E117" s="25">
        <f t="shared" si="58"/>
        <v>-0.14814814814814814</v>
      </c>
      <c r="F117" s="104">
        <f>IF(ISNUMBER(D117), $B118 * E117, "")</f>
        <v>-14814.814814814814</v>
      </c>
      <c r="G117" s="102">
        <v>115</v>
      </c>
      <c r="H117" s="25">
        <f t="shared" si="59"/>
        <v>-0.14814814814814814</v>
      </c>
      <c r="I117" s="103">
        <f>IF(ISNUMBER(G117), $B118 * H117, "")</f>
        <v>-14814.814814814814</v>
      </c>
      <c r="J117" s="24">
        <v>115</v>
      </c>
      <c r="K117" s="25">
        <f t="shared" si="60"/>
        <v>-0.14814814814814814</v>
      </c>
      <c r="L117" s="104">
        <f>IF(ISNUMBER(J117), $B118 * K117, "")</f>
        <v>-14814.814814814814</v>
      </c>
      <c r="M117" s="102">
        <v>109</v>
      </c>
      <c r="N117" s="25">
        <f t="shared" si="61"/>
        <v>-0.19259259259259259</v>
      </c>
      <c r="O117" s="104">
        <f>IF(ISNUMBER(M117), $B118 * N117, "")</f>
        <v>-19259.259259259259</v>
      </c>
      <c r="Q117" s="215"/>
      <c r="R117" s="216"/>
      <c r="S117" s="217"/>
    </row>
    <row r="118" spans="1:19" ht="17.25" thickBot="1">
      <c r="A118" s="132" t="s">
        <v>300</v>
      </c>
      <c r="B118" s="276">
        <f>$B$37</f>
        <v>100000</v>
      </c>
      <c r="C118" s="277"/>
      <c r="D118" s="26" t="s">
        <v>301</v>
      </c>
      <c r="E118" s="27">
        <f>IF(COUNT(E98:E117), SUM(E98:E117) / COUNT(E98:E117), 0)</f>
        <v>-0.12346724691141371</v>
      </c>
      <c r="F118" s="28">
        <f>SUM(F98:F117)</f>
        <v>-246934.49382282744</v>
      </c>
      <c r="G118" s="26" t="s">
        <v>301</v>
      </c>
      <c r="H118" s="27">
        <f>IF(COUNT(H98:H117), SUM(H98:H117) / COUNT(H98:H117), 0)</f>
        <v>-0.11086605310555071</v>
      </c>
      <c r="I118" s="28">
        <f>SUM(I98:I117)</f>
        <v>-221732.1062111014</v>
      </c>
      <c r="J118" s="26" t="s">
        <v>301</v>
      </c>
      <c r="K118" s="27">
        <f>IF(COUNT(K98:K117), SUM(K98:K117) / COUNT(K98:K117), 0)</f>
        <v>-0.10876871631709011</v>
      </c>
      <c r="L118" s="28">
        <f>SUM(L98:L117)</f>
        <v>-217537.43263418021</v>
      </c>
      <c r="M118" s="26" t="s">
        <v>301</v>
      </c>
      <c r="N118" s="27">
        <f>IF(COUNT(N98:N117), SUM(N98:N117) / COUNT(N98:N117), 0)</f>
        <v>-0.17377548301594414</v>
      </c>
      <c r="O118" s="28">
        <f>SUM(O98:O117)</f>
        <v>-347550.96603188821</v>
      </c>
      <c r="Q118" s="218"/>
      <c r="R118" s="219"/>
      <c r="S118" s="220"/>
    </row>
    <row r="120" spans="1:19" ht="17.25" thickBot="1"/>
    <row r="121" spans="1:19" ht="17.25" thickBot="1">
      <c r="A121" s="234" t="s">
        <v>288</v>
      </c>
      <c r="B121" s="235"/>
      <c r="C121" s="235"/>
      <c r="D121" s="235"/>
      <c r="E121" s="235"/>
      <c r="F121" s="235"/>
      <c r="G121" s="235"/>
      <c r="H121" s="235"/>
      <c r="I121" s="235"/>
      <c r="J121" s="235"/>
      <c r="K121" s="235"/>
      <c r="L121" s="235"/>
      <c r="M121" s="235"/>
      <c r="N121" s="235"/>
      <c r="O121" s="236"/>
      <c r="Q121" s="233"/>
      <c r="R121" s="233"/>
      <c r="S121" s="233"/>
    </row>
    <row r="122" spans="1:19" ht="17.25" thickBot="1">
      <c r="A122" s="188" t="s">
        <v>297</v>
      </c>
      <c r="B122" s="234" t="s">
        <v>49</v>
      </c>
      <c r="C122" s="236"/>
      <c r="D122" s="234" t="s">
        <v>58</v>
      </c>
      <c r="E122" s="235"/>
      <c r="F122" s="236"/>
      <c r="G122" s="237">
        <f>_xlfn.IFNA(VLOOKUP(B122, 현재가테이블!$B$2:$D$200, 2, FALSE), "-")</f>
        <v>41418000</v>
      </c>
      <c r="H122" s="238"/>
      <c r="I122" s="239"/>
      <c r="J122" s="234" t="s">
        <v>59</v>
      </c>
      <c r="K122" s="235"/>
      <c r="L122" s="236"/>
      <c r="M122" s="240">
        <f>_xlfn.IFNA(VLOOKUP(B122, 현재가테이블!$B$2:$D$200, 3, FALSE), "-")</f>
        <v>-5.2176301000000001E-2</v>
      </c>
      <c r="N122" s="241"/>
      <c r="O122" s="242"/>
      <c r="Q122" s="233"/>
      <c r="R122" s="233"/>
      <c r="S122" s="233"/>
    </row>
    <row r="123" spans="1:19" ht="17.25" thickBot="1">
      <c r="A123" s="278" t="s">
        <v>55</v>
      </c>
      <c r="B123" s="274" t="str">
        <f>TEXT($G$1, "[$-ko-KR]yyyy-mm-dd(ddd) ") &amp; "오전 00:00"</f>
        <v>2021-06-08(화) 오전 00:00</v>
      </c>
      <c r="C123" s="275"/>
      <c r="D123" s="247" t="str">
        <f>TEXT($G$1, "[$-ko-KR]yyyy-mm-dd(ddd) ") &amp; "오후 14:00"</f>
        <v>2021-06-08(화) 오후 14:00</v>
      </c>
      <c r="E123" s="248"/>
      <c r="F123" s="249"/>
      <c r="G123" s="247" t="str">
        <f>TEXT($G$1, "[$-ko-KR]yyyy-mm-dd(ddd) ") &amp; "오후 19:00"</f>
        <v>2021-06-08(화) 오후 19:00</v>
      </c>
      <c r="H123" s="248"/>
      <c r="I123" s="249"/>
      <c r="J123" s="247" t="str">
        <f>TEXT($G$1, "[$-ko-KR]yyyy-mm-dd(ddd) ") &amp; "오후 21:00"</f>
        <v>2021-06-08(화) 오후 21:00</v>
      </c>
      <c r="K123" s="248"/>
      <c r="L123" s="249"/>
      <c r="M123" s="247" t="str">
        <f>TEXT($G$1+1, "[$-ko-KR]yyyy-mm-dd(ddd) ") &amp; "오전 00:00"</f>
        <v>2021-06-09(수) 오전 00:00</v>
      </c>
      <c r="N123" s="248"/>
      <c r="O123" s="249"/>
      <c r="Q123" s="233"/>
      <c r="R123" s="233"/>
      <c r="S123" s="233"/>
    </row>
    <row r="124" spans="1:19" ht="17.25" thickBot="1">
      <c r="A124" s="279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9" t="s">
        <v>58</v>
      </c>
      <c r="H124" s="190" t="s">
        <v>298</v>
      </c>
      <c r="I124" s="19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3"/>
      <c r="R124" s="223"/>
      <c r="S124" s="223"/>
    </row>
    <row r="125" spans="1:19" ht="17.25" thickBot="1">
      <c r="A125" s="161" t="s">
        <v>264</v>
      </c>
      <c r="B125" s="124">
        <v>90.2</v>
      </c>
      <c r="C125" s="76">
        <v>1.2345679E-2</v>
      </c>
      <c r="D125" s="13">
        <v>76.900000000000006</v>
      </c>
      <c r="E125" s="14">
        <f>IF(ISNUMBER(D125), (D125 - $B125) / $B125, "")</f>
        <v>-0.14745011086474497</v>
      </c>
      <c r="F125" s="16">
        <f>IF(ISNUMBER(D125), $B145 * E125, "")</f>
        <v>-14745.011086474497</v>
      </c>
      <c r="G125" s="29">
        <v>76.099999999999994</v>
      </c>
      <c r="H125" s="14">
        <f>IF(ISNUMBER(G125), (G125 - $B125) / $B125, "")</f>
        <v>-0.156319290465632</v>
      </c>
      <c r="I125" s="100">
        <f>IF(ISNUMBER(G125), $B145 * H125, "")</f>
        <v>-15631.9290465632</v>
      </c>
      <c r="J125" s="13">
        <v>76.8</v>
      </c>
      <c r="K125" s="14">
        <f>IF(ISNUMBER(J125), (J125 - $B125) / $B125, "")</f>
        <v>-0.14855875831485593</v>
      </c>
      <c r="L125" s="16">
        <f>IF(ISNUMBER(J125), $B145 * K125, "")</f>
        <v>-14855.875831485593</v>
      </c>
      <c r="M125" s="29">
        <v>71.8</v>
      </c>
      <c r="N125" s="14">
        <f>IF(ISNUMBER(M125), (M125 - $B125) / $B125, "")</f>
        <v>-0.20399113082039916</v>
      </c>
      <c r="O125" s="16">
        <f>IF(ISNUMBER(M125), $B145 * N125, "")</f>
        <v>-20399.113082039916</v>
      </c>
      <c r="Q125" s="233"/>
      <c r="R125" s="233"/>
      <c r="S125" s="233"/>
    </row>
    <row r="126" spans="1:19" ht="17.25" thickBot="1">
      <c r="A126" s="162" t="s">
        <v>222</v>
      </c>
      <c r="B126" s="126">
        <v>12.1</v>
      </c>
      <c r="C126" s="77">
        <v>8.3333333000000006E-3</v>
      </c>
      <c r="D126" s="15">
        <v>10.4</v>
      </c>
      <c r="E126" s="32">
        <f t="shared" ref="E126:E129" si="62">IF(ISNUMBER(D126), (D126 - $B126) / $B126, "")</f>
        <v>-0.14049586776859499</v>
      </c>
      <c r="F126" s="18">
        <f>IF(ISNUMBER(D126), $B145 * E126, "")</f>
        <v>-14049.5867768595</v>
      </c>
      <c r="G126" s="31">
        <v>10.4</v>
      </c>
      <c r="H126" s="32">
        <f t="shared" ref="H126:H129" si="63">IF(ISNUMBER(G126), (G126 - $B126) / $B126, "")</f>
        <v>-0.14049586776859499</v>
      </c>
      <c r="I126" s="101">
        <f>IF(ISNUMBER(G126), $B145 * H126, "")</f>
        <v>-14049.5867768595</v>
      </c>
      <c r="J126" s="15">
        <v>10.6</v>
      </c>
      <c r="K126" s="32">
        <f t="shared" ref="K126:K129" si="64">IF(ISNUMBER(J126), (J126 - $B126) / $B126, "")</f>
        <v>-0.12396694214876033</v>
      </c>
      <c r="L126" s="18">
        <f>IF(ISNUMBER(J126), $B145 * K126, "")</f>
        <v>-12396.694214876034</v>
      </c>
      <c r="M126" s="31">
        <v>10.1</v>
      </c>
      <c r="N126" s="32">
        <f t="shared" ref="N126:N129" si="65">IF(ISNUMBER(M126), (M126 - $B126) / $B126, "")</f>
        <v>-0.16528925619834711</v>
      </c>
      <c r="O126" s="18">
        <f>IF(ISNUMBER(M126), $B145 * N126, "")</f>
        <v>-16528.92561983471</v>
      </c>
      <c r="Q126" s="233"/>
      <c r="R126" s="233"/>
      <c r="S126" s="233"/>
    </row>
    <row r="127" spans="1:19" ht="17.25" thickBot="1">
      <c r="A127" s="162" t="s">
        <v>214</v>
      </c>
      <c r="B127" s="126">
        <v>14.4</v>
      </c>
      <c r="C127" s="77">
        <v>6.9930069999999999E-3</v>
      </c>
      <c r="D127" s="15">
        <v>12.4</v>
      </c>
      <c r="E127" s="32">
        <f t="shared" si="62"/>
        <v>-0.1388888888888889</v>
      </c>
      <c r="F127" s="18">
        <f>IF(ISNUMBER(D127), $B145 * E127, "")</f>
        <v>-13888.888888888889</v>
      </c>
      <c r="G127" s="31">
        <v>12.4</v>
      </c>
      <c r="H127" s="32">
        <f t="shared" si="63"/>
        <v>-0.1388888888888889</v>
      </c>
      <c r="I127" s="101">
        <f>IF(ISNUMBER(G127), $B145 * H127, "")</f>
        <v>-13888.888888888889</v>
      </c>
      <c r="J127" s="15">
        <v>12.5</v>
      </c>
      <c r="K127" s="32">
        <f t="shared" si="64"/>
        <v>-0.13194444444444448</v>
      </c>
      <c r="L127" s="18">
        <f>IF(ISNUMBER(J127), $B145 * K127, "")</f>
        <v>-13194.444444444447</v>
      </c>
      <c r="M127" s="31">
        <v>11.4</v>
      </c>
      <c r="N127" s="32">
        <f t="shared" si="65"/>
        <v>-0.20833333333333331</v>
      </c>
      <c r="O127" s="18">
        <f>IF(ISNUMBER(M127), $B145 * N127, "")</f>
        <v>-20833.333333333332</v>
      </c>
      <c r="Q127" s="223"/>
      <c r="R127" s="223"/>
      <c r="S127" s="223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>
        <v>25.9</v>
      </c>
      <c r="E128" s="32">
        <f t="shared" si="62"/>
        <v>-0.1480263157894737</v>
      </c>
      <c r="F128" s="18">
        <f>IF(ISNUMBER(D128), $B145 * E128, "")</f>
        <v>-14802.63157894737</v>
      </c>
      <c r="G128" s="31">
        <v>25.6</v>
      </c>
      <c r="H128" s="32">
        <f t="shared" si="63"/>
        <v>-0.15789473684210517</v>
      </c>
      <c r="I128" s="101">
        <f>IF(ISNUMBER(G128), $B145 * H128, "")</f>
        <v>-15789.473684210518</v>
      </c>
      <c r="J128" s="15">
        <v>25.7</v>
      </c>
      <c r="K128" s="32">
        <f t="shared" si="64"/>
        <v>-0.15460526315789472</v>
      </c>
      <c r="L128" s="18">
        <f>IF(ISNUMBER(J128), $B145 * K128, "")</f>
        <v>-15460.526315789471</v>
      </c>
      <c r="M128" s="31">
        <v>24.1</v>
      </c>
      <c r="N128" s="32">
        <f t="shared" si="65"/>
        <v>-0.20723684210526308</v>
      </c>
      <c r="O128" s="18">
        <f>IF(ISNUMBER(M128), $B145 * N128, "")</f>
        <v>-20723.684210526309</v>
      </c>
      <c r="Q128" s="223"/>
      <c r="R128" s="223"/>
      <c r="S128" s="223"/>
    </row>
    <row r="129" spans="1:19" ht="17.25" thickBot="1">
      <c r="A129" s="163" t="s">
        <v>254</v>
      </c>
      <c r="B129" s="128">
        <v>52.5</v>
      </c>
      <c r="C129" s="78">
        <v>5.7471264000000001E-3</v>
      </c>
      <c r="D129" s="20">
        <v>44.8</v>
      </c>
      <c r="E129" s="21">
        <f t="shared" si="62"/>
        <v>-0.14666666666666672</v>
      </c>
      <c r="F129" s="22">
        <f>IF(ISNUMBER(D129), $B145 * E129, "")</f>
        <v>-14666.666666666672</v>
      </c>
      <c r="G129" s="30">
        <v>44.5</v>
      </c>
      <c r="H129" s="21">
        <f t="shared" si="63"/>
        <v>-0.15238095238095239</v>
      </c>
      <c r="I129" s="105">
        <f>IF(ISNUMBER(G129), $B145 * H129, "")</f>
        <v>-15238.09523809524</v>
      </c>
      <c r="J129" s="20">
        <v>44.8</v>
      </c>
      <c r="K129" s="21">
        <f t="shared" si="64"/>
        <v>-0.14666666666666672</v>
      </c>
      <c r="L129" s="22">
        <f>IF(ISNUMBER(J129), $B145 * K129, "")</f>
        <v>-14666.666666666672</v>
      </c>
      <c r="M129" s="30">
        <v>42.2</v>
      </c>
      <c r="N129" s="21">
        <f t="shared" si="65"/>
        <v>-0.19619047619047614</v>
      </c>
      <c r="O129" s="22">
        <f>IF(ISNUMBER(M129), $B145 * N129, "")</f>
        <v>-19619.047619047615</v>
      </c>
      <c r="Q129" s="223"/>
      <c r="R129" s="223"/>
      <c r="S129" s="223"/>
    </row>
    <row r="130" spans="1:19" ht="17.25" thickBot="1">
      <c r="A130" s="162" t="s">
        <v>172</v>
      </c>
      <c r="B130" s="129">
        <v>15.5</v>
      </c>
      <c r="C130" s="80">
        <v>0</v>
      </c>
      <c r="D130" s="106">
        <v>14.5</v>
      </c>
      <c r="E130" s="107">
        <f>IF(ISNUMBER(D130), (D130 - $B130) / $B130, "")</f>
        <v>-6.4516129032258063E-2</v>
      </c>
      <c r="F130" s="108">
        <f>IF(ISNUMBER(D130), $B145 * E130, "")</f>
        <v>-6451.6129032258059</v>
      </c>
      <c r="G130" s="109">
        <v>14.7</v>
      </c>
      <c r="H130" s="107">
        <f>IF(ISNUMBER(G130), (G130 - $B130) / $B130, "")</f>
        <v>-5.16129032258065E-2</v>
      </c>
      <c r="I130" s="110">
        <f>IF(ISNUMBER(G130), $B145 * H130, "")</f>
        <v>-5161.2903225806504</v>
      </c>
      <c r="J130" s="106">
        <v>14.8</v>
      </c>
      <c r="K130" s="107">
        <f>IF(ISNUMBER(J130), (J130 - $B130) / $B130, "")</f>
        <v>-4.5161290322580601E-2</v>
      </c>
      <c r="L130" s="108">
        <f>IF(ISNUMBER(J130), $B145 * K130, "")</f>
        <v>-4516.1290322580599</v>
      </c>
      <c r="M130" s="109">
        <v>13.5</v>
      </c>
      <c r="N130" s="107">
        <f>IF(ISNUMBER(M130), (M130 - $B130) / $B130, "")</f>
        <v>-0.12903225806451613</v>
      </c>
      <c r="O130" s="108">
        <f>IF(ISNUMBER(M130), $B145 * N130, "")</f>
        <v>-12903.225806451612</v>
      </c>
      <c r="Q130" s="223"/>
      <c r="R130" s="223"/>
      <c r="S130" s="223"/>
    </row>
    <row r="131" spans="1:19" ht="17.25" thickBot="1">
      <c r="A131" s="162" t="s">
        <v>268</v>
      </c>
      <c r="B131" s="126">
        <v>54.3</v>
      </c>
      <c r="C131" s="77">
        <v>0</v>
      </c>
      <c r="D131" s="15">
        <v>46.7</v>
      </c>
      <c r="E131" s="32">
        <f t="shared" ref="E131:E134" si="66">IF(ISNUMBER(D131), (D131 - $B131) / $B131, "")</f>
        <v>-0.13996316758747687</v>
      </c>
      <c r="F131" s="18">
        <f>IF(ISNUMBER(D131), $B145 * E131, "")</f>
        <v>-13996.316758747687</v>
      </c>
      <c r="G131" s="31">
        <v>47.1</v>
      </c>
      <c r="H131" s="32">
        <f t="shared" ref="H131:H134" si="67">IF(ISNUMBER(G131), (G131 - $B131) / $B131, "")</f>
        <v>-0.13259668508287287</v>
      </c>
      <c r="I131" s="101">
        <f>IF(ISNUMBER(G131), $B145 * H131, "")</f>
        <v>-13259.668508287286</v>
      </c>
      <c r="J131" s="15">
        <v>46.7</v>
      </c>
      <c r="K131" s="32">
        <f t="shared" ref="K131:K134" si="68">IF(ISNUMBER(J131), (J131 - $B131) / $B131, "")</f>
        <v>-0.13996316758747687</v>
      </c>
      <c r="L131" s="18">
        <f>IF(ISNUMBER(J131), $B145 * K131, "")</f>
        <v>-13996.316758747687</v>
      </c>
      <c r="M131" s="31">
        <v>43.3</v>
      </c>
      <c r="N131" s="32">
        <f t="shared" ref="N131:N134" si="69">IF(ISNUMBER(M131), (M131 - $B131) / $B131, "")</f>
        <v>-0.20257826887661143</v>
      </c>
      <c r="O131" s="18">
        <f>IF(ISNUMBER(M131), $B145 * N131, "")</f>
        <v>-20257.826887661144</v>
      </c>
      <c r="Q131" s="223"/>
      <c r="R131" s="223"/>
      <c r="S131" s="223"/>
    </row>
    <row r="132" spans="1:19" ht="17.25" thickBot="1">
      <c r="A132" s="162" t="s">
        <v>198</v>
      </c>
      <c r="B132" s="126">
        <v>17</v>
      </c>
      <c r="C132" s="77">
        <v>0</v>
      </c>
      <c r="D132" s="15">
        <v>14.8</v>
      </c>
      <c r="E132" s="32">
        <f t="shared" si="66"/>
        <v>-0.12941176470588231</v>
      </c>
      <c r="F132" s="18">
        <f>IF(ISNUMBER(D132), $B145 * E132, "")</f>
        <v>-12941.176470588231</v>
      </c>
      <c r="G132" s="31">
        <v>14.7</v>
      </c>
      <c r="H132" s="32">
        <f t="shared" si="67"/>
        <v>-0.13529411764705887</v>
      </c>
      <c r="I132" s="101">
        <f>IF(ISNUMBER(G132), $B145 * H132, "")</f>
        <v>-13529.411764705887</v>
      </c>
      <c r="J132" s="15">
        <v>14.6</v>
      </c>
      <c r="K132" s="32">
        <f t="shared" si="68"/>
        <v>-0.14117647058823532</v>
      </c>
      <c r="L132" s="18">
        <f>IF(ISNUMBER(J132), $B145 * K132, "")</f>
        <v>-14117.647058823532</v>
      </c>
      <c r="M132" s="31">
        <v>13.6</v>
      </c>
      <c r="N132" s="32">
        <f t="shared" si="69"/>
        <v>-0.2</v>
      </c>
      <c r="O132" s="18">
        <f>IF(ISNUMBER(M132), $B145 * N132, "")</f>
        <v>-20000</v>
      </c>
      <c r="Q132" s="223"/>
      <c r="R132" s="223"/>
      <c r="S132" s="223"/>
    </row>
    <row r="133" spans="1:19" ht="17.25" thickBot="1">
      <c r="A133" s="162" t="s">
        <v>260</v>
      </c>
      <c r="B133" s="126">
        <v>76.599999999999994</v>
      </c>
      <c r="C133" s="77">
        <v>-3.9011703999999999E-3</v>
      </c>
      <c r="D133" s="15">
        <v>64.7</v>
      </c>
      <c r="E133" s="32">
        <f t="shared" si="66"/>
        <v>-0.15535248041775446</v>
      </c>
      <c r="F133" s="18">
        <f>IF(ISNUMBER(D133), $B145 * E133, "")</f>
        <v>-15535.248041775445</v>
      </c>
      <c r="G133" s="31">
        <v>63.9</v>
      </c>
      <c r="H133" s="32">
        <f t="shared" si="67"/>
        <v>-0.16579634464751955</v>
      </c>
      <c r="I133" s="101">
        <f>IF(ISNUMBER(G133), $B145 * H133, "")</f>
        <v>-16579.634464751955</v>
      </c>
      <c r="J133" s="15">
        <v>64.099999999999994</v>
      </c>
      <c r="K133" s="32">
        <f t="shared" si="68"/>
        <v>-0.16318537859007834</v>
      </c>
      <c r="L133" s="18">
        <f>IF(ISNUMBER(J133), $B145 * K133, "")</f>
        <v>-16318.537859007834</v>
      </c>
      <c r="M133" s="31">
        <v>59.7</v>
      </c>
      <c r="N133" s="32">
        <f t="shared" si="69"/>
        <v>-0.22062663185378581</v>
      </c>
      <c r="O133" s="18">
        <f>IF(ISNUMBER(M133), $B145 * N133, "")</f>
        <v>-22062.66318537858</v>
      </c>
      <c r="Q133" s="33"/>
      <c r="R133" s="33"/>
    </row>
    <row r="134" spans="1:19" ht="17.25" thickBot="1">
      <c r="A134" s="130" t="s">
        <v>212</v>
      </c>
      <c r="B134" s="131">
        <v>79.599999999999994</v>
      </c>
      <c r="C134" s="79">
        <v>-5.0000000000000001E-3</v>
      </c>
      <c r="D134" s="24">
        <v>67</v>
      </c>
      <c r="E134" s="25">
        <f t="shared" si="66"/>
        <v>-0.1582914572864321</v>
      </c>
      <c r="F134" s="104">
        <f>IF(ISNUMBER(D134), $B145 * E134, "")</f>
        <v>-15829.145728643211</v>
      </c>
      <c r="G134" s="102">
        <v>67.099999999999994</v>
      </c>
      <c r="H134" s="25">
        <f t="shared" si="67"/>
        <v>-0.157035175879397</v>
      </c>
      <c r="I134" s="103">
        <f>IF(ISNUMBER(G134), $B145 * H134, "")</f>
        <v>-15703.517587939699</v>
      </c>
      <c r="J134" s="24">
        <v>67.2</v>
      </c>
      <c r="K134" s="25">
        <f t="shared" si="68"/>
        <v>-0.15577889447236171</v>
      </c>
      <c r="L134" s="104">
        <f>IF(ISNUMBER(J134), $B145 * K134, "")</f>
        <v>-15577.88944723617</v>
      </c>
      <c r="M134" s="102">
        <v>62</v>
      </c>
      <c r="N134" s="25">
        <f t="shared" si="69"/>
        <v>-0.22110552763819091</v>
      </c>
      <c r="O134" s="104">
        <f>IF(ISNUMBER(M134), $B145 * N134, "")</f>
        <v>-22110.552763819091</v>
      </c>
      <c r="Q134" s="224"/>
      <c r="R134" s="225"/>
      <c r="S134" s="226"/>
    </row>
    <row r="135" spans="1:19">
      <c r="A135" s="161" t="s">
        <v>156</v>
      </c>
      <c r="B135" s="124">
        <v>89.9</v>
      </c>
      <c r="C135" s="76">
        <v>-5.5309735000000004E-3</v>
      </c>
      <c r="D135" s="13">
        <v>81.3</v>
      </c>
      <c r="E135" s="14">
        <f>IF(ISNUMBER(D135), (D135 - $B135) / $B135, "")</f>
        <v>-9.5661846496106873E-2</v>
      </c>
      <c r="F135" s="16">
        <f>IF(ISNUMBER(D135), $B145 * E135, "")</f>
        <v>-9566.1846496106864</v>
      </c>
      <c r="G135" s="29">
        <v>82.3</v>
      </c>
      <c r="H135" s="14">
        <f>IF(ISNUMBER(G135), (G135 - $B135) / $B135, "")</f>
        <v>-8.4538375973303756E-2</v>
      </c>
      <c r="I135" s="100">
        <f>IF(ISNUMBER(G135), $B145 * H135, "")</f>
        <v>-8453.8375973303755</v>
      </c>
      <c r="J135" s="13">
        <v>82.9</v>
      </c>
      <c r="K135" s="14">
        <f>IF(ISNUMBER(J135), (J135 - $B135) / $B135, "")</f>
        <v>-7.7864293659621803E-2</v>
      </c>
      <c r="L135" s="16">
        <f>IF(ISNUMBER(J135), $B145 * K135, "")</f>
        <v>-7786.4293659621799</v>
      </c>
      <c r="M135" s="29">
        <v>79.900000000000006</v>
      </c>
      <c r="N135" s="14">
        <f>IF(ISNUMBER(M135), (M135 - $B135) / $B135, "")</f>
        <v>-0.11123470522803114</v>
      </c>
      <c r="O135" s="16">
        <f>IF(ISNUMBER(M135), $B145 * N135, "")</f>
        <v>-11123.470522803114</v>
      </c>
      <c r="Q135" s="227"/>
      <c r="R135" s="228"/>
      <c r="S135" s="229"/>
    </row>
    <row r="136" spans="1:19" ht="17.25" thickBot="1">
      <c r="A136" s="162" t="s">
        <v>278</v>
      </c>
      <c r="B136" s="126">
        <v>81.900000000000006</v>
      </c>
      <c r="C136" s="77">
        <v>-8.4745762999999998E-3</v>
      </c>
      <c r="D136" s="15">
        <v>72.3</v>
      </c>
      <c r="E136" s="32">
        <f t="shared" ref="E136:E139" si="70">IF(ISNUMBER(D136), (D136 - $B136) / $B136, "")</f>
        <v>-0.11721611721611731</v>
      </c>
      <c r="F136" s="18">
        <f>IF(ISNUMBER(D136), $B145 * E136, "")</f>
        <v>-11721.611721611731</v>
      </c>
      <c r="G136" s="31">
        <v>74.2</v>
      </c>
      <c r="H136" s="32">
        <f t="shared" ref="H136:H139" si="71">IF(ISNUMBER(G136), (G136 - $B136) / $B136, "")</f>
        <v>-9.4017094017094044E-2</v>
      </c>
      <c r="I136" s="101">
        <f>IF(ISNUMBER(G136), $B145 * H136, "")</f>
        <v>-9401.7094017094041</v>
      </c>
      <c r="J136" s="15">
        <v>74.2</v>
      </c>
      <c r="K136" s="32">
        <f t="shared" ref="K136:K139" si="72">IF(ISNUMBER(J136), (J136 - $B136) / $B136, "")</f>
        <v>-9.4017094017094044E-2</v>
      </c>
      <c r="L136" s="18">
        <f>IF(ISNUMBER(J136), $B145 * K136, "")</f>
        <v>-9401.7094017094041</v>
      </c>
      <c r="M136" s="31">
        <v>70.900000000000006</v>
      </c>
      <c r="N136" s="32">
        <f t="shared" ref="N136:N139" si="73">IF(ISNUMBER(M136), (M136 - $B136) / $B136, "")</f>
        <v>-0.1343101343101343</v>
      </c>
      <c r="O136" s="18">
        <f>IF(ISNUMBER(M136), $B145 * N136, "")</f>
        <v>-13431.013431013431</v>
      </c>
      <c r="Q136" s="230"/>
      <c r="R136" s="231"/>
      <c r="S136" s="232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>
        <v>10.199999999999999</v>
      </c>
      <c r="E137" s="32">
        <f t="shared" si="70"/>
        <v>-0.12068965517241383</v>
      </c>
      <c r="F137" s="18">
        <f>IF(ISNUMBER(D137), $B145 * E137, "")</f>
        <v>-12068.965517241382</v>
      </c>
      <c r="G137" s="31">
        <v>10.199999999999999</v>
      </c>
      <c r="H137" s="32">
        <f t="shared" si="71"/>
        <v>-0.12068965517241383</v>
      </c>
      <c r="I137" s="101">
        <f>IF(ISNUMBER(G137), $B145 * H137, "")</f>
        <v>-12068.965517241382</v>
      </c>
      <c r="J137" s="15">
        <v>10.5</v>
      </c>
      <c r="K137" s="32">
        <f t="shared" si="72"/>
        <v>-9.4827586206896519E-2</v>
      </c>
      <c r="L137" s="18">
        <f>IF(ISNUMBER(J137), $B145 * K137, "")</f>
        <v>-9482.7586206896522</v>
      </c>
      <c r="M137" s="31">
        <v>9.8800000000000008</v>
      </c>
      <c r="N137" s="32">
        <f t="shared" si="73"/>
        <v>-0.14827586206896542</v>
      </c>
      <c r="O137" s="18">
        <f>IF(ISNUMBER(M137), $B145 * N137, "")</f>
        <v>-14827.586206896542</v>
      </c>
      <c r="Q137" s="223"/>
      <c r="R137" s="223"/>
      <c r="S137" s="223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>
        <v>18.399999999999999</v>
      </c>
      <c r="E138" s="32">
        <f t="shared" si="70"/>
        <v>-0.15207373271889404</v>
      </c>
      <c r="F138" s="18">
        <f>IF(ISNUMBER(D138), $B145 * E138, "")</f>
        <v>-15207.373271889404</v>
      </c>
      <c r="G138" s="31">
        <v>18.7</v>
      </c>
      <c r="H138" s="32">
        <f t="shared" si="71"/>
        <v>-0.13824884792626729</v>
      </c>
      <c r="I138" s="101">
        <f>IF(ISNUMBER(G138), $B145 * H138, "")</f>
        <v>-13824.88479262673</v>
      </c>
      <c r="J138" s="15">
        <v>18.600000000000001</v>
      </c>
      <c r="K138" s="32">
        <f t="shared" si="72"/>
        <v>-0.14285714285714277</v>
      </c>
      <c r="L138" s="18">
        <f>IF(ISNUMBER(J138), $B145 * K138, "")</f>
        <v>-14285.714285714277</v>
      </c>
      <c r="M138" s="31">
        <v>17.2</v>
      </c>
      <c r="N138" s="32">
        <f t="shared" si="73"/>
        <v>-0.20737327188940094</v>
      </c>
      <c r="O138" s="18">
        <f>IF(ISNUMBER(M138), $B145 * N138, "")</f>
        <v>-20737.327188940093</v>
      </c>
      <c r="Q138" s="233"/>
      <c r="R138" s="233"/>
      <c r="S138" s="233"/>
    </row>
    <row r="139" spans="1:19" ht="17.25" thickBot="1">
      <c r="A139" s="163" t="s">
        <v>218</v>
      </c>
      <c r="B139" s="128">
        <v>17</v>
      </c>
      <c r="C139" s="78">
        <v>-1.1627907E-2</v>
      </c>
      <c r="D139" s="20">
        <v>15</v>
      </c>
      <c r="E139" s="21">
        <f t="shared" si="70"/>
        <v>-0.11764705882352941</v>
      </c>
      <c r="F139" s="22">
        <f>IF(ISNUMBER(D139), $B145 * E139, "")</f>
        <v>-11764.705882352941</v>
      </c>
      <c r="G139" s="30">
        <v>15</v>
      </c>
      <c r="H139" s="21">
        <f t="shared" si="71"/>
        <v>-0.11764705882352941</v>
      </c>
      <c r="I139" s="105">
        <f>IF(ISNUMBER(G139), $B145 * H139, "")</f>
        <v>-11764.705882352941</v>
      </c>
      <c r="J139" s="20">
        <v>15.1</v>
      </c>
      <c r="K139" s="21">
        <f t="shared" si="72"/>
        <v>-0.11176470588235296</v>
      </c>
      <c r="L139" s="22">
        <f>IF(ISNUMBER(J139), $B145 * K139, "")</f>
        <v>-11176.470588235296</v>
      </c>
      <c r="M139" s="30">
        <v>14.2</v>
      </c>
      <c r="N139" s="21">
        <f t="shared" si="73"/>
        <v>-0.16470588235294123</v>
      </c>
      <c r="O139" s="22">
        <f>IF(ISNUMBER(M139), $B145 * N139, "")</f>
        <v>-16470.588235294123</v>
      </c>
      <c r="Q139" s="233"/>
      <c r="R139" s="233"/>
      <c r="S139" s="233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>
        <v>4.12</v>
      </c>
      <c r="E140" s="107">
        <f>IF(ISNUMBER(D140), (D140 - $B140) / $B140, "")</f>
        <v>-0.11015118790496756</v>
      </c>
      <c r="F140" s="108">
        <f>IF(ISNUMBER(D140), $B145 * E140, "")</f>
        <v>-11015.118790496756</v>
      </c>
      <c r="G140" s="109">
        <v>4.3099999999999996</v>
      </c>
      <c r="H140" s="107">
        <f>IF(ISNUMBER(G140), (G140 - $B140) / $B140, "")</f>
        <v>-6.9114470842332673E-2</v>
      </c>
      <c r="I140" s="110">
        <f>IF(ISNUMBER(G140), $B145 * H140, "")</f>
        <v>-6911.4470842332676</v>
      </c>
      <c r="J140" s="106">
        <v>4.28</v>
      </c>
      <c r="K140" s="107">
        <f>IF(ISNUMBER(J140), (J140 - $B140) / $B140, "")</f>
        <v>-7.5593952483801227E-2</v>
      </c>
      <c r="L140" s="108">
        <f>IF(ISNUMBER(J140), $B145 * K140, "")</f>
        <v>-7559.3952483801231</v>
      </c>
      <c r="M140" s="109">
        <v>4.0599999999999996</v>
      </c>
      <c r="N140" s="107">
        <f>IF(ISNUMBER(M140), (M140 - $B140) / $B140, "")</f>
        <v>-0.12311015118790503</v>
      </c>
      <c r="O140" s="108">
        <f>IF(ISNUMBER(M140), $B145 * N140, "")</f>
        <v>-12311.015118790503</v>
      </c>
      <c r="Q140" s="223"/>
      <c r="R140" s="223"/>
      <c r="S140" s="223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>
        <v>57.7</v>
      </c>
      <c r="E141" s="32">
        <f t="shared" ref="E141:E144" si="74">IF(ISNUMBER(D141), (D141 - $B141) / $B141, "")</f>
        <v>-0.13751868460388642</v>
      </c>
      <c r="F141" s="18">
        <f>IF(ISNUMBER(D141), $B145 * E141, "")</f>
        <v>-13751.868460388641</v>
      </c>
      <c r="G141" s="31">
        <v>57.7</v>
      </c>
      <c r="H141" s="32">
        <f t="shared" ref="H141:H144" si="75">IF(ISNUMBER(G141), (G141 - $B141) / $B141, "")</f>
        <v>-0.13751868460388642</v>
      </c>
      <c r="I141" s="101">
        <f>IF(ISNUMBER(G141), $B145 * H141, "")</f>
        <v>-13751.868460388641</v>
      </c>
      <c r="J141" s="15">
        <v>58.2</v>
      </c>
      <c r="K141" s="32">
        <f t="shared" ref="K141:K144" si="76">IF(ISNUMBER(J141), (J141 - $B141) / $B141, "")</f>
        <v>-0.1300448430493274</v>
      </c>
      <c r="L141" s="18">
        <f>IF(ISNUMBER(J141), $B145 * K141, "")</f>
        <v>-13004.484304932739</v>
      </c>
      <c r="M141" s="31">
        <v>53.9</v>
      </c>
      <c r="N141" s="32">
        <f t="shared" ref="N141:N144" si="77">IF(ISNUMBER(M141), (M141 - $B141) / $B141, "")</f>
        <v>-0.19431988041853521</v>
      </c>
      <c r="O141" s="18">
        <f>IF(ISNUMBER(M141), $B145 * N141, "")</f>
        <v>-19431.988041853521</v>
      </c>
      <c r="Q141" s="223"/>
      <c r="R141" s="223"/>
      <c r="S141" s="223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>
        <v>33.700000000000003</v>
      </c>
      <c r="E142" s="32">
        <f t="shared" si="74"/>
        <v>-8.1743869209809264E-2</v>
      </c>
      <c r="F142" s="18">
        <f>IF(ISNUMBER(D142), $B145 * E142, "")</f>
        <v>-8174.3869209809263</v>
      </c>
      <c r="G142" s="31">
        <v>33.4</v>
      </c>
      <c r="H142" s="32">
        <f t="shared" si="75"/>
        <v>-8.9918256130790297E-2</v>
      </c>
      <c r="I142" s="101">
        <f>IF(ISNUMBER(G142), $B145 * H142, "")</f>
        <v>-8991.8256130790305</v>
      </c>
      <c r="J142" s="15">
        <v>33.700000000000003</v>
      </c>
      <c r="K142" s="32">
        <f t="shared" si="76"/>
        <v>-8.1743869209809264E-2</v>
      </c>
      <c r="L142" s="18">
        <f>IF(ISNUMBER(J142), $B145 * K142, "")</f>
        <v>-8174.3869209809263</v>
      </c>
      <c r="M142" s="31">
        <v>31.2</v>
      </c>
      <c r="N142" s="32">
        <f t="shared" si="77"/>
        <v>-0.14986376021798373</v>
      </c>
      <c r="O142" s="18">
        <f>IF(ISNUMBER(M142), $B145 * N142, "")</f>
        <v>-14986.376021798373</v>
      </c>
      <c r="Q142" s="223"/>
      <c r="R142" s="223"/>
      <c r="S142" s="223"/>
    </row>
    <row r="143" spans="1:19">
      <c r="A143" s="162" t="s">
        <v>134</v>
      </c>
      <c r="B143" s="126">
        <v>99.7</v>
      </c>
      <c r="C143" s="77">
        <v>-3.2038835000000002E-2</v>
      </c>
      <c r="D143" s="15">
        <v>85.8</v>
      </c>
      <c r="E143" s="32">
        <f t="shared" si="74"/>
        <v>-0.13941825476429293</v>
      </c>
      <c r="F143" s="18">
        <f>IF(ISNUMBER(D143), $B145 * E143, "")</f>
        <v>-13941.825476429292</v>
      </c>
      <c r="G143" s="31">
        <v>87</v>
      </c>
      <c r="H143" s="32">
        <f t="shared" si="75"/>
        <v>-0.12738214643931797</v>
      </c>
      <c r="I143" s="101">
        <f>IF(ISNUMBER(G143), $B145 * H143, "")</f>
        <v>-12738.214643931797</v>
      </c>
      <c r="J143" s="15">
        <v>86.5</v>
      </c>
      <c r="K143" s="32">
        <f t="shared" si="76"/>
        <v>-0.13239719157472421</v>
      </c>
      <c r="L143" s="18">
        <f>IF(ISNUMBER(J143), $B145 * K143, "")</f>
        <v>-13239.71915747242</v>
      </c>
      <c r="M143" s="31">
        <v>82.2</v>
      </c>
      <c r="N143" s="32">
        <f t="shared" si="77"/>
        <v>-0.17552657973921765</v>
      </c>
      <c r="O143" s="18">
        <f>IF(ISNUMBER(M143), $B145 * N143, "")</f>
        <v>-17552.657973921763</v>
      </c>
      <c r="Q143" s="212"/>
      <c r="R143" s="213"/>
      <c r="S143" s="214"/>
    </row>
    <row r="144" spans="1:19" ht="17.25" thickBot="1">
      <c r="A144" s="130" t="s">
        <v>186</v>
      </c>
      <c r="B144" s="131">
        <v>19.3</v>
      </c>
      <c r="C144" s="79">
        <v>-9.8130841100000005E-2</v>
      </c>
      <c r="D144" s="24">
        <v>16</v>
      </c>
      <c r="E144" s="25">
        <f t="shared" si="74"/>
        <v>-0.17098445595854925</v>
      </c>
      <c r="F144" s="104">
        <f>IF(ISNUMBER(D144), $B145 * E144, "")</f>
        <v>-17098.445595854926</v>
      </c>
      <c r="G144" s="102">
        <v>15.4</v>
      </c>
      <c r="H144" s="25">
        <f t="shared" si="75"/>
        <v>-0.20207253886010365</v>
      </c>
      <c r="I144" s="103">
        <f>IF(ISNUMBER(G144), $B145 * H144, "")</f>
        <v>-20207.253886010367</v>
      </c>
      <c r="J144" s="24">
        <v>15.5</v>
      </c>
      <c r="K144" s="25">
        <f t="shared" si="76"/>
        <v>-0.19689119170984459</v>
      </c>
      <c r="L144" s="104">
        <f>IF(ISNUMBER(J144), $B145 * K144, "")</f>
        <v>-19689.119170984461</v>
      </c>
      <c r="M144" s="102">
        <v>14.5</v>
      </c>
      <c r="N144" s="25">
        <f t="shared" si="77"/>
        <v>-0.24870466321243526</v>
      </c>
      <c r="O144" s="104">
        <f>IF(ISNUMBER(M144), $B145 * N144, "")</f>
        <v>-24870.466321243526</v>
      </c>
      <c r="Q144" s="215"/>
      <c r="R144" s="216"/>
      <c r="S144" s="217"/>
    </row>
    <row r="145" spans="1:19" ht="17.25" thickBot="1">
      <c r="A145" s="132" t="s">
        <v>300</v>
      </c>
      <c r="B145" s="276">
        <f>$B$37</f>
        <v>100000</v>
      </c>
      <c r="C145" s="277"/>
      <c r="D145" s="26" t="s">
        <v>301</v>
      </c>
      <c r="E145" s="27">
        <f>IF(COUNT(E125:E144), SUM(E125:E144) / COUNT(E125:E144), 0)</f>
        <v>-0.130608385593837</v>
      </c>
      <c r="F145" s="28">
        <f>SUM(F125:F144)</f>
        <v>-261216.77118767402</v>
      </c>
      <c r="G145" s="26" t="s">
        <v>301</v>
      </c>
      <c r="H145" s="27">
        <f>IF(COUNT(H125:H144), SUM(H125:H144) / COUNT(H125:H144), 0)</f>
        <v>-0.12847310458089339</v>
      </c>
      <c r="I145" s="28">
        <f>SUM(I125:I144)</f>
        <v>-256946.20916178677</v>
      </c>
      <c r="J145" s="26" t="s">
        <v>301</v>
      </c>
      <c r="K145" s="27">
        <f>IF(COUNT(K125:K144), SUM(K125:K144) / COUNT(K125:K144), 0)</f>
        <v>-0.12445045734719851</v>
      </c>
      <c r="L145" s="28">
        <f>SUM(L125:L144)</f>
        <v>-248900.91469439701</v>
      </c>
      <c r="M145" s="26" t="s">
        <v>301</v>
      </c>
      <c r="N145" s="27">
        <f>IF(COUNT(N125:N144), SUM(N125:N144) / COUNT(N125:N144), 0)</f>
        <v>-0.18059043078532361</v>
      </c>
      <c r="O145" s="28">
        <f>SUM(O125:O144)</f>
        <v>-361180.86157064722</v>
      </c>
      <c r="Q145" s="218"/>
      <c r="R145" s="219"/>
      <c r="S145" s="220"/>
    </row>
    <row r="147" spans="1:19" ht="17.25" thickBot="1"/>
    <row r="148" spans="1:19" ht="17.25" thickBot="1">
      <c r="A148" s="234" t="s">
        <v>289</v>
      </c>
      <c r="B148" s="235"/>
      <c r="C148" s="235"/>
      <c r="D148" s="235"/>
      <c r="E148" s="235"/>
      <c r="F148" s="235"/>
      <c r="G148" s="235"/>
      <c r="H148" s="235"/>
      <c r="I148" s="235"/>
      <c r="J148" s="235"/>
      <c r="K148" s="235"/>
      <c r="L148" s="235"/>
      <c r="M148" s="235"/>
      <c r="N148" s="235"/>
      <c r="O148" s="236"/>
      <c r="Q148" s="233"/>
      <c r="R148" s="233"/>
      <c r="S148" s="233"/>
    </row>
    <row r="149" spans="1:19" ht="17.25" thickBot="1">
      <c r="A149" s="188" t="s">
        <v>297</v>
      </c>
      <c r="B149" s="234" t="s">
        <v>49</v>
      </c>
      <c r="C149" s="236"/>
      <c r="D149" s="234" t="s">
        <v>58</v>
      </c>
      <c r="E149" s="235"/>
      <c r="F149" s="236"/>
      <c r="G149" s="237">
        <f>_xlfn.IFNA(VLOOKUP(B149, 현재가테이블!$B$2:$D$200, 2, FALSE), "-")</f>
        <v>41418000</v>
      </c>
      <c r="H149" s="238"/>
      <c r="I149" s="239"/>
      <c r="J149" s="234" t="s">
        <v>59</v>
      </c>
      <c r="K149" s="235"/>
      <c r="L149" s="236"/>
      <c r="M149" s="240">
        <f>_xlfn.IFNA(VLOOKUP(B149, 현재가테이블!$B$2:$D$200, 3, FALSE), "-")</f>
        <v>-5.2176301000000001E-2</v>
      </c>
      <c r="N149" s="241"/>
      <c r="O149" s="242"/>
      <c r="Q149" s="233"/>
      <c r="R149" s="233"/>
      <c r="S149" s="233"/>
    </row>
    <row r="150" spans="1:19" ht="17.25" thickBot="1">
      <c r="A150" s="278" t="s">
        <v>55</v>
      </c>
      <c r="B150" s="274" t="str">
        <f>TEXT($G$1, "[$-ko-KR]yyyy-mm-dd(ddd) ") &amp; "오전 00:00"</f>
        <v>2021-06-08(화) 오전 00:00</v>
      </c>
      <c r="C150" s="275"/>
      <c r="D150" s="247" t="str">
        <f>TEXT($G$1, "[$-ko-KR]yyyy-mm-dd(ddd) ") &amp; "오후 14:00"</f>
        <v>2021-06-08(화) 오후 14:00</v>
      </c>
      <c r="E150" s="248"/>
      <c r="F150" s="249"/>
      <c r="G150" s="247" t="str">
        <f>TEXT($G$1, "[$-ko-KR]yyyy-mm-dd(ddd) ") &amp; "오후 19:00"</f>
        <v>2021-06-08(화) 오후 19:00</v>
      </c>
      <c r="H150" s="248"/>
      <c r="I150" s="249"/>
      <c r="J150" s="247" t="str">
        <f>TEXT($G$1, "[$-ko-KR]yyyy-mm-dd(ddd) ") &amp; "오후 21:00"</f>
        <v>2021-06-08(화) 오후 21:00</v>
      </c>
      <c r="K150" s="248"/>
      <c r="L150" s="249"/>
      <c r="M150" s="247" t="str">
        <f>TEXT($G$1+1, "[$-ko-KR]yyyy-mm-dd(ddd) ") &amp; "오전 00:00"</f>
        <v>2021-06-09(수) 오전 00:00</v>
      </c>
      <c r="N150" s="248"/>
      <c r="O150" s="249"/>
      <c r="Q150" s="233"/>
      <c r="R150" s="233"/>
      <c r="S150" s="233"/>
    </row>
    <row r="151" spans="1:19" ht="17.25" thickBot="1">
      <c r="A151" s="279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9" t="s">
        <v>58</v>
      </c>
      <c r="H151" s="190" t="s">
        <v>298</v>
      </c>
      <c r="I151" s="19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3"/>
      <c r="R151" s="223"/>
      <c r="S151" s="223"/>
    </row>
    <row r="152" spans="1:19" ht="17.25" thickBot="1">
      <c r="A152" s="161" t="s">
        <v>168</v>
      </c>
      <c r="B152" s="124">
        <v>109</v>
      </c>
      <c r="C152" s="76">
        <v>0</v>
      </c>
      <c r="D152" s="13">
        <v>93.3</v>
      </c>
      <c r="E152" s="14">
        <f>IF(ISNUMBER(D152), (D152 - $B152) / $B152, "")</f>
        <v>-0.14403669724770646</v>
      </c>
      <c r="F152" s="16">
        <f>IF(ISNUMBER(D152), $B172 * E152, "")</f>
        <v>-14403.669724770645</v>
      </c>
      <c r="G152" s="29">
        <v>93.3</v>
      </c>
      <c r="H152" s="14">
        <f>IF(ISNUMBER(G152), (G152 - $B152) / $B152, "")</f>
        <v>-0.14403669724770646</v>
      </c>
      <c r="I152" s="100">
        <f>IF(ISNUMBER(G152), $B172 * H152, "")</f>
        <v>-14403.669724770645</v>
      </c>
      <c r="J152" s="13">
        <v>94</v>
      </c>
      <c r="K152" s="14">
        <f>IF(ISNUMBER(J152), (J152 - $B152) / $B152, "")</f>
        <v>-0.13761467889908258</v>
      </c>
      <c r="L152" s="16">
        <f>IF(ISNUMBER(J152), $B172 * K152, "")</f>
        <v>-13761.467889908257</v>
      </c>
      <c r="M152" s="29">
        <v>88.2</v>
      </c>
      <c r="N152" s="14">
        <f>IF(ISNUMBER(M152), (M152 - $B152) / $B152, "")</f>
        <v>-0.19082568807339448</v>
      </c>
      <c r="O152" s="16">
        <f>IF(ISNUMBER(M152), $B172 * N152, "")</f>
        <v>-19082.568807339449</v>
      </c>
      <c r="Q152" s="233"/>
      <c r="R152" s="233"/>
      <c r="S152" s="233"/>
    </row>
    <row r="153" spans="1:19" ht="17.25" thickBot="1">
      <c r="A153" s="162" t="s">
        <v>128</v>
      </c>
      <c r="B153" s="126">
        <v>378</v>
      </c>
      <c r="C153" s="77">
        <v>0</v>
      </c>
      <c r="D153" s="15">
        <v>327</v>
      </c>
      <c r="E153" s="32">
        <f t="shared" ref="E153:E156" si="78">IF(ISNUMBER(D153), (D153 - $B153) / $B153, "")</f>
        <v>-0.13492063492063491</v>
      </c>
      <c r="F153" s="18">
        <f>IF(ISNUMBER(D153), $B172 * E153, "")</f>
        <v>-13492.063492063491</v>
      </c>
      <c r="G153" s="31">
        <v>323</v>
      </c>
      <c r="H153" s="32">
        <f t="shared" ref="H153:H156" si="79">IF(ISNUMBER(G153), (G153 - $B153) / $B153, "")</f>
        <v>-0.14550264550264549</v>
      </c>
      <c r="I153" s="101">
        <f>IF(ISNUMBER(G153), $B172 * H153, "")</f>
        <v>-14550.26455026455</v>
      </c>
      <c r="J153" s="15">
        <v>329</v>
      </c>
      <c r="K153" s="32">
        <f t="shared" ref="K153:K156" si="80">IF(ISNUMBER(J153), (J153 - $B153) / $B153, "")</f>
        <v>-0.12962962962962962</v>
      </c>
      <c r="L153" s="18">
        <f>IF(ISNUMBER(J153), $B172 * K153, "")</f>
        <v>-12962.962962962962</v>
      </c>
      <c r="M153" s="31">
        <v>308</v>
      </c>
      <c r="N153" s="32">
        <f t="shared" ref="N153:N156" si="81">IF(ISNUMBER(M153), (M153 - $B153) / $B153, "")</f>
        <v>-0.18518518518518517</v>
      </c>
      <c r="O153" s="18">
        <f>IF(ISNUMBER(M153), $B172 * N153, "")</f>
        <v>-18518.518518518518</v>
      </c>
      <c r="Q153" s="233"/>
      <c r="R153" s="233"/>
      <c r="S153" s="233"/>
    </row>
    <row r="154" spans="1:19" ht="17.25" thickBot="1">
      <c r="A154" s="162" t="s">
        <v>232</v>
      </c>
      <c r="B154" s="126">
        <v>122</v>
      </c>
      <c r="C154" s="77">
        <v>0</v>
      </c>
      <c r="D154" s="15">
        <v>108</v>
      </c>
      <c r="E154" s="32">
        <f t="shared" si="78"/>
        <v>-0.11475409836065574</v>
      </c>
      <c r="F154" s="18">
        <f>IF(ISNUMBER(D154), $B172 * E154, "")</f>
        <v>-11475.409836065573</v>
      </c>
      <c r="G154" s="31">
        <v>108</v>
      </c>
      <c r="H154" s="32">
        <f t="shared" si="79"/>
        <v>-0.11475409836065574</v>
      </c>
      <c r="I154" s="101">
        <f>IF(ISNUMBER(G154), $B172 * H154, "")</f>
        <v>-11475.409836065573</v>
      </c>
      <c r="J154" s="15">
        <v>109</v>
      </c>
      <c r="K154" s="32">
        <f t="shared" si="80"/>
        <v>-0.10655737704918032</v>
      </c>
      <c r="L154" s="18">
        <f>IF(ISNUMBER(J154), $B172 * K154, "")</f>
        <v>-10655.737704918032</v>
      </c>
      <c r="M154" s="31">
        <v>101</v>
      </c>
      <c r="N154" s="32">
        <f t="shared" si="81"/>
        <v>-0.1721311475409836</v>
      </c>
      <c r="O154" s="18">
        <f>IF(ISNUMBER(M154), $B172 * N154, "")</f>
        <v>-17213.114754098362</v>
      </c>
      <c r="Q154" s="223"/>
      <c r="R154" s="223"/>
      <c r="S154" s="223"/>
    </row>
    <row r="155" spans="1:19" ht="17.25" thickBot="1">
      <c r="A155" s="162" t="s">
        <v>170</v>
      </c>
      <c r="B155" s="126">
        <v>300</v>
      </c>
      <c r="C155" s="77">
        <v>0</v>
      </c>
      <c r="D155" s="15">
        <v>262</v>
      </c>
      <c r="E155" s="32">
        <f t="shared" si="78"/>
        <v>-0.12666666666666668</v>
      </c>
      <c r="F155" s="18">
        <f>IF(ISNUMBER(D155), $B172 * E155, "")</f>
        <v>-12666.666666666668</v>
      </c>
      <c r="G155" s="31">
        <v>261</v>
      </c>
      <c r="H155" s="32">
        <f t="shared" si="79"/>
        <v>-0.13</v>
      </c>
      <c r="I155" s="101">
        <f>IF(ISNUMBER(G155), $B172 * H155, "")</f>
        <v>-13000</v>
      </c>
      <c r="J155" s="15">
        <v>268</v>
      </c>
      <c r="K155" s="32">
        <f t="shared" si="80"/>
        <v>-0.10666666666666667</v>
      </c>
      <c r="L155" s="18">
        <f>IF(ISNUMBER(J155), $B172 * K155, "")</f>
        <v>-10666.666666666668</v>
      </c>
      <c r="M155" s="31">
        <v>249</v>
      </c>
      <c r="N155" s="32">
        <f t="shared" si="81"/>
        <v>-0.17</v>
      </c>
      <c r="O155" s="18">
        <f>IF(ISNUMBER(M155), $B172 * N155, "")</f>
        <v>-17000</v>
      </c>
      <c r="Q155" s="223"/>
      <c r="R155" s="223"/>
      <c r="S155" s="223"/>
    </row>
    <row r="156" spans="1:19" ht="17.25" thickBot="1">
      <c r="A156" s="163" t="s">
        <v>246</v>
      </c>
      <c r="B156" s="128">
        <v>315</v>
      </c>
      <c r="C156" s="78">
        <v>-3.1645570000000001E-3</v>
      </c>
      <c r="D156" s="20">
        <v>270</v>
      </c>
      <c r="E156" s="21">
        <f t="shared" si="78"/>
        <v>-0.14285714285714285</v>
      </c>
      <c r="F156" s="22">
        <f>IF(ISNUMBER(D156), $B172 * E156, "")</f>
        <v>-14285.714285714284</v>
      </c>
      <c r="G156" s="30">
        <v>272</v>
      </c>
      <c r="H156" s="21">
        <f t="shared" si="79"/>
        <v>-0.13650793650793649</v>
      </c>
      <c r="I156" s="105">
        <f>IF(ISNUMBER(G156), $B172 * H156, "")</f>
        <v>-13650.79365079365</v>
      </c>
      <c r="J156" s="20">
        <v>274</v>
      </c>
      <c r="K156" s="21">
        <f t="shared" si="80"/>
        <v>-0.13015873015873017</v>
      </c>
      <c r="L156" s="22">
        <f>IF(ISNUMBER(J156), $B172 * K156, "")</f>
        <v>-13015.873015873018</v>
      </c>
      <c r="M156" s="30">
        <v>255</v>
      </c>
      <c r="N156" s="21">
        <f t="shared" si="81"/>
        <v>-0.19047619047619047</v>
      </c>
      <c r="O156" s="22">
        <f>IF(ISNUMBER(M156), $B172 * N156, "")</f>
        <v>-19047.619047619046</v>
      </c>
      <c r="Q156" s="223"/>
      <c r="R156" s="223"/>
      <c r="S156" s="223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>
        <v>191</v>
      </c>
      <c r="E157" s="107">
        <f>IF(ISNUMBER(D157), (D157 - $B157) / $B157, "")</f>
        <v>-0.11981566820276497</v>
      </c>
      <c r="F157" s="108">
        <f>IF(ISNUMBER(D157), $B172 * E157, "")</f>
        <v>-11981.566820276497</v>
      </c>
      <c r="G157" s="109">
        <v>189</v>
      </c>
      <c r="H157" s="107">
        <f>IF(ISNUMBER(G157), (G157 - $B157) / $B157, "")</f>
        <v>-0.12903225806451613</v>
      </c>
      <c r="I157" s="110">
        <f>IF(ISNUMBER(G157), $B172 * H157, "")</f>
        <v>-12903.225806451612</v>
      </c>
      <c r="J157" s="106">
        <v>192</v>
      </c>
      <c r="K157" s="107">
        <f>IF(ISNUMBER(J157), (J157 - $B157) / $B157, "")</f>
        <v>-0.1152073732718894</v>
      </c>
      <c r="L157" s="108">
        <f>IF(ISNUMBER(J157), $B172 * K157, "")</f>
        <v>-11520.737327188941</v>
      </c>
      <c r="M157" s="109">
        <v>183</v>
      </c>
      <c r="N157" s="107">
        <f>IF(ISNUMBER(M157), (M157 - $B157) / $B157, "")</f>
        <v>-0.15668202764976957</v>
      </c>
      <c r="O157" s="108">
        <f>IF(ISNUMBER(M157), $B172 * N157, "")</f>
        <v>-15668.202764976957</v>
      </c>
      <c r="Q157" s="223"/>
      <c r="R157" s="223"/>
      <c r="S157" s="223"/>
    </row>
    <row r="158" spans="1:19" ht="17.25" thickBot="1">
      <c r="A158" s="162" t="s">
        <v>258</v>
      </c>
      <c r="B158" s="126">
        <v>489</v>
      </c>
      <c r="C158" s="77">
        <v>-6.0975609999999996E-3</v>
      </c>
      <c r="D158" s="15">
        <v>424</v>
      </c>
      <c r="E158" s="32">
        <f t="shared" ref="E158:E161" si="82">IF(ISNUMBER(D158), (D158 - $B158) / $B158, "")</f>
        <v>-0.1329243353783231</v>
      </c>
      <c r="F158" s="18">
        <f>IF(ISNUMBER(D158), $B172 * E158, "")</f>
        <v>-13292.43353783231</v>
      </c>
      <c r="G158" s="31">
        <v>432</v>
      </c>
      <c r="H158" s="32">
        <f t="shared" ref="H158:H161" si="83">IF(ISNUMBER(G158), (G158 - $B158) / $B158, "")</f>
        <v>-0.1165644171779141</v>
      </c>
      <c r="I158" s="101">
        <f>IF(ISNUMBER(G158), $B172 * H158, "")</f>
        <v>-11656.441717791411</v>
      </c>
      <c r="J158" s="15">
        <v>432</v>
      </c>
      <c r="K158" s="32">
        <f t="shared" ref="K158:K161" si="84">IF(ISNUMBER(J158), (J158 - $B158) / $B158, "")</f>
        <v>-0.1165644171779141</v>
      </c>
      <c r="L158" s="18">
        <f>IF(ISNUMBER(J158), $B172 * K158, "")</f>
        <v>-11656.441717791411</v>
      </c>
      <c r="M158" s="31">
        <v>407</v>
      </c>
      <c r="N158" s="32">
        <f t="shared" ref="N158:N161" si="85">IF(ISNUMBER(M158), (M158 - $B158) / $B158, "")</f>
        <v>-0.16768916155419222</v>
      </c>
      <c r="O158" s="18">
        <f>IF(ISNUMBER(M158), $B172 * N158, "")</f>
        <v>-16768.916155419221</v>
      </c>
      <c r="Q158" s="223"/>
      <c r="R158" s="223"/>
      <c r="S158" s="223"/>
    </row>
    <row r="159" spans="1:19" ht="17.25" thickBot="1">
      <c r="A159" s="162" t="s">
        <v>208</v>
      </c>
      <c r="B159" s="126">
        <v>320</v>
      </c>
      <c r="C159" s="77">
        <v>-6.2111800999999998E-3</v>
      </c>
      <c r="D159" s="15">
        <v>273</v>
      </c>
      <c r="E159" s="32">
        <f t="shared" si="82"/>
        <v>-0.14687500000000001</v>
      </c>
      <c r="F159" s="18">
        <f>IF(ISNUMBER(D159), $B172 * E159, "")</f>
        <v>-14687.5</v>
      </c>
      <c r="G159" s="31">
        <v>275</v>
      </c>
      <c r="H159" s="32">
        <f t="shared" si="83"/>
        <v>-0.140625</v>
      </c>
      <c r="I159" s="101">
        <f>IF(ISNUMBER(G159), $B172 * H159, "")</f>
        <v>-14062.5</v>
      </c>
      <c r="J159" s="15">
        <v>274</v>
      </c>
      <c r="K159" s="32">
        <f t="shared" si="84"/>
        <v>-0.14374999999999999</v>
      </c>
      <c r="L159" s="18">
        <f>IF(ISNUMBER(J159), $B172 * K159, "")</f>
        <v>-14374.999999999998</v>
      </c>
      <c r="M159" s="31">
        <v>255</v>
      </c>
      <c r="N159" s="32">
        <f t="shared" si="85"/>
        <v>-0.203125</v>
      </c>
      <c r="O159" s="18">
        <f>IF(ISNUMBER(M159), $B172 * N159, "")</f>
        <v>-20312.5</v>
      </c>
      <c r="Q159" s="223"/>
      <c r="R159" s="223"/>
      <c r="S159" s="223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>
        <v>271</v>
      </c>
      <c r="E160" s="32">
        <f t="shared" si="82"/>
        <v>-0.12297734627831715</v>
      </c>
      <c r="F160" s="18">
        <f>IF(ISNUMBER(D160), $B172 * E160, "")</f>
        <v>-12297.734627831715</v>
      </c>
      <c r="G160" s="31">
        <v>269</v>
      </c>
      <c r="H160" s="32">
        <f t="shared" si="83"/>
        <v>-0.12944983818770225</v>
      </c>
      <c r="I160" s="101">
        <f>IF(ISNUMBER(G160), $B172 * H160, "")</f>
        <v>-12944.983818770226</v>
      </c>
      <c r="J160" s="15">
        <v>271</v>
      </c>
      <c r="K160" s="32">
        <f t="shared" si="84"/>
        <v>-0.12297734627831715</v>
      </c>
      <c r="L160" s="18">
        <f>IF(ISNUMBER(J160), $B172 * K160, "")</f>
        <v>-12297.734627831715</v>
      </c>
      <c r="M160" s="31">
        <v>250</v>
      </c>
      <c r="N160" s="32">
        <f t="shared" si="85"/>
        <v>-0.19093851132686085</v>
      </c>
      <c r="O160" s="18">
        <f>IF(ISNUMBER(M160), $B172 * N160, "")</f>
        <v>-19093.851132686086</v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>
        <v>389</v>
      </c>
      <c r="E161" s="25">
        <f t="shared" si="82"/>
        <v>-0.11791383219954649</v>
      </c>
      <c r="F161" s="104">
        <f>IF(ISNUMBER(D161), $B172 * E161, "")</f>
        <v>-11791.383219954649</v>
      </c>
      <c r="G161" s="102">
        <v>393</v>
      </c>
      <c r="H161" s="25">
        <f t="shared" si="83"/>
        <v>-0.10884353741496598</v>
      </c>
      <c r="I161" s="103">
        <f>IF(ISNUMBER(G161), $B172 * H161, "")</f>
        <v>-10884.353741496598</v>
      </c>
      <c r="J161" s="24">
        <v>397</v>
      </c>
      <c r="K161" s="25">
        <f t="shared" si="84"/>
        <v>-9.9773242630385492E-2</v>
      </c>
      <c r="L161" s="104">
        <f>IF(ISNUMBER(J161), $B172 * K161, "")</f>
        <v>-9977.3242630385485</v>
      </c>
      <c r="M161" s="102">
        <v>374</v>
      </c>
      <c r="N161" s="25">
        <f t="shared" si="85"/>
        <v>-0.15192743764172337</v>
      </c>
      <c r="O161" s="104">
        <f>IF(ISNUMBER(M161), $B172 * N161, "")</f>
        <v>-15192.743764172337</v>
      </c>
      <c r="Q161" s="224"/>
      <c r="R161" s="225"/>
      <c r="S161" s="226"/>
    </row>
    <row r="162" spans="1:19">
      <c r="A162" s="161" t="s">
        <v>240</v>
      </c>
      <c r="B162" s="124">
        <v>133</v>
      </c>
      <c r="C162" s="76">
        <v>-7.4626865999999998E-3</v>
      </c>
      <c r="D162" s="13">
        <v>120</v>
      </c>
      <c r="E162" s="14">
        <f>IF(ISNUMBER(D162), (D162 - $B162) / $B162, "")</f>
        <v>-9.7744360902255634E-2</v>
      </c>
      <c r="F162" s="16">
        <f>IF(ISNUMBER(D162), $B172 * E162, "")</f>
        <v>-9774.436090225563</v>
      </c>
      <c r="G162" s="29">
        <v>117</v>
      </c>
      <c r="H162" s="14">
        <f>IF(ISNUMBER(G162), (G162 - $B162) / $B162, "")</f>
        <v>-0.12030075187969924</v>
      </c>
      <c r="I162" s="100">
        <f>IF(ISNUMBER(G162), $B172 * H162, "")</f>
        <v>-12030.075187969924</v>
      </c>
      <c r="J162" s="13">
        <v>117</v>
      </c>
      <c r="K162" s="14">
        <f>IF(ISNUMBER(J162), (J162 - $B162) / $B162, "")</f>
        <v>-0.12030075187969924</v>
      </c>
      <c r="L162" s="16">
        <f>IF(ISNUMBER(J162), $B172 * K162, "")</f>
        <v>-12030.075187969924</v>
      </c>
      <c r="M162" s="29">
        <v>110</v>
      </c>
      <c r="N162" s="14">
        <f>IF(ISNUMBER(M162), (M162 - $B162) / $B162, "")</f>
        <v>-0.17293233082706766</v>
      </c>
      <c r="O162" s="16">
        <f>IF(ISNUMBER(M162), $B172 * N162, "")</f>
        <v>-17293.233082706767</v>
      </c>
      <c r="Q162" s="227"/>
      <c r="R162" s="228"/>
      <c r="S162" s="229"/>
    </row>
    <row r="163" spans="1:19" ht="17.25" thickBot="1">
      <c r="A163" s="162" t="s">
        <v>270</v>
      </c>
      <c r="B163" s="126">
        <v>362</v>
      </c>
      <c r="C163" s="77">
        <v>-8.2191781000000002E-3</v>
      </c>
      <c r="D163" s="15">
        <v>323</v>
      </c>
      <c r="E163" s="32">
        <f t="shared" ref="E163:E166" si="86">IF(ISNUMBER(D163), (D163 - $B163) / $B163, "")</f>
        <v>-0.10773480662983426</v>
      </c>
      <c r="F163" s="18">
        <f>IF(ISNUMBER(D163), $B172 * E163, "")</f>
        <v>-10773.480662983426</v>
      </c>
      <c r="G163" s="31">
        <v>323</v>
      </c>
      <c r="H163" s="32">
        <f t="shared" ref="H163:H166" si="87">IF(ISNUMBER(G163), (G163 - $B163) / $B163, "")</f>
        <v>-0.10773480662983426</v>
      </c>
      <c r="I163" s="101">
        <f>IF(ISNUMBER(G163), $B172 * H163, "")</f>
        <v>-10773.480662983426</v>
      </c>
      <c r="J163" s="15">
        <v>324</v>
      </c>
      <c r="K163" s="32">
        <f t="shared" ref="K163:K166" si="88">IF(ISNUMBER(J163), (J163 - $B163) / $B163, "")</f>
        <v>-0.10497237569060773</v>
      </c>
      <c r="L163" s="18">
        <f>IF(ISNUMBER(J163), $B172 * K163, "")</f>
        <v>-10497.237569060773</v>
      </c>
      <c r="M163" s="31">
        <v>304</v>
      </c>
      <c r="N163" s="32">
        <f t="shared" ref="N163:N166" si="89">IF(ISNUMBER(M163), (M163 - $B163) / $B163, "")</f>
        <v>-0.16022099447513813</v>
      </c>
      <c r="O163" s="18">
        <f>IF(ISNUMBER(M163), $B172 * N163, "")</f>
        <v>-16022.099447513812</v>
      </c>
      <c r="Q163" s="230"/>
      <c r="R163" s="231"/>
      <c r="S163" s="232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>
        <v>108</v>
      </c>
      <c r="E164" s="32">
        <f t="shared" si="86"/>
        <v>-0.1</v>
      </c>
      <c r="F164" s="18">
        <f>IF(ISNUMBER(D164), $B172 * E164, "")</f>
        <v>-10000</v>
      </c>
      <c r="G164" s="31">
        <v>107</v>
      </c>
      <c r="H164" s="32">
        <f t="shared" si="87"/>
        <v>-0.10833333333333334</v>
      </c>
      <c r="I164" s="101">
        <f>IF(ISNUMBER(G164), $B172 * H164, "")</f>
        <v>-10833.333333333334</v>
      </c>
      <c r="J164" s="15">
        <v>107</v>
      </c>
      <c r="K164" s="32">
        <f t="shared" si="88"/>
        <v>-0.10833333333333334</v>
      </c>
      <c r="L164" s="18">
        <f>IF(ISNUMBER(J164), $B172 * K164, "")</f>
        <v>-10833.333333333334</v>
      </c>
      <c r="M164" s="31">
        <v>102</v>
      </c>
      <c r="N164" s="32">
        <f t="shared" si="89"/>
        <v>-0.15</v>
      </c>
      <c r="O164" s="18">
        <f>IF(ISNUMBER(M164), $B172 * N164, "")</f>
        <v>-15000</v>
      </c>
      <c r="Q164" s="223"/>
      <c r="R164" s="223"/>
      <c r="S164" s="223"/>
    </row>
    <row r="165" spans="1:19" ht="17.25" thickBot="1">
      <c r="A165" s="162" t="s">
        <v>216</v>
      </c>
      <c r="B165" s="126">
        <v>281</v>
      </c>
      <c r="C165" s="77">
        <v>-1.0563380299999999E-2</v>
      </c>
      <c r="D165" s="15">
        <v>264</v>
      </c>
      <c r="E165" s="32">
        <f t="shared" si="86"/>
        <v>-6.0498220640569395E-2</v>
      </c>
      <c r="F165" s="18">
        <f>IF(ISNUMBER(D165), $B172 * E165, "")</f>
        <v>-6049.8220640569398</v>
      </c>
      <c r="G165" s="31">
        <v>271</v>
      </c>
      <c r="H165" s="32">
        <f t="shared" si="87"/>
        <v>-3.5587188612099648E-2</v>
      </c>
      <c r="I165" s="101">
        <f>IF(ISNUMBER(G165), $B172 * H165, "")</f>
        <v>-3558.7188612099649</v>
      </c>
      <c r="J165" s="15">
        <v>281</v>
      </c>
      <c r="K165" s="32">
        <f t="shared" si="88"/>
        <v>0</v>
      </c>
      <c r="L165" s="18">
        <f>IF(ISNUMBER(J165), $B172 * K165, "")</f>
        <v>0</v>
      </c>
      <c r="M165" s="31">
        <v>256</v>
      </c>
      <c r="N165" s="32">
        <f t="shared" si="89"/>
        <v>-8.8967971530249115E-2</v>
      </c>
      <c r="O165" s="18">
        <f>IF(ISNUMBER(M165), $B172 * N165, "")</f>
        <v>-8896.7971530249124</v>
      </c>
      <c r="Q165" s="233"/>
      <c r="R165" s="233"/>
      <c r="S165" s="233"/>
    </row>
    <row r="166" spans="1:19" ht="17.25" thickBot="1">
      <c r="A166" s="163" t="s">
        <v>174</v>
      </c>
      <c r="B166" s="128">
        <v>187</v>
      </c>
      <c r="C166" s="78">
        <v>-1.05820106E-2</v>
      </c>
      <c r="D166" s="20">
        <v>159</v>
      </c>
      <c r="E166" s="21">
        <f t="shared" si="86"/>
        <v>-0.1497326203208556</v>
      </c>
      <c r="F166" s="22">
        <f>IF(ISNUMBER(D166), $B172 * E166, "")</f>
        <v>-14973.26203208556</v>
      </c>
      <c r="G166" s="30">
        <v>160</v>
      </c>
      <c r="H166" s="21">
        <f t="shared" si="87"/>
        <v>-0.14438502673796791</v>
      </c>
      <c r="I166" s="105">
        <f>IF(ISNUMBER(G166), $B172 * H166, "")</f>
        <v>-14438.502673796791</v>
      </c>
      <c r="J166" s="20">
        <v>161</v>
      </c>
      <c r="K166" s="21">
        <f t="shared" si="88"/>
        <v>-0.13903743315508021</v>
      </c>
      <c r="L166" s="22">
        <f>IF(ISNUMBER(J166), $B172 * K166, "")</f>
        <v>-13903.743315508022</v>
      </c>
      <c r="M166" s="30">
        <v>150</v>
      </c>
      <c r="N166" s="21">
        <f t="shared" si="89"/>
        <v>-0.19786096256684493</v>
      </c>
      <c r="O166" s="22">
        <f>IF(ISNUMBER(M166), $B172 * N166, "")</f>
        <v>-19786.096256684494</v>
      </c>
      <c r="Q166" s="233"/>
      <c r="R166" s="233"/>
      <c r="S166" s="233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>
        <v>131</v>
      </c>
      <c r="E167" s="107">
        <f>IF(ISNUMBER(D167), (D167 - $B167) / $B167, "")</f>
        <v>-0.13245033112582782</v>
      </c>
      <c r="F167" s="108">
        <f>IF(ISNUMBER(D167), $B172 * E167, "")</f>
        <v>-13245.033112582783</v>
      </c>
      <c r="G167" s="109">
        <v>129</v>
      </c>
      <c r="H167" s="107">
        <f>IF(ISNUMBER(G167), (G167 - $B167) / $B167, "")</f>
        <v>-0.14569536423841059</v>
      </c>
      <c r="I167" s="110">
        <f>IF(ISNUMBER(G167), $B172 * H167, "")</f>
        <v>-14569.536423841058</v>
      </c>
      <c r="J167" s="106">
        <v>129</v>
      </c>
      <c r="K167" s="107">
        <f>IF(ISNUMBER(J167), (J167 - $B167) / $B167, "")</f>
        <v>-0.14569536423841059</v>
      </c>
      <c r="L167" s="108">
        <f>IF(ISNUMBER(J167), $B172 * K167, "")</f>
        <v>-14569.536423841058</v>
      </c>
      <c r="M167" s="109">
        <v>121</v>
      </c>
      <c r="N167" s="107">
        <f>IF(ISNUMBER(M167), (M167 - $B167) / $B167, "")</f>
        <v>-0.19867549668874171</v>
      </c>
      <c r="O167" s="108">
        <f>IF(ISNUMBER(M167), $B172 * N167, "")</f>
        <v>-19867.54966887417</v>
      </c>
      <c r="Q167" s="223"/>
      <c r="R167" s="223"/>
      <c r="S167" s="223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>
        <v>319</v>
      </c>
      <c r="E168" s="32">
        <f t="shared" ref="E168:E171" si="90">IF(ISNUMBER(D168), (D168 - $B168) / $B168, "")</f>
        <v>-0.14705882352941177</v>
      </c>
      <c r="F168" s="18">
        <f>IF(ISNUMBER(D168), $B172 * E168, "")</f>
        <v>-14705.882352941177</v>
      </c>
      <c r="G168" s="31">
        <v>319</v>
      </c>
      <c r="H168" s="32">
        <f t="shared" ref="H168:H171" si="91">IF(ISNUMBER(G168), (G168 - $B168) / $B168, "")</f>
        <v>-0.14705882352941177</v>
      </c>
      <c r="I168" s="101">
        <f>IF(ISNUMBER(G168), $B172 * H168, "")</f>
        <v>-14705.882352941177</v>
      </c>
      <c r="J168" s="15">
        <v>328</v>
      </c>
      <c r="K168" s="32">
        <f t="shared" ref="K168:K171" si="92">IF(ISNUMBER(J168), (J168 - $B168) / $B168, "")</f>
        <v>-0.12299465240641712</v>
      </c>
      <c r="L168" s="18">
        <f>IF(ISNUMBER(J168), $B172 * K168, "")</f>
        <v>-12299.465240641712</v>
      </c>
      <c r="M168" s="31">
        <v>301</v>
      </c>
      <c r="N168" s="32">
        <f t="shared" ref="N168:N171" si="93">IF(ISNUMBER(M168), (M168 - $B168) / $B168, "")</f>
        <v>-0.19518716577540107</v>
      </c>
      <c r="O168" s="18">
        <f>IF(ISNUMBER(M168), $B172 * N168, "")</f>
        <v>-19518.716577540108</v>
      </c>
      <c r="Q168" s="223"/>
      <c r="R168" s="223"/>
      <c r="S168" s="223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>
        <v>816</v>
      </c>
      <c r="E169" s="32">
        <f t="shared" si="90"/>
        <v>-0.13283740701381508</v>
      </c>
      <c r="F169" s="18">
        <f>IF(ISNUMBER(D169), $B172 * E169, "")</f>
        <v>-13283.740701381508</v>
      </c>
      <c r="G169" s="31">
        <v>822</v>
      </c>
      <c r="H169" s="32">
        <f t="shared" si="91"/>
        <v>-0.12646121147715197</v>
      </c>
      <c r="I169" s="101">
        <f>IF(ISNUMBER(G169), $B172 * H169, "")</f>
        <v>-12646.121147715197</v>
      </c>
      <c r="J169" s="15">
        <v>825</v>
      </c>
      <c r="K169" s="32">
        <f t="shared" si="92"/>
        <v>-0.12327311370882041</v>
      </c>
      <c r="L169" s="18">
        <f>IF(ISNUMBER(J169), $B172 * K169, "")</f>
        <v>-12327.31137088204</v>
      </c>
      <c r="M169" s="31">
        <v>758</v>
      </c>
      <c r="N169" s="32">
        <f t="shared" si="93"/>
        <v>-0.1944739638682253</v>
      </c>
      <c r="O169" s="18">
        <f>IF(ISNUMBER(M169), $B172 * N169, "")</f>
        <v>-19447.396386822529</v>
      </c>
      <c r="Q169" s="223"/>
      <c r="R169" s="223"/>
      <c r="S169" s="223"/>
    </row>
    <row r="170" spans="1:19">
      <c r="A170" s="162" t="s">
        <v>54</v>
      </c>
      <c r="B170" s="126">
        <v>262</v>
      </c>
      <c r="C170" s="77">
        <v>-1.8726591800000001E-2</v>
      </c>
      <c r="D170" s="15">
        <v>242</v>
      </c>
      <c r="E170" s="32">
        <f t="shared" si="90"/>
        <v>-7.6335877862595422E-2</v>
      </c>
      <c r="F170" s="18">
        <f>IF(ISNUMBER(D170), $B172 * E170, "")</f>
        <v>-7633.5877862595426</v>
      </c>
      <c r="G170" s="31">
        <v>247</v>
      </c>
      <c r="H170" s="32">
        <f t="shared" si="91"/>
        <v>-5.7251908396946563E-2</v>
      </c>
      <c r="I170" s="101">
        <f>IF(ISNUMBER(G170), $B172 * H170, "")</f>
        <v>-5725.1908396946565</v>
      </c>
      <c r="J170" s="15">
        <v>247</v>
      </c>
      <c r="K170" s="32">
        <f t="shared" si="92"/>
        <v>-5.7251908396946563E-2</v>
      </c>
      <c r="L170" s="18">
        <f>IF(ISNUMBER(J170), $B172 * K170, "")</f>
        <v>-5725.1908396946565</v>
      </c>
      <c r="M170" s="31">
        <v>228</v>
      </c>
      <c r="N170" s="32">
        <f t="shared" si="93"/>
        <v>-0.12977099236641221</v>
      </c>
      <c r="O170" s="18">
        <f>IF(ISNUMBER(M170), $B172 * N170, "")</f>
        <v>-12977.099236641221</v>
      </c>
      <c r="Q170" s="212"/>
      <c r="R170" s="213"/>
      <c r="S170" s="214"/>
    </row>
    <row r="171" spans="1:19" ht="17.25" thickBot="1">
      <c r="A171" s="130" t="s">
        <v>296</v>
      </c>
      <c r="B171" s="131">
        <v>421</v>
      </c>
      <c r="C171" s="79">
        <v>-2.5462963000000002E-2</v>
      </c>
      <c r="D171" s="24">
        <v>377</v>
      </c>
      <c r="E171" s="25">
        <f t="shared" si="90"/>
        <v>-0.10451306413301663</v>
      </c>
      <c r="F171" s="104">
        <f>IF(ISNUMBER(D171), $B172 * E171, "")</f>
        <v>-10451.306413301663</v>
      </c>
      <c r="G171" s="102">
        <v>380</v>
      </c>
      <c r="H171" s="25">
        <f t="shared" si="91"/>
        <v>-9.7387173396674589E-2</v>
      </c>
      <c r="I171" s="103">
        <f>IF(ISNUMBER(G171), $B172 * H171, "")</f>
        <v>-9738.7173396674589</v>
      </c>
      <c r="J171" s="24">
        <v>384</v>
      </c>
      <c r="K171" s="25">
        <f t="shared" si="92"/>
        <v>-8.7885985748218529E-2</v>
      </c>
      <c r="L171" s="104">
        <f>IF(ISNUMBER(J171), $B172 * K171, "")</f>
        <v>-8788.5985748218536</v>
      </c>
      <c r="M171" s="102">
        <v>355</v>
      </c>
      <c r="N171" s="25">
        <f t="shared" si="93"/>
        <v>-0.15676959619952494</v>
      </c>
      <c r="O171" s="104">
        <f>IF(ISNUMBER(M171), $B172 * N171, "")</f>
        <v>-15676.959619952493</v>
      </c>
      <c r="Q171" s="215"/>
      <c r="R171" s="216"/>
      <c r="S171" s="217"/>
    </row>
    <row r="172" spans="1:19" ht="17.25" thickBot="1">
      <c r="A172" s="132" t="s">
        <v>300</v>
      </c>
      <c r="B172" s="276">
        <f>$B$37</f>
        <v>100000</v>
      </c>
      <c r="C172" s="277"/>
      <c r="D172" s="26" t="s">
        <v>301</v>
      </c>
      <c r="E172" s="27">
        <f>IF(COUNT(E152:E171), SUM(E152:E171) / COUNT(E152:E171), 0)</f>
        <v>-0.12063234671349701</v>
      </c>
      <c r="F172" s="28">
        <f>SUM(F152:F171)</f>
        <v>-241264.693426994</v>
      </c>
      <c r="G172" s="26" t="s">
        <v>301</v>
      </c>
      <c r="H172" s="27">
        <f>IF(COUNT(H152:H171), SUM(H152:H171) / COUNT(H152:H171), 0)</f>
        <v>-0.11927560083477864</v>
      </c>
      <c r="I172" s="28">
        <f>SUM(I152:I171)</f>
        <v>-238551.20166955725</v>
      </c>
      <c r="J172" s="26" t="s">
        <v>301</v>
      </c>
      <c r="K172" s="27">
        <f>IF(COUNT(K152:K171), SUM(K152:K171) / COUNT(K152:K171), 0)</f>
        <v>-0.11093221901596648</v>
      </c>
      <c r="L172" s="28">
        <f>SUM(L152:L171)</f>
        <v>-221864.43803193292</v>
      </c>
      <c r="M172" s="26" t="s">
        <v>301</v>
      </c>
      <c r="N172" s="27">
        <f>IF(COUNT(N152:N171), SUM(N152:N171) / COUNT(N152:N171), 0)</f>
        <v>-0.17119199118729525</v>
      </c>
      <c r="O172" s="28">
        <f>SUM(O152:O171)</f>
        <v>-342383.98237459041</v>
      </c>
      <c r="Q172" s="218"/>
      <c r="R172" s="219"/>
      <c r="S172" s="220"/>
    </row>
    <row r="174" spans="1:19" ht="17.25" thickBot="1"/>
    <row r="175" spans="1:19" ht="17.25" thickBot="1">
      <c r="A175" s="234" t="s">
        <v>285</v>
      </c>
      <c r="B175" s="235"/>
      <c r="C175" s="235"/>
      <c r="D175" s="235"/>
      <c r="E175" s="235"/>
      <c r="F175" s="235"/>
      <c r="G175" s="235"/>
      <c r="H175" s="235"/>
      <c r="I175" s="235"/>
      <c r="J175" s="235"/>
      <c r="K175" s="235"/>
      <c r="L175" s="235"/>
      <c r="M175" s="235"/>
      <c r="N175" s="235"/>
      <c r="O175" s="236"/>
      <c r="Q175" s="233"/>
      <c r="R175" s="233"/>
      <c r="S175" s="233"/>
    </row>
    <row r="176" spans="1:19" ht="17.25" thickBot="1">
      <c r="A176" s="188" t="s">
        <v>297</v>
      </c>
      <c r="B176" s="234" t="s">
        <v>49</v>
      </c>
      <c r="C176" s="236"/>
      <c r="D176" s="234" t="s">
        <v>58</v>
      </c>
      <c r="E176" s="235"/>
      <c r="F176" s="236"/>
      <c r="G176" s="237">
        <f>_xlfn.IFNA(VLOOKUP(B176, 현재가테이블!$B$2:$D$200, 2, FALSE), "-")</f>
        <v>41418000</v>
      </c>
      <c r="H176" s="238"/>
      <c r="I176" s="239"/>
      <c r="J176" s="234" t="s">
        <v>59</v>
      </c>
      <c r="K176" s="235"/>
      <c r="L176" s="236"/>
      <c r="M176" s="240">
        <f>_xlfn.IFNA(VLOOKUP(B176, 현재가테이블!$B$2:$D$200, 3, FALSE), "-")</f>
        <v>-5.2176301000000001E-2</v>
      </c>
      <c r="N176" s="241"/>
      <c r="O176" s="242"/>
      <c r="Q176" s="233"/>
      <c r="R176" s="233"/>
      <c r="S176" s="233"/>
    </row>
    <row r="177" spans="1:19" ht="17.25" thickBot="1">
      <c r="A177" s="278" t="s">
        <v>55</v>
      </c>
      <c r="B177" s="274" t="str">
        <f>TEXT($G$1, "[$-ko-KR]yyyy-mm-dd(ddd) ") &amp; "오전 00:00"</f>
        <v>2021-06-08(화) 오전 00:00</v>
      </c>
      <c r="C177" s="275"/>
      <c r="D177" s="247" t="str">
        <f>TEXT($G$1, "[$-ko-KR]yyyy-mm-dd(ddd) ") &amp; "오후 14:00"</f>
        <v>2021-06-08(화) 오후 14:00</v>
      </c>
      <c r="E177" s="248"/>
      <c r="F177" s="249"/>
      <c r="G177" s="247" t="str">
        <f>TEXT($G$1, "[$-ko-KR]yyyy-mm-dd(ddd) ") &amp; "오후 19:00"</f>
        <v>2021-06-08(화) 오후 19:00</v>
      </c>
      <c r="H177" s="248"/>
      <c r="I177" s="249"/>
      <c r="J177" s="247" t="str">
        <f>TEXT($G$1, "[$-ko-KR]yyyy-mm-dd(ddd) ") &amp; "오후 21:00"</f>
        <v>2021-06-08(화) 오후 21:00</v>
      </c>
      <c r="K177" s="248"/>
      <c r="L177" s="249"/>
      <c r="M177" s="247" t="str">
        <f>TEXT($G$1+1, "[$-ko-KR]yyyy-mm-dd(ddd) ") &amp; "오전 00:00"</f>
        <v>2021-06-09(수) 오전 00:00</v>
      </c>
      <c r="N177" s="248"/>
      <c r="O177" s="249"/>
      <c r="Q177" s="233"/>
      <c r="R177" s="233"/>
      <c r="S177" s="233"/>
    </row>
    <row r="178" spans="1:19" ht="17.25" thickBot="1">
      <c r="A178" s="279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9" t="s">
        <v>58</v>
      </c>
      <c r="H178" s="190" t="s">
        <v>298</v>
      </c>
      <c r="I178" s="19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3"/>
      <c r="R178" s="223"/>
      <c r="S178" s="223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>
        <v>4.12</v>
      </c>
      <c r="E179" s="14">
        <f>IF(ISNUMBER(D179), (D179 - $B179) / $B179, "")</f>
        <v>-0.11015118790496756</v>
      </c>
      <c r="F179" s="16">
        <f>IF(ISNUMBER(D179), $B199 * E179, "")</f>
        <v>-11015.118790496756</v>
      </c>
      <c r="G179" s="29">
        <v>4.3099999999999996</v>
      </c>
      <c r="H179" s="14">
        <f>IF(ISNUMBER(G179), (G179 - $B179) / $B179, "")</f>
        <v>-6.9114470842332673E-2</v>
      </c>
      <c r="I179" s="100">
        <f>IF(ISNUMBER(G179), $B199 * H179, "")</f>
        <v>-6911.4470842332676</v>
      </c>
      <c r="J179" s="13">
        <v>4.28</v>
      </c>
      <c r="K179" s="14">
        <f>IF(ISNUMBER(J179), (J179 - $B179) / $B179, "")</f>
        <v>-7.5593952483801227E-2</v>
      </c>
      <c r="L179" s="16">
        <f>IF(ISNUMBER(J179), $B199 * K179, "")</f>
        <v>-7559.3952483801231</v>
      </c>
      <c r="M179" s="29">
        <v>4.0599999999999996</v>
      </c>
      <c r="N179" s="14">
        <f>IF(ISNUMBER(M179), (M179 - $B179) / $B179, "")</f>
        <v>-0.12311015118790503</v>
      </c>
      <c r="O179" s="16">
        <f>IF(ISNUMBER(M179), $B199 * N179, "")</f>
        <v>-12311.015118790503</v>
      </c>
      <c r="Q179" s="233"/>
      <c r="R179" s="233"/>
      <c r="S179" s="233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>
        <v>131</v>
      </c>
      <c r="E180" s="32">
        <f t="shared" ref="E180:E183" si="94">IF(ISNUMBER(D180), (D180 - $B180) / $B180, "")</f>
        <v>-0.13245033112582782</v>
      </c>
      <c r="F180" s="18">
        <f>IF(ISNUMBER(D180), $B199 * E180, "")</f>
        <v>-13245.033112582783</v>
      </c>
      <c r="G180" s="31">
        <v>129</v>
      </c>
      <c r="H180" s="32">
        <f t="shared" ref="H180:H183" si="95">IF(ISNUMBER(G180), (G180 - $B180) / $B180, "")</f>
        <v>-0.14569536423841059</v>
      </c>
      <c r="I180" s="101">
        <f>IF(ISNUMBER(G180), $B199 * H180, "")</f>
        <v>-14569.536423841058</v>
      </c>
      <c r="J180" s="15">
        <v>129</v>
      </c>
      <c r="K180" s="32">
        <f t="shared" ref="K180:K183" si="96">IF(ISNUMBER(J180), (J180 - $B180) / $B180, "")</f>
        <v>-0.14569536423841059</v>
      </c>
      <c r="L180" s="18">
        <f>IF(ISNUMBER(J180), $B199 * K180, "")</f>
        <v>-14569.536423841058</v>
      </c>
      <c r="M180" s="31">
        <v>121</v>
      </c>
      <c r="N180" s="32">
        <f t="shared" ref="N180:N183" si="97">IF(ISNUMBER(M180), (M180 - $B180) / $B180, "")</f>
        <v>-0.19867549668874171</v>
      </c>
      <c r="O180" s="18">
        <f>IF(ISNUMBER(M180), $B199 * N180, "")</f>
        <v>-19867.54966887417</v>
      </c>
      <c r="Q180" s="233"/>
      <c r="R180" s="233"/>
      <c r="S180" s="233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>
        <v>5795</v>
      </c>
      <c r="E181" s="32">
        <f t="shared" si="94"/>
        <v>-0.14020771513353117</v>
      </c>
      <c r="F181" s="18">
        <f>IF(ISNUMBER(D181), $B199 * E181, "")</f>
        <v>-14020.771513353116</v>
      </c>
      <c r="G181" s="31">
        <v>5780</v>
      </c>
      <c r="H181" s="32">
        <f t="shared" si="95"/>
        <v>-0.14243323442136499</v>
      </c>
      <c r="I181" s="101">
        <f>IF(ISNUMBER(G181), $B199 * H181, "")</f>
        <v>-14243.3234421365</v>
      </c>
      <c r="J181" s="15">
        <v>5845</v>
      </c>
      <c r="K181" s="32">
        <f t="shared" si="96"/>
        <v>-0.1327893175074184</v>
      </c>
      <c r="L181" s="18">
        <f>IF(ISNUMBER(J181), $B199 * K181, "")</f>
        <v>-13278.93175074184</v>
      </c>
      <c r="M181" s="31">
        <v>5465</v>
      </c>
      <c r="N181" s="32">
        <f t="shared" si="97"/>
        <v>-0.18916913946587538</v>
      </c>
      <c r="O181" s="18">
        <f>IF(ISNUMBER(M181), $B199 * N181, "")</f>
        <v>-18916.913946587538</v>
      </c>
      <c r="Q181" s="223"/>
      <c r="R181" s="223"/>
      <c r="S181" s="223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>
        <v>319</v>
      </c>
      <c r="E182" s="32">
        <f t="shared" si="94"/>
        <v>-0.14705882352941177</v>
      </c>
      <c r="F182" s="18">
        <f>IF(ISNUMBER(D182), $B199 * E182, "")</f>
        <v>-14705.882352941177</v>
      </c>
      <c r="G182" s="31">
        <v>319</v>
      </c>
      <c r="H182" s="32">
        <f t="shared" si="95"/>
        <v>-0.14705882352941177</v>
      </c>
      <c r="I182" s="101">
        <f>IF(ISNUMBER(G182), $B199 * H182, "")</f>
        <v>-14705.882352941177</v>
      </c>
      <c r="J182" s="15">
        <v>328</v>
      </c>
      <c r="K182" s="32">
        <f t="shared" si="96"/>
        <v>-0.12299465240641712</v>
      </c>
      <c r="L182" s="18">
        <f>IF(ISNUMBER(J182), $B199 * K182, "")</f>
        <v>-12299.465240641712</v>
      </c>
      <c r="M182" s="31">
        <v>301</v>
      </c>
      <c r="N182" s="32">
        <f t="shared" si="97"/>
        <v>-0.19518716577540107</v>
      </c>
      <c r="O182" s="18">
        <f>IF(ISNUMBER(M182), $B199 * N182, "")</f>
        <v>-19518.716577540108</v>
      </c>
      <c r="Q182" s="223"/>
      <c r="R182" s="223"/>
      <c r="S182" s="223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>
        <v>57.7</v>
      </c>
      <c r="E183" s="21">
        <f t="shared" si="94"/>
        <v>-0.13751868460388642</v>
      </c>
      <c r="F183" s="22">
        <f>IF(ISNUMBER(D183), $B199 * E183, "")</f>
        <v>-13751.868460388641</v>
      </c>
      <c r="G183" s="30">
        <v>57.7</v>
      </c>
      <c r="H183" s="21">
        <f t="shared" si="95"/>
        <v>-0.13751868460388642</v>
      </c>
      <c r="I183" s="105">
        <f>IF(ISNUMBER(G183), $B199 * H183, "")</f>
        <v>-13751.868460388641</v>
      </c>
      <c r="J183" s="20">
        <v>58.2</v>
      </c>
      <c r="K183" s="21">
        <f t="shared" si="96"/>
        <v>-0.1300448430493274</v>
      </c>
      <c r="L183" s="22">
        <f>IF(ISNUMBER(J183), $B199 * K183, "")</f>
        <v>-13004.484304932739</v>
      </c>
      <c r="M183" s="30">
        <v>53.9</v>
      </c>
      <c r="N183" s="21">
        <f t="shared" si="97"/>
        <v>-0.19431988041853521</v>
      </c>
      <c r="O183" s="22">
        <f>IF(ISNUMBER(M183), $B199 * N183, "")</f>
        <v>-19431.988041853521</v>
      </c>
      <c r="Q183" s="223"/>
      <c r="R183" s="223"/>
      <c r="S183" s="223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>
        <v>947</v>
      </c>
      <c r="E184" s="107">
        <f>IF(ISNUMBER(D184), (D184 - $B184) / $B184, "")</f>
        <v>-0.13119266055045872</v>
      </c>
      <c r="F184" s="108">
        <f>IF(ISNUMBER(D184), $B199 * E184, "")</f>
        <v>-13119.266055045873</v>
      </c>
      <c r="G184" s="109">
        <v>956</v>
      </c>
      <c r="H184" s="107">
        <f>IF(ISNUMBER(G184), (G184 - $B184) / $B184, "")</f>
        <v>-0.12293577981651377</v>
      </c>
      <c r="I184" s="110">
        <f>IF(ISNUMBER(G184), $B199 * H184, "")</f>
        <v>-12293.577981651377</v>
      </c>
      <c r="J184" s="106">
        <v>949</v>
      </c>
      <c r="K184" s="107">
        <f>IF(ISNUMBER(J184), (J184 - $B184) / $B184, "")</f>
        <v>-0.12935779816513762</v>
      </c>
      <c r="L184" s="108">
        <f>IF(ISNUMBER(J184), $B199 * K184, "")</f>
        <v>-12935.779816513763</v>
      </c>
      <c r="M184" s="109">
        <v>900</v>
      </c>
      <c r="N184" s="107">
        <f>IF(ISNUMBER(M184), (M184 - $B184) / $B184, "")</f>
        <v>-0.1743119266055046</v>
      </c>
      <c r="O184" s="108">
        <f>IF(ISNUMBER(M184), $B199 * N184, "")</f>
        <v>-17431.19266055046</v>
      </c>
      <c r="Q184" s="223"/>
      <c r="R184" s="223"/>
      <c r="S184" s="223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>
        <v>816</v>
      </c>
      <c r="E185" s="32">
        <f t="shared" ref="E185:E188" si="98">IF(ISNUMBER(D185), (D185 - $B185) / $B185, "")</f>
        <v>-0.13283740701381508</v>
      </c>
      <c r="F185" s="18">
        <f>IF(ISNUMBER(D185), $B199 * E185, "")</f>
        <v>-13283.740701381508</v>
      </c>
      <c r="G185" s="31">
        <v>822</v>
      </c>
      <c r="H185" s="32">
        <f t="shared" ref="H185:H188" si="99">IF(ISNUMBER(G185), (G185 - $B185) / $B185, "")</f>
        <v>-0.12646121147715197</v>
      </c>
      <c r="I185" s="101">
        <f>IF(ISNUMBER(G185), $B199 * H185, "")</f>
        <v>-12646.121147715197</v>
      </c>
      <c r="J185" s="15">
        <v>825</v>
      </c>
      <c r="K185" s="32">
        <f t="shared" ref="K185:K188" si="100">IF(ISNUMBER(J185), (J185 - $B185) / $B185, "")</f>
        <v>-0.12327311370882041</v>
      </c>
      <c r="L185" s="18">
        <f>IF(ISNUMBER(J185), $B199 * K185, "")</f>
        <v>-12327.31137088204</v>
      </c>
      <c r="M185" s="31">
        <v>758</v>
      </c>
      <c r="N185" s="32">
        <f t="shared" ref="N185:N188" si="101">IF(ISNUMBER(M185), (M185 - $B185) / $B185, "")</f>
        <v>-0.1944739638682253</v>
      </c>
      <c r="O185" s="18">
        <f>IF(ISNUMBER(M185), $B199 * N185, "")</f>
        <v>-19447.396386822529</v>
      </c>
      <c r="Q185" s="223"/>
      <c r="R185" s="223"/>
      <c r="S185" s="223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>
        <v>64420</v>
      </c>
      <c r="E186" s="32">
        <f t="shared" si="98"/>
        <v>-0.12210411556282366</v>
      </c>
      <c r="F186" s="18">
        <f>IF(ISNUMBER(D186), $B199 * E186, "")</f>
        <v>-12210.411556282366</v>
      </c>
      <c r="G186" s="31">
        <v>64210</v>
      </c>
      <c r="H186" s="32">
        <f t="shared" si="99"/>
        <v>-0.12496593077132734</v>
      </c>
      <c r="I186" s="101">
        <f>IF(ISNUMBER(G186), $B199 * H186, "")</f>
        <v>-12496.593077132733</v>
      </c>
      <c r="J186" s="15">
        <v>64900</v>
      </c>
      <c r="K186" s="32">
        <f t="shared" si="100"/>
        <v>-0.11556282365767238</v>
      </c>
      <c r="L186" s="18">
        <f>IF(ISNUMBER(J186), $B199 * K186, "")</f>
        <v>-11556.282365767238</v>
      </c>
      <c r="M186" s="31">
        <v>59840</v>
      </c>
      <c r="N186" s="32">
        <f t="shared" si="101"/>
        <v>-0.18451894249114201</v>
      </c>
      <c r="O186" s="18">
        <f>IF(ISNUMBER(M186), $B199 * N186, "")</f>
        <v>-18451.894249114201</v>
      </c>
      <c r="Q186" s="223"/>
      <c r="R186" s="223"/>
      <c r="S186" s="223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>
        <v>242</v>
      </c>
      <c r="E187" s="32">
        <f t="shared" si="98"/>
        <v>-7.6335877862595422E-2</v>
      </c>
      <c r="F187" s="18">
        <f>IF(ISNUMBER(D187), $B199 * E187, "")</f>
        <v>-7633.5877862595426</v>
      </c>
      <c r="G187" s="31">
        <v>247</v>
      </c>
      <c r="H187" s="32">
        <f t="shared" si="99"/>
        <v>-5.7251908396946563E-2</v>
      </c>
      <c r="I187" s="101">
        <f>IF(ISNUMBER(G187), $B199 * H187, "")</f>
        <v>-5725.1908396946565</v>
      </c>
      <c r="J187" s="15">
        <v>247</v>
      </c>
      <c r="K187" s="32">
        <f t="shared" si="100"/>
        <v>-5.7251908396946563E-2</v>
      </c>
      <c r="L187" s="18">
        <f>IF(ISNUMBER(J187), $B199 * K187, "")</f>
        <v>-5725.1908396946565</v>
      </c>
      <c r="M187" s="31">
        <v>228</v>
      </c>
      <c r="N187" s="32">
        <f t="shared" si="101"/>
        <v>-0.12977099236641221</v>
      </c>
      <c r="O187" s="18">
        <f>IF(ISNUMBER(M187), $B199 * N187, "")</f>
        <v>-12977.099236641221</v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>
        <v>183000</v>
      </c>
      <c r="E188" s="25">
        <f t="shared" si="98"/>
        <v>-0.10381978452497552</v>
      </c>
      <c r="F188" s="104">
        <f>IF(ISNUMBER(D188), $B199 * E188, "")</f>
        <v>-10381.978452497551</v>
      </c>
      <c r="G188" s="102">
        <v>185750</v>
      </c>
      <c r="H188" s="25">
        <f t="shared" si="99"/>
        <v>-9.0352595494613122E-2</v>
      </c>
      <c r="I188" s="103">
        <f>IF(ISNUMBER(G188), $B199 * H188, "")</f>
        <v>-9035.2595494613124</v>
      </c>
      <c r="J188" s="24">
        <v>187000</v>
      </c>
      <c r="K188" s="25">
        <f t="shared" si="100"/>
        <v>-8.4231145935357493E-2</v>
      </c>
      <c r="L188" s="104">
        <f>IF(ISNUMBER(J188), $B199 * K188, "")</f>
        <v>-8423.114593535749</v>
      </c>
      <c r="M188" s="102">
        <v>179400</v>
      </c>
      <c r="N188" s="25">
        <f t="shared" si="101"/>
        <v>-0.12144955925563174</v>
      </c>
      <c r="O188" s="104">
        <f>IF(ISNUMBER(M188), $B199 * N188, "")</f>
        <v>-12144.955925563174</v>
      </c>
      <c r="Q188" s="224"/>
      <c r="R188" s="225"/>
      <c r="S188" s="226"/>
    </row>
    <row r="189" spans="1:19">
      <c r="A189" s="161" t="s">
        <v>188</v>
      </c>
      <c r="B189" s="124">
        <v>12660</v>
      </c>
      <c r="C189" s="76">
        <v>-1.9364833500000001E-2</v>
      </c>
      <c r="D189" s="13">
        <v>10680</v>
      </c>
      <c r="E189" s="14">
        <f>IF(ISNUMBER(D189), (D189 - $B189) / $B189, "")</f>
        <v>-0.15639810426540285</v>
      </c>
      <c r="F189" s="16">
        <f>IF(ISNUMBER(D189), $B199 * E189, "")</f>
        <v>-15639.810426540285</v>
      </c>
      <c r="G189" s="29">
        <v>10720</v>
      </c>
      <c r="H189" s="14">
        <f>IF(ISNUMBER(G189), (G189 - $B189) / $B189, "")</f>
        <v>-0.15323854660347552</v>
      </c>
      <c r="I189" s="100">
        <f>IF(ISNUMBER(G189), $B199 * H189, "")</f>
        <v>-15323.854660347552</v>
      </c>
      <c r="J189" s="13">
        <v>10820</v>
      </c>
      <c r="K189" s="14">
        <f>IF(ISNUMBER(J189), (J189 - $B189) / $B189, "")</f>
        <v>-0.14533965244865718</v>
      </c>
      <c r="L189" s="16">
        <f>IF(ISNUMBER(J189), $B199 * K189, "")</f>
        <v>-14533.965244865718</v>
      </c>
      <c r="M189" s="29">
        <v>10040</v>
      </c>
      <c r="N189" s="14">
        <f>IF(ISNUMBER(M189), (M189 - $B189) / $B189, "")</f>
        <v>-0.20695102685624012</v>
      </c>
      <c r="O189" s="16">
        <f>IF(ISNUMBER(M189), $B199 * N189, "")</f>
        <v>-20695.102685624013</v>
      </c>
      <c r="Q189" s="227"/>
      <c r="R189" s="228"/>
      <c r="S189" s="229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>
        <v>1095</v>
      </c>
      <c r="E190" s="32">
        <f t="shared" ref="E190:E193" si="102">IF(ISNUMBER(D190), (D190 - $B190) / $B190, "")</f>
        <v>-0.13438735177865613</v>
      </c>
      <c r="F190" s="18">
        <f>IF(ISNUMBER(D190), $B199 * E190, "")</f>
        <v>-13438.735177865612</v>
      </c>
      <c r="G190" s="31">
        <v>1090</v>
      </c>
      <c r="H190" s="32">
        <f t="shared" ref="H190:H193" si="103">IF(ISNUMBER(G190), (G190 - $B190) / $B190, "")</f>
        <v>-0.13833992094861661</v>
      </c>
      <c r="I190" s="101">
        <f>IF(ISNUMBER(G190), $B199 * H190, "")</f>
        <v>-13833.99209486166</v>
      </c>
      <c r="J190" s="15">
        <v>1110</v>
      </c>
      <c r="K190" s="32">
        <f t="shared" ref="K190:K193" si="104">IF(ISNUMBER(J190), (J190 - $B190) / $B190, "")</f>
        <v>-0.1225296442687747</v>
      </c>
      <c r="L190" s="18">
        <f>IF(ISNUMBER(J190), $B199 * K190, "")</f>
        <v>-12252.96442687747</v>
      </c>
      <c r="M190" s="31">
        <v>1040</v>
      </c>
      <c r="N190" s="32">
        <f t="shared" ref="N190:N193" si="105">IF(ISNUMBER(M190), (M190 - $B190) / $B190, "")</f>
        <v>-0.17786561264822134</v>
      </c>
      <c r="O190" s="18">
        <f>IF(ISNUMBER(M190), $B199 * N190, "")</f>
        <v>-17786.561264822136</v>
      </c>
      <c r="Q190" s="230"/>
      <c r="R190" s="231"/>
      <c r="S190" s="232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>
        <v>33.700000000000003</v>
      </c>
      <c r="E191" s="32">
        <f t="shared" si="102"/>
        <v>-8.1743869209809264E-2</v>
      </c>
      <c r="F191" s="18">
        <f>IF(ISNUMBER(D191), $B199 * E191, "")</f>
        <v>-8174.3869209809263</v>
      </c>
      <c r="G191" s="31">
        <v>33.4</v>
      </c>
      <c r="H191" s="32">
        <f t="shared" si="103"/>
        <v>-8.9918256130790297E-2</v>
      </c>
      <c r="I191" s="101">
        <f>IF(ISNUMBER(G191), $B199 * H191, "")</f>
        <v>-8991.8256130790305</v>
      </c>
      <c r="J191" s="15">
        <v>33.700000000000003</v>
      </c>
      <c r="K191" s="32">
        <f t="shared" si="104"/>
        <v>-8.1743869209809264E-2</v>
      </c>
      <c r="L191" s="18">
        <f>IF(ISNUMBER(J191), $B199 * K191, "")</f>
        <v>-8174.3869209809263</v>
      </c>
      <c r="M191" s="31">
        <v>31.2</v>
      </c>
      <c r="N191" s="32">
        <f t="shared" si="105"/>
        <v>-0.14986376021798373</v>
      </c>
      <c r="O191" s="18">
        <f>IF(ISNUMBER(M191), $B199 * N191, "")</f>
        <v>-14986.376021798373</v>
      </c>
      <c r="Q191" s="223"/>
      <c r="R191" s="223"/>
      <c r="S191" s="223"/>
    </row>
    <row r="192" spans="1:19" ht="17.25" thickBot="1">
      <c r="A192" s="162" t="s">
        <v>296</v>
      </c>
      <c r="B192" s="126">
        <v>421</v>
      </c>
      <c r="C192" s="77">
        <v>-2.5462963000000002E-2</v>
      </c>
      <c r="D192" s="15">
        <v>377</v>
      </c>
      <c r="E192" s="32">
        <f t="shared" si="102"/>
        <v>-0.10451306413301663</v>
      </c>
      <c r="F192" s="18">
        <f>IF(ISNUMBER(D192), $B199 * E192, "")</f>
        <v>-10451.306413301663</v>
      </c>
      <c r="G192" s="31">
        <v>380</v>
      </c>
      <c r="H192" s="32">
        <f t="shared" si="103"/>
        <v>-9.7387173396674589E-2</v>
      </c>
      <c r="I192" s="101">
        <f>IF(ISNUMBER(G192), $B199 * H192, "")</f>
        <v>-9738.7173396674589</v>
      </c>
      <c r="J192" s="15">
        <v>384</v>
      </c>
      <c r="K192" s="32">
        <f t="shared" si="104"/>
        <v>-8.7885985748218529E-2</v>
      </c>
      <c r="L192" s="18">
        <f>IF(ISNUMBER(J192), $B199 * K192, "")</f>
        <v>-8788.5985748218536</v>
      </c>
      <c r="M192" s="31">
        <v>355</v>
      </c>
      <c r="N192" s="32">
        <f t="shared" si="105"/>
        <v>-0.15676959619952494</v>
      </c>
      <c r="O192" s="18">
        <f>IF(ISNUMBER(M192), $B199 * N192, "")</f>
        <v>-15676.959619952493</v>
      </c>
      <c r="Q192" s="233"/>
      <c r="R192" s="233"/>
      <c r="S192" s="233"/>
    </row>
    <row r="193" spans="1:19" ht="17.25" thickBot="1">
      <c r="A193" s="163" t="s">
        <v>166</v>
      </c>
      <c r="B193" s="128">
        <v>1315</v>
      </c>
      <c r="C193" s="78">
        <v>-2.5925925900000001E-2</v>
      </c>
      <c r="D193" s="20">
        <v>1130</v>
      </c>
      <c r="E193" s="21">
        <f t="shared" si="102"/>
        <v>-0.14068441064638784</v>
      </c>
      <c r="F193" s="22">
        <f>IF(ISNUMBER(D193), $B199 * E193, "")</f>
        <v>-14068.441064638784</v>
      </c>
      <c r="G193" s="30">
        <v>1115</v>
      </c>
      <c r="H193" s="21">
        <f t="shared" si="103"/>
        <v>-0.15209125475285171</v>
      </c>
      <c r="I193" s="105">
        <f>IF(ISNUMBER(G193), $B199 * H193, "")</f>
        <v>-15209.125475285171</v>
      </c>
      <c r="J193" s="20">
        <v>1145</v>
      </c>
      <c r="K193" s="21">
        <f t="shared" si="104"/>
        <v>-0.12927756653992395</v>
      </c>
      <c r="L193" s="22">
        <f>IF(ISNUMBER(J193), $B199 * K193, "")</f>
        <v>-12927.756653992396</v>
      </c>
      <c r="M193" s="30">
        <v>1085</v>
      </c>
      <c r="N193" s="21">
        <f t="shared" si="105"/>
        <v>-0.17490494296577946</v>
      </c>
      <c r="O193" s="22">
        <f>IF(ISNUMBER(M193), $B199 * N193, "")</f>
        <v>-17490.494296577945</v>
      </c>
      <c r="Q193" s="233"/>
      <c r="R193" s="233"/>
      <c r="S193" s="233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>
        <v>85.8</v>
      </c>
      <c r="E194" s="107">
        <f>IF(ISNUMBER(D194), (D194 - $B194) / $B194, "")</f>
        <v>-0.13941825476429293</v>
      </c>
      <c r="F194" s="108">
        <f>IF(ISNUMBER(D194), $B199 * E194, "")</f>
        <v>-13941.825476429292</v>
      </c>
      <c r="G194" s="109">
        <v>87</v>
      </c>
      <c r="H194" s="107">
        <f>IF(ISNUMBER(G194), (G194 - $B194) / $B194, "")</f>
        <v>-0.12738214643931797</v>
      </c>
      <c r="I194" s="110">
        <f>IF(ISNUMBER(G194), $B199 * H194, "")</f>
        <v>-12738.214643931797</v>
      </c>
      <c r="J194" s="106">
        <v>86.5</v>
      </c>
      <c r="K194" s="107">
        <f>IF(ISNUMBER(J194), (J194 - $B194) / $B194, "")</f>
        <v>-0.13239719157472421</v>
      </c>
      <c r="L194" s="108">
        <f>IF(ISNUMBER(J194), $B199 * K194, "")</f>
        <v>-13239.71915747242</v>
      </c>
      <c r="M194" s="109">
        <v>82.2</v>
      </c>
      <c r="N194" s="107">
        <f>IF(ISNUMBER(M194), (M194 - $B194) / $B194, "")</f>
        <v>-0.17552657973921765</v>
      </c>
      <c r="O194" s="108">
        <f>IF(ISNUMBER(M194), $B199 * N194, "")</f>
        <v>-17552.657973921763</v>
      </c>
      <c r="Q194" s="223"/>
      <c r="R194" s="223"/>
      <c r="S194" s="223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>
        <v>2345</v>
      </c>
      <c r="E195" s="32">
        <f t="shared" ref="E195:E198" si="106">IF(ISNUMBER(D195), (D195 - $B195) / $B195, "")</f>
        <v>-0.1266294227188082</v>
      </c>
      <c r="F195" s="18">
        <f>IF(ISNUMBER(D195), $B199 * E195, "")</f>
        <v>-12662.94227188082</v>
      </c>
      <c r="G195" s="31">
        <v>2300</v>
      </c>
      <c r="H195" s="32">
        <f t="shared" ref="H195:H198" si="107">IF(ISNUMBER(G195), (G195 - $B195) / $B195, "")</f>
        <v>-0.14338919925512103</v>
      </c>
      <c r="I195" s="101">
        <f>IF(ISNUMBER(G195), $B199 * H195, "")</f>
        <v>-14338.919925512104</v>
      </c>
      <c r="J195" s="15">
        <v>2355</v>
      </c>
      <c r="K195" s="32">
        <f t="shared" ref="K195:K198" si="108">IF(ISNUMBER(J195), (J195 - $B195) / $B195, "")</f>
        <v>-0.12290502793296089</v>
      </c>
      <c r="L195" s="18">
        <f>IF(ISNUMBER(J195), $B199 * K195, "")</f>
        <v>-12290.502793296089</v>
      </c>
      <c r="M195" s="31">
        <v>2195</v>
      </c>
      <c r="N195" s="32">
        <f t="shared" ref="N195:N198" si="109">IF(ISNUMBER(M195), (M195 - $B195) / $B195, "")</f>
        <v>-0.18249534450651769</v>
      </c>
      <c r="O195" s="18">
        <f>IF(ISNUMBER(M195), $B199 * N195, "")</f>
        <v>-18249.534450651769</v>
      </c>
      <c r="Q195" s="223"/>
      <c r="R195" s="223"/>
      <c r="S195" s="223"/>
    </row>
    <row r="196" spans="1:19" ht="17.25" thickBot="1">
      <c r="A196" s="162" t="s">
        <v>164</v>
      </c>
      <c r="B196" s="126">
        <v>17850</v>
      </c>
      <c r="C196" s="77">
        <v>-5.8047493399999997E-2</v>
      </c>
      <c r="D196" s="15">
        <v>15820</v>
      </c>
      <c r="E196" s="32">
        <f t="shared" si="106"/>
        <v>-0.11372549019607843</v>
      </c>
      <c r="F196" s="18">
        <f>IF(ISNUMBER(D196), $B199 * E196, "")</f>
        <v>-11372.549019607843</v>
      </c>
      <c r="G196" s="31">
        <v>15790</v>
      </c>
      <c r="H196" s="32">
        <f t="shared" si="107"/>
        <v>-0.115406162464986</v>
      </c>
      <c r="I196" s="101">
        <f>IF(ISNUMBER(G196), $B199 * H196, "")</f>
        <v>-11540.616246498601</v>
      </c>
      <c r="J196" s="15">
        <v>16020</v>
      </c>
      <c r="K196" s="32">
        <f t="shared" si="108"/>
        <v>-0.10252100840336134</v>
      </c>
      <c r="L196" s="18">
        <f>IF(ISNUMBER(J196), $B199 * K196, "")</f>
        <v>-10252.100840336134</v>
      </c>
      <c r="M196" s="31">
        <v>15230</v>
      </c>
      <c r="N196" s="32">
        <f t="shared" si="109"/>
        <v>-0.14677871148459384</v>
      </c>
      <c r="O196" s="18">
        <f>IF(ISNUMBER(M196), $B199 * N196, "")</f>
        <v>-14677.871148459384</v>
      </c>
      <c r="Q196" s="223"/>
      <c r="R196" s="223"/>
      <c r="S196" s="223"/>
    </row>
    <row r="197" spans="1:19">
      <c r="A197" s="162" t="s">
        <v>186</v>
      </c>
      <c r="B197" s="126">
        <v>19.3</v>
      </c>
      <c r="C197" s="77">
        <v>-9.8130841100000005E-2</v>
      </c>
      <c r="D197" s="15">
        <v>16</v>
      </c>
      <c r="E197" s="32">
        <f t="shared" si="106"/>
        <v>-0.17098445595854925</v>
      </c>
      <c r="F197" s="18">
        <f>IF(ISNUMBER(D197), $B199 * E197, "")</f>
        <v>-17098.445595854926</v>
      </c>
      <c r="G197" s="31">
        <v>15.4</v>
      </c>
      <c r="H197" s="32">
        <f t="shared" si="107"/>
        <v>-0.20207253886010365</v>
      </c>
      <c r="I197" s="101">
        <f>IF(ISNUMBER(G197), $B199 * H197, "")</f>
        <v>-20207.253886010367</v>
      </c>
      <c r="J197" s="15">
        <v>15.5</v>
      </c>
      <c r="K197" s="32">
        <f t="shared" si="108"/>
        <v>-0.19689119170984459</v>
      </c>
      <c r="L197" s="18">
        <f>IF(ISNUMBER(J197), $B199 * K197, "")</f>
        <v>-19689.119170984461</v>
      </c>
      <c r="M197" s="31">
        <v>14.5</v>
      </c>
      <c r="N197" s="32">
        <f t="shared" si="109"/>
        <v>-0.24870466321243526</v>
      </c>
      <c r="O197" s="18">
        <f>IF(ISNUMBER(M197), $B199 * N197, "")</f>
        <v>-24870.466321243526</v>
      </c>
      <c r="Q197" s="212"/>
      <c r="R197" s="213"/>
      <c r="S197" s="214"/>
    </row>
    <row r="198" spans="1:19" ht="17.25" thickBot="1">
      <c r="A198" s="130" t="s">
        <v>190</v>
      </c>
      <c r="B198" s="131">
        <v>65050</v>
      </c>
      <c r="C198" s="79">
        <v>-0.12778224730000001</v>
      </c>
      <c r="D198" s="24">
        <v>54000</v>
      </c>
      <c r="E198" s="25">
        <f t="shared" si="106"/>
        <v>-0.16986933128362797</v>
      </c>
      <c r="F198" s="104">
        <f>IF(ISNUMBER(D198), $B199 * E198, "")</f>
        <v>-16986.933128362798</v>
      </c>
      <c r="G198" s="102">
        <v>53540</v>
      </c>
      <c r="H198" s="25">
        <f t="shared" si="107"/>
        <v>-0.17694081475787857</v>
      </c>
      <c r="I198" s="103">
        <f>IF(ISNUMBER(G198), $B199 * H198, "")</f>
        <v>-17694.081475787858</v>
      </c>
      <c r="J198" s="24">
        <v>53030</v>
      </c>
      <c r="K198" s="25">
        <f t="shared" si="108"/>
        <v>-0.18478093774019985</v>
      </c>
      <c r="L198" s="104">
        <f>IF(ISNUMBER(J198), $B199 * K198, "")</f>
        <v>-18478.093774019984</v>
      </c>
      <c r="M198" s="102">
        <v>49950</v>
      </c>
      <c r="N198" s="25">
        <f t="shared" si="109"/>
        <v>-0.23212913143735589</v>
      </c>
      <c r="O198" s="104">
        <f>IF(ISNUMBER(M198), $B199 * N198, "")</f>
        <v>-23212.91314373559</v>
      </c>
      <c r="Q198" s="215"/>
      <c r="R198" s="216"/>
      <c r="S198" s="217"/>
    </row>
    <row r="199" spans="1:19" ht="17.25" thickBot="1">
      <c r="A199" s="132" t="s">
        <v>300</v>
      </c>
      <c r="B199" s="276">
        <f>$B$37</f>
        <v>100000</v>
      </c>
      <c r="C199" s="277"/>
      <c r="D199" s="26" t="s">
        <v>301</v>
      </c>
      <c r="E199" s="27">
        <f>IF(COUNT(E179:E198), SUM(E179:E198) / COUNT(E179:E198), 0)</f>
        <v>-0.12860151713834614</v>
      </c>
      <c r="F199" s="28">
        <f>SUM(F179:F198)</f>
        <v>-257203.03427669225</v>
      </c>
      <c r="G199" s="26" t="s">
        <v>301</v>
      </c>
      <c r="H199" s="27">
        <f>IF(COUNT(H179:H198), SUM(H179:H198) / COUNT(H179:H198), 0)</f>
        <v>-0.12799770086008874</v>
      </c>
      <c r="I199" s="28">
        <f>SUM(I179:I198)</f>
        <v>-255995.4017201775</v>
      </c>
      <c r="J199" s="26" t="s">
        <v>301</v>
      </c>
      <c r="K199" s="27">
        <f>IF(COUNT(K179:K198), SUM(K179:K198) / COUNT(K179:K198), 0)</f>
        <v>-0.12115334975628918</v>
      </c>
      <c r="L199" s="28">
        <f>SUM(L179:L198)</f>
        <v>-242306.6995125784</v>
      </c>
      <c r="M199" s="26" t="s">
        <v>301</v>
      </c>
      <c r="N199" s="27">
        <f>IF(COUNT(N179:N198), SUM(N179:N198) / COUNT(N179:N198), 0)</f>
        <v>-0.1778488293695622</v>
      </c>
      <c r="O199" s="28">
        <f>SUM(O179:O198)</f>
        <v>-355697.65873912442</v>
      </c>
      <c r="Q199" s="218"/>
      <c r="R199" s="219"/>
      <c r="S199" s="22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69" priority="157">
      <formula>AND($N17 &gt; 0, ISNUMBER($N17))</formula>
    </cfRule>
    <cfRule type="expression" dxfId="1068" priority="158">
      <formula>AND($N17 = 0 * ISNUMBER($N17))</formula>
    </cfRule>
    <cfRule type="expression" dxfId="1067" priority="159">
      <formula>AND($N17 &lt; 0, ISNUMBER($N17))</formula>
    </cfRule>
  </conditionalFormatting>
  <conditionalFormatting sqref="A17:F36">
    <cfRule type="expression" dxfId="1066" priority="166">
      <formula>AND($E17 &gt; 0, ISNUMBER($E17))</formula>
    </cfRule>
    <cfRule type="expression" dxfId="1065" priority="167">
      <formula>AND($E17 = 0 * ISNUMBER($E17))</formula>
    </cfRule>
    <cfRule type="expression" dxfId="1064" priority="168">
      <formula>AND($E17 &lt; 0, ISNUMBER($E17))</formula>
    </cfRule>
  </conditionalFormatting>
  <conditionalFormatting sqref="A17:C36 G17:I36">
    <cfRule type="expression" dxfId="1063" priority="163">
      <formula>AND($H17 &gt; 0, ISNUMBER($H17))</formula>
    </cfRule>
    <cfRule type="expression" dxfId="1062" priority="164">
      <formula>AND($H17 = 0 * ISNUMBER($H17))</formula>
    </cfRule>
    <cfRule type="expression" dxfId="1061" priority="165">
      <formula>AND($H17 &lt; 0, ISNUMBER($H17))</formula>
    </cfRule>
  </conditionalFormatting>
  <conditionalFormatting sqref="A17:C36 J17:L36">
    <cfRule type="expression" dxfId="1060" priority="160">
      <formula>AND($K17 &gt; 0, ISNUMBER($K17))</formula>
    </cfRule>
    <cfRule type="expression" dxfId="1059" priority="161">
      <formula>AND($K17 = 0 * ISNUMBER($K17))</formula>
    </cfRule>
    <cfRule type="expression" dxfId="1058" priority="162">
      <formula>AND($K17 &lt; 0, ISNUMBER($K17))</formula>
    </cfRule>
  </conditionalFormatting>
  <conditionalFormatting sqref="D15:F16 E37:F37">
    <cfRule type="expression" dxfId="1057" priority="154">
      <formula>$E$37 &gt; 0</formula>
    </cfRule>
    <cfRule type="expression" dxfId="1056" priority="155">
      <formula>$E$37 = 0</formula>
    </cfRule>
    <cfRule type="expression" dxfId="1055" priority="156">
      <formula>$E$37 &lt; 0</formula>
    </cfRule>
  </conditionalFormatting>
  <conditionalFormatting sqref="G15:I16 H37:I37">
    <cfRule type="expression" dxfId="1054" priority="151">
      <formula>$H$37 &gt; 0</formula>
    </cfRule>
    <cfRule type="expression" dxfId="1053" priority="152">
      <formula>$H$37 = 0</formula>
    </cfRule>
    <cfRule type="expression" dxfId="1052" priority="153">
      <formula>$H$37 &lt; 0</formula>
    </cfRule>
  </conditionalFormatting>
  <conditionalFormatting sqref="J15:L16 K37:L37">
    <cfRule type="expression" dxfId="1051" priority="148">
      <formula>$K$37 &gt; 0</formula>
    </cfRule>
    <cfRule type="expression" dxfId="1050" priority="149">
      <formula>$K$37 = 0</formula>
    </cfRule>
    <cfRule type="expression" dxfId="1049" priority="150">
      <formula>$K$37 &lt; 0</formula>
    </cfRule>
  </conditionalFormatting>
  <conditionalFormatting sqref="M15:O16 N37:O37">
    <cfRule type="expression" dxfId="1048" priority="145">
      <formula>$N$37 &gt; 0</formula>
    </cfRule>
    <cfRule type="expression" dxfId="1047" priority="146">
      <formula>$N$37 = 0</formula>
    </cfRule>
    <cfRule type="expression" dxfId="1046" priority="147">
      <formula>$N$37 &lt; 0</formula>
    </cfRule>
  </conditionalFormatting>
  <conditionalFormatting sqref="A44:C63 M44:O63">
    <cfRule type="expression" dxfId="1045" priority="133">
      <formula>AND($N44 &gt; 0, ISNUMBER($N44))</formula>
    </cfRule>
    <cfRule type="expression" dxfId="1044" priority="134">
      <formula>AND($N44 = 0 * ISNUMBER($N44))</formula>
    </cfRule>
    <cfRule type="expression" dxfId="1043" priority="135">
      <formula>AND($N44 &lt; 0, ISNUMBER($N44))</formula>
    </cfRule>
  </conditionalFormatting>
  <conditionalFormatting sqref="A44:F63">
    <cfRule type="expression" dxfId="1042" priority="142">
      <formula>AND($E44 &gt; 0, ISNUMBER($E44))</formula>
    </cfRule>
    <cfRule type="expression" dxfId="1041" priority="143">
      <formula>AND($E44 = 0 * ISNUMBER($E44))</formula>
    </cfRule>
    <cfRule type="expression" dxfId="1040" priority="144">
      <formula>AND($E44 &lt; 0, ISNUMBER($E44))</formula>
    </cfRule>
  </conditionalFormatting>
  <conditionalFormatting sqref="A44:C63 G44:I63">
    <cfRule type="expression" dxfId="1039" priority="139">
      <formula>AND($H44 &gt; 0, ISNUMBER($H44))</formula>
    </cfRule>
    <cfRule type="expression" dxfId="1038" priority="140">
      <formula>AND($H44 = 0 * ISNUMBER($H44))</formula>
    </cfRule>
    <cfRule type="expression" dxfId="1037" priority="141">
      <formula>AND($H44 &lt; 0, ISNUMBER($H44))</formula>
    </cfRule>
  </conditionalFormatting>
  <conditionalFormatting sqref="A44:C63 J44:L63">
    <cfRule type="expression" dxfId="1036" priority="136">
      <formula>AND($K44 &gt; 0, ISNUMBER($K44))</formula>
    </cfRule>
    <cfRule type="expression" dxfId="1035" priority="137">
      <formula>AND($K44 = 0 * ISNUMBER($K44))</formula>
    </cfRule>
    <cfRule type="expression" dxfId="1034" priority="138">
      <formula>AND($K44 &lt; 0, ISNUMBER($K44))</formula>
    </cfRule>
  </conditionalFormatting>
  <conditionalFormatting sqref="D42:F43 E64:F64">
    <cfRule type="expression" dxfId="1033" priority="130">
      <formula>$E$64 &gt; 0</formula>
    </cfRule>
    <cfRule type="expression" dxfId="1032" priority="131">
      <formula>$E$64 = 0</formula>
    </cfRule>
    <cfRule type="expression" dxfId="1031" priority="132">
      <formula>$E$64 &lt; 0</formula>
    </cfRule>
  </conditionalFormatting>
  <conditionalFormatting sqref="G42:I43 H64:I64">
    <cfRule type="expression" dxfId="1030" priority="127">
      <formula>$H$64 &gt; 0</formula>
    </cfRule>
    <cfRule type="expression" dxfId="1029" priority="128">
      <formula>$H$64 = 0</formula>
    </cfRule>
    <cfRule type="expression" dxfId="1028" priority="129">
      <formula>$H$64 &lt; 0</formula>
    </cfRule>
  </conditionalFormatting>
  <conditionalFormatting sqref="J42:L43 K64:L64">
    <cfRule type="expression" dxfId="1027" priority="124">
      <formula>$K$64 &gt; 0</formula>
    </cfRule>
    <cfRule type="expression" dxfId="1026" priority="125">
      <formula>$K$64 = 0</formula>
    </cfRule>
    <cfRule type="expression" dxfId="1025" priority="126">
      <formula>$K$64 &lt; 0</formula>
    </cfRule>
  </conditionalFormatting>
  <conditionalFormatting sqref="M42:O43 N64:O64">
    <cfRule type="expression" dxfId="1024" priority="121">
      <formula>$N$64 &gt; 0</formula>
    </cfRule>
    <cfRule type="expression" dxfId="1023" priority="122">
      <formula>$N$64 = 0</formula>
    </cfRule>
    <cfRule type="expression" dxfId="1022" priority="123">
      <formula>$N$64 &lt; 0</formula>
    </cfRule>
  </conditionalFormatting>
  <conditionalFormatting sqref="A71:C90 M71:O90">
    <cfRule type="expression" dxfId="1021" priority="109">
      <formula>AND($N71 &gt; 0, ISNUMBER($N71))</formula>
    </cfRule>
    <cfRule type="expression" dxfId="1020" priority="110">
      <formula>AND($N71 = 0 * ISNUMBER($N71))</formula>
    </cfRule>
    <cfRule type="expression" dxfId="1019" priority="111">
      <formula>AND($N71 &lt; 0, ISNUMBER($N71))</formula>
    </cfRule>
  </conditionalFormatting>
  <conditionalFormatting sqref="A71:F90">
    <cfRule type="expression" dxfId="1018" priority="118">
      <formula>AND($E71 &gt; 0, ISNUMBER($E71))</formula>
    </cfRule>
    <cfRule type="expression" dxfId="1017" priority="119">
      <formula>AND($E71 = 0 * ISNUMBER($E71))</formula>
    </cfRule>
    <cfRule type="expression" dxfId="1016" priority="120">
      <formula>AND($E71 &lt; 0, ISNUMBER($E71))</formula>
    </cfRule>
  </conditionalFormatting>
  <conditionalFormatting sqref="A71:C90 G71:I90">
    <cfRule type="expression" dxfId="1015" priority="115">
      <formula>AND($H71 &gt; 0, ISNUMBER($H71))</formula>
    </cfRule>
    <cfRule type="expression" dxfId="1014" priority="116">
      <formula>AND($H71 = 0 * ISNUMBER($H71))</formula>
    </cfRule>
    <cfRule type="expression" dxfId="1013" priority="117">
      <formula>AND($H71 &lt; 0, ISNUMBER($H71))</formula>
    </cfRule>
  </conditionalFormatting>
  <conditionalFormatting sqref="A71:C90 J71:L90">
    <cfRule type="expression" dxfId="1012" priority="112">
      <formula>AND($K71 &gt; 0, ISNUMBER($K71))</formula>
    </cfRule>
    <cfRule type="expression" dxfId="1011" priority="113">
      <formula>AND($K71 = 0 * ISNUMBER($K71))</formula>
    </cfRule>
    <cfRule type="expression" dxfId="1010" priority="114">
      <formula>AND($K71 &lt; 0, ISNUMBER($K71))</formula>
    </cfRule>
  </conditionalFormatting>
  <conditionalFormatting sqref="D69:F70 E91:F91">
    <cfRule type="expression" dxfId="1009" priority="106">
      <formula>$E$91 &gt; 0</formula>
    </cfRule>
    <cfRule type="expression" dxfId="1008" priority="107">
      <formula>$E$91 = 0</formula>
    </cfRule>
    <cfRule type="expression" dxfId="1007" priority="108">
      <formula>$E$91 &lt; 0</formula>
    </cfRule>
  </conditionalFormatting>
  <conditionalFormatting sqref="G69:I70 H91:I91">
    <cfRule type="expression" dxfId="1006" priority="103">
      <formula>$H$91 &gt; 0</formula>
    </cfRule>
    <cfRule type="expression" dxfId="1005" priority="104">
      <formula>$H$91 = 0</formula>
    </cfRule>
    <cfRule type="expression" dxfId="1004" priority="105">
      <formula>$H$91 &lt; 0</formula>
    </cfRule>
  </conditionalFormatting>
  <conditionalFormatting sqref="J69:L70 K91:L91">
    <cfRule type="expression" dxfId="1003" priority="100">
      <formula>$K$91 &gt; 0</formula>
    </cfRule>
    <cfRule type="expression" dxfId="1002" priority="101">
      <formula>$K$91 = 0</formula>
    </cfRule>
    <cfRule type="expression" dxfId="1001" priority="102">
      <formula>$K$91 &lt; 0</formula>
    </cfRule>
  </conditionalFormatting>
  <conditionalFormatting sqref="M69:O70 N91:O91">
    <cfRule type="expression" dxfId="1000" priority="97">
      <formula>$N$91 &gt; 0</formula>
    </cfRule>
    <cfRule type="expression" dxfId="999" priority="98">
      <formula>$N$91 = 0</formula>
    </cfRule>
    <cfRule type="expression" dxfId="998" priority="99">
      <formula>$N$91 &lt; 0</formula>
    </cfRule>
  </conditionalFormatting>
  <conditionalFormatting sqref="A98:C117 M98:O117">
    <cfRule type="expression" dxfId="997" priority="85">
      <formula>AND($N98 &gt; 0, ISNUMBER($N98))</formula>
    </cfRule>
    <cfRule type="expression" dxfId="996" priority="86">
      <formula>AND($N98 = 0 * ISNUMBER($N98))</formula>
    </cfRule>
    <cfRule type="expression" dxfId="995" priority="87">
      <formula>AND($N98 &lt; 0, ISNUMBER($N98))</formula>
    </cfRule>
  </conditionalFormatting>
  <conditionalFormatting sqref="A98:F117">
    <cfRule type="expression" dxfId="994" priority="94">
      <formula>AND($E98 &gt; 0, ISNUMBER($E98))</formula>
    </cfRule>
    <cfRule type="expression" dxfId="993" priority="95">
      <formula>AND($E98 = 0 * ISNUMBER($E98))</formula>
    </cfRule>
    <cfRule type="expression" dxfId="992" priority="96">
      <formula>AND($E98 &lt; 0, ISNUMBER($E98))</formula>
    </cfRule>
  </conditionalFormatting>
  <conditionalFormatting sqref="A98:C117 G98:I117">
    <cfRule type="expression" dxfId="991" priority="91">
      <formula>AND($H98 &gt; 0, ISNUMBER($H98))</formula>
    </cfRule>
    <cfRule type="expression" dxfId="990" priority="92">
      <formula>AND($H98 = 0 * ISNUMBER($H98))</formula>
    </cfRule>
    <cfRule type="expression" dxfId="989" priority="93">
      <formula>AND($H98 &lt; 0, ISNUMBER($H98))</formula>
    </cfRule>
  </conditionalFormatting>
  <conditionalFormatting sqref="A98:C117 J98:L117">
    <cfRule type="expression" dxfId="988" priority="88">
      <formula>AND($K98 &gt; 0, ISNUMBER($K98))</formula>
    </cfRule>
    <cfRule type="expression" dxfId="987" priority="89">
      <formula>AND($K98 = 0 * ISNUMBER($K98))</formula>
    </cfRule>
    <cfRule type="expression" dxfId="986" priority="90">
      <formula>AND($K98 &lt; 0, ISNUMBER($K98))</formula>
    </cfRule>
  </conditionalFormatting>
  <conditionalFormatting sqref="D96:F97 E118:F118">
    <cfRule type="expression" dxfId="985" priority="82">
      <formula>$E$118 &gt; 0</formula>
    </cfRule>
    <cfRule type="expression" dxfId="984" priority="83">
      <formula>$E$118 = 0</formula>
    </cfRule>
    <cfRule type="expression" dxfId="983" priority="84">
      <formula>$E$118 &lt; 0</formula>
    </cfRule>
  </conditionalFormatting>
  <conditionalFormatting sqref="G96:I97 H118:I118">
    <cfRule type="expression" dxfId="982" priority="79">
      <formula>$H$118 &gt; 0</formula>
    </cfRule>
    <cfRule type="expression" dxfId="981" priority="80">
      <formula>$H$118 = 0</formula>
    </cfRule>
    <cfRule type="expression" dxfId="980" priority="81">
      <formula>$H$118 &lt; 0</formula>
    </cfRule>
  </conditionalFormatting>
  <conditionalFormatting sqref="J96:L97 K118:L118">
    <cfRule type="expression" dxfId="979" priority="76">
      <formula>$K$118 &gt; 0</formula>
    </cfRule>
    <cfRule type="expression" dxfId="978" priority="77">
      <formula>$K$118 = 0</formula>
    </cfRule>
    <cfRule type="expression" dxfId="977" priority="78">
      <formula>$K$118 &lt; 0</formula>
    </cfRule>
  </conditionalFormatting>
  <conditionalFormatting sqref="M96:O97 N118:O118">
    <cfRule type="expression" dxfId="976" priority="73">
      <formula>$N$118 &gt; 0</formula>
    </cfRule>
    <cfRule type="expression" dxfId="975" priority="74">
      <formula>$N$118 = 0</formula>
    </cfRule>
    <cfRule type="expression" dxfId="974" priority="75">
      <formula>$N$118 &lt; 0</formula>
    </cfRule>
  </conditionalFormatting>
  <conditionalFormatting sqref="A125:C144 M125:O144">
    <cfRule type="expression" dxfId="973" priority="61">
      <formula>AND($N125 &gt; 0, ISNUMBER($N125))</formula>
    </cfRule>
    <cfRule type="expression" dxfId="972" priority="62">
      <formula>AND($N125 = 0 * ISNUMBER($N125))</formula>
    </cfRule>
    <cfRule type="expression" dxfId="971" priority="63">
      <formula>AND($N125 &lt; 0, ISNUMBER($N125))</formula>
    </cfRule>
  </conditionalFormatting>
  <conditionalFormatting sqref="A125:F144">
    <cfRule type="expression" dxfId="970" priority="70">
      <formula>AND($E125 &gt; 0, ISNUMBER($E125))</formula>
    </cfRule>
    <cfRule type="expression" dxfId="969" priority="71">
      <formula>AND($E125 = 0 * ISNUMBER($E125))</formula>
    </cfRule>
    <cfRule type="expression" dxfId="968" priority="72">
      <formula>AND($E125 &lt; 0, ISNUMBER($E125))</formula>
    </cfRule>
  </conditionalFormatting>
  <conditionalFormatting sqref="A125:C144 G125:I144">
    <cfRule type="expression" dxfId="967" priority="67">
      <formula>AND($H125 &gt; 0, ISNUMBER($H125))</formula>
    </cfRule>
    <cfRule type="expression" dxfId="966" priority="68">
      <formula>AND($H125 = 0 * ISNUMBER($H125))</formula>
    </cfRule>
    <cfRule type="expression" dxfId="965" priority="69">
      <formula>AND($H125 &lt; 0, ISNUMBER($H125))</formula>
    </cfRule>
  </conditionalFormatting>
  <conditionalFormatting sqref="A125:C144 J125:L144">
    <cfRule type="expression" dxfId="964" priority="64">
      <formula>AND($K125 &gt; 0, ISNUMBER($K125))</formula>
    </cfRule>
    <cfRule type="expression" dxfId="963" priority="65">
      <formula>AND($K125 = 0 * ISNUMBER($K125))</formula>
    </cfRule>
    <cfRule type="expression" dxfId="962" priority="66">
      <formula>AND($K125 &lt; 0, ISNUMBER($K125))</formula>
    </cfRule>
  </conditionalFormatting>
  <conditionalFormatting sqref="D123:F124 E145:F145">
    <cfRule type="expression" dxfId="961" priority="58">
      <formula>$E$145 &gt; 0</formula>
    </cfRule>
    <cfRule type="expression" dxfId="960" priority="59">
      <formula>$E$145 = 0</formula>
    </cfRule>
    <cfRule type="expression" dxfId="959" priority="60">
      <formula>$E$145 &lt; 0</formula>
    </cfRule>
  </conditionalFormatting>
  <conditionalFormatting sqref="G123:I124 H145:I145">
    <cfRule type="expression" dxfId="958" priority="55">
      <formula>$H$145 &gt; 0</formula>
    </cfRule>
    <cfRule type="expression" dxfId="957" priority="56">
      <formula>$H$145 = 0</formula>
    </cfRule>
    <cfRule type="expression" dxfId="956" priority="57">
      <formula>$H$145 &lt; 0</formula>
    </cfRule>
  </conditionalFormatting>
  <conditionalFormatting sqref="J123:L124 K145:L145">
    <cfRule type="expression" dxfId="955" priority="52">
      <formula>$K$145 &gt; 0</formula>
    </cfRule>
    <cfRule type="expression" dxfId="954" priority="53">
      <formula>$K$145 = 0</formula>
    </cfRule>
    <cfRule type="expression" dxfId="953" priority="54">
      <formula>$K$145 &lt; 0</formula>
    </cfRule>
  </conditionalFormatting>
  <conditionalFormatting sqref="M123:O124 N145:O145">
    <cfRule type="expression" dxfId="952" priority="49">
      <formula>$N$145 &gt; 0</formula>
    </cfRule>
    <cfRule type="expression" dxfId="951" priority="50">
      <formula>$N$145 = 0</formula>
    </cfRule>
    <cfRule type="expression" dxfId="950" priority="51">
      <formula>$N$145 &lt; 0</formula>
    </cfRule>
  </conditionalFormatting>
  <conditionalFormatting sqref="A152:C171 M152:O171">
    <cfRule type="expression" dxfId="949" priority="37">
      <formula>AND($N152 &gt; 0, ISNUMBER($N152))</formula>
    </cfRule>
    <cfRule type="expression" dxfId="948" priority="38">
      <formula>AND($N152 = 0 * ISNUMBER($N152))</formula>
    </cfRule>
    <cfRule type="expression" dxfId="947" priority="39">
      <formula>AND($N152 &lt; 0, ISNUMBER($N152))</formula>
    </cfRule>
  </conditionalFormatting>
  <conditionalFormatting sqref="A152:F171">
    <cfRule type="expression" dxfId="946" priority="46">
      <formula>AND($E152 &gt; 0, ISNUMBER($E152))</formula>
    </cfRule>
    <cfRule type="expression" dxfId="945" priority="47">
      <formula>AND($E152 = 0 * ISNUMBER($E152))</formula>
    </cfRule>
    <cfRule type="expression" dxfId="944" priority="48">
      <formula>AND($E152 &lt; 0, ISNUMBER($E152))</formula>
    </cfRule>
  </conditionalFormatting>
  <conditionalFormatting sqref="A152:C171 G152:I171">
    <cfRule type="expression" dxfId="943" priority="43">
      <formula>AND($H152 &gt; 0, ISNUMBER($H152))</formula>
    </cfRule>
    <cfRule type="expression" dxfId="942" priority="44">
      <formula>AND($H152 = 0 * ISNUMBER($H152))</formula>
    </cfRule>
    <cfRule type="expression" dxfId="941" priority="45">
      <formula>AND($H152 &lt; 0, ISNUMBER($H152))</formula>
    </cfRule>
  </conditionalFormatting>
  <conditionalFormatting sqref="A152:C171 J152:L171">
    <cfRule type="expression" dxfId="940" priority="40">
      <formula>AND($K152 &gt; 0, ISNUMBER($K152))</formula>
    </cfRule>
    <cfRule type="expression" dxfId="939" priority="41">
      <formula>AND($K152 = 0 * ISNUMBER($K152))</formula>
    </cfRule>
    <cfRule type="expression" dxfId="938" priority="42">
      <formula>AND($K152 &lt; 0, ISNUMBER($K152))</formula>
    </cfRule>
  </conditionalFormatting>
  <conditionalFormatting sqref="D150:F151 E172:F172">
    <cfRule type="expression" dxfId="937" priority="34">
      <formula>$E$172 &gt; 0</formula>
    </cfRule>
    <cfRule type="expression" dxfId="936" priority="35">
      <formula>$E$172 = 0</formula>
    </cfRule>
    <cfRule type="expression" dxfId="935" priority="36">
      <formula>$E$172 &lt; 0</formula>
    </cfRule>
  </conditionalFormatting>
  <conditionalFormatting sqref="G150:I151 H172:I172">
    <cfRule type="expression" dxfId="934" priority="31">
      <formula>$H$172 &gt; 0</formula>
    </cfRule>
    <cfRule type="expression" dxfId="933" priority="32">
      <formula>$H$172 = 0</formula>
    </cfRule>
    <cfRule type="expression" dxfId="932" priority="33">
      <formula>$H$172 &lt; 0</formula>
    </cfRule>
  </conditionalFormatting>
  <conditionalFormatting sqref="J150:L151 K172:L172">
    <cfRule type="expression" dxfId="931" priority="28">
      <formula>$K$172 &gt; 0</formula>
    </cfRule>
    <cfRule type="expression" dxfId="930" priority="29">
      <formula>$K$172 = 0</formula>
    </cfRule>
    <cfRule type="expression" dxfId="929" priority="30">
      <formula>$K$172 &lt; 0</formula>
    </cfRule>
  </conditionalFormatting>
  <conditionalFormatting sqref="M150:O151 N172:O172">
    <cfRule type="expression" dxfId="928" priority="25">
      <formula>$N$172 &gt; 0</formula>
    </cfRule>
    <cfRule type="expression" dxfId="927" priority="26">
      <formula>$N$172 = 0</formula>
    </cfRule>
    <cfRule type="expression" dxfId="926" priority="27">
      <formula>$N$172 &lt; 0</formula>
    </cfRule>
  </conditionalFormatting>
  <conditionalFormatting sqref="A179:C198 M179:O198">
    <cfRule type="expression" dxfId="925" priority="13">
      <formula>AND($N179 &gt; 0, ISNUMBER($N179))</formula>
    </cfRule>
    <cfRule type="expression" dxfId="924" priority="14">
      <formula>AND($N179 = 0 * ISNUMBER($N179))</formula>
    </cfRule>
    <cfRule type="expression" dxfId="923" priority="15">
      <formula>AND($N179 &lt; 0, ISNUMBER($N179))</formula>
    </cfRule>
  </conditionalFormatting>
  <conditionalFormatting sqref="A179:F198">
    <cfRule type="expression" dxfId="922" priority="22">
      <formula>AND($E179 &gt; 0, ISNUMBER($E179))</formula>
    </cfRule>
    <cfRule type="expression" dxfId="921" priority="23">
      <formula>AND($E179 = 0 * ISNUMBER($E179))</formula>
    </cfRule>
    <cfRule type="expression" dxfId="920" priority="24">
      <formula>AND($E179 &lt; 0, ISNUMBER($E179))</formula>
    </cfRule>
  </conditionalFormatting>
  <conditionalFormatting sqref="A179:C198 G179:I198">
    <cfRule type="expression" dxfId="919" priority="19">
      <formula>AND($H179 &gt; 0, ISNUMBER($H179))</formula>
    </cfRule>
    <cfRule type="expression" dxfId="918" priority="20">
      <formula>AND($H179 = 0 * ISNUMBER($H179))</formula>
    </cfRule>
    <cfRule type="expression" dxfId="917" priority="21">
      <formula>AND($H179 &lt; 0, ISNUMBER($H179))</formula>
    </cfRule>
  </conditionalFormatting>
  <conditionalFormatting sqref="A179:C198 J179:L198">
    <cfRule type="expression" dxfId="916" priority="16">
      <formula>AND($K179 &gt; 0, ISNUMBER($K179))</formula>
    </cfRule>
    <cfRule type="expression" dxfId="915" priority="17">
      <formula>AND($K179 = 0 * ISNUMBER($K179))</formula>
    </cfRule>
    <cfRule type="expression" dxfId="914" priority="18">
      <formula>AND($K179 &lt; 0, ISNUMBER($K179))</formula>
    </cfRule>
  </conditionalFormatting>
  <conditionalFormatting sqref="D177:F178 E199:F199">
    <cfRule type="expression" dxfId="913" priority="10">
      <formula>$E$199 &gt; 0</formula>
    </cfRule>
    <cfRule type="expression" dxfId="912" priority="11">
      <formula>$E$199 = 0</formula>
    </cfRule>
    <cfRule type="expression" dxfId="911" priority="12">
      <formula>$E$199 &lt; 0</formula>
    </cfRule>
  </conditionalFormatting>
  <conditionalFormatting sqref="G177:I178 H199:I199">
    <cfRule type="expression" dxfId="910" priority="7">
      <formula>$H$199 &gt; 0</formula>
    </cfRule>
    <cfRule type="expression" dxfId="909" priority="8">
      <formula>$H$199 = 0</formula>
    </cfRule>
    <cfRule type="expression" dxfId="908" priority="9">
      <formula>$H$199 &lt; 0</formula>
    </cfRule>
  </conditionalFormatting>
  <conditionalFormatting sqref="J177:L178 K199:L199">
    <cfRule type="expression" dxfId="907" priority="4">
      <formula>$K$199 &gt; 0</formula>
    </cfRule>
    <cfRule type="expression" dxfId="906" priority="5">
      <formula>$K$199 = 0</formula>
    </cfRule>
    <cfRule type="expression" dxfId="905" priority="6">
      <formula>$K$199 &lt; 0</formula>
    </cfRule>
  </conditionalFormatting>
  <conditionalFormatting sqref="M177:O178 N199:O199">
    <cfRule type="expression" dxfId="904" priority="1">
      <formula>$N$199 &gt; 0</formula>
    </cfRule>
    <cfRule type="expression" dxfId="903" priority="2">
      <formula>$N$199 = 0</formula>
    </cfRule>
    <cfRule type="expression" dxfId="9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1ED-BDE4-4250-8018-CE25DDA5E07D}">
  <sheetPr codeName="Sheet15"/>
  <dimension ref="A1:S199"/>
  <sheetViews>
    <sheetView zoomScaleNormal="100" workbookViewId="0">
      <selection activeCell="A22" sqref="A22:A3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4" t="s">
        <v>0</v>
      </c>
      <c r="B1" s="235"/>
      <c r="C1" s="235"/>
      <c r="D1" s="235"/>
      <c r="E1" s="235"/>
      <c r="F1" s="236"/>
      <c r="G1" s="265">
        <v>44356</v>
      </c>
      <c r="H1" s="266"/>
      <c r="I1" s="267"/>
      <c r="J1" s="234" t="s">
        <v>1</v>
      </c>
      <c r="K1" s="235"/>
      <c r="L1" s="235"/>
      <c r="M1" s="235"/>
      <c r="N1" s="235"/>
      <c r="O1" s="236"/>
      <c r="Q1" s="234" t="s">
        <v>2</v>
      </c>
      <c r="R1" s="236"/>
    </row>
    <row r="2" spans="1:19" ht="17.25" customHeight="1">
      <c r="A2" s="117" t="s">
        <v>3</v>
      </c>
      <c r="B2" s="268" t="s">
        <v>8</v>
      </c>
      <c r="C2" s="269"/>
      <c r="D2" s="269"/>
      <c r="E2" s="269"/>
      <c r="F2" s="270"/>
      <c r="G2" s="262" t="s">
        <v>46</v>
      </c>
      <c r="H2" s="263"/>
      <c r="I2" s="264"/>
      <c r="J2" s="1" t="s">
        <v>3</v>
      </c>
      <c r="K2" s="268" t="s">
        <v>350</v>
      </c>
      <c r="L2" s="269"/>
      <c r="M2" s="269"/>
      <c r="N2" s="269"/>
      <c r="O2" s="270"/>
      <c r="Q2" s="2" t="s">
        <v>6</v>
      </c>
      <c r="R2" s="3">
        <v>0.375</v>
      </c>
    </row>
    <row r="3" spans="1:19" ht="17.25" customHeight="1" thickBot="1">
      <c r="A3" s="118" t="s">
        <v>7</v>
      </c>
      <c r="B3" s="259" t="s">
        <v>358</v>
      </c>
      <c r="C3" s="260"/>
      <c r="D3" s="260"/>
      <c r="E3" s="260"/>
      <c r="F3" s="261"/>
      <c r="G3" s="25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114,109 KRW (5.71%)</v>
      </c>
      <c r="H3" s="256"/>
      <c r="I3" s="257"/>
      <c r="J3" s="4" t="s">
        <v>7</v>
      </c>
      <c r="K3" s="259" t="s">
        <v>351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9" t="s">
        <v>16</v>
      </c>
      <c r="C4" s="260"/>
      <c r="D4" s="260"/>
      <c r="E4" s="260"/>
      <c r="F4" s="261"/>
      <c r="G4" s="262" t="s">
        <v>44</v>
      </c>
      <c r="H4" s="263"/>
      <c r="I4" s="264"/>
      <c r="J4" s="4" t="s">
        <v>11</v>
      </c>
      <c r="K4" s="259" t="s">
        <v>352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9" t="s">
        <v>349</v>
      </c>
      <c r="C5" s="260"/>
      <c r="D5" s="260"/>
      <c r="E5" s="260"/>
      <c r="F5" s="261"/>
      <c r="G5" s="25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65,617 KRW (3.28%)</v>
      </c>
      <c r="H5" s="256"/>
      <c r="I5" s="257"/>
      <c r="J5" s="4" t="s">
        <v>15</v>
      </c>
      <c r="K5" s="259" t="s">
        <v>353</v>
      </c>
      <c r="L5" s="260"/>
      <c r="M5" s="260"/>
      <c r="N5" s="260"/>
      <c r="O5" s="261"/>
    </row>
    <row r="6" spans="1:19">
      <c r="A6" s="118" t="s">
        <v>18</v>
      </c>
      <c r="B6" s="259"/>
      <c r="C6" s="260"/>
      <c r="D6" s="260"/>
      <c r="E6" s="260"/>
      <c r="F6" s="261"/>
      <c r="G6" s="262" t="s">
        <v>45</v>
      </c>
      <c r="H6" s="263"/>
      <c r="I6" s="264"/>
      <c r="J6" s="4" t="s">
        <v>18</v>
      </c>
      <c r="K6" s="259" t="s">
        <v>354</v>
      </c>
      <c r="L6" s="260"/>
      <c r="M6" s="260"/>
      <c r="N6" s="260"/>
      <c r="O6" s="261"/>
    </row>
    <row r="7" spans="1:19" ht="17.25" thickBot="1">
      <c r="A7" s="118" t="s">
        <v>21</v>
      </c>
      <c r="B7" s="259"/>
      <c r="C7" s="260"/>
      <c r="D7" s="260"/>
      <c r="E7" s="260"/>
      <c r="F7" s="261"/>
      <c r="G7" s="25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106,237 KRW (5.31%)</v>
      </c>
      <c r="H7" s="256"/>
      <c r="I7" s="257"/>
      <c r="J7" s="4" t="s">
        <v>21</v>
      </c>
      <c r="K7" s="259" t="s">
        <v>355</v>
      </c>
      <c r="L7" s="260"/>
      <c r="M7" s="260"/>
      <c r="N7" s="260"/>
      <c r="O7" s="261"/>
    </row>
    <row r="8" spans="1:19" ht="17.25" thickBot="1">
      <c r="A8" s="118" t="s">
        <v>24</v>
      </c>
      <c r="B8" s="259"/>
      <c r="C8" s="260"/>
      <c r="D8" s="260"/>
      <c r="E8" s="260"/>
      <c r="F8" s="261"/>
      <c r="G8" s="262" t="s">
        <v>285</v>
      </c>
      <c r="H8" s="263"/>
      <c r="I8" s="264"/>
      <c r="J8" s="4" t="s">
        <v>24</v>
      </c>
      <c r="K8" s="259"/>
      <c r="L8" s="260"/>
      <c r="M8" s="260"/>
      <c r="N8" s="260"/>
      <c r="O8" s="261"/>
      <c r="Q8" s="234" t="s">
        <v>27</v>
      </c>
      <c r="R8" s="236"/>
    </row>
    <row r="9" spans="1:19" ht="17.25" thickBot="1">
      <c r="A9" s="118" t="s">
        <v>28</v>
      </c>
      <c r="B9" s="259"/>
      <c r="C9" s="260"/>
      <c r="D9" s="260"/>
      <c r="E9" s="260"/>
      <c r="F9" s="261"/>
      <c r="G9" s="25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123,219 KRW (6.16%)</v>
      </c>
      <c r="H9" s="256"/>
      <c r="I9" s="257"/>
      <c r="J9" s="4" t="s">
        <v>28</v>
      </c>
      <c r="K9" s="259"/>
      <c r="L9" s="260"/>
      <c r="M9" s="260"/>
      <c r="N9" s="260"/>
      <c r="O9" s="261"/>
      <c r="Q9" s="2" t="s">
        <v>29</v>
      </c>
      <c r="R9" s="6">
        <v>10</v>
      </c>
    </row>
    <row r="10" spans="1:19">
      <c r="A10" s="118" t="s">
        <v>30</v>
      </c>
      <c r="B10" s="259"/>
      <c r="C10" s="260"/>
      <c r="D10" s="260"/>
      <c r="E10" s="260"/>
      <c r="F10" s="261"/>
      <c r="G10" s="262" t="s">
        <v>47</v>
      </c>
      <c r="H10" s="263"/>
      <c r="I10" s="264"/>
      <c r="J10" s="4" t="s">
        <v>30</v>
      </c>
      <c r="K10" s="259" t="s">
        <v>356</v>
      </c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119" t="s">
        <v>32</v>
      </c>
      <c r="B11" s="252" t="s">
        <v>357</v>
      </c>
      <c r="C11" s="253"/>
      <c r="D11" s="253"/>
      <c r="E11" s="253"/>
      <c r="F11" s="254"/>
      <c r="G11" s="25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20,752 KRW (4.15%)</v>
      </c>
      <c r="H11" s="256"/>
      <c r="I11" s="257"/>
      <c r="J11" s="7" t="s">
        <v>32</v>
      </c>
      <c r="K11" s="252" t="s">
        <v>348</v>
      </c>
      <c r="L11" s="253"/>
      <c r="M11" s="253"/>
      <c r="N11" s="253"/>
      <c r="O11" s="254"/>
      <c r="Q11" s="65" t="s">
        <v>33</v>
      </c>
      <c r="R11" s="8">
        <v>1000</v>
      </c>
    </row>
    <row r="12" spans="1:19" ht="17.25" thickBot="1"/>
    <row r="13" spans="1:19" ht="17.25" customHeight="1" thickBot="1">
      <c r="A13" s="234" t="s">
        <v>34</v>
      </c>
      <c r="B13" s="235"/>
      <c r="C13" s="235"/>
      <c r="D13" s="235"/>
      <c r="E13" s="235"/>
      <c r="F13" s="235"/>
      <c r="G13" s="235"/>
      <c r="H13" s="235"/>
      <c r="I13" s="235"/>
      <c r="J13" s="235"/>
      <c r="K13" s="235"/>
      <c r="L13" s="235"/>
      <c r="M13" s="235"/>
      <c r="N13" s="235"/>
      <c r="O13" s="236"/>
      <c r="Q13" s="233"/>
      <c r="R13" s="233"/>
      <c r="S13" s="233"/>
    </row>
    <row r="14" spans="1:19" ht="17.25" customHeight="1" thickBot="1">
      <c r="A14" s="192" t="s">
        <v>35</v>
      </c>
      <c r="B14" s="234" t="s">
        <v>36</v>
      </c>
      <c r="C14" s="236"/>
      <c r="D14" s="234" t="s">
        <v>37</v>
      </c>
      <c r="E14" s="235"/>
      <c r="F14" s="236"/>
      <c r="G14" s="237">
        <f>_xlfn.IFNA(VLOOKUP(B14, 현재가테이블!$B$2:$D$200, 2, FALSE), "-")</f>
        <v>41418000</v>
      </c>
      <c r="H14" s="238"/>
      <c r="I14" s="239"/>
      <c r="J14" s="234" t="s">
        <v>38</v>
      </c>
      <c r="K14" s="235"/>
      <c r="L14" s="236"/>
      <c r="M14" s="240">
        <f>_xlfn.IFNA(VLOOKUP(B14, 현재가테이블!$B$2:$D$200, 3, FALSE), "-")</f>
        <v>-5.2176301000000001E-2</v>
      </c>
      <c r="N14" s="241"/>
      <c r="O14" s="242"/>
      <c r="Q14" s="233"/>
      <c r="R14" s="233"/>
      <c r="S14" s="233"/>
    </row>
    <row r="15" spans="1:19" ht="17.25" customHeight="1" thickBot="1">
      <c r="A15" s="271" t="s">
        <v>39</v>
      </c>
      <c r="B15" s="272" t="str">
        <f>TEXT($G$1, "[$-ko-KR]yyyy-mm-dd(ddd) ") &amp; "오전 00:00"</f>
        <v>2021-06-09(수) 오전 00:00</v>
      </c>
      <c r="C15" s="273"/>
      <c r="D15" s="247" t="str">
        <f>TEXT($G$1, "[$-ko-KR]yyyy-mm-dd(ddd) ") &amp; "오후 14:00"</f>
        <v>2021-06-09(수) 오후 14:00</v>
      </c>
      <c r="E15" s="248"/>
      <c r="F15" s="249"/>
      <c r="G15" s="247" t="str">
        <f>TEXT($G$1, "[$-ko-KR]yyyy-mm-dd(ddd) ") &amp; "오후 19:00"</f>
        <v>2021-06-09(수) 오후 19:00</v>
      </c>
      <c r="H15" s="248"/>
      <c r="I15" s="249"/>
      <c r="J15" s="247" t="str">
        <f>TEXT($G$1, "[$-ko-KR]yyyy-mm-dd(ddd) ") &amp; "오후 21:00"</f>
        <v>2021-06-09(수) 오후 21:00</v>
      </c>
      <c r="K15" s="248"/>
      <c r="L15" s="249"/>
      <c r="M15" s="247" t="str">
        <f>TEXT($G$1+1, "[$-ko-KR]yyyy-mm-dd(ddd) ") &amp; "오전 00:00"</f>
        <v>2021-06-10(목) 오전 00:00</v>
      </c>
      <c r="N15" s="248"/>
      <c r="O15" s="249"/>
      <c r="Q15" s="233"/>
      <c r="R15" s="233"/>
      <c r="S15" s="233"/>
    </row>
    <row r="16" spans="1:19" ht="17.25" customHeight="1" thickBot="1">
      <c r="A16" s="27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3" t="s">
        <v>37</v>
      </c>
      <c r="H16" s="194" t="s">
        <v>40</v>
      </c>
      <c r="I16" s="19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82.2</v>
      </c>
      <c r="C17" s="76">
        <f>IF(NOT(ISBLANK(_xlfn.IFNA(VLOOKUP($A17, $A$40:$O$199, 3, FALSE), ))), _xlfn.IFNA(VLOOKUP($A17, $A$40:$O$199, 3, FALSE), ), "")</f>
        <v>-0.1132686084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-1.21654501216545E-2</v>
      </c>
      <c r="F17" s="16">
        <f>IF(NOT(ISBLANK(_xlfn.IFNA(VLOOKUP($A17, $A$40:$O$199, 6, FALSE), ))), _xlfn.IFNA(VLOOKUP($A17, $A$40:$O$199, 6, FALSE), ), "")</f>
        <v>-1216.5450121654501</v>
      </c>
      <c r="G17" s="29">
        <f>IF(NOT(ISBLANK(_xlfn.IFNA(VLOOKUP($A17, $A$40:$O$199, 7, FALSE), ))), _xlfn.IFNA(VLOOKUP($A17, $A$40:$O$199, 7, FALSE), ), "")</f>
        <v>82.4</v>
      </c>
      <c r="H17" s="14">
        <f>IF(NOT(ISBLANK(_xlfn.IFNA(VLOOKUP($A17, $A$40:$O$199, 8, FALSE), ))), _xlfn.IFNA(VLOOKUP($A17, $A$40:$O$199, 8, FALSE), ), "")</f>
        <v>2.4330900243309346E-3</v>
      </c>
      <c r="I17" s="100">
        <f>IF(NOT(ISBLANK(_xlfn.IFNA(VLOOKUP($A17, $A$40:$O$199, 9, FALSE), ))), _xlfn.IFNA(VLOOKUP($A17, $A$40:$O$199, 9, FALSE), ), "")</f>
        <v>243.30900243309347</v>
      </c>
      <c r="J17" s="13">
        <f>IF(NOT(ISBLANK(_xlfn.IFNA(VLOOKUP($A17, $A$40:$O$199, 10, FALSE), ))), _xlfn.IFNA(VLOOKUP($A17, $A$40:$O$199, 10, FALSE), ), "")</f>
        <v>85.1</v>
      </c>
      <c r="K17" s="14">
        <f>IF(NOT(ISBLANK(_xlfn.IFNA(VLOOKUP($A17, $A$40:$O$199, 11, FALSE), ))), _xlfn.IFNA(VLOOKUP($A17, $A$40:$O$199, 11, FALSE), ), "")</f>
        <v>3.5279805352797948E-2</v>
      </c>
      <c r="L17" s="16">
        <f>IF(NOT(ISBLANK(_xlfn.IFNA(VLOOKUP($A17, $A$40:$O$199, 12, FALSE), ))), _xlfn.IFNA(VLOOKUP($A17, $A$40:$O$199, 12, FALSE), ), "")</f>
        <v>3527.9805352797948</v>
      </c>
      <c r="M17" s="29">
        <f>IF(NOT(ISBLANK(_xlfn.IFNA(VLOOKUP($A17, $A$40:$O$199, 13, FALSE), ))), _xlfn.IFNA(VLOOKUP($A17, $A$40:$O$199, 13, FALSE), ), "")</f>
        <v>84.4</v>
      </c>
      <c r="N17" s="14">
        <f>IF(NOT(ISBLANK(_xlfn.IFNA(VLOOKUP($A17, $A$40:$O$199, 14, FALSE), ))), _xlfn.IFNA(VLOOKUP($A17, $A$40:$O$199, 14, FALSE), ), "")</f>
        <v>2.6763990267639936E-2</v>
      </c>
      <c r="O17" s="16">
        <f>IF(NOT(ISBLANK(_xlfn.IFNA(VLOOKUP($A17, $A$40:$O$199, 15, FALSE), ))), _xlfn.IFNA(VLOOKUP($A17, $A$40:$O$199, 15, FALSE), ), "")</f>
        <v>2676.3990267639938</v>
      </c>
      <c r="Q17" s="233"/>
      <c r="R17" s="233"/>
      <c r="S17" s="23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62</v>
      </c>
      <c r="C18" s="77">
        <f t="shared" ref="C18:C36" si="1">IF(NOT(ISBLANK(_xlfn.IFNA(VLOOKUP($A18, $A$40:$O$199, 3, FALSE), ))), _xlfn.IFNA(VLOOKUP($A18, $A$40:$O$199, 3, FALSE), ), "")</f>
        <v>-0.14127423820000001</v>
      </c>
      <c r="D18" s="15">
        <f t="shared" ref="D18:D36" si="2">IF(NOT(ISBLANK(_xlfn.IFNA(VLOOKUP($A18, $A$40:$O$199, 4, FALSE), ))), _xlfn.IFNA(VLOOKUP($A18, $A$40:$O$199, 4, FALSE), ), "")</f>
        <v>62.9</v>
      </c>
      <c r="E18" s="32">
        <f t="shared" ref="E18:E36" si="3">IF(NOT(ISBLANK(_xlfn.IFNA(VLOOKUP($A18, $A$40:$O$199, 5, FALSE), ))), _xlfn.IFNA(VLOOKUP($A18, $A$40:$O$199, 5, FALSE), ), "")</f>
        <v>1.4516129032258041E-2</v>
      </c>
      <c r="F18" s="18">
        <f t="shared" ref="F18:F36" si="4">IF(NOT(ISBLANK(_xlfn.IFNA(VLOOKUP($A18, $A$40:$O$199, 6, FALSE), ))), _xlfn.IFNA(VLOOKUP($A18, $A$40:$O$199, 6, FALSE), ), "")</f>
        <v>1451.6129032258041</v>
      </c>
      <c r="G18" s="31">
        <f t="shared" ref="G18:G36" si="5">IF(NOT(ISBLANK(_xlfn.IFNA(VLOOKUP($A18, $A$40:$O$199, 7, FALSE), ))), _xlfn.IFNA(VLOOKUP($A18, $A$40:$O$199, 7, FALSE), ), "")</f>
        <v>63.4</v>
      </c>
      <c r="H18" s="32">
        <f t="shared" ref="H18:H36" si="6">IF(NOT(ISBLANK(_xlfn.IFNA(VLOOKUP($A18, $A$40:$O$199, 8, FALSE), ))), _xlfn.IFNA(VLOOKUP($A18, $A$40:$O$199, 8, FALSE), ), "")</f>
        <v>2.25806451612903E-2</v>
      </c>
      <c r="I18" s="101">
        <f t="shared" ref="I18:I36" si="7">IF(NOT(ISBLANK(_xlfn.IFNA(VLOOKUP($A18, $A$40:$O$199, 9, FALSE), ))), _xlfn.IFNA(VLOOKUP($A18, $A$40:$O$199, 9, FALSE), ), "")</f>
        <v>2258.0645161290299</v>
      </c>
      <c r="J18" s="15">
        <f t="shared" ref="J18:J36" si="8">IF(NOT(ISBLANK(_xlfn.IFNA(VLOOKUP($A18, $A$40:$O$199, 10, FALSE), ))), _xlfn.IFNA(VLOOKUP($A18, $A$40:$O$199, 10, FALSE), ), "")</f>
        <v>64.7</v>
      </c>
      <c r="K18" s="32">
        <f t="shared" ref="K18:K36" si="9">IF(NOT(ISBLANK(_xlfn.IFNA(VLOOKUP($A18, $A$40:$O$199, 11, FALSE), ))), _xlfn.IFNA(VLOOKUP($A18, $A$40:$O$199, 11, FALSE), ), "")</f>
        <v>4.3548387096774242E-2</v>
      </c>
      <c r="L18" s="18">
        <f t="shared" ref="L18:L36" si="10">IF(NOT(ISBLANK(_xlfn.IFNA(VLOOKUP($A18, $A$40:$O$199, 12, FALSE), ))), _xlfn.IFNA(VLOOKUP($A18, $A$40:$O$199, 12, FALSE), ), "")</f>
        <v>4354.838709677424</v>
      </c>
      <c r="M18" s="31">
        <f t="shared" ref="M18:M36" si="11">IF(NOT(ISBLANK(_xlfn.IFNA(VLOOKUP($A18, $A$40:$O$199, 13, FALSE), ))), _xlfn.IFNA(VLOOKUP($A18, $A$40:$O$199, 13, FALSE), ), "")</f>
        <v>63.8</v>
      </c>
      <c r="N18" s="32">
        <f t="shared" ref="N18:N36" si="12">IF(NOT(ISBLANK(_xlfn.IFNA(VLOOKUP($A18, $A$40:$O$199, 14, FALSE), ))), _xlfn.IFNA(VLOOKUP($A18, $A$40:$O$199, 14, FALSE), ), "")</f>
        <v>2.9032258064516082E-2</v>
      </c>
      <c r="O18" s="18">
        <f t="shared" ref="O18:O36" si="13">IF(NOT(ISBLANK(_xlfn.IFNA(VLOOKUP($A18, $A$40:$O$199, 15, FALSE), ))), _xlfn.IFNA(VLOOKUP($A18, $A$40:$O$199, 15, FALSE), ), "")</f>
        <v>2903.2258064516082</v>
      </c>
      <c r="Q18" s="233"/>
      <c r="R18" s="233"/>
      <c r="S18" s="233"/>
    </row>
    <row r="19" spans="1:19" ht="17.25" customHeight="1" thickBot="1">
      <c r="A19" s="162" t="s">
        <v>202</v>
      </c>
      <c r="B19" s="126">
        <f t="shared" si="0"/>
        <v>102</v>
      </c>
      <c r="C19" s="77">
        <f t="shared" si="1"/>
        <v>-0.1130434783</v>
      </c>
      <c r="D19" s="15">
        <f t="shared" si="2"/>
        <v>104</v>
      </c>
      <c r="E19" s="32">
        <f t="shared" si="3"/>
        <v>1.9607843137254902E-2</v>
      </c>
      <c r="F19" s="18">
        <f t="shared" si="4"/>
        <v>1960.7843137254902</v>
      </c>
      <c r="G19" s="31">
        <f t="shared" si="5"/>
        <v>104</v>
      </c>
      <c r="H19" s="32">
        <f t="shared" si="6"/>
        <v>1.9607843137254902E-2</v>
      </c>
      <c r="I19" s="101">
        <f t="shared" si="7"/>
        <v>1960.7843137254902</v>
      </c>
      <c r="J19" s="15">
        <f t="shared" si="8"/>
        <v>106</v>
      </c>
      <c r="K19" s="32">
        <f t="shared" si="9"/>
        <v>3.9215686274509803E-2</v>
      </c>
      <c r="L19" s="18">
        <f t="shared" si="10"/>
        <v>3921.5686274509803</v>
      </c>
      <c r="M19" s="31">
        <f t="shared" si="11"/>
        <v>105</v>
      </c>
      <c r="N19" s="32">
        <f t="shared" si="12"/>
        <v>2.9411764705882353E-2</v>
      </c>
      <c r="O19" s="18">
        <f t="shared" si="13"/>
        <v>2941.1764705882351</v>
      </c>
      <c r="Q19" s="223"/>
      <c r="R19" s="223"/>
      <c r="S19" s="223"/>
    </row>
    <row r="20" spans="1:19" ht="17.25" customHeight="1" thickBot="1">
      <c r="A20" s="162" t="s">
        <v>120</v>
      </c>
      <c r="B20" s="126">
        <f t="shared" si="0"/>
        <v>126</v>
      </c>
      <c r="C20" s="77">
        <f t="shared" si="1"/>
        <v>-5.2631578900000003E-2</v>
      </c>
      <c r="D20" s="15">
        <f t="shared" si="2"/>
        <v>128</v>
      </c>
      <c r="E20" s="32">
        <f t="shared" si="3"/>
        <v>1.5873015873015872E-2</v>
      </c>
      <c r="F20" s="18">
        <f t="shared" si="4"/>
        <v>1587.3015873015872</v>
      </c>
      <c r="G20" s="31">
        <f t="shared" si="5"/>
        <v>133</v>
      </c>
      <c r="H20" s="32">
        <f t="shared" si="6"/>
        <v>5.5555555555555552E-2</v>
      </c>
      <c r="I20" s="101">
        <f t="shared" si="7"/>
        <v>5555.5555555555557</v>
      </c>
      <c r="J20" s="15">
        <f t="shared" si="8"/>
        <v>135</v>
      </c>
      <c r="K20" s="32">
        <f t="shared" si="9"/>
        <v>7.1428571428571425E-2</v>
      </c>
      <c r="L20" s="18">
        <f t="shared" si="10"/>
        <v>7142.8571428571422</v>
      </c>
      <c r="M20" s="31">
        <f t="shared" si="11"/>
        <v>134</v>
      </c>
      <c r="N20" s="32">
        <f t="shared" si="12"/>
        <v>6.3492063492063489E-2</v>
      </c>
      <c r="O20" s="18">
        <f t="shared" si="13"/>
        <v>6349.2063492063489</v>
      </c>
      <c r="Q20" s="223"/>
      <c r="R20" s="223"/>
      <c r="S20" s="223"/>
    </row>
    <row r="21" spans="1:19" ht="17.25" customHeight="1" thickBot="1">
      <c r="A21" s="163" t="s">
        <v>246</v>
      </c>
      <c r="B21" s="128">
        <f t="shared" si="0"/>
        <v>255</v>
      </c>
      <c r="C21" s="78">
        <f t="shared" si="1"/>
        <v>-0.14429530199999999</v>
      </c>
      <c r="D21" s="20">
        <f t="shared" si="2"/>
        <v>280</v>
      </c>
      <c r="E21" s="21">
        <f t="shared" si="3"/>
        <v>9.8039215686274508E-2</v>
      </c>
      <c r="F21" s="22">
        <f t="shared" si="4"/>
        <v>9803.9215686274511</v>
      </c>
      <c r="G21" s="30">
        <f t="shared" si="5"/>
        <v>266</v>
      </c>
      <c r="H21" s="21">
        <f t="shared" si="6"/>
        <v>4.3137254901960784E-2</v>
      </c>
      <c r="I21" s="105">
        <f t="shared" si="7"/>
        <v>4313.7254901960787</v>
      </c>
      <c r="J21" s="20">
        <f t="shared" si="8"/>
        <v>273</v>
      </c>
      <c r="K21" s="21">
        <f t="shared" si="9"/>
        <v>7.0588235294117646E-2</v>
      </c>
      <c r="L21" s="22">
        <f t="shared" si="10"/>
        <v>7058.8235294117649</v>
      </c>
      <c r="M21" s="30">
        <f t="shared" si="11"/>
        <v>270</v>
      </c>
      <c r="N21" s="21">
        <f t="shared" si="12"/>
        <v>5.8823529411764705E-2</v>
      </c>
      <c r="O21" s="22">
        <f t="shared" si="13"/>
        <v>5882.3529411764703</v>
      </c>
      <c r="Q21" s="223"/>
      <c r="R21" s="223"/>
      <c r="S21" s="223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3"/>
      <c r="R22" s="223"/>
      <c r="S22" s="22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3"/>
      <c r="R23" s="223"/>
      <c r="S23" s="22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3"/>
      <c r="R24" s="223"/>
      <c r="S24" s="22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3"/>
      <c r="R29" s="223"/>
      <c r="S29" s="22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3"/>
      <c r="R30" s="233"/>
      <c r="S30" s="23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3"/>
      <c r="R31" s="233"/>
      <c r="S31" s="23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3"/>
      <c r="R32" s="223"/>
      <c r="S32" s="22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2"/>
      <c r="R35" s="213"/>
      <c r="S35" s="2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5"/>
      <c r="R36" s="216"/>
      <c r="S36" s="217"/>
    </row>
    <row r="37" spans="1:19" ht="17.25" customHeight="1" thickBot="1">
      <c r="A37" s="132" t="s">
        <v>42</v>
      </c>
      <c r="B37" s="276">
        <v>100000</v>
      </c>
      <c r="C37" s="277"/>
      <c r="D37" s="26" t="s">
        <v>43</v>
      </c>
      <c r="E37" s="27">
        <f>IF(COUNT(E17:E36), SUM(E17:E36) / COUNT(E17:E36), 0)</f>
        <v>2.7174150721429764E-2</v>
      </c>
      <c r="F37" s="28">
        <f>SUM(F17:F36)</f>
        <v>13587.075360714884</v>
      </c>
      <c r="G37" s="26" t="s">
        <v>43</v>
      </c>
      <c r="H37" s="27">
        <f>IF(COUNT(H17:H36), SUM(H17:H36) / COUNT(H17:H36), 0)</f>
        <v>2.8662877756078498E-2</v>
      </c>
      <c r="I37" s="28">
        <f>SUM(I17:I36)</f>
        <v>14331.438878039249</v>
      </c>
      <c r="J37" s="26" t="s">
        <v>43</v>
      </c>
      <c r="K37" s="27">
        <f>IF(COUNT(K17:K36), SUM(K17:K36) / COUNT(K17:K36), 0)</f>
        <v>5.2012137089354218E-2</v>
      </c>
      <c r="L37" s="28">
        <f>SUM(L17:L36)</f>
        <v>26006.068544677106</v>
      </c>
      <c r="M37" s="26" t="s">
        <v>43</v>
      </c>
      <c r="N37" s="27">
        <f>IF(COUNT(N17:N36), SUM(N17:N36) / COUNT(N17:N36), 0)</f>
        <v>4.1504721188373318E-2</v>
      </c>
      <c r="O37" s="28">
        <f>SUM(O17:O36)</f>
        <v>20752.360594186655</v>
      </c>
      <c r="Q37" s="218"/>
      <c r="R37" s="219"/>
      <c r="S37" s="220"/>
    </row>
    <row r="38" spans="1:19" ht="17.25" customHeight="1"/>
    <row r="39" spans="1:19" ht="17.25" customHeight="1" thickBot="1"/>
    <row r="40" spans="1:19" ht="17.25" customHeight="1" thickBot="1">
      <c r="A40" s="234" t="s">
        <v>44</v>
      </c>
      <c r="B40" s="235"/>
      <c r="C40" s="235"/>
      <c r="D40" s="235"/>
      <c r="E40" s="235"/>
      <c r="F40" s="235"/>
      <c r="G40" s="235"/>
      <c r="H40" s="235"/>
      <c r="I40" s="235"/>
      <c r="J40" s="235"/>
      <c r="K40" s="235"/>
      <c r="L40" s="235"/>
      <c r="M40" s="235"/>
      <c r="N40" s="235"/>
      <c r="O40" s="236"/>
      <c r="Q40" s="233"/>
      <c r="R40" s="233"/>
      <c r="S40" s="233"/>
    </row>
    <row r="41" spans="1:19" ht="17.25" customHeight="1" thickBot="1">
      <c r="A41" s="192" t="s">
        <v>297</v>
      </c>
      <c r="B41" s="234" t="s">
        <v>49</v>
      </c>
      <c r="C41" s="236"/>
      <c r="D41" s="234" t="s">
        <v>58</v>
      </c>
      <c r="E41" s="235"/>
      <c r="F41" s="236"/>
      <c r="G41" s="237">
        <f>_xlfn.IFNA(VLOOKUP(B41, 현재가테이블!$B$2:$D$200, 2, FALSE), "-")</f>
        <v>41418000</v>
      </c>
      <c r="H41" s="238"/>
      <c r="I41" s="239"/>
      <c r="J41" s="234" t="s">
        <v>59</v>
      </c>
      <c r="K41" s="235"/>
      <c r="L41" s="236"/>
      <c r="M41" s="240">
        <f>_xlfn.IFNA(VLOOKUP(B41, 현재가테이블!$B$2:$D$200, 3, FALSE), "-")</f>
        <v>-5.2176301000000001E-2</v>
      </c>
      <c r="N41" s="241"/>
      <c r="O41" s="242"/>
      <c r="Q41" s="233"/>
      <c r="R41" s="233"/>
      <c r="S41" s="233"/>
    </row>
    <row r="42" spans="1:19" ht="17.25" customHeight="1" thickBot="1">
      <c r="A42" s="278" t="s">
        <v>55</v>
      </c>
      <c r="B42" s="274" t="str">
        <f>TEXT($G$1, "[$-ko-KR]yyyy-mm-dd(ddd) ") &amp; "오전 00:00"</f>
        <v>2021-06-09(수) 오전 00:00</v>
      </c>
      <c r="C42" s="275"/>
      <c r="D42" s="247" t="str">
        <f>TEXT($G$1, "[$-ko-KR]yyyy-mm-dd(ddd) ") &amp; "오후 14:00"</f>
        <v>2021-06-09(수) 오후 14:00</v>
      </c>
      <c r="E42" s="248"/>
      <c r="F42" s="249"/>
      <c r="G42" s="247" t="str">
        <f>TEXT($G$1, "[$-ko-KR]yyyy-mm-dd(ddd) ") &amp; "오후 19:00"</f>
        <v>2021-06-09(수) 오후 19:00</v>
      </c>
      <c r="H42" s="248"/>
      <c r="I42" s="249"/>
      <c r="J42" s="247" t="str">
        <f>TEXT($G$1, "[$-ko-KR]yyyy-mm-dd(ddd) ") &amp; "오후 21:00"</f>
        <v>2021-06-09(수) 오후 21:00</v>
      </c>
      <c r="K42" s="248"/>
      <c r="L42" s="249"/>
      <c r="M42" s="247" t="str">
        <f>TEXT($G$1+1, "[$-ko-KR]yyyy-mm-dd(ddd) ") &amp; "오전 00:00"</f>
        <v>2021-06-10(목) 오전 00:00</v>
      </c>
      <c r="N42" s="248"/>
      <c r="O42" s="249"/>
      <c r="Q42" s="233"/>
      <c r="R42" s="233"/>
      <c r="S42" s="233"/>
    </row>
    <row r="43" spans="1:19" ht="17.25" customHeight="1" thickBot="1">
      <c r="A43" s="279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93" t="s">
        <v>58</v>
      </c>
      <c r="H43" s="194" t="s">
        <v>298</v>
      </c>
      <c r="I43" s="19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3"/>
      <c r="R43" s="223"/>
      <c r="S43" s="223"/>
    </row>
    <row r="44" spans="1:19" ht="17.25" customHeight="1" thickBot="1">
      <c r="A44" s="161" t="s">
        <v>236</v>
      </c>
      <c r="B44" s="124">
        <v>50.6</v>
      </c>
      <c r="C44" s="76">
        <v>-1.171875E-2</v>
      </c>
      <c r="D44" s="13">
        <v>50.8</v>
      </c>
      <c r="E44" s="14">
        <f>IF(ISNUMBER(D44), (D44 - $B44) / $B44, "")</f>
        <v>3.9525691699603899E-3</v>
      </c>
      <c r="F44" s="16">
        <f>IF(ISNUMBER(D44), $B64 * E44, "")</f>
        <v>395.25691699603897</v>
      </c>
      <c r="G44" s="29">
        <v>51.1</v>
      </c>
      <c r="H44" s="14">
        <f>IF(ISNUMBER(G44), (G44 - $B44) / $B44, "")</f>
        <v>9.881422924901186E-3</v>
      </c>
      <c r="I44" s="100">
        <f>IF(ISNUMBER(G44), $B64 * H44, "")</f>
        <v>988.14229249011862</v>
      </c>
      <c r="J44" s="13">
        <v>51</v>
      </c>
      <c r="K44" s="14">
        <f>IF(ISNUMBER(J44), (J44 - $B44) / $B44, "")</f>
        <v>7.9051383399209203E-3</v>
      </c>
      <c r="L44" s="16">
        <f>IF(ISNUMBER(J44), $B64 * K44, "")</f>
        <v>790.51383399209203</v>
      </c>
      <c r="M44" s="29">
        <v>51.3</v>
      </c>
      <c r="N44" s="14">
        <f>IF(ISNUMBER(M44), (M44 - $B44) / $B44, "")</f>
        <v>1.3833992094861575E-2</v>
      </c>
      <c r="O44" s="16">
        <f>IF(ISNUMBER(M44), $B64 * N44, "")</f>
        <v>1383.3992094861576</v>
      </c>
      <c r="Q44" s="233"/>
      <c r="R44" s="233"/>
      <c r="S44" s="233"/>
    </row>
    <row r="45" spans="1:19" ht="17.25" customHeight="1" thickBot="1">
      <c r="A45" s="162" t="s">
        <v>196</v>
      </c>
      <c r="B45" s="126">
        <v>10.7</v>
      </c>
      <c r="C45" s="77">
        <v>-3.6036036E-2</v>
      </c>
      <c r="D45" s="15">
        <v>10.5</v>
      </c>
      <c r="E45" s="32">
        <f t="shared" ref="E45:E48" si="14">IF(ISNUMBER(D45), (D45 - $B45) / $B45, "")</f>
        <v>-1.8691588785046665E-2</v>
      </c>
      <c r="F45" s="18">
        <f>IF(ISNUMBER(D45), $B64 * E45, "")</f>
        <v>-1869.1588785046665</v>
      </c>
      <c r="G45" s="31">
        <v>10.5</v>
      </c>
      <c r="H45" s="32">
        <f t="shared" ref="H45:H48" si="15">IF(ISNUMBER(G45), (G45 - $B45) / $B45, "")</f>
        <v>-1.8691588785046665E-2</v>
      </c>
      <c r="I45" s="101">
        <f>IF(ISNUMBER(G45), $B64 * H45, "")</f>
        <v>-1869.1588785046665</v>
      </c>
      <c r="J45" s="15">
        <v>10.8</v>
      </c>
      <c r="K45" s="32">
        <f t="shared" ref="K45:K48" si="16">IF(ISNUMBER(J45), (J45 - $B45) / $B45, "")</f>
        <v>9.3457943925234974E-3</v>
      </c>
      <c r="L45" s="18">
        <f>IF(ISNUMBER(J45), $B64 * K45, "")</f>
        <v>934.57943925234974</v>
      </c>
      <c r="M45" s="31">
        <v>10.6</v>
      </c>
      <c r="N45" s="32">
        <f t="shared" ref="N45:N48" si="17">IF(ISNUMBER(M45), (M45 - $B45) / $B45, "")</f>
        <v>-9.3457943925233326E-3</v>
      </c>
      <c r="O45" s="18">
        <f>IF(ISNUMBER(M45), $B64 * N45, "")</f>
        <v>-934.57943925233326</v>
      </c>
      <c r="Q45" s="233"/>
      <c r="R45" s="233"/>
      <c r="S45" s="233"/>
    </row>
    <row r="46" spans="1:19" ht="17.25" customHeight="1" thickBot="1">
      <c r="A46" s="162" t="s">
        <v>100</v>
      </c>
      <c r="B46" s="126">
        <v>4.0599999999999996</v>
      </c>
      <c r="C46" s="77">
        <v>-3.7914691899999999E-2</v>
      </c>
      <c r="D46" s="15">
        <v>4.1500000000000004</v>
      </c>
      <c r="E46" s="32">
        <f t="shared" si="14"/>
        <v>2.2167487684729249E-2</v>
      </c>
      <c r="F46" s="18">
        <f>IF(ISNUMBER(D46), $B64 * E46, "")</f>
        <v>2216.7487684729249</v>
      </c>
      <c r="G46" s="31">
        <v>4.1900000000000004</v>
      </c>
      <c r="H46" s="32">
        <f t="shared" si="15"/>
        <v>3.2019704433497734E-2</v>
      </c>
      <c r="I46" s="101">
        <f>IF(ISNUMBER(G46), $B64 * H46, "")</f>
        <v>3201.9704433497732</v>
      </c>
      <c r="J46" s="15">
        <v>4.29</v>
      </c>
      <c r="K46" s="32">
        <f t="shared" si="16"/>
        <v>5.665024630541883E-2</v>
      </c>
      <c r="L46" s="18">
        <f>IF(ISNUMBER(J46), $B64 * K46, "")</f>
        <v>5665.0246305418832</v>
      </c>
      <c r="M46" s="31">
        <v>4.18</v>
      </c>
      <c r="N46" s="32">
        <f t="shared" si="17"/>
        <v>2.9556650246305449E-2</v>
      </c>
      <c r="O46" s="18">
        <f>IF(ISNUMBER(M46), $B64 * N46, "")</f>
        <v>2955.6650246305448</v>
      </c>
      <c r="Q46" s="223"/>
      <c r="R46" s="223"/>
      <c r="S46" s="223"/>
    </row>
    <row r="47" spans="1:19" ht="17.25" customHeight="1" thickBot="1">
      <c r="A47" s="162" t="s">
        <v>156</v>
      </c>
      <c r="B47" s="126">
        <v>79.900000000000006</v>
      </c>
      <c r="C47" s="77">
        <v>-3.9663461499999997E-2</v>
      </c>
      <c r="D47" s="15">
        <v>81.7</v>
      </c>
      <c r="E47" s="32">
        <f t="shared" si="14"/>
        <v>2.2528160200250277E-2</v>
      </c>
      <c r="F47" s="18">
        <f>IF(ISNUMBER(D47), $B64 * E47, "")</f>
        <v>2252.8160200250277</v>
      </c>
      <c r="G47" s="31">
        <v>82.9</v>
      </c>
      <c r="H47" s="32">
        <f t="shared" si="15"/>
        <v>3.7546933667083851E-2</v>
      </c>
      <c r="I47" s="101">
        <f>IF(ISNUMBER(G47), $B64 * H47, "")</f>
        <v>3754.6933667083849</v>
      </c>
      <c r="J47" s="15">
        <v>85.3</v>
      </c>
      <c r="K47" s="32">
        <f t="shared" si="16"/>
        <v>6.7584480600750826E-2</v>
      </c>
      <c r="L47" s="18">
        <f>IF(ISNUMBER(J47), $B64 * K47, "")</f>
        <v>6758.448060075083</v>
      </c>
      <c r="M47" s="31">
        <v>83.2</v>
      </c>
      <c r="N47" s="32">
        <f t="shared" si="17"/>
        <v>4.1301627033792199E-2</v>
      </c>
      <c r="O47" s="18">
        <f>IF(ISNUMBER(M47), $B64 * N47, "")</f>
        <v>4130.1627033792201</v>
      </c>
      <c r="Q47" s="223"/>
      <c r="R47" s="223"/>
      <c r="S47" s="223"/>
    </row>
    <row r="48" spans="1:19" ht="17.25" customHeight="1" thickBot="1">
      <c r="A48" s="163" t="s">
        <v>172</v>
      </c>
      <c r="B48" s="128">
        <v>13.5</v>
      </c>
      <c r="C48" s="78">
        <v>-4.9295774600000002E-2</v>
      </c>
      <c r="D48" s="20">
        <v>13.4</v>
      </c>
      <c r="E48" s="21">
        <f t="shared" si="14"/>
        <v>-7.4074074074073808E-3</v>
      </c>
      <c r="F48" s="22">
        <f>IF(ISNUMBER(D48), $B64 * E48, "")</f>
        <v>-740.74074074073803</v>
      </c>
      <c r="G48" s="30">
        <v>13.3</v>
      </c>
      <c r="H48" s="21">
        <f t="shared" si="15"/>
        <v>-1.4814814814814762E-2</v>
      </c>
      <c r="I48" s="105">
        <f>IF(ISNUMBER(G48), $B64 * H48, "")</f>
        <v>-1481.4814814814761</v>
      </c>
      <c r="J48" s="20">
        <v>13.5</v>
      </c>
      <c r="K48" s="21">
        <f t="shared" si="16"/>
        <v>0</v>
      </c>
      <c r="L48" s="22">
        <f>IF(ISNUMBER(J48), $B64 * K48, "")</f>
        <v>0</v>
      </c>
      <c r="M48" s="30">
        <v>13.4</v>
      </c>
      <c r="N48" s="21">
        <f t="shared" si="17"/>
        <v>-7.4074074074073808E-3</v>
      </c>
      <c r="O48" s="22">
        <f>IF(ISNUMBER(M48), $B64 * N48, "")</f>
        <v>-740.74074074073803</v>
      </c>
      <c r="Q48" s="223"/>
      <c r="R48" s="223"/>
      <c r="S48" s="223"/>
    </row>
    <row r="49" spans="1:19" ht="17.25" customHeight="1" thickBot="1">
      <c r="A49" s="162" t="s">
        <v>278</v>
      </c>
      <c r="B49" s="129">
        <v>70.900000000000006</v>
      </c>
      <c r="C49" s="80">
        <v>-5.5925432800000001E-2</v>
      </c>
      <c r="D49" s="106">
        <v>73.099999999999994</v>
      </c>
      <c r="E49" s="107">
        <f>IF(ISNUMBER(D49), (D49 - $B49) / $B49, "")</f>
        <v>3.1029619181946241E-2</v>
      </c>
      <c r="F49" s="108">
        <f>IF(ISNUMBER(D49), $B64 * E49, "")</f>
        <v>3102.9619181946241</v>
      </c>
      <c r="G49" s="109">
        <v>74.7</v>
      </c>
      <c r="H49" s="107">
        <f>IF(ISNUMBER(G49), (G49 - $B49) / $B49, "")</f>
        <v>5.3596614950634655E-2</v>
      </c>
      <c r="I49" s="110">
        <f>IF(ISNUMBER(G49), $B64 * H49, "")</f>
        <v>5359.6614950634657</v>
      </c>
      <c r="J49" s="106">
        <v>76.3</v>
      </c>
      <c r="K49" s="107">
        <f>IF(ISNUMBER(J49), (J49 - $B49) / $B49, "")</f>
        <v>7.6163610719322858E-2</v>
      </c>
      <c r="L49" s="108">
        <f>IF(ISNUMBER(J49), $B64 * K49, "")</f>
        <v>7616.361071932286</v>
      </c>
      <c r="M49" s="109">
        <v>75.5</v>
      </c>
      <c r="N49" s="107">
        <f>IF(ISNUMBER(M49), (M49 - $B49) / $B49, "")</f>
        <v>6.4880112834978756E-2</v>
      </c>
      <c r="O49" s="108">
        <f>IF(ISNUMBER(M49), $B64 * N49, "")</f>
        <v>6488.0112834978754</v>
      </c>
      <c r="Q49" s="223"/>
      <c r="R49" s="223"/>
      <c r="S49" s="223"/>
    </row>
    <row r="50" spans="1:19" ht="17.25" customHeight="1" thickBot="1">
      <c r="A50" s="162" t="s">
        <v>154</v>
      </c>
      <c r="B50" s="126">
        <v>9.8800000000000008</v>
      </c>
      <c r="C50" s="77">
        <v>-8.5185185199999999E-2</v>
      </c>
      <c r="D50" s="15">
        <v>9.99</v>
      </c>
      <c r="E50" s="32">
        <f t="shared" ref="E50:E53" si="18">IF(ISNUMBER(D50), (D50 - $B50) / $B50, "")</f>
        <v>1.1133603238866339E-2</v>
      </c>
      <c r="F50" s="18">
        <f>IF(ISNUMBER(D50), $B64 * E50, "")</f>
        <v>1113.360323886634</v>
      </c>
      <c r="G50" s="31">
        <v>9.99</v>
      </c>
      <c r="H50" s="32">
        <f t="shared" ref="H50:H53" si="19">IF(ISNUMBER(G50), (G50 - $B50) / $B50, "")</f>
        <v>1.1133603238866339E-2</v>
      </c>
      <c r="I50" s="101">
        <f>IF(ISNUMBER(G50), $B64 * H50, "")</f>
        <v>1113.360323886634</v>
      </c>
      <c r="J50" s="15">
        <v>10.1</v>
      </c>
      <c r="K50" s="32">
        <f t="shared" ref="K50:K53" si="20">IF(ISNUMBER(J50), (J50 - $B50) / $B50, "")</f>
        <v>2.2267206477732678E-2</v>
      </c>
      <c r="L50" s="18">
        <f>IF(ISNUMBER(J50), $B64 * K50, "")</f>
        <v>2226.720647773268</v>
      </c>
      <c r="M50" s="31">
        <v>10</v>
      </c>
      <c r="N50" s="32">
        <f t="shared" ref="N50:N53" si="21">IF(ISNUMBER(M50), (M50 - $B50) / $B50, "")</f>
        <v>1.2145748987854171E-2</v>
      </c>
      <c r="O50" s="18">
        <f>IF(ISNUMBER(M50), $B64 * N50, "")</f>
        <v>1214.5748987854172</v>
      </c>
      <c r="Q50" s="223"/>
      <c r="R50" s="223"/>
      <c r="S50" s="223"/>
    </row>
    <row r="51" spans="1:19" ht="17.25" customHeight="1" thickBot="1">
      <c r="A51" s="162" t="s">
        <v>222</v>
      </c>
      <c r="B51" s="126">
        <v>10.1</v>
      </c>
      <c r="C51" s="77">
        <v>-9.0090090100000006E-2</v>
      </c>
      <c r="D51" s="15">
        <v>10.1</v>
      </c>
      <c r="E51" s="32">
        <f t="shared" si="18"/>
        <v>0</v>
      </c>
      <c r="F51" s="18">
        <f>IF(ISNUMBER(D51), $B64 * E51, "")</f>
        <v>0</v>
      </c>
      <c r="G51" s="31">
        <v>10.199999999999999</v>
      </c>
      <c r="H51" s="32">
        <f t="shared" si="19"/>
        <v>9.9009900990098664E-3</v>
      </c>
      <c r="I51" s="101">
        <f>IF(ISNUMBER(G51), $B64 * H51, "")</f>
        <v>990.09900990098663</v>
      </c>
      <c r="J51" s="15">
        <v>10.4</v>
      </c>
      <c r="K51" s="32">
        <f t="shared" si="20"/>
        <v>2.9702970297029774E-2</v>
      </c>
      <c r="L51" s="18">
        <f>IF(ISNUMBER(J51), $B64 * K51, "")</f>
        <v>2970.2970297029774</v>
      </c>
      <c r="M51" s="31">
        <v>10.3</v>
      </c>
      <c r="N51" s="32">
        <f t="shared" si="21"/>
        <v>1.980198019801991E-2</v>
      </c>
      <c r="O51" s="18">
        <f>IF(ISNUMBER(M51), $B64 * N51, "")</f>
        <v>1980.198019801991</v>
      </c>
      <c r="Q51" s="223"/>
      <c r="R51" s="223"/>
      <c r="S51" s="223"/>
    </row>
    <row r="52" spans="1:19" ht="17.25" customHeight="1" thickBot="1">
      <c r="A52" s="162" t="s">
        <v>65</v>
      </c>
      <c r="B52" s="126">
        <v>31.2</v>
      </c>
      <c r="C52" s="77">
        <v>-0.10086455330000001</v>
      </c>
      <c r="D52" s="15">
        <v>32.200000000000003</v>
      </c>
      <c r="E52" s="32">
        <f t="shared" si="18"/>
        <v>3.2051282051282166E-2</v>
      </c>
      <c r="F52" s="18">
        <f>IF(ISNUMBER(D52), $B64 * E52, "")</f>
        <v>3205.1282051282165</v>
      </c>
      <c r="G52" s="31">
        <v>32.700000000000003</v>
      </c>
      <c r="H52" s="32">
        <f t="shared" si="19"/>
        <v>4.8076923076923191E-2</v>
      </c>
      <c r="I52" s="101">
        <f>IF(ISNUMBER(G52), $B64 * H52, "")</f>
        <v>4807.6923076923194</v>
      </c>
      <c r="J52" s="15">
        <v>33.4</v>
      </c>
      <c r="K52" s="32">
        <f t="shared" si="20"/>
        <v>7.0512820512820498E-2</v>
      </c>
      <c r="L52" s="18">
        <f>IF(ISNUMBER(J52), $B64 * K52, "")</f>
        <v>7051.2820512820499</v>
      </c>
      <c r="M52" s="31">
        <v>32.299999999999997</v>
      </c>
      <c r="N52" s="32">
        <f t="shared" si="21"/>
        <v>3.5256410256410187E-2</v>
      </c>
      <c r="O52" s="18">
        <f>IF(ISNUMBER(M52), $B64 * N52, "")</f>
        <v>3525.6410256410186</v>
      </c>
      <c r="Q52" s="33"/>
      <c r="R52" s="33"/>
    </row>
    <row r="53" spans="1:19" ht="17.25" customHeight="1" thickBot="1">
      <c r="A53" s="130" t="s">
        <v>152</v>
      </c>
      <c r="B53" s="131">
        <v>17.2</v>
      </c>
      <c r="C53" s="79">
        <v>-0.10416666669999999</v>
      </c>
      <c r="D53" s="24">
        <v>18.2</v>
      </c>
      <c r="E53" s="25">
        <f t="shared" si="18"/>
        <v>5.8139534883720929E-2</v>
      </c>
      <c r="F53" s="104">
        <f>IF(ISNUMBER(D53), $B64 * E53, "")</f>
        <v>5813.9534883720926</v>
      </c>
      <c r="G53" s="102">
        <v>18.3</v>
      </c>
      <c r="H53" s="25">
        <f t="shared" si="19"/>
        <v>6.3953488372093109E-2</v>
      </c>
      <c r="I53" s="103">
        <f>IF(ISNUMBER(G53), $B64 * H53, "")</f>
        <v>6395.3488372093107</v>
      </c>
      <c r="J53" s="24">
        <v>18.899999999999999</v>
      </c>
      <c r="K53" s="25">
        <f t="shared" si="20"/>
        <v>9.8837209302325549E-2</v>
      </c>
      <c r="L53" s="104">
        <f>IF(ISNUMBER(J53), $B64 * K53, "")</f>
        <v>9883.7209302325555</v>
      </c>
      <c r="M53" s="102">
        <v>18.399999999999999</v>
      </c>
      <c r="N53" s="25">
        <f t="shared" si="21"/>
        <v>6.9767441860465074E-2</v>
      </c>
      <c r="O53" s="104">
        <f>IF(ISNUMBER(M53), $B64 * N53, "")</f>
        <v>6976.7441860465078</v>
      </c>
      <c r="Q53" s="224"/>
      <c r="R53" s="225"/>
      <c r="S53" s="226"/>
    </row>
    <row r="54" spans="1:19" ht="17.25" customHeight="1">
      <c r="A54" s="161" t="s">
        <v>168</v>
      </c>
      <c r="B54" s="124">
        <v>88.2</v>
      </c>
      <c r="C54" s="76">
        <v>-0.1108870968</v>
      </c>
      <c r="D54" s="13">
        <v>89.5</v>
      </c>
      <c r="E54" s="14">
        <f>IF(ISNUMBER(D54), (D54 - $B54) / $B54, "")</f>
        <v>1.4739229024943278E-2</v>
      </c>
      <c r="F54" s="16">
        <f>IF(ISNUMBER(D54), $B64 * E54, "")</f>
        <v>1473.9229024943279</v>
      </c>
      <c r="G54" s="29">
        <v>90.2</v>
      </c>
      <c r="H54" s="14">
        <f>IF(ISNUMBER(G54), (G54 - $B54) / $B54, "")</f>
        <v>2.2675736961451247E-2</v>
      </c>
      <c r="I54" s="100">
        <f>IF(ISNUMBER(G54), $B64 * H54, "")</f>
        <v>2267.5736961451248</v>
      </c>
      <c r="J54" s="13">
        <v>93.5</v>
      </c>
      <c r="K54" s="14">
        <f>IF(ISNUMBER(J54), (J54 - $B54) / $B54, "")</f>
        <v>6.009070294784577E-2</v>
      </c>
      <c r="L54" s="16">
        <f>IF(ISNUMBER(J54), $B64 * K54, "")</f>
        <v>6009.0702947845766</v>
      </c>
      <c r="M54" s="29">
        <v>91.8</v>
      </c>
      <c r="N54" s="14">
        <f>IF(ISNUMBER(M54), (M54 - $B54) / $B54, "")</f>
        <v>4.0816326530612179E-2</v>
      </c>
      <c r="O54" s="16">
        <f>IF(ISNUMBER(M54), $B64 * N54, "")</f>
        <v>4081.6326530612178</v>
      </c>
      <c r="Q54" s="227"/>
      <c r="R54" s="228"/>
      <c r="S54" s="229"/>
    </row>
    <row r="55" spans="1:19" ht="17.25" customHeight="1" thickBot="1">
      <c r="A55" s="162" t="s">
        <v>218</v>
      </c>
      <c r="B55" s="126">
        <v>14.2</v>
      </c>
      <c r="C55" s="77">
        <v>-0.1125</v>
      </c>
      <c r="D55" s="15">
        <v>14.2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14.3</v>
      </c>
      <c r="H55" s="32">
        <f t="shared" ref="H55:H58" si="23">IF(ISNUMBER(G55), (G55 - $B55) / $B55, "")</f>
        <v>7.0422535211268613E-3</v>
      </c>
      <c r="I55" s="101">
        <f>IF(ISNUMBER(G55), $B64 * H55, "")</f>
        <v>704.2253521126861</v>
      </c>
      <c r="J55" s="15">
        <v>14.6</v>
      </c>
      <c r="K55" s="32">
        <f t="shared" ref="K55:K58" si="24">IF(ISNUMBER(J55), (J55 - $B55) / $B55, "")</f>
        <v>2.8169014084507067E-2</v>
      </c>
      <c r="L55" s="18">
        <f>IF(ISNUMBER(J55), $B64 * K55, "")</f>
        <v>2816.9014084507066</v>
      </c>
      <c r="M55" s="31">
        <v>14.4</v>
      </c>
      <c r="N55" s="32">
        <f t="shared" ref="N55:N58" si="25">IF(ISNUMBER(M55), (M55 - $B55) / $B55, "")</f>
        <v>1.4084507042253596E-2</v>
      </c>
      <c r="O55" s="18">
        <f>IF(ISNUMBER(M55), $B64 * N55, "")</f>
        <v>1408.4507042253597</v>
      </c>
      <c r="Q55" s="230"/>
      <c r="R55" s="231"/>
      <c r="S55" s="232"/>
    </row>
    <row r="56" spans="1:19" ht="17.25" customHeight="1" thickBot="1">
      <c r="A56" s="162" t="s">
        <v>134</v>
      </c>
      <c r="B56" s="126">
        <v>82.2</v>
      </c>
      <c r="C56" s="77">
        <v>-0.1132686084</v>
      </c>
      <c r="D56" s="15">
        <v>81.2</v>
      </c>
      <c r="E56" s="32">
        <f t="shared" si="22"/>
        <v>-1.21654501216545E-2</v>
      </c>
      <c r="F56" s="18">
        <f>IF(ISNUMBER(D56), $B64 * E56, "")</f>
        <v>-1216.5450121654501</v>
      </c>
      <c r="G56" s="31">
        <v>82.4</v>
      </c>
      <c r="H56" s="32">
        <f t="shared" si="23"/>
        <v>2.4330900243309346E-3</v>
      </c>
      <c r="I56" s="101">
        <f>IF(ISNUMBER(G56), $B64 * H56, "")</f>
        <v>243.30900243309347</v>
      </c>
      <c r="J56" s="15">
        <v>85.1</v>
      </c>
      <c r="K56" s="32">
        <f t="shared" si="24"/>
        <v>3.5279805352797948E-2</v>
      </c>
      <c r="L56" s="18">
        <f>IF(ISNUMBER(J56), $B64 * K56, "")</f>
        <v>3527.9805352797948</v>
      </c>
      <c r="M56" s="31">
        <v>84.4</v>
      </c>
      <c r="N56" s="32">
        <f t="shared" si="25"/>
        <v>2.6763990267639936E-2</v>
      </c>
      <c r="O56" s="18">
        <f>IF(ISNUMBER(M56), $B64 * N56, "")</f>
        <v>2676.3990267639938</v>
      </c>
      <c r="Q56" s="223"/>
      <c r="R56" s="223"/>
      <c r="S56" s="223"/>
    </row>
    <row r="57" spans="1:19" ht="17.25" customHeight="1" thickBot="1">
      <c r="A57" s="162" t="s">
        <v>126</v>
      </c>
      <c r="B57" s="126">
        <v>24.1</v>
      </c>
      <c r="C57" s="77">
        <v>-0.1172161172</v>
      </c>
      <c r="D57" s="15">
        <v>24.5</v>
      </c>
      <c r="E57" s="32">
        <f t="shared" si="22"/>
        <v>1.6597510373443924E-2</v>
      </c>
      <c r="F57" s="18">
        <f>IF(ISNUMBER(D57), $B64 * E57, "")</f>
        <v>1659.7510373443924</v>
      </c>
      <c r="G57" s="31">
        <v>24.7</v>
      </c>
      <c r="H57" s="32">
        <f t="shared" si="23"/>
        <v>2.4896265560165887E-2</v>
      </c>
      <c r="I57" s="101">
        <f>IF(ISNUMBER(G57), $B64 * H57, "")</f>
        <v>2489.6265560165884</v>
      </c>
      <c r="J57" s="15">
        <v>25.6</v>
      </c>
      <c r="K57" s="32">
        <f t="shared" si="24"/>
        <v>6.2240663900414932E-2</v>
      </c>
      <c r="L57" s="18">
        <f>IF(ISNUMBER(J57), $B64 * K57, "")</f>
        <v>6224.0663900414929</v>
      </c>
      <c r="M57" s="31">
        <v>25.1</v>
      </c>
      <c r="N57" s="32">
        <f t="shared" si="25"/>
        <v>4.1493775933609957E-2</v>
      </c>
      <c r="O57" s="18">
        <f>IF(ISNUMBER(M57), $B64 * N57, "")</f>
        <v>4149.3775933609959</v>
      </c>
      <c r="Q57" s="233"/>
      <c r="R57" s="233"/>
      <c r="S57" s="233"/>
    </row>
    <row r="58" spans="1:19" ht="17.25" customHeight="1" thickBot="1">
      <c r="A58" s="163" t="s">
        <v>264</v>
      </c>
      <c r="B58" s="128">
        <v>71.8</v>
      </c>
      <c r="C58" s="78">
        <v>-0.12009803920000001</v>
      </c>
      <c r="D58" s="20">
        <v>73.099999999999994</v>
      </c>
      <c r="E58" s="21">
        <f t="shared" si="22"/>
        <v>1.8105849582172664E-2</v>
      </c>
      <c r="F58" s="22">
        <f>IF(ISNUMBER(D58), $B64 * E58, "")</f>
        <v>1810.5849582172664</v>
      </c>
      <c r="G58" s="30">
        <v>74.8</v>
      </c>
      <c r="H58" s="21">
        <f t="shared" si="23"/>
        <v>4.1782729805013928E-2</v>
      </c>
      <c r="I58" s="105">
        <f>IF(ISNUMBER(G58), $B64 * H58, "")</f>
        <v>4178.2729805013932</v>
      </c>
      <c r="J58" s="20">
        <v>77.5</v>
      </c>
      <c r="K58" s="21">
        <f t="shared" si="24"/>
        <v>7.9387186629526499E-2</v>
      </c>
      <c r="L58" s="22">
        <f>IF(ISNUMBER(J58), $B64 * K58, "")</f>
        <v>7938.7186629526495</v>
      </c>
      <c r="M58" s="30">
        <v>76.2</v>
      </c>
      <c r="N58" s="21">
        <f t="shared" si="25"/>
        <v>6.1281337047353841E-2</v>
      </c>
      <c r="O58" s="22">
        <f>IF(ISNUMBER(M58), $B64 * N58, "")</f>
        <v>6128.1337047353845</v>
      </c>
      <c r="Q58" s="233"/>
      <c r="R58" s="233"/>
      <c r="S58" s="233"/>
    </row>
    <row r="59" spans="1:19" ht="17.25" customHeight="1" thickBot="1">
      <c r="A59" s="162" t="s">
        <v>254</v>
      </c>
      <c r="B59" s="129">
        <v>42.2</v>
      </c>
      <c r="C59" s="80">
        <v>-0.1226611227</v>
      </c>
      <c r="D59" s="106">
        <v>42.8</v>
      </c>
      <c r="E59" s="107">
        <f>IF(ISNUMBER(D59), (D59 - $B59) / $B59, "")</f>
        <v>1.421800947867285E-2</v>
      </c>
      <c r="F59" s="108">
        <f>IF(ISNUMBER(D59), $B64 * E59, "")</f>
        <v>1421.800947867285</v>
      </c>
      <c r="G59" s="109">
        <v>43.4</v>
      </c>
      <c r="H59" s="107">
        <f>IF(ISNUMBER(G59), (G59 - $B59) / $B59, "")</f>
        <v>2.843601895734587E-2</v>
      </c>
      <c r="I59" s="110">
        <f>IF(ISNUMBER(G59), $B64 * H59, "")</f>
        <v>2843.6018957345868</v>
      </c>
      <c r="J59" s="106">
        <v>44.2</v>
      </c>
      <c r="K59" s="107">
        <f>IF(ISNUMBER(J59), (J59 - $B59) / $B59, "")</f>
        <v>4.7393364928909949E-2</v>
      </c>
      <c r="L59" s="108">
        <f>IF(ISNUMBER(J59), $B64 * K59, "")</f>
        <v>4739.336492890995</v>
      </c>
      <c r="M59" s="109">
        <v>44</v>
      </c>
      <c r="N59" s="107">
        <f>IF(ISNUMBER(M59), (M59 - $B59) / $B59, "")</f>
        <v>4.2654028436018884E-2</v>
      </c>
      <c r="O59" s="108">
        <f>IF(ISNUMBER(M59), $B64 * N59, "")</f>
        <v>4265.402843601888</v>
      </c>
      <c r="Q59" s="223"/>
      <c r="R59" s="223"/>
      <c r="S59" s="223"/>
    </row>
    <row r="60" spans="1:19" ht="17.25" customHeight="1" thickBot="1">
      <c r="A60" s="162" t="s">
        <v>266</v>
      </c>
      <c r="B60" s="126">
        <v>48.3</v>
      </c>
      <c r="C60" s="77">
        <v>-0.12658227850000001</v>
      </c>
      <c r="D60" s="15">
        <v>49.3</v>
      </c>
      <c r="E60" s="32">
        <f t="shared" ref="E60:E63" si="26">IF(ISNUMBER(D60), (D60 - $B60) / $B60, "")</f>
        <v>2.0703933747412008E-2</v>
      </c>
      <c r="F60" s="18">
        <f>IF(ISNUMBER(D60), $B64 * E60, "")</f>
        <v>2070.3933747412007</v>
      </c>
      <c r="G60" s="31">
        <v>50.3</v>
      </c>
      <c r="H60" s="32">
        <f t="shared" ref="H60:H63" si="27">IF(ISNUMBER(G60), (G60 - $B60) / $B60, "")</f>
        <v>4.1407867494824016E-2</v>
      </c>
      <c r="I60" s="101">
        <f>IF(ISNUMBER(G60), $B64 * H60, "")</f>
        <v>4140.7867494824013</v>
      </c>
      <c r="J60" s="15">
        <v>51.1</v>
      </c>
      <c r="K60" s="32">
        <f t="shared" ref="K60:K63" si="28">IF(ISNUMBER(J60), (J60 - $B60) / $B60, "")</f>
        <v>5.7971014492753714E-2</v>
      </c>
      <c r="L60" s="18">
        <f>IF(ISNUMBER(J60), $B64 * K60, "")</f>
        <v>5797.1014492753711</v>
      </c>
      <c r="M60" s="31">
        <v>51</v>
      </c>
      <c r="N60" s="32">
        <f t="shared" ref="N60:N63" si="29">IF(ISNUMBER(M60), (M60 - $B60) / $B60, "")</f>
        <v>5.5900621118012486E-2</v>
      </c>
      <c r="O60" s="18">
        <f>IF(ISNUMBER(M60), $B64 * N60, "")</f>
        <v>5590.0621118012486</v>
      </c>
      <c r="Q60" s="223"/>
      <c r="R60" s="223"/>
      <c r="S60" s="223"/>
    </row>
    <row r="61" spans="1:19" ht="17.25" customHeight="1" thickBot="1">
      <c r="A61" s="162" t="s">
        <v>260</v>
      </c>
      <c r="B61" s="126">
        <v>59.7</v>
      </c>
      <c r="C61" s="77">
        <v>-0.13352685049999999</v>
      </c>
      <c r="D61" s="15">
        <v>59.9</v>
      </c>
      <c r="E61" s="32">
        <f t="shared" si="26"/>
        <v>3.3500837520937308E-3</v>
      </c>
      <c r="F61" s="18">
        <f>IF(ISNUMBER(D61), $B64 * E61, "")</f>
        <v>335.00837520937307</v>
      </c>
      <c r="G61" s="31">
        <v>60.5</v>
      </c>
      <c r="H61" s="32">
        <f t="shared" si="27"/>
        <v>1.3400335008375161E-2</v>
      </c>
      <c r="I61" s="101">
        <f>IF(ISNUMBER(G61), $B64 * H61, "")</f>
        <v>1340.0335008375162</v>
      </c>
      <c r="J61" s="15">
        <v>61.7</v>
      </c>
      <c r="K61" s="32">
        <f t="shared" si="28"/>
        <v>3.350083752093802E-2</v>
      </c>
      <c r="L61" s="18">
        <f>IF(ISNUMBER(J61), $B64 * K61, "")</f>
        <v>3350.0837520938021</v>
      </c>
      <c r="M61" s="31">
        <v>60.8</v>
      </c>
      <c r="N61" s="32">
        <f t="shared" si="29"/>
        <v>1.8425460636515817E-2</v>
      </c>
      <c r="O61" s="18">
        <f>IF(ISNUMBER(M61), $B64 * N61, "")</f>
        <v>1842.5460636515818</v>
      </c>
      <c r="Q61" s="223"/>
      <c r="R61" s="223"/>
      <c r="S61" s="223"/>
    </row>
    <row r="62" spans="1:19" ht="17.25" customHeight="1">
      <c r="A62" s="162" t="s">
        <v>268</v>
      </c>
      <c r="B62" s="126">
        <v>43.3</v>
      </c>
      <c r="C62" s="77">
        <v>-0.13400000000000001</v>
      </c>
      <c r="D62" s="15">
        <v>43.8</v>
      </c>
      <c r="E62" s="32">
        <f t="shared" si="26"/>
        <v>1.1547344110854504E-2</v>
      </c>
      <c r="F62" s="18">
        <f>IF(ISNUMBER(D62), $B64 * E62, "")</f>
        <v>1154.7344110854503</v>
      </c>
      <c r="G62" s="31">
        <v>44.4</v>
      </c>
      <c r="H62" s="32">
        <f t="shared" si="27"/>
        <v>2.5404157043879941E-2</v>
      </c>
      <c r="I62" s="101">
        <f>IF(ISNUMBER(G62), $B64 * H62, "")</f>
        <v>2540.4157043879941</v>
      </c>
      <c r="J62" s="15">
        <v>45.1</v>
      </c>
      <c r="K62" s="32">
        <f t="shared" si="28"/>
        <v>4.1570438799076313E-2</v>
      </c>
      <c r="L62" s="18">
        <f>IF(ISNUMBER(J62), $B64 * K62, "")</f>
        <v>4157.043879907631</v>
      </c>
      <c r="M62" s="31">
        <v>44.7</v>
      </c>
      <c r="N62" s="32">
        <f t="shared" si="29"/>
        <v>3.2332563510392744E-2</v>
      </c>
      <c r="O62" s="18">
        <f>IF(ISNUMBER(M62), $B64 * N62, "")</f>
        <v>3233.2563510392743</v>
      </c>
      <c r="Q62" s="212"/>
      <c r="R62" s="213"/>
      <c r="S62" s="214"/>
    </row>
    <row r="63" spans="1:19" ht="17.25" customHeight="1" thickBot="1">
      <c r="A63" s="130" t="s">
        <v>214</v>
      </c>
      <c r="B63" s="131">
        <v>11.4</v>
      </c>
      <c r="C63" s="79">
        <v>-0.13636363639999999</v>
      </c>
      <c r="D63" s="24">
        <v>11.6</v>
      </c>
      <c r="E63" s="25">
        <f t="shared" si="26"/>
        <v>1.7543859649122744E-2</v>
      </c>
      <c r="F63" s="104">
        <f>IF(ISNUMBER(D63), $B64 * E63, "")</f>
        <v>1754.3859649122744</v>
      </c>
      <c r="G63" s="102">
        <v>11.8</v>
      </c>
      <c r="H63" s="25">
        <f t="shared" si="27"/>
        <v>3.5087719298245647E-2</v>
      </c>
      <c r="I63" s="103">
        <f>IF(ISNUMBER(G63), $B64 * H63, "")</f>
        <v>3508.7719298245647</v>
      </c>
      <c r="J63" s="24">
        <v>12.1</v>
      </c>
      <c r="K63" s="25">
        <f t="shared" si="28"/>
        <v>6.1403508771929759E-2</v>
      </c>
      <c r="L63" s="104">
        <f>IF(ISNUMBER(J63), $B64 * K63, "")</f>
        <v>6140.3508771929755</v>
      </c>
      <c r="M63" s="102">
        <v>12</v>
      </c>
      <c r="N63" s="25">
        <f t="shared" si="29"/>
        <v>5.263157894736839E-2</v>
      </c>
      <c r="O63" s="104">
        <f>IF(ISNUMBER(M63), $B64 * N63, "")</f>
        <v>5263.1578947368389</v>
      </c>
      <c r="Q63" s="215"/>
      <c r="R63" s="216"/>
      <c r="S63" s="217"/>
    </row>
    <row r="64" spans="1:19" ht="17.25" customHeight="1" thickBot="1">
      <c r="A64" s="132" t="s">
        <v>300</v>
      </c>
      <c r="B64" s="276">
        <f>$B$37</f>
        <v>100000</v>
      </c>
      <c r="C64" s="277"/>
      <c r="D64" s="26" t="s">
        <v>301</v>
      </c>
      <c r="E64" s="27">
        <f>IF(COUNT(E44:E63), SUM(E44:E63) / COUNT(E44:E63), 0)</f>
        <v>1.2977181490768135E-2</v>
      </c>
      <c r="F64" s="28">
        <f>SUM(F44:F63)</f>
        <v>25954.362981536276</v>
      </c>
      <c r="G64" s="26" t="s">
        <v>301</v>
      </c>
      <c r="H64" s="27">
        <f>IF(COUNT(H44:H63), SUM(H44:H63) / COUNT(H44:H63), 0)</f>
        <v>2.3758472541895399E-2</v>
      </c>
      <c r="I64" s="28">
        <f>SUM(I44:I63)</f>
        <v>47516.945083790808</v>
      </c>
      <c r="J64" s="26" t="s">
        <v>301</v>
      </c>
      <c r="K64" s="27">
        <f>IF(COUNT(K44:K63), SUM(K44:K63) / COUNT(K44:K63), 0)</f>
        <v>4.729880071882727E-2</v>
      </c>
      <c r="L64" s="28">
        <f>SUM(L44:L63)</f>
        <v>94597.601437654565</v>
      </c>
      <c r="M64" s="26" t="s">
        <v>301</v>
      </c>
      <c r="N64" s="27">
        <f>IF(COUNT(N44:N63), SUM(N44:N63) / COUNT(N44:N63), 0)</f>
        <v>3.2808747559126723E-2</v>
      </c>
      <c r="O64" s="28">
        <f>SUM(O44:O63)</f>
        <v>65617.495118253428</v>
      </c>
      <c r="Q64" s="218"/>
      <c r="R64" s="219"/>
      <c r="S64" s="220"/>
    </row>
    <row r="65" spans="1:19" ht="17.25" customHeight="1"/>
    <row r="66" spans="1:19" ht="17.25" customHeight="1" thickBot="1"/>
    <row r="67" spans="1:19" ht="17.25" thickBot="1">
      <c r="A67" s="234" t="s">
        <v>45</v>
      </c>
      <c r="B67" s="235"/>
      <c r="C67" s="235"/>
      <c r="D67" s="235"/>
      <c r="E67" s="235"/>
      <c r="F67" s="235"/>
      <c r="G67" s="235"/>
      <c r="H67" s="235"/>
      <c r="I67" s="235"/>
      <c r="J67" s="235"/>
      <c r="K67" s="235"/>
      <c r="L67" s="235"/>
      <c r="M67" s="235"/>
      <c r="N67" s="235"/>
      <c r="O67" s="236"/>
      <c r="Q67" s="233"/>
      <c r="R67" s="233"/>
      <c r="S67" s="233"/>
    </row>
    <row r="68" spans="1:19" ht="17.25" thickBot="1">
      <c r="A68" s="192" t="s">
        <v>297</v>
      </c>
      <c r="B68" s="234" t="s">
        <v>49</v>
      </c>
      <c r="C68" s="236"/>
      <c r="D68" s="234" t="s">
        <v>58</v>
      </c>
      <c r="E68" s="235"/>
      <c r="F68" s="236"/>
      <c r="G68" s="237">
        <f>_xlfn.IFNA(VLOOKUP(B68, 현재가테이블!$B$2:$D$200, 2, FALSE), "-")</f>
        <v>41418000</v>
      </c>
      <c r="H68" s="238"/>
      <c r="I68" s="239"/>
      <c r="J68" s="234" t="s">
        <v>59</v>
      </c>
      <c r="K68" s="235"/>
      <c r="L68" s="236"/>
      <c r="M68" s="240">
        <f>_xlfn.IFNA(VLOOKUP(B68, 현재가테이블!$B$2:$D$200, 3, FALSE), "-")</f>
        <v>-5.2176301000000001E-2</v>
      </c>
      <c r="N68" s="241"/>
      <c r="O68" s="242"/>
      <c r="Q68" s="233"/>
      <c r="R68" s="233"/>
      <c r="S68" s="233"/>
    </row>
    <row r="69" spans="1:19" ht="17.25" thickBot="1">
      <c r="A69" s="278" t="s">
        <v>55</v>
      </c>
      <c r="B69" s="274" t="str">
        <f>TEXT($G$1, "[$-ko-KR]yyyy-mm-dd(ddd) ") &amp; "오전 00:00"</f>
        <v>2021-06-09(수) 오전 00:00</v>
      </c>
      <c r="C69" s="275"/>
      <c r="D69" s="247" t="str">
        <f>TEXT($G$1, "[$-ko-KR]yyyy-mm-dd(ddd) ") &amp; "오후 14:00"</f>
        <v>2021-06-09(수) 오후 14:00</v>
      </c>
      <c r="E69" s="248"/>
      <c r="F69" s="249"/>
      <c r="G69" s="247" t="str">
        <f>TEXT($G$1, "[$-ko-KR]yyyy-mm-dd(ddd) ") &amp; "오후 19:00"</f>
        <v>2021-06-09(수) 오후 19:00</v>
      </c>
      <c r="H69" s="248"/>
      <c r="I69" s="249"/>
      <c r="J69" s="247" t="str">
        <f>TEXT($G$1, "[$-ko-KR]yyyy-mm-dd(ddd) ") &amp; "오후 21:00"</f>
        <v>2021-06-09(수) 오후 21:00</v>
      </c>
      <c r="K69" s="248"/>
      <c r="L69" s="249"/>
      <c r="M69" s="247" t="str">
        <f>TEXT($G$1+1, "[$-ko-KR]yyyy-mm-dd(ddd) ") &amp; "오전 00:00"</f>
        <v>2021-06-10(목) 오전 00:00</v>
      </c>
      <c r="N69" s="248"/>
      <c r="O69" s="249"/>
      <c r="Q69" s="233"/>
      <c r="R69" s="233"/>
      <c r="S69" s="233"/>
    </row>
    <row r="70" spans="1:19" ht="17.25" thickBot="1">
      <c r="A70" s="279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93" t="s">
        <v>58</v>
      </c>
      <c r="H70" s="194" t="s">
        <v>298</v>
      </c>
      <c r="I70" s="19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3"/>
      <c r="R70" s="223"/>
      <c r="S70" s="223"/>
    </row>
    <row r="71" spans="1:19" ht="17.25" thickBot="1">
      <c r="A71" s="161" t="s">
        <v>142</v>
      </c>
      <c r="B71" s="124">
        <v>616</v>
      </c>
      <c r="C71" s="76">
        <v>0.16226415089999999</v>
      </c>
      <c r="D71" s="13">
        <v>715</v>
      </c>
      <c r="E71" s="14">
        <f>IF(ISNUMBER(D71), (D71 - $B71) / $B71, "")</f>
        <v>0.16071428571428573</v>
      </c>
      <c r="F71" s="16">
        <f>IF(ISNUMBER(D71), $B91 * E71, "")</f>
        <v>16071.428571428572</v>
      </c>
      <c r="G71" s="29">
        <v>740</v>
      </c>
      <c r="H71" s="14">
        <f>IF(ISNUMBER(G71), (G71 - $B71) / $B71, "")</f>
        <v>0.20129870129870131</v>
      </c>
      <c r="I71" s="100">
        <f>IF(ISNUMBER(G71), $B91 * H71, "")</f>
        <v>20129.870129870131</v>
      </c>
      <c r="J71" s="13">
        <v>708</v>
      </c>
      <c r="K71" s="14">
        <f>IF(ISNUMBER(J71), (J71 - $B71) / $B71, "")</f>
        <v>0.14935064935064934</v>
      </c>
      <c r="L71" s="16">
        <f>IF(ISNUMBER(J71), $B91 * K71, "")</f>
        <v>14935.064935064935</v>
      </c>
      <c r="M71" s="29">
        <v>709</v>
      </c>
      <c r="N71" s="14">
        <f>IF(ISNUMBER(M71), (M71 - $B71) / $B71, "")</f>
        <v>0.15097402597402598</v>
      </c>
      <c r="O71" s="16">
        <f>IF(ISNUMBER(M71), $B91 * N71, "")</f>
        <v>15097.402597402599</v>
      </c>
      <c r="Q71" s="233"/>
      <c r="R71" s="233"/>
      <c r="S71" s="233"/>
    </row>
    <row r="72" spans="1:19" ht="17.25" thickBot="1">
      <c r="A72" s="162" t="s">
        <v>216</v>
      </c>
      <c r="B72" s="126">
        <v>256</v>
      </c>
      <c r="C72" s="77">
        <v>-3.8910505999999998E-3</v>
      </c>
      <c r="D72" s="15">
        <v>242</v>
      </c>
      <c r="E72" s="32">
        <f t="shared" ref="E72:E75" si="30">IF(ISNUMBER(D72), (D72 - $B72) / $B72, "")</f>
        <v>-5.46875E-2</v>
      </c>
      <c r="F72" s="18">
        <f>IF(ISNUMBER(D72), $B91 * E72, "")</f>
        <v>-5468.75</v>
      </c>
      <c r="G72" s="31">
        <v>244</v>
      </c>
      <c r="H72" s="32">
        <f t="shared" ref="H72:H75" si="31">IF(ISNUMBER(G72), (G72 - $B72) / $B72, "")</f>
        <v>-4.6875E-2</v>
      </c>
      <c r="I72" s="101">
        <f>IF(ISNUMBER(G72), $B91 * H72, "")</f>
        <v>-4687.5</v>
      </c>
      <c r="J72" s="15">
        <v>251</v>
      </c>
      <c r="K72" s="32">
        <f t="shared" ref="K72:K75" si="32">IF(ISNUMBER(J72), (J72 - $B72) / $B72, "")</f>
        <v>-1.953125E-2</v>
      </c>
      <c r="L72" s="18">
        <f>IF(ISNUMBER(J72), $B91 * K72, "")</f>
        <v>-1953.125</v>
      </c>
      <c r="M72" s="31">
        <v>248</v>
      </c>
      <c r="N72" s="32">
        <f t="shared" ref="N72:N75" si="33">IF(ISNUMBER(M72), (M72 - $B72) / $B72, "")</f>
        <v>-3.125E-2</v>
      </c>
      <c r="O72" s="18">
        <f>IF(ISNUMBER(M72), $B91 * N72, "")</f>
        <v>-3125</v>
      </c>
      <c r="Q72" s="233"/>
      <c r="R72" s="233"/>
      <c r="S72" s="233"/>
    </row>
    <row r="73" spans="1:19" ht="17.25" thickBot="1">
      <c r="A73" s="162" t="s">
        <v>112</v>
      </c>
      <c r="B73" s="126">
        <v>168</v>
      </c>
      <c r="C73" s="77">
        <v>-4.5454545499999999E-2</v>
      </c>
      <c r="D73" s="15">
        <v>171</v>
      </c>
      <c r="E73" s="32">
        <f t="shared" si="30"/>
        <v>1.7857142857142856E-2</v>
      </c>
      <c r="F73" s="18">
        <f>IF(ISNUMBER(D73), $B91 * E73, "")</f>
        <v>1785.7142857142856</v>
      </c>
      <c r="G73" s="31">
        <v>171</v>
      </c>
      <c r="H73" s="32">
        <f t="shared" si="31"/>
        <v>1.7857142857142856E-2</v>
      </c>
      <c r="I73" s="101">
        <f>IF(ISNUMBER(G73), $B91 * H73, "")</f>
        <v>1785.7142857142856</v>
      </c>
      <c r="J73" s="15">
        <v>172</v>
      </c>
      <c r="K73" s="32">
        <f t="shared" si="32"/>
        <v>2.3809523809523808E-2</v>
      </c>
      <c r="L73" s="18">
        <f>IF(ISNUMBER(J73), $B91 * K73, "")</f>
        <v>2380.9523809523807</v>
      </c>
      <c r="M73" s="31">
        <v>173</v>
      </c>
      <c r="N73" s="32">
        <f t="shared" si="33"/>
        <v>2.976190476190476E-2</v>
      </c>
      <c r="O73" s="18">
        <f>IF(ISNUMBER(M73), $B91 * N73, "")</f>
        <v>2976.1904761904761</v>
      </c>
      <c r="Q73" s="223"/>
      <c r="R73" s="223"/>
      <c r="S73" s="223"/>
    </row>
    <row r="74" spans="1:19" ht="17.25" thickBot="1">
      <c r="A74" s="162" t="s">
        <v>120</v>
      </c>
      <c r="B74" s="126">
        <v>126</v>
      </c>
      <c r="C74" s="77">
        <v>-5.2631578900000003E-2</v>
      </c>
      <c r="D74" s="15">
        <v>128</v>
      </c>
      <c r="E74" s="32">
        <f t="shared" si="30"/>
        <v>1.5873015873015872E-2</v>
      </c>
      <c r="F74" s="18">
        <f>IF(ISNUMBER(D74), $B91 * E74, "")</f>
        <v>1587.3015873015872</v>
      </c>
      <c r="G74" s="31">
        <v>133</v>
      </c>
      <c r="H74" s="32">
        <f t="shared" si="31"/>
        <v>5.5555555555555552E-2</v>
      </c>
      <c r="I74" s="101">
        <f>IF(ISNUMBER(G74), $B91 * H74, "")</f>
        <v>5555.5555555555557</v>
      </c>
      <c r="J74" s="15">
        <v>135</v>
      </c>
      <c r="K74" s="32">
        <f t="shared" si="32"/>
        <v>7.1428571428571425E-2</v>
      </c>
      <c r="L74" s="18">
        <f>IF(ISNUMBER(J74), $B91 * K74, "")</f>
        <v>7142.8571428571422</v>
      </c>
      <c r="M74" s="31">
        <v>134</v>
      </c>
      <c r="N74" s="32">
        <f t="shared" si="33"/>
        <v>6.3492063492063489E-2</v>
      </c>
      <c r="O74" s="18">
        <f>IF(ISNUMBER(M74), $B91 * N74, "")</f>
        <v>6349.2063492063489</v>
      </c>
      <c r="Q74" s="223"/>
      <c r="R74" s="223"/>
      <c r="S74" s="223"/>
    </row>
    <row r="75" spans="1:19" ht="17.25" thickBot="1">
      <c r="A75" s="163" t="s">
        <v>54</v>
      </c>
      <c r="B75" s="128">
        <v>228</v>
      </c>
      <c r="C75" s="78">
        <v>-5.7851239700000001E-2</v>
      </c>
      <c r="D75" s="20">
        <v>238</v>
      </c>
      <c r="E75" s="21">
        <f t="shared" si="30"/>
        <v>4.3859649122807015E-2</v>
      </c>
      <c r="F75" s="22">
        <f>IF(ISNUMBER(D75), $B91 * E75, "")</f>
        <v>4385.9649122807014</v>
      </c>
      <c r="G75" s="30">
        <v>237</v>
      </c>
      <c r="H75" s="21">
        <f t="shared" si="31"/>
        <v>3.9473684210526314E-2</v>
      </c>
      <c r="I75" s="105">
        <f>IF(ISNUMBER(G75), $B91 * H75, "")</f>
        <v>3947.3684210526312</v>
      </c>
      <c r="J75" s="20">
        <v>246</v>
      </c>
      <c r="K75" s="21">
        <f t="shared" si="32"/>
        <v>7.8947368421052627E-2</v>
      </c>
      <c r="L75" s="22">
        <f>IF(ISNUMBER(J75), $B91 * K75, "")</f>
        <v>7894.7368421052624</v>
      </c>
      <c r="M75" s="30">
        <v>237</v>
      </c>
      <c r="N75" s="21">
        <f t="shared" si="33"/>
        <v>3.9473684210526314E-2</v>
      </c>
      <c r="O75" s="22">
        <f>IF(ISNUMBER(M75), $B91 * N75, "")</f>
        <v>3947.3684210526312</v>
      </c>
      <c r="Q75" s="223"/>
      <c r="R75" s="223"/>
      <c r="S75" s="223"/>
    </row>
    <row r="76" spans="1:19" ht="17.25" thickBot="1">
      <c r="A76" s="162" t="s">
        <v>92</v>
      </c>
      <c r="B76" s="129">
        <v>946</v>
      </c>
      <c r="C76" s="80">
        <v>-5.8706467700000001E-2</v>
      </c>
      <c r="D76" s="106">
        <v>976</v>
      </c>
      <c r="E76" s="107">
        <f>IF(ISNUMBER(D76), (D76 - $B76) / $B76, "")</f>
        <v>3.1712473572938688E-2</v>
      </c>
      <c r="F76" s="108">
        <f>IF(ISNUMBER(D76), $B91 * E76, "")</f>
        <v>3171.2473572938688</v>
      </c>
      <c r="G76" s="109">
        <v>988</v>
      </c>
      <c r="H76" s="107">
        <f>IF(ISNUMBER(G76), (G76 - $B76) / $B76, "")</f>
        <v>4.4397463002114168E-2</v>
      </c>
      <c r="I76" s="110">
        <f>IF(ISNUMBER(G76), $B91 * H76, "")</f>
        <v>4439.7463002114164</v>
      </c>
      <c r="J76" s="106">
        <v>1010</v>
      </c>
      <c r="K76" s="107">
        <f>IF(ISNUMBER(J76), (J76 - $B76) / $B76, "")</f>
        <v>6.765327695560254E-2</v>
      </c>
      <c r="L76" s="108">
        <f>IF(ISNUMBER(J76), $B91 * K76, "")</f>
        <v>6765.3276955602541</v>
      </c>
      <c r="M76" s="109">
        <v>986</v>
      </c>
      <c r="N76" s="107">
        <f>IF(ISNUMBER(M76), (M76 - $B76) / $B76, "")</f>
        <v>4.2283298097251586E-2</v>
      </c>
      <c r="O76" s="108">
        <f>IF(ISNUMBER(M76), $B91 * N76, "")</f>
        <v>4228.3298097251582</v>
      </c>
      <c r="Q76" s="223"/>
      <c r="R76" s="223"/>
      <c r="S76" s="223"/>
    </row>
    <row r="77" spans="1:19" ht="17.25" thickBot="1">
      <c r="A77" s="162" t="s">
        <v>51</v>
      </c>
      <c r="B77" s="126">
        <v>374</v>
      </c>
      <c r="C77" s="77">
        <v>-7.1960297800000003E-2</v>
      </c>
      <c r="D77" s="15">
        <v>382</v>
      </c>
      <c r="E77" s="32">
        <f t="shared" ref="E77:E80" si="34">IF(ISNUMBER(D77), (D77 - $B77) / $B77, "")</f>
        <v>2.1390374331550801E-2</v>
      </c>
      <c r="F77" s="18">
        <f>IF(ISNUMBER(D77), $B91 * E77, "")</f>
        <v>2139.0374331550802</v>
      </c>
      <c r="G77" s="31">
        <v>384</v>
      </c>
      <c r="H77" s="32">
        <f t="shared" ref="H77:H80" si="35">IF(ISNUMBER(G77), (G77 - $B77) / $B77, "")</f>
        <v>2.6737967914438502E-2</v>
      </c>
      <c r="I77" s="101">
        <f>IF(ISNUMBER(G77), $B91 * H77, "")</f>
        <v>2673.79679144385</v>
      </c>
      <c r="J77" s="15">
        <v>401</v>
      </c>
      <c r="K77" s="32">
        <f t="shared" ref="K77:K80" si="36">IF(ISNUMBER(J77), (J77 - $B77) / $B77, "")</f>
        <v>7.2192513368983954E-2</v>
      </c>
      <c r="L77" s="18">
        <f>IF(ISNUMBER(J77), $B91 * K77, "")</f>
        <v>7219.2513368983955</v>
      </c>
      <c r="M77" s="31">
        <v>390</v>
      </c>
      <c r="N77" s="32">
        <f t="shared" ref="N77:N80" si="37">IF(ISNUMBER(M77), (M77 - $B77) / $B77, "")</f>
        <v>4.2780748663101602E-2</v>
      </c>
      <c r="O77" s="18">
        <f>IF(ISNUMBER(M77), $B91 * N77, "")</f>
        <v>4278.0748663101604</v>
      </c>
      <c r="Q77" s="223"/>
      <c r="R77" s="223"/>
      <c r="S77" s="223"/>
    </row>
    <row r="78" spans="1:19" ht="17.25" thickBot="1">
      <c r="A78" s="162" t="s">
        <v>148</v>
      </c>
      <c r="B78" s="126">
        <v>102</v>
      </c>
      <c r="C78" s="77">
        <v>-7.2727272699999998E-2</v>
      </c>
      <c r="D78" s="15">
        <v>102</v>
      </c>
      <c r="E78" s="32">
        <f t="shared" si="34"/>
        <v>0</v>
      </c>
      <c r="F78" s="18">
        <f>IF(ISNUMBER(D78), $B91 * E78, "")</f>
        <v>0</v>
      </c>
      <c r="G78" s="31">
        <v>103</v>
      </c>
      <c r="H78" s="32">
        <f t="shared" si="35"/>
        <v>9.8039215686274508E-3</v>
      </c>
      <c r="I78" s="101">
        <f>IF(ISNUMBER(G78), $B91 * H78, "")</f>
        <v>980.39215686274508</v>
      </c>
      <c r="J78" s="15">
        <v>108</v>
      </c>
      <c r="K78" s="32">
        <f t="shared" si="36"/>
        <v>5.8823529411764705E-2</v>
      </c>
      <c r="L78" s="18">
        <f>IF(ISNUMBER(J78), $B91 * K78, "")</f>
        <v>5882.3529411764703</v>
      </c>
      <c r="M78" s="31">
        <v>103</v>
      </c>
      <c r="N78" s="32">
        <f t="shared" si="37"/>
        <v>9.8039215686274508E-3</v>
      </c>
      <c r="O78" s="18">
        <f>IF(ISNUMBER(M78), $B91 * N78, "")</f>
        <v>980.39215686274508</v>
      </c>
      <c r="Q78" s="223"/>
      <c r="R78" s="223"/>
      <c r="S78" s="223"/>
    </row>
    <row r="79" spans="1:19" ht="17.25" thickBot="1">
      <c r="A79" s="162" t="s">
        <v>250</v>
      </c>
      <c r="B79" s="126">
        <v>109</v>
      </c>
      <c r="C79" s="77">
        <v>-7.6271186399999996E-2</v>
      </c>
      <c r="D79" s="15">
        <v>108</v>
      </c>
      <c r="E79" s="32">
        <f t="shared" si="34"/>
        <v>-9.1743119266055051E-3</v>
      </c>
      <c r="F79" s="18">
        <f>IF(ISNUMBER(D79), $B91 * E79, "")</f>
        <v>-917.43119266055055</v>
      </c>
      <c r="G79" s="31">
        <v>110</v>
      </c>
      <c r="H79" s="32">
        <f t="shared" si="35"/>
        <v>9.1743119266055051E-3</v>
      </c>
      <c r="I79" s="101">
        <f>IF(ISNUMBER(G79), $B91 * H79, "")</f>
        <v>917.43119266055055</v>
      </c>
      <c r="J79" s="15">
        <v>112</v>
      </c>
      <c r="K79" s="32">
        <f t="shared" si="36"/>
        <v>2.7522935779816515E-2</v>
      </c>
      <c r="L79" s="18">
        <f>IF(ISNUMBER(J79), $B91 * K79, "")</f>
        <v>2752.2935779816517</v>
      </c>
      <c r="M79" s="31">
        <v>111</v>
      </c>
      <c r="N79" s="32">
        <f t="shared" si="37"/>
        <v>1.834862385321101E-2</v>
      </c>
      <c r="O79" s="18">
        <f>IF(ISNUMBER(M79), $B91 * N79, "")</f>
        <v>1834.8623853211011</v>
      </c>
      <c r="Q79" s="33"/>
      <c r="R79" s="33"/>
    </row>
    <row r="80" spans="1:19" ht="17.25" thickBot="1">
      <c r="A80" s="130" t="s">
        <v>57</v>
      </c>
      <c r="B80" s="131">
        <v>183</v>
      </c>
      <c r="C80" s="79">
        <v>-8.0402010100000004E-2</v>
      </c>
      <c r="D80" s="24">
        <v>187</v>
      </c>
      <c r="E80" s="25">
        <f t="shared" si="34"/>
        <v>2.185792349726776E-2</v>
      </c>
      <c r="F80" s="104">
        <f>IF(ISNUMBER(D80), $B91 * E80, "")</f>
        <v>2185.7923497267761</v>
      </c>
      <c r="G80" s="102">
        <v>190</v>
      </c>
      <c r="H80" s="25">
        <f t="shared" si="35"/>
        <v>3.825136612021858E-2</v>
      </c>
      <c r="I80" s="103">
        <f>IF(ISNUMBER(G80), $B91 * H80, "")</f>
        <v>3825.1366120218581</v>
      </c>
      <c r="J80" s="24">
        <v>193</v>
      </c>
      <c r="K80" s="25">
        <f t="shared" si="36"/>
        <v>5.4644808743169397E-2</v>
      </c>
      <c r="L80" s="104">
        <f>IF(ISNUMBER(J80), $B91 * K80, "")</f>
        <v>5464.4808743169397</v>
      </c>
      <c r="M80" s="102">
        <v>191</v>
      </c>
      <c r="N80" s="25">
        <f t="shared" si="37"/>
        <v>4.3715846994535519E-2</v>
      </c>
      <c r="O80" s="104">
        <f>IF(ISNUMBER(M80), $B91 * N80, "")</f>
        <v>4371.5846994535523</v>
      </c>
      <c r="Q80" s="224"/>
      <c r="R80" s="225"/>
      <c r="S80" s="226"/>
    </row>
    <row r="81" spans="1:19">
      <c r="A81" s="161" t="s">
        <v>296</v>
      </c>
      <c r="B81" s="124">
        <v>355</v>
      </c>
      <c r="C81" s="76">
        <v>-8.2687338499999999E-2</v>
      </c>
      <c r="D81" s="13">
        <v>369</v>
      </c>
      <c r="E81" s="14">
        <f>IF(ISNUMBER(D81), (D81 - $B81) / $B81, "")</f>
        <v>3.9436619718309862E-2</v>
      </c>
      <c r="F81" s="16">
        <f>IF(ISNUMBER(D81), $B91 * E81, "")</f>
        <v>3943.6619718309862</v>
      </c>
      <c r="G81" s="29">
        <v>371</v>
      </c>
      <c r="H81" s="14">
        <f>IF(ISNUMBER(G81), (G81 - $B81) / $B81, "")</f>
        <v>4.507042253521127E-2</v>
      </c>
      <c r="I81" s="100">
        <f>IF(ISNUMBER(G81), $B91 * H81, "")</f>
        <v>4507.0422535211273</v>
      </c>
      <c r="J81" s="13">
        <v>385</v>
      </c>
      <c r="K81" s="14">
        <f>IF(ISNUMBER(J81), (J81 - $B81) / $B81, "")</f>
        <v>8.4507042253521125E-2</v>
      </c>
      <c r="L81" s="16">
        <f>IF(ISNUMBER(J81), $B91 * K81, "")</f>
        <v>8450.7042253521122</v>
      </c>
      <c r="M81" s="29">
        <v>373</v>
      </c>
      <c r="N81" s="14">
        <f>IF(ISNUMBER(M81), (M81 - $B81) / $B81, "")</f>
        <v>5.0704225352112678E-2</v>
      </c>
      <c r="O81" s="16">
        <f>IF(ISNUMBER(M81), $B91 * N81, "")</f>
        <v>5070.422535211268</v>
      </c>
      <c r="Q81" s="227"/>
      <c r="R81" s="228"/>
      <c r="S81" s="229"/>
    </row>
    <row r="82" spans="1:19" ht="17.25" thickBot="1">
      <c r="A82" s="162" t="s">
        <v>136</v>
      </c>
      <c r="B82" s="126">
        <v>118</v>
      </c>
      <c r="C82" s="77">
        <v>-8.5271317799999996E-2</v>
      </c>
      <c r="D82" s="15">
        <v>124</v>
      </c>
      <c r="E82" s="32">
        <f t="shared" ref="E82:E85" si="38">IF(ISNUMBER(D82), (D82 - $B82) / $B82, "")</f>
        <v>5.0847457627118647E-2</v>
      </c>
      <c r="F82" s="18">
        <f>IF(ISNUMBER(D82), $B91 * E82, "")</f>
        <v>5084.7457627118647</v>
      </c>
      <c r="G82" s="31">
        <v>127</v>
      </c>
      <c r="H82" s="32">
        <f t="shared" ref="H82:H85" si="39">IF(ISNUMBER(G82), (G82 - $B82) / $B82, "")</f>
        <v>7.6271186440677971E-2</v>
      </c>
      <c r="I82" s="101">
        <f>IF(ISNUMBER(G82), $B91 * H82, "")</f>
        <v>7627.1186440677975</v>
      </c>
      <c r="J82" s="15">
        <v>130</v>
      </c>
      <c r="K82" s="32">
        <f t="shared" ref="K82:K85" si="40">IF(ISNUMBER(J82), (J82 - $B82) / $B82, "")</f>
        <v>0.10169491525423729</v>
      </c>
      <c r="L82" s="18">
        <f>IF(ISNUMBER(J82), $B91 * K82, "")</f>
        <v>10169.491525423729</v>
      </c>
      <c r="M82" s="31">
        <v>125</v>
      </c>
      <c r="N82" s="32">
        <f t="shared" ref="N82:N85" si="41">IF(ISNUMBER(M82), (M82 - $B82) / $B82, "")</f>
        <v>5.9322033898305086E-2</v>
      </c>
      <c r="O82" s="18">
        <f>IF(ISNUMBER(M82), $B91 * N82, "")</f>
        <v>5932.203389830509</v>
      </c>
      <c r="Q82" s="230"/>
      <c r="R82" s="231"/>
      <c r="S82" s="232"/>
    </row>
    <row r="83" spans="1:19" ht="17.25" thickBot="1">
      <c r="A83" s="162" t="s">
        <v>176</v>
      </c>
      <c r="B83" s="126">
        <v>982</v>
      </c>
      <c r="C83" s="77">
        <v>-8.6511627899999999E-2</v>
      </c>
      <c r="D83" s="15">
        <v>1010</v>
      </c>
      <c r="E83" s="32">
        <f t="shared" si="38"/>
        <v>2.8513238289205704E-2</v>
      </c>
      <c r="F83" s="18">
        <f>IF(ISNUMBER(D83), $B91 * E83, "")</f>
        <v>2851.3238289205706</v>
      </c>
      <c r="G83" s="31">
        <v>1030</v>
      </c>
      <c r="H83" s="32">
        <f t="shared" si="39"/>
        <v>4.8879837067209775E-2</v>
      </c>
      <c r="I83" s="101">
        <f>IF(ISNUMBER(G83), $B91 * H83, "")</f>
        <v>4887.9837067209774</v>
      </c>
      <c r="J83" s="15">
        <v>1060</v>
      </c>
      <c r="K83" s="32">
        <f t="shared" si="40"/>
        <v>7.9429735234215884E-2</v>
      </c>
      <c r="L83" s="18">
        <f>IF(ISNUMBER(J83), $B91 * K83, "")</f>
        <v>7942.9735234215887</v>
      </c>
      <c r="M83" s="31">
        <v>1015</v>
      </c>
      <c r="N83" s="32">
        <f t="shared" si="41"/>
        <v>3.360488798370672E-2</v>
      </c>
      <c r="O83" s="18">
        <f>IF(ISNUMBER(M83), $B91 * N83, "")</f>
        <v>3360.4887983706722</v>
      </c>
      <c r="Q83" s="223"/>
      <c r="R83" s="223"/>
      <c r="S83" s="223"/>
    </row>
    <row r="84" spans="1:19" ht="17.25" thickBot="1">
      <c r="A84" s="162" t="s">
        <v>80</v>
      </c>
      <c r="B84" s="126">
        <v>730</v>
      </c>
      <c r="C84" s="77">
        <v>-9.5415117699999996E-2</v>
      </c>
      <c r="D84" s="15">
        <v>750</v>
      </c>
      <c r="E84" s="32">
        <f t="shared" si="38"/>
        <v>2.7397260273972601E-2</v>
      </c>
      <c r="F84" s="18">
        <f>IF(ISNUMBER(D84), $B91 * E84, "")</f>
        <v>2739.7260273972602</v>
      </c>
      <c r="G84" s="31">
        <v>762</v>
      </c>
      <c r="H84" s="32">
        <f t="shared" si="39"/>
        <v>4.3835616438356165E-2</v>
      </c>
      <c r="I84" s="101">
        <f>IF(ISNUMBER(G84), $B91 * H84, "")</f>
        <v>4383.5616438356165</v>
      </c>
      <c r="J84" s="15">
        <v>788</v>
      </c>
      <c r="K84" s="32">
        <f t="shared" si="40"/>
        <v>7.9452054794520555E-2</v>
      </c>
      <c r="L84" s="18">
        <f>IF(ISNUMBER(J84), $B91 * K84, "")</f>
        <v>7945.2054794520554</v>
      </c>
      <c r="M84" s="31">
        <v>773</v>
      </c>
      <c r="N84" s="32">
        <f t="shared" si="41"/>
        <v>5.8904109589041097E-2</v>
      </c>
      <c r="O84" s="18">
        <f>IF(ISNUMBER(M84), $B91 * N84, "")</f>
        <v>5890.41095890411</v>
      </c>
      <c r="Q84" s="233"/>
      <c r="R84" s="233"/>
      <c r="S84" s="233"/>
    </row>
    <row r="85" spans="1:19" ht="17.25" thickBot="1">
      <c r="A85" s="163" t="s">
        <v>132</v>
      </c>
      <c r="B85" s="128">
        <v>121</v>
      </c>
      <c r="C85" s="78">
        <v>-9.7014925399999993E-2</v>
      </c>
      <c r="D85" s="20">
        <v>125</v>
      </c>
      <c r="E85" s="21">
        <f t="shared" si="38"/>
        <v>3.3057851239669422E-2</v>
      </c>
      <c r="F85" s="22">
        <f>IF(ISNUMBER(D85), $B91 * E85, "")</f>
        <v>3305.7851239669421</v>
      </c>
      <c r="G85" s="30">
        <v>129</v>
      </c>
      <c r="H85" s="21">
        <f t="shared" si="39"/>
        <v>6.6115702479338845E-2</v>
      </c>
      <c r="I85" s="105">
        <f>IF(ISNUMBER(G85), $B91 * H85, "")</f>
        <v>6611.5702479338843</v>
      </c>
      <c r="J85" s="20">
        <v>135</v>
      </c>
      <c r="K85" s="21">
        <f t="shared" si="40"/>
        <v>0.11570247933884298</v>
      </c>
      <c r="L85" s="22">
        <f>IF(ISNUMBER(J85), $B91 * K85, "")</f>
        <v>11570.247933884299</v>
      </c>
      <c r="M85" s="30">
        <v>129</v>
      </c>
      <c r="N85" s="21">
        <f t="shared" si="41"/>
        <v>6.6115702479338845E-2</v>
      </c>
      <c r="O85" s="22">
        <f>IF(ISNUMBER(M85), $B91 * N85, "")</f>
        <v>6611.5702479338843</v>
      </c>
      <c r="Q85" s="233"/>
      <c r="R85" s="233"/>
      <c r="S85" s="233"/>
    </row>
    <row r="86" spans="1:19" ht="17.25" thickBot="1">
      <c r="A86" s="162" t="s">
        <v>270</v>
      </c>
      <c r="B86" s="129">
        <v>304</v>
      </c>
      <c r="C86" s="80">
        <v>-0.100591716</v>
      </c>
      <c r="D86" s="106">
        <v>331</v>
      </c>
      <c r="E86" s="107">
        <f>IF(ISNUMBER(D86), (D86 - $B86) / $B86, "")</f>
        <v>8.8815789473684209E-2</v>
      </c>
      <c r="F86" s="108">
        <f>IF(ISNUMBER(D86), $B91 * E86, "")</f>
        <v>8881.5789473684217</v>
      </c>
      <c r="G86" s="109">
        <v>328</v>
      </c>
      <c r="H86" s="107">
        <f>IF(ISNUMBER(G86), (G86 - $B86) / $B86, "")</f>
        <v>7.8947368421052627E-2</v>
      </c>
      <c r="I86" s="110">
        <f>IF(ISNUMBER(G86), $B91 * H86, "")</f>
        <v>7894.7368421052624</v>
      </c>
      <c r="J86" s="106">
        <v>333</v>
      </c>
      <c r="K86" s="107">
        <f>IF(ISNUMBER(J86), (J86 - $B86) / $B86, "")</f>
        <v>9.5394736842105268E-2</v>
      </c>
      <c r="L86" s="108">
        <f>IF(ISNUMBER(J86), $B91 * K86, "")</f>
        <v>9539.4736842105267</v>
      </c>
      <c r="M86" s="109">
        <v>335</v>
      </c>
      <c r="N86" s="107">
        <f>IF(ISNUMBER(M86), (M86 - $B86) / $B86, "")</f>
        <v>0.10197368421052631</v>
      </c>
      <c r="O86" s="108">
        <f>IF(ISNUMBER(M86), $B91 * N86, "")</f>
        <v>10197.368421052632</v>
      </c>
      <c r="Q86" s="223"/>
      <c r="R86" s="223"/>
      <c r="S86" s="223"/>
    </row>
    <row r="87" spans="1:19" ht="17.25" thickBot="1">
      <c r="A87" s="162" t="s">
        <v>170</v>
      </c>
      <c r="B87" s="126">
        <v>249</v>
      </c>
      <c r="C87" s="77">
        <v>-0.1010830325</v>
      </c>
      <c r="D87" s="15">
        <v>261</v>
      </c>
      <c r="E87" s="32">
        <f t="shared" ref="E87:E90" si="42">IF(ISNUMBER(D87), (D87 - $B87) / $B87, "")</f>
        <v>4.8192771084337352E-2</v>
      </c>
      <c r="F87" s="18">
        <f>IF(ISNUMBER(D87), $B91 * E87, "")</f>
        <v>4819.2771084337355</v>
      </c>
      <c r="G87" s="31">
        <v>260</v>
      </c>
      <c r="H87" s="32">
        <f t="shared" ref="H87:H90" si="43">IF(ISNUMBER(G87), (G87 - $B87) / $B87, "")</f>
        <v>4.4176706827309238E-2</v>
      </c>
      <c r="I87" s="101">
        <f>IF(ISNUMBER(G87), $B91 * H87, "")</f>
        <v>4417.6706827309235</v>
      </c>
      <c r="J87" s="15">
        <v>269</v>
      </c>
      <c r="K87" s="32">
        <f t="shared" ref="K87:K90" si="44">IF(ISNUMBER(J87), (J87 - $B87) / $B87, "")</f>
        <v>8.0321285140562249E-2</v>
      </c>
      <c r="L87" s="18">
        <f>IF(ISNUMBER(J87), $B91 * K87, "")</f>
        <v>8032.128514056225</v>
      </c>
      <c r="M87" s="31">
        <v>261</v>
      </c>
      <c r="N87" s="32">
        <f t="shared" ref="N87:N90" si="45">IF(ISNUMBER(M87), (M87 - $B87) / $B87, "")</f>
        <v>4.8192771084337352E-2</v>
      </c>
      <c r="O87" s="18">
        <f>IF(ISNUMBER(M87), $B91 * N87, "")</f>
        <v>4819.2771084337355</v>
      </c>
      <c r="Q87" s="223"/>
      <c r="R87" s="223"/>
      <c r="S87" s="223"/>
    </row>
    <row r="88" spans="1:19" ht="17.25" thickBot="1">
      <c r="A88" s="162" t="s">
        <v>106</v>
      </c>
      <c r="B88" s="126">
        <v>996</v>
      </c>
      <c r="C88" s="77">
        <v>-0.1027027027</v>
      </c>
      <c r="D88" s="15">
        <v>1110</v>
      </c>
      <c r="E88" s="32">
        <f t="shared" si="42"/>
        <v>0.1144578313253012</v>
      </c>
      <c r="F88" s="18">
        <f>IF(ISNUMBER(D88), $B91 * E88, "")</f>
        <v>11445.783132530119</v>
      </c>
      <c r="G88" s="31">
        <v>1080</v>
      </c>
      <c r="H88" s="32">
        <f t="shared" si="43"/>
        <v>8.4337349397590355E-2</v>
      </c>
      <c r="I88" s="101">
        <f>IF(ISNUMBER(G88), $B91 * H88, "")</f>
        <v>8433.7349397590351</v>
      </c>
      <c r="J88" s="15">
        <v>1115</v>
      </c>
      <c r="K88" s="32">
        <f t="shared" si="44"/>
        <v>0.11947791164658635</v>
      </c>
      <c r="L88" s="18">
        <f>IF(ISNUMBER(J88), $B91 * K88, "")</f>
        <v>11947.791164658634</v>
      </c>
      <c r="M88" s="31">
        <v>1075</v>
      </c>
      <c r="N88" s="32">
        <f t="shared" si="45"/>
        <v>7.9317269076305222E-2</v>
      </c>
      <c r="O88" s="18">
        <f>IF(ISNUMBER(M88), $B91 * N88, "")</f>
        <v>7931.726907630522</v>
      </c>
      <c r="Q88" s="223"/>
      <c r="R88" s="223"/>
      <c r="S88" s="223"/>
    </row>
    <row r="89" spans="1:19">
      <c r="A89" s="162" t="s">
        <v>82</v>
      </c>
      <c r="B89" s="126">
        <v>900</v>
      </c>
      <c r="C89" s="77">
        <v>-0.1044776119</v>
      </c>
      <c r="D89" s="15">
        <v>923</v>
      </c>
      <c r="E89" s="32">
        <f t="shared" si="42"/>
        <v>2.5555555555555557E-2</v>
      </c>
      <c r="F89" s="18">
        <f>IF(ISNUMBER(D89), $B91 * E89, "")</f>
        <v>2555.5555555555557</v>
      </c>
      <c r="G89" s="31">
        <v>955</v>
      </c>
      <c r="H89" s="32">
        <f t="shared" si="43"/>
        <v>6.1111111111111109E-2</v>
      </c>
      <c r="I89" s="101">
        <f>IF(ISNUMBER(G89), $B91 * H89, "")</f>
        <v>6111.1111111111113</v>
      </c>
      <c r="J89" s="15">
        <v>984</v>
      </c>
      <c r="K89" s="32">
        <f t="shared" si="44"/>
        <v>9.3333333333333338E-2</v>
      </c>
      <c r="L89" s="18">
        <f>IF(ISNUMBER(J89), $B91 * K89, "")</f>
        <v>9333.3333333333339</v>
      </c>
      <c r="M89" s="31">
        <v>978</v>
      </c>
      <c r="N89" s="32">
        <f t="shared" si="45"/>
        <v>8.666666666666667E-2</v>
      </c>
      <c r="O89" s="18">
        <f>IF(ISNUMBER(M89), $B91 * N89, "")</f>
        <v>8666.6666666666661</v>
      </c>
      <c r="Q89" s="212"/>
      <c r="R89" s="213"/>
      <c r="S89" s="214"/>
    </row>
    <row r="90" spans="1:19" ht="17.25" thickBot="1">
      <c r="A90" s="130" t="s">
        <v>128</v>
      </c>
      <c r="B90" s="131">
        <v>308</v>
      </c>
      <c r="C90" s="79">
        <v>-0.1046511628</v>
      </c>
      <c r="D90" s="24">
        <v>331</v>
      </c>
      <c r="E90" s="25">
        <f t="shared" si="42"/>
        <v>7.4675324675324672E-2</v>
      </c>
      <c r="F90" s="104">
        <f>IF(ISNUMBER(D90), $B91 * E90, "")</f>
        <v>7467.5324675324673</v>
      </c>
      <c r="G90" s="102">
        <v>328</v>
      </c>
      <c r="H90" s="25">
        <f t="shared" si="43"/>
        <v>6.4935064935064929E-2</v>
      </c>
      <c r="I90" s="103">
        <f>IF(ISNUMBER(G90), $B91 * H90, "")</f>
        <v>6493.5064935064929</v>
      </c>
      <c r="J90" s="24">
        <v>338</v>
      </c>
      <c r="K90" s="25">
        <f t="shared" si="44"/>
        <v>9.7402597402597407E-2</v>
      </c>
      <c r="L90" s="104">
        <f>IF(ISNUMBER(J90), $B91 * K90, "")</f>
        <v>9740.2597402597403</v>
      </c>
      <c r="M90" s="102">
        <v>329</v>
      </c>
      <c r="N90" s="25">
        <f t="shared" si="45"/>
        <v>6.8181818181818177E-2</v>
      </c>
      <c r="O90" s="104">
        <f>IF(ISNUMBER(M90), $B91 * N90, "")</f>
        <v>6818.181818181818</v>
      </c>
      <c r="Q90" s="215"/>
      <c r="R90" s="216"/>
      <c r="S90" s="217"/>
    </row>
    <row r="91" spans="1:19" ht="17.25" thickBot="1">
      <c r="A91" s="132" t="s">
        <v>300</v>
      </c>
      <c r="B91" s="276">
        <f>$B$37</f>
        <v>100000</v>
      </c>
      <c r="C91" s="277"/>
      <c r="D91" s="26" t="s">
        <v>301</v>
      </c>
      <c r="E91" s="27">
        <f>IF(COUNT(E71:E90), SUM(E71:E90) / COUNT(E71:E90), 0)</f>
        <v>3.901763761524412E-2</v>
      </c>
      <c r="F91" s="28">
        <f>SUM(F71:F90)</f>
        <v>78035.275230488245</v>
      </c>
      <c r="G91" s="26" t="s">
        <v>301</v>
      </c>
      <c r="H91" s="27">
        <f>IF(COUNT(H71:H90), SUM(H71:H90) / COUNT(H71:H90), 0)</f>
        <v>5.0467774005342622E-2</v>
      </c>
      <c r="I91" s="28">
        <f>SUM(I71:I90)</f>
        <v>100935.54801068525</v>
      </c>
      <c r="J91" s="26" t="s">
        <v>301</v>
      </c>
      <c r="K91" s="27">
        <f>IF(COUNT(K71:K90), SUM(K71:K90) / COUNT(K71:K90), 0)</f>
        <v>7.6577900925482834E-2</v>
      </c>
      <c r="L91" s="28">
        <f>SUM(L71:L90)</f>
        <v>153155.80185096565</v>
      </c>
      <c r="M91" s="26" t="s">
        <v>301</v>
      </c>
      <c r="N91" s="27">
        <f>IF(COUNT(N71:N90), SUM(N71:N90) / COUNT(N71:N90), 0)</f>
        <v>5.3118364306870301E-2</v>
      </c>
      <c r="O91" s="28">
        <f>SUM(O71:O90)</f>
        <v>106236.72861374059</v>
      </c>
      <c r="Q91" s="218"/>
      <c r="R91" s="219"/>
      <c r="S91" s="220"/>
    </row>
    <row r="93" spans="1:19" ht="17.25" thickBot="1"/>
    <row r="94" spans="1:19" ht="17.25" thickBot="1">
      <c r="A94" s="234" t="s">
        <v>46</v>
      </c>
      <c r="B94" s="235"/>
      <c r="C94" s="235"/>
      <c r="D94" s="235"/>
      <c r="E94" s="235"/>
      <c r="F94" s="235"/>
      <c r="G94" s="235"/>
      <c r="H94" s="235"/>
      <c r="I94" s="235"/>
      <c r="J94" s="235"/>
      <c r="K94" s="235"/>
      <c r="L94" s="235"/>
      <c r="M94" s="235"/>
      <c r="N94" s="235"/>
      <c r="O94" s="236"/>
      <c r="Q94" s="233"/>
      <c r="R94" s="233"/>
      <c r="S94" s="233"/>
    </row>
    <row r="95" spans="1:19" ht="17.25" thickBot="1">
      <c r="A95" s="192" t="s">
        <v>297</v>
      </c>
      <c r="B95" s="234" t="s">
        <v>49</v>
      </c>
      <c r="C95" s="236"/>
      <c r="D95" s="234" t="s">
        <v>58</v>
      </c>
      <c r="E95" s="235"/>
      <c r="F95" s="236"/>
      <c r="G95" s="237">
        <f>_xlfn.IFNA(VLOOKUP(B95, 현재가테이블!$B$2:$D$200, 2, FALSE), "-")</f>
        <v>41418000</v>
      </c>
      <c r="H95" s="238"/>
      <c r="I95" s="239"/>
      <c r="J95" s="234" t="s">
        <v>59</v>
      </c>
      <c r="K95" s="235"/>
      <c r="L95" s="236"/>
      <c r="M95" s="240">
        <f>_xlfn.IFNA(VLOOKUP(B95, 현재가테이블!$B$2:$D$200, 3, FALSE), "-")</f>
        <v>-5.2176301000000001E-2</v>
      </c>
      <c r="N95" s="241"/>
      <c r="O95" s="242"/>
      <c r="Q95" s="233"/>
      <c r="R95" s="233"/>
      <c r="S95" s="233"/>
    </row>
    <row r="96" spans="1:19" ht="17.25" thickBot="1">
      <c r="A96" s="278" t="s">
        <v>55</v>
      </c>
      <c r="B96" s="274" t="str">
        <f>TEXT($G$1, "[$-ko-KR]yyyy-mm-dd(ddd) ") &amp; "오전 00:00"</f>
        <v>2021-06-09(수) 오전 00:00</v>
      </c>
      <c r="C96" s="275"/>
      <c r="D96" s="247" t="str">
        <f>TEXT($G$1, "[$-ko-KR]yyyy-mm-dd(ddd) ") &amp; "오후 14:00"</f>
        <v>2021-06-09(수) 오후 14:00</v>
      </c>
      <c r="E96" s="248"/>
      <c r="F96" s="249"/>
      <c r="G96" s="247" t="str">
        <f>TEXT($G$1, "[$-ko-KR]yyyy-mm-dd(ddd) ") &amp; "오후 19:00"</f>
        <v>2021-06-09(수) 오후 19:00</v>
      </c>
      <c r="H96" s="248"/>
      <c r="I96" s="249"/>
      <c r="J96" s="247" t="str">
        <f>TEXT($G$1, "[$-ko-KR]yyyy-mm-dd(ddd) ") &amp; "오후 21:00"</f>
        <v>2021-06-09(수) 오후 21:00</v>
      </c>
      <c r="K96" s="248"/>
      <c r="L96" s="249"/>
      <c r="M96" s="247" t="str">
        <f>TEXT($G$1+1, "[$-ko-KR]yyyy-mm-dd(ddd) ") &amp; "오전 00:00"</f>
        <v>2021-06-10(목) 오전 00:00</v>
      </c>
      <c r="N96" s="248"/>
      <c r="O96" s="249"/>
      <c r="Q96" s="233"/>
      <c r="R96" s="233"/>
      <c r="S96" s="233"/>
    </row>
    <row r="97" spans="1:19" ht="17.25" thickBot="1">
      <c r="A97" s="279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93" t="s">
        <v>58</v>
      </c>
      <c r="H97" s="194" t="s">
        <v>298</v>
      </c>
      <c r="I97" s="19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3"/>
      <c r="R97" s="223"/>
      <c r="S97" s="223"/>
    </row>
    <row r="98" spans="1:19" ht="17.25" thickBot="1">
      <c r="A98" s="161" t="s">
        <v>142</v>
      </c>
      <c r="B98" s="124">
        <v>616</v>
      </c>
      <c r="C98" s="76">
        <v>0.16226415089999999</v>
      </c>
      <c r="D98" s="13">
        <v>715</v>
      </c>
      <c r="E98" s="14">
        <f>IF(ISNUMBER(D98), (D98 - $B98) / $B98, "")</f>
        <v>0.16071428571428573</v>
      </c>
      <c r="F98" s="16">
        <f>IF(ISNUMBER(D98), $B118 * E98, "")</f>
        <v>16071.428571428572</v>
      </c>
      <c r="G98" s="29">
        <v>740</v>
      </c>
      <c r="H98" s="14">
        <f>IF(ISNUMBER(G98), (G98 - $B98) / $B98, "")</f>
        <v>0.20129870129870131</v>
      </c>
      <c r="I98" s="100">
        <f>IF(ISNUMBER(G98), $B118 * H98, "")</f>
        <v>20129.870129870131</v>
      </c>
      <c r="J98" s="13">
        <v>708</v>
      </c>
      <c r="K98" s="14">
        <f>IF(ISNUMBER(J98), (J98 - $B98) / $B98, "")</f>
        <v>0.14935064935064934</v>
      </c>
      <c r="L98" s="16">
        <f>IF(ISNUMBER(J98), $B118 * K98, "")</f>
        <v>14935.064935064935</v>
      </c>
      <c r="M98" s="29">
        <v>709</v>
      </c>
      <c r="N98" s="14">
        <f>IF(ISNUMBER(M98), (M98 - $B98) / $B98, "")</f>
        <v>0.15097402597402598</v>
      </c>
      <c r="O98" s="16">
        <f>IF(ISNUMBER(M98), $B118 * N98, "")</f>
        <v>15097.402597402599</v>
      </c>
      <c r="Q98" s="233"/>
      <c r="R98" s="233"/>
      <c r="S98" s="233"/>
    </row>
    <row r="99" spans="1:19" ht="17.25" thickBot="1">
      <c r="A99" s="162" t="s">
        <v>108</v>
      </c>
      <c r="B99" s="126">
        <v>31370</v>
      </c>
      <c r="C99" s="77">
        <v>0.1112291888</v>
      </c>
      <c r="D99" s="15">
        <v>32300</v>
      </c>
      <c r="E99" s="32">
        <f t="shared" ref="E99:E102" si="46">IF(ISNUMBER(D99), (D99 - $B99) / $B99, "")</f>
        <v>2.9646158750398471E-2</v>
      </c>
      <c r="F99" s="18">
        <f>IF(ISNUMBER(D99), $B118 * E99, "")</f>
        <v>2964.6158750398472</v>
      </c>
      <c r="G99" s="31">
        <v>33520</v>
      </c>
      <c r="H99" s="32">
        <f t="shared" ref="H99:H102" si="47">IF(ISNUMBER(G99), (G99 - $B99) / $B99, "")</f>
        <v>6.853681861651259E-2</v>
      </c>
      <c r="I99" s="101">
        <f>IF(ISNUMBER(G99), $B118 * H99, "")</f>
        <v>6853.6818616512592</v>
      </c>
      <c r="J99" s="15">
        <v>33180</v>
      </c>
      <c r="K99" s="32">
        <f t="shared" ref="K99:K102" si="48">IF(ISNUMBER(J99), (J99 - $B99) / $B99, "")</f>
        <v>5.7698437998087347E-2</v>
      </c>
      <c r="L99" s="18">
        <f>IF(ISNUMBER(J99), $B118 * K99, "")</f>
        <v>5769.8437998087347</v>
      </c>
      <c r="M99" s="31">
        <v>32230</v>
      </c>
      <c r="N99" s="32">
        <f t="shared" ref="N99:N102" si="49">IF(ISNUMBER(M99), (M99 - $B99) / $B99, "")</f>
        <v>2.7414727446605038E-2</v>
      </c>
      <c r="O99" s="18">
        <f>IF(ISNUMBER(M99), $B118 * N99, "")</f>
        <v>2741.4727446605038</v>
      </c>
      <c r="Q99" s="233"/>
      <c r="R99" s="233"/>
      <c r="S99" s="233"/>
    </row>
    <row r="100" spans="1:19" ht="17.25" thickBot="1">
      <c r="A100" s="162" t="s">
        <v>216</v>
      </c>
      <c r="B100" s="126">
        <v>256</v>
      </c>
      <c r="C100" s="77">
        <v>-3.8910505999999998E-3</v>
      </c>
      <c r="D100" s="15">
        <v>242</v>
      </c>
      <c r="E100" s="32">
        <f t="shared" si="46"/>
        <v>-5.46875E-2</v>
      </c>
      <c r="F100" s="18">
        <f>IF(ISNUMBER(D100), $B118 * E100, "")</f>
        <v>-5468.75</v>
      </c>
      <c r="G100" s="31">
        <v>244</v>
      </c>
      <c r="H100" s="32">
        <f t="shared" si="47"/>
        <v>-4.6875E-2</v>
      </c>
      <c r="I100" s="101">
        <f>IF(ISNUMBER(G100), $B118 * H100, "")</f>
        <v>-4687.5</v>
      </c>
      <c r="J100" s="15">
        <v>251</v>
      </c>
      <c r="K100" s="32">
        <f t="shared" si="48"/>
        <v>-1.953125E-2</v>
      </c>
      <c r="L100" s="18">
        <f>IF(ISNUMBER(J100), $B118 * K100, "")</f>
        <v>-1953.125</v>
      </c>
      <c r="M100" s="31">
        <v>248</v>
      </c>
      <c r="N100" s="32">
        <f t="shared" si="49"/>
        <v>-3.125E-2</v>
      </c>
      <c r="O100" s="18">
        <f>IF(ISNUMBER(M100), $B118 * N100, "")</f>
        <v>-3125</v>
      </c>
      <c r="Q100" s="223"/>
      <c r="R100" s="223"/>
      <c r="S100" s="223"/>
    </row>
    <row r="101" spans="1:19" ht="17.25" thickBot="1">
      <c r="A101" s="162" t="s">
        <v>236</v>
      </c>
      <c r="B101" s="126">
        <v>50.6</v>
      </c>
      <c r="C101" s="77">
        <v>-1.171875E-2</v>
      </c>
      <c r="D101" s="15">
        <v>50.8</v>
      </c>
      <c r="E101" s="32">
        <f t="shared" si="46"/>
        <v>3.9525691699603899E-3</v>
      </c>
      <c r="F101" s="18">
        <f>IF(ISNUMBER(D101), $B118 * E101, "")</f>
        <v>395.25691699603897</v>
      </c>
      <c r="G101" s="31">
        <v>51.1</v>
      </c>
      <c r="H101" s="32">
        <f t="shared" si="47"/>
        <v>9.881422924901186E-3</v>
      </c>
      <c r="I101" s="101">
        <f>IF(ISNUMBER(G101), $B118 * H101, "")</f>
        <v>988.14229249011862</v>
      </c>
      <c r="J101" s="15">
        <v>51</v>
      </c>
      <c r="K101" s="32">
        <f t="shared" si="48"/>
        <v>7.9051383399209203E-3</v>
      </c>
      <c r="L101" s="18">
        <f>IF(ISNUMBER(J101), $B118 * K101, "")</f>
        <v>790.51383399209203</v>
      </c>
      <c r="M101" s="31">
        <v>51.3</v>
      </c>
      <c r="N101" s="32">
        <f t="shared" si="49"/>
        <v>1.3833992094861575E-2</v>
      </c>
      <c r="O101" s="18">
        <f>IF(ISNUMBER(M101), $B118 * N101, "")</f>
        <v>1383.3992094861576</v>
      </c>
      <c r="Q101" s="223"/>
      <c r="R101" s="223"/>
      <c r="S101" s="223"/>
    </row>
    <row r="102" spans="1:19" ht="17.25" thickBot="1">
      <c r="A102" s="163" t="s">
        <v>114</v>
      </c>
      <c r="B102" s="128">
        <v>9865</v>
      </c>
      <c r="C102" s="78">
        <v>-2.32673267E-2</v>
      </c>
      <c r="D102" s="20">
        <v>10400</v>
      </c>
      <c r="E102" s="21">
        <f t="shared" si="46"/>
        <v>5.4232133806386217E-2</v>
      </c>
      <c r="F102" s="22">
        <f>IF(ISNUMBER(D102), $B118 * E102, "")</f>
        <v>5423.2133806386219</v>
      </c>
      <c r="G102" s="30">
        <v>10720</v>
      </c>
      <c r="H102" s="21">
        <f t="shared" si="47"/>
        <v>8.6670045615813485E-2</v>
      </c>
      <c r="I102" s="105">
        <f>IF(ISNUMBER(G102), $B118 * H102, "")</f>
        <v>8667.0045615813488</v>
      </c>
      <c r="J102" s="20">
        <v>10900</v>
      </c>
      <c r="K102" s="21">
        <f t="shared" si="48"/>
        <v>0.10491637100861632</v>
      </c>
      <c r="L102" s="22">
        <f>IF(ISNUMBER(J102), $B118 * K102, "")</f>
        <v>10491.637100861632</v>
      </c>
      <c r="M102" s="30">
        <v>10700</v>
      </c>
      <c r="N102" s="21">
        <f t="shared" si="49"/>
        <v>8.4642676127724276E-2</v>
      </c>
      <c r="O102" s="22">
        <f>IF(ISNUMBER(M102), $B118 * N102, "")</f>
        <v>8464.267612772428</v>
      </c>
      <c r="Q102" s="223"/>
      <c r="R102" s="223"/>
      <c r="S102" s="223"/>
    </row>
    <row r="103" spans="1:19" ht="17.25" thickBot="1">
      <c r="A103" s="162" t="s">
        <v>196</v>
      </c>
      <c r="B103" s="129">
        <v>10.7</v>
      </c>
      <c r="C103" s="80">
        <v>-3.6036036E-2</v>
      </c>
      <c r="D103" s="106">
        <v>10.5</v>
      </c>
      <c r="E103" s="107">
        <f>IF(ISNUMBER(D103), (D103 - $B103) / $B103, "")</f>
        <v>-1.8691588785046665E-2</v>
      </c>
      <c r="F103" s="108">
        <f>IF(ISNUMBER(D103), $B118 * E103, "")</f>
        <v>-1869.1588785046665</v>
      </c>
      <c r="G103" s="109">
        <v>10.5</v>
      </c>
      <c r="H103" s="107">
        <f>IF(ISNUMBER(G103), (G103 - $B103) / $B103, "")</f>
        <v>-1.8691588785046665E-2</v>
      </c>
      <c r="I103" s="110">
        <f>IF(ISNUMBER(G103), $B118 * H103, "")</f>
        <v>-1869.1588785046665</v>
      </c>
      <c r="J103" s="106">
        <v>10.8</v>
      </c>
      <c r="K103" s="107">
        <f>IF(ISNUMBER(J103), (J103 - $B103) / $B103, "")</f>
        <v>9.3457943925234974E-3</v>
      </c>
      <c r="L103" s="108">
        <f>IF(ISNUMBER(J103), $B118 * K103, "")</f>
        <v>934.57943925234974</v>
      </c>
      <c r="M103" s="109">
        <v>10.6</v>
      </c>
      <c r="N103" s="107">
        <f>IF(ISNUMBER(M103), (M103 - $B103) / $B103, "")</f>
        <v>-9.3457943925233326E-3</v>
      </c>
      <c r="O103" s="108">
        <f>IF(ISNUMBER(M103), $B118 * N103, "")</f>
        <v>-934.57943925233326</v>
      </c>
      <c r="Q103" s="223"/>
      <c r="R103" s="223"/>
      <c r="S103" s="223"/>
    </row>
    <row r="104" spans="1:19" ht="17.25" thickBot="1">
      <c r="A104" s="162" t="s">
        <v>100</v>
      </c>
      <c r="B104" s="126">
        <v>4.0599999999999996</v>
      </c>
      <c r="C104" s="77">
        <v>-3.7914691899999999E-2</v>
      </c>
      <c r="D104" s="15">
        <v>4.1500000000000004</v>
      </c>
      <c r="E104" s="32">
        <f t="shared" ref="E104:E107" si="50">IF(ISNUMBER(D104), (D104 - $B104) / $B104, "")</f>
        <v>2.2167487684729249E-2</v>
      </c>
      <c r="F104" s="18">
        <f>IF(ISNUMBER(D104), $B118 * E104, "")</f>
        <v>2216.7487684729249</v>
      </c>
      <c r="G104" s="31">
        <v>4.1900000000000004</v>
      </c>
      <c r="H104" s="32">
        <f t="shared" ref="H104:H107" si="51">IF(ISNUMBER(G104), (G104 - $B104) / $B104, "")</f>
        <v>3.2019704433497734E-2</v>
      </c>
      <c r="I104" s="101">
        <f>IF(ISNUMBER(G104), $B118 * H104, "")</f>
        <v>3201.9704433497732</v>
      </c>
      <c r="J104" s="15">
        <v>4.29</v>
      </c>
      <c r="K104" s="32">
        <f t="shared" ref="K104:K107" si="52">IF(ISNUMBER(J104), (J104 - $B104) / $B104, "")</f>
        <v>5.665024630541883E-2</v>
      </c>
      <c r="L104" s="18">
        <f>IF(ISNUMBER(J104), $B118 * K104, "")</f>
        <v>5665.0246305418832</v>
      </c>
      <c r="M104" s="31">
        <v>4.18</v>
      </c>
      <c r="N104" s="32">
        <f t="shared" ref="N104:N107" si="53">IF(ISNUMBER(M104), (M104 - $B104) / $B104, "")</f>
        <v>2.9556650246305449E-2</v>
      </c>
      <c r="O104" s="18">
        <f>IF(ISNUMBER(M104), $B118 * N104, "")</f>
        <v>2955.6650246305448</v>
      </c>
      <c r="Q104" s="223"/>
      <c r="R104" s="223"/>
      <c r="S104" s="223"/>
    </row>
    <row r="105" spans="1:19" ht="17.25" thickBot="1">
      <c r="A105" s="162" t="s">
        <v>156</v>
      </c>
      <c r="B105" s="126">
        <v>79.900000000000006</v>
      </c>
      <c r="C105" s="77">
        <v>-3.9663461499999997E-2</v>
      </c>
      <c r="D105" s="15">
        <v>81.7</v>
      </c>
      <c r="E105" s="32">
        <f t="shared" si="50"/>
        <v>2.2528160200250277E-2</v>
      </c>
      <c r="F105" s="18">
        <f>IF(ISNUMBER(D105), $B118 * E105, "")</f>
        <v>2252.8160200250277</v>
      </c>
      <c r="G105" s="31">
        <v>82.9</v>
      </c>
      <c r="H105" s="32">
        <f t="shared" si="51"/>
        <v>3.7546933667083851E-2</v>
      </c>
      <c r="I105" s="101">
        <f>IF(ISNUMBER(G105), $B118 * H105, "")</f>
        <v>3754.6933667083849</v>
      </c>
      <c r="J105" s="15">
        <v>85.3</v>
      </c>
      <c r="K105" s="32">
        <f t="shared" si="52"/>
        <v>6.7584480600750826E-2</v>
      </c>
      <c r="L105" s="18">
        <f>IF(ISNUMBER(J105), $B118 * K105, "")</f>
        <v>6758.448060075083</v>
      </c>
      <c r="M105" s="31">
        <v>83.2</v>
      </c>
      <c r="N105" s="32">
        <f t="shared" si="53"/>
        <v>4.1301627033792199E-2</v>
      </c>
      <c r="O105" s="18">
        <f>IF(ISNUMBER(M105), $B118 * N105, "")</f>
        <v>4130.1627033792201</v>
      </c>
      <c r="Q105" s="223"/>
      <c r="R105" s="223"/>
      <c r="S105" s="223"/>
    </row>
    <row r="106" spans="1:19" ht="17.25" thickBot="1">
      <c r="A106" s="162" t="s">
        <v>112</v>
      </c>
      <c r="B106" s="126">
        <v>168</v>
      </c>
      <c r="C106" s="77">
        <v>-4.5454545499999999E-2</v>
      </c>
      <c r="D106" s="15">
        <v>171</v>
      </c>
      <c r="E106" s="32">
        <f t="shared" si="50"/>
        <v>1.7857142857142856E-2</v>
      </c>
      <c r="F106" s="18">
        <f>IF(ISNUMBER(D106), $B118 * E106, "")</f>
        <v>1785.7142857142856</v>
      </c>
      <c r="G106" s="31">
        <v>171</v>
      </c>
      <c r="H106" s="32">
        <f t="shared" si="51"/>
        <v>1.7857142857142856E-2</v>
      </c>
      <c r="I106" s="101">
        <f>IF(ISNUMBER(G106), $B118 * H106, "")</f>
        <v>1785.7142857142856</v>
      </c>
      <c r="J106" s="15">
        <v>172</v>
      </c>
      <c r="K106" s="32">
        <f t="shared" si="52"/>
        <v>2.3809523809523808E-2</v>
      </c>
      <c r="L106" s="18">
        <f>IF(ISNUMBER(J106), $B118 * K106, "")</f>
        <v>2380.9523809523807</v>
      </c>
      <c r="M106" s="31">
        <v>173</v>
      </c>
      <c r="N106" s="32">
        <f t="shared" si="53"/>
        <v>2.976190476190476E-2</v>
      </c>
      <c r="O106" s="18">
        <f>IF(ISNUMBER(M106), $B118 * N106, "")</f>
        <v>2976.1904761904761</v>
      </c>
      <c r="Q106" s="33"/>
      <c r="R106" s="33"/>
    </row>
    <row r="107" spans="1:19" ht="17.25" thickBot="1">
      <c r="A107" s="130" t="s">
        <v>94</v>
      </c>
      <c r="B107" s="131">
        <v>56390</v>
      </c>
      <c r="C107" s="79">
        <v>-4.9232844400000003E-2</v>
      </c>
      <c r="D107" s="24">
        <v>72050</v>
      </c>
      <c r="E107" s="25">
        <f t="shared" si="50"/>
        <v>0.27770881361943606</v>
      </c>
      <c r="F107" s="104">
        <f>IF(ISNUMBER(D107), $B118 * E107, "")</f>
        <v>27770.881361943604</v>
      </c>
      <c r="G107" s="102">
        <v>74200</v>
      </c>
      <c r="H107" s="25">
        <f t="shared" si="51"/>
        <v>0.31583614115978009</v>
      </c>
      <c r="I107" s="103">
        <f>IF(ISNUMBER(G107), $B118 * H107, "")</f>
        <v>31583.614115978009</v>
      </c>
      <c r="J107" s="24">
        <v>77510</v>
      </c>
      <c r="K107" s="25">
        <f t="shared" si="52"/>
        <v>0.37453449193119348</v>
      </c>
      <c r="L107" s="104">
        <f>IF(ISNUMBER(J107), $B118 * K107, "")</f>
        <v>37453.449193119348</v>
      </c>
      <c r="M107" s="102">
        <v>73990</v>
      </c>
      <c r="N107" s="25">
        <f t="shared" si="53"/>
        <v>0.31211207660932788</v>
      </c>
      <c r="O107" s="104">
        <f>IF(ISNUMBER(M107), $B118 * N107, "")</f>
        <v>31211.207660932789</v>
      </c>
      <c r="Q107" s="224"/>
      <c r="R107" s="225"/>
      <c r="S107" s="226"/>
    </row>
    <row r="108" spans="1:19">
      <c r="A108" s="161" t="s">
        <v>172</v>
      </c>
      <c r="B108" s="124">
        <v>13.5</v>
      </c>
      <c r="C108" s="76">
        <v>-4.9295774600000002E-2</v>
      </c>
      <c r="D108" s="13">
        <v>13.4</v>
      </c>
      <c r="E108" s="14">
        <f>IF(ISNUMBER(D108), (D108 - $B108) / $B108, "")</f>
        <v>-7.4074074074073808E-3</v>
      </c>
      <c r="F108" s="16">
        <f>IF(ISNUMBER(D108), $B118 * E108, "")</f>
        <v>-740.74074074073803</v>
      </c>
      <c r="G108" s="29">
        <v>13.3</v>
      </c>
      <c r="H108" s="14">
        <f>IF(ISNUMBER(G108), (G108 - $B108) / $B108, "")</f>
        <v>-1.4814814814814762E-2</v>
      </c>
      <c r="I108" s="100">
        <f>IF(ISNUMBER(G108), $B118 * H108, "")</f>
        <v>-1481.4814814814761</v>
      </c>
      <c r="J108" s="13">
        <v>13.5</v>
      </c>
      <c r="K108" s="14">
        <f>IF(ISNUMBER(J108), (J108 - $B108) / $B108, "")</f>
        <v>0</v>
      </c>
      <c r="L108" s="16">
        <f>IF(ISNUMBER(J108), $B118 * K108, "")</f>
        <v>0</v>
      </c>
      <c r="M108" s="29">
        <v>13.4</v>
      </c>
      <c r="N108" s="14">
        <f>IF(ISNUMBER(M108), (M108 - $B108) / $B108, "")</f>
        <v>-7.4074074074073808E-3</v>
      </c>
      <c r="O108" s="16">
        <f>IF(ISNUMBER(M108), $B118 * N108, "")</f>
        <v>-740.74074074073803</v>
      </c>
      <c r="Q108" s="227"/>
      <c r="R108" s="228"/>
      <c r="S108" s="229"/>
    </row>
    <row r="109" spans="1:19" ht="17.25" thickBot="1">
      <c r="A109" s="162" t="s">
        <v>120</v>
      </c>
      <c r="B109" s="126">
        <v>126</v>
      </c>
      <c r="C109" s="77">
        <v>-5.2631578900000003E-2</v>
      </c>
      <c r="D109" s="15">
        <v>128</v>
      </c>
      <c r="E109" s="32">
        <f t="shared" ref="E109:E112" si="54">IF(ISNUMBER(D109), (D109 - $B109) / $B109, "")</f>
        <v>1.5873015873015872E-2</v>
      </c>
      <c r="F109" s="18">
        <f>IF(ISNUMBER(D109), $B118 * E109, "")</f>
        <v>1587.3015873015872</v>
      </c>
      <c r="G109" s="31">
        <v>133</v>
      </c>
      <c r="H109" s="32">
        <f t="shared" ref="H109:H112" si="55">IF(ISNUMBER(G109), (G109 - $B109) / $B109, "")</f>
        <v>5.5555555555555552E-2</v>
      </c>
      <c r="I109" s="101">
        <f>IF(ISNUMBER(G109), $B118 * H109, "")</f>
        <v>5555.5555555555557</v>
      </c>
      <c r="J109" s="15">
        <v>135</v>
      </c>
      <c r="K109" s="32">
        <f t="shared" ref="K109:K112" si="56">IF(ISNUMBER(J109), (J109 - $B109) / $B109, "")</f>
        <v>7.1428571428571425E-2</v>
      </c>
      <c r="L109" s="18">
        <f>IF(ISNUMBER(J109), $B118 * K109, "")</f>
        <v>7142.8571428571422</v>
      </c>
      <c r="M109" s="31">
        <v>134</v>
      </c>
      <c r="N109" s="32">
        <f t="shared" ref="N109:N112" si="57">IF(ISNUMBER(M109), (M109 - $B109) / $B109, "")</f>
        <v>6.3492063492063489E-2</v>
      </c>
      <c r="O109" s="18">
        <f>IF(ISNUMBER(M109), $B118 * N109, "")</f>
        <v>6349.2063492063489</v>
      </c>
      <c r="Q109" s="230"/>
      <c r="R109" s="231"/>
      <c r="S109" s="232"/>
    </row>
    <row r="110" spans="1:19" ht="17.25" thickBot="1">
      <c r="A110" s="162" t="s">
        <v>278</v>
      </c>
      <c r="B110" s="126">
        <v>70.900000000000006</v>
      </c>
      <c r="C110" s="77">
        <v>-5.5925432800000001E-2</v>
      </c>
      <c r="D110" s="15">
        <v>73.099999999999994</v>
      </c>
      <c r="E110" s="32">
        <f t="shared" si="54"/>
        <v>3.1029619181946241E-2</v>
      </c>
      <c r="F110" s="18">
        <f>IF(ISNUMBER(D110), $B118 * E110, "")</f>
        <v>3102.9619181946241</v>
      </c>
      <c r="G110" s="31">
        <v>74.7</v>
      </c>
      <c r="H110" s="32">
        <f t="shared" si="55"/>
        <v>5.3596614950634655E-2</v>
      </c>
      <c r="I110" s="101">
        <f>IF(ISNUMBER(G110), $B118 * H110, "")</f>
        <v>5359.6614950634657</v>
      </c>
      <c r="J110" s="15">
        <v>76.3</v>
      </c>
      <c r="K110" s="32">
        <f t="shared" si="56"/>
        <v>7.6163610719322858E-2</v>
      </c>
      <c r="L110" s="18">
        <f>IF(ISNUMBER(J110), $B118 * K110, "")</f>
        <v>7616.361071932286</v>
      </c>
      <c r="M110" s="31">
        <v>75.5</v>
      </c>
      <c r="N110" s="32">
        <f t="shared" si="57"/>
        <v>6.4880112834978756E-2</v>
      </c>
      <c r="O110" s="18">
        <f>IF(ISNUMBER(M110), $B118 * N110, "")</f>
        <v>6488.0112834978754</v>
      </c>
      <c r="Q110" s="223"/>
      <c r="R110" s="223"/>
      <c r="S110" s="223"/>
    </row>
    <row r="111" spans="1:19" ht="17.25" thickBot="1">
      <c r="A111" s="162" t="s">
        <v>49</v>
      </c>
      <c r="B111" s="126">
        <v>36819000</v>
      </c>
      <c r="C111" s="77">
        <v>-5.7469793200000001E-2</v>
      </c>
      <c r="D111" s="15">
        <v>37925000</v>
      </c>
      <c r="E111" s="32">
        <f t="shared" si="54"/>
        <v>3.0038838643091884E-2</v>
      </c>
      <c r="F111" s="18">
        <f>IF(ISNUMBER(D111), $B118 * E111, "")</f>
        <v>3003.8838643091885</v>
      </c>
      <c r="G111" s="31">
        <v>39193000</v>
      </c>
      <c r="H111" s="32">
        <f t="shared" si="55"/>
        <v>6.4477579510578781E-2</v>
      </c>
      <c r="I111" s="101">
        <f>IF(ISNUMBER(G111), $B118 * H111, "")</f>
        <v>6447.757951057878</v>
      </c>
      <c r="J111" s="15">
        <v>40595000</v>
      </c>
      <c r="K111" s="32">
        <f t="shared" si="56"/>
        <v>0.10255574567478748</v>
      </c>
      <c r="L111" s="18">
        <f>IF(ISNUMBER(J111), $B118 * K111, "")</f>
        <v>10255.574567478749</v>
      </c>
      <c r="M111" s="31">
        <v>40074000</v>
      </c>
      <c r="N111" s="32">
        <f t="shared" si="57"/>
        <v>8.840544284201092E-2</v>
      </c>
      <c r="O111" s="18">
        <f>IF(ISNUMBER(M111), $B118 * N111, "")</f>
        <v>8840.5442842010925</v>
      </c>
      <c r="Q111" s="233"/>
      <c r="R111" s="233"/>
      <c r="S111" s="233"/>
    </row>
    <row r="112" spans="1:19" ht="17.25" thickBot="1">
      <c r="A112" s="163" t="s">
        <v>54</v>
      </c>
      <c r="B112" s="128">
        <v>228</v>
      </c>
      <c r="C112" s="78">
        <v>-5.7851239700000001E-2</v>
      </c>
      <c r="D112" s="20">
        <v>238</v>
      </c>
      <c r="E112" s="21">
        <f t="shared" si="54"/>
        <v>4.3859649122807015E-2</v>
      </c>
      <c r="F112" s="22">
        <f>IF(ISNUMBER(D112), $B118 * E112, "")</f>
        <v>4385.9649122807014</v>
      </c>
      <c r="G112" s="30">
        <v>237</v>
      </c>
      <c r="H112" s="21">
        <f t="shared" si="55"/>
        <v>3.9473684210526314E-2</v>
      </c>
      <c r="I112" s="105">
        <f>IF(ISNUMBER(G112), $B118 * H112, "")</f>
        <v>3947.3684210526312</v>
      </c>
      <c r="J112" s="20">
        <v>246</v>
      </c>
      <c r="K112" s="21">
        <f t="shared" si="56"/>
        <v>7.8947368421052627E-2</v>
      </c>
      <c r="L112" s="22">
        <f>IF(ISNUMBER(J112), $B118 * K112, "")</f>
        <v>7894.7368421052624</v>
      </c>
      <c r="M112" s="30">
        <v>237</v>
      </c>
      <c r="N112" s="21">
        <f t="shared" si="57"/>
        <v>3.9473684210526314E-2</v>
      </c>
      <c r="O112" s="22">
        <f>IF(ISNUMBER(M112), $B118 * N112, "")</f>
        <v>3947.3684210526312</v>
      </c>
      <c r="Q112" s="233"/>
      <c r="R112" s="233"/>
      <c r="S112" s="233"/>
    </row>
    <row r="113" spans="1:19" ht="17.25" thickBot="1">
      <c r="A113" s="162" t="s">
        <v>92</v>
      </c>
      <c r="B113" s="129">
        <v>946</v>
      </c>
      <c r="C113" s="80">
        <v>-5.8706467700000001E-2</v>
      </c>
      <c r="D113" s="106">
        <v>976</v>
      </c>
      <c r="E113" s="107">
        <f>IF(ISNUMBER(D113), (D113 - $B113) / $B113, "")</f>
        <v>3.1712473572938688E-2</v>
      </c>
      <c r="F113" s="108">
        <f>IF(ISNUMBER(D113), $B118 * E113, "")</f>
        <v>3171.2473572938688</v>
      </c>
      <c r="G113" s="109">
        <v>988</v>
      </c>
      <c r="H113" s="107">
        <f>IF(ISNUMBER(G113), (G113 - $B113) / $B113, "")</f>
        <v>4.4397463002114168E-2</v>
      </c>
      <c r="I113" s="110">
        <f>IF(ISNUMBER(G113), $B118 * H113, "")</f>
        <v>4439.7463002114164</v>
      </c>
      <c r="J113" s="106">
        <v>1010</v>
      </c>
      <c r="K113" s="107">
        <f>IF(ISNUMBER(J113), (J113 - $B113) / $B113, "")</f>
        <v>6.765327695560254E-2</v>
      </c>
      <c r="L113" s="108">
        <f>IF(ISNUMBER(J113), $B118 * K113, "")</f>
        <v>6765.3276955602541</v>
      </c>
      <c r="M113" s="109">
        <v>986</v>
      </c>
      <c r="N113" s="107">
        <f>IF(ISNUMBER(M113), (M113 - $B113) / $B113, "")</f>
        <v>4.2283298097251586E-2</v>
      </c>
      <c r="O113" s="108">
        <f>IF(ISNUMBER(M113), $B118 * N113, "")</f>
        <v>4228.3298097251582</v>
      </c>
      <c r="Q113" s="223"/>
      <c r="R113" s="223"/>
      <c r="S113" s="223"/>
    </row>
    <row r="114" spans="1:19" ht="17.25" thickBot="1">
      <c r="A114" s="162" t="s">
        <v>138</v>
      </c>
      <c r="B114" s="126">
        <v>23680</v>
      </c>
      <c r="C114" s="77">
        <v>-6.0690202300000003E-2</v>
      </c>
      <c r="D114" s="15">
        <v>24130</v>
      </c>
      <c r="E114" s="32">
        <f t="shared" ref="E114:E117" si="58">IF(ISNUMBER(D114), (D114 - $B114) / $B114, "")</f>
        <v>1.9003378378378379E-2</v>
      </c>
      <c r="F114" s="18">
        <f>IF(ISNUMBER(D114), $B118 * E114, "")</f>
        <v>1900.3378378378379</v>
      </c>
      <c r="G114" s="31">
        <v>24370</v>
      </c>
      <c r="H114" s="32">
        <f t="shared" ref="H114:H117" si="59">IF(ISNUMBER(G114), (G114 - $B114) / $B114, "")</f>
        <v>2.9138513513513514E-2</v>
      </c>
      <c r="I114" s="101">
        <f>IF(ISNUMBER(G114), $B118 * H114, "")</f>
        <v>2913.8513513513512</v>
      </c>
      <c r="J114" s="15">
        <v>25320</v>
      </c>
      <c r="K114" s="32">
        <f t="shared" ref="K114:K117" si="60">IF(ISNUMBER(J114), (J114 - $B114) / $B114, "")</f>
        <v>6.9256756756756757E-2</v>
      </c>
      <c r="L114" s="18">
        <f>IF(ISNUMBER(J114), $B118 * K114, "")</f>
        <v>6925.6756756756758</v>
      </c>
      <c r="M114" s="31">
        <v>24780</v>
      </c>
      <c r="N114" s="32">
        <f t="shared" ref="N114:N117" si="61">IF(ISNUMBER(M114), (M114 - $B114) / $B114, "")</f>
        <v>4.64527027027027E-2</v>
      </c>
      <c r="O114" s="18">
        <f>IF(ISNUMBER(M114), $B118 * N114, "")</f>
        <v>4645.27027027027</v>
      </c>
      <c r="Q114" s="223"/>
      <c r="R114" s="223"/>
      <c r="S114" s="223"/>
    </row>
    <row r="115" spans="1:19" ht="17.25" thickBot="1">
      <c r="A115" s="162" t="s">
        <v>78</v>
      </c>
      <c r="B115" s="126">
        <v>649200</v>
      </c>
      <c r="C115" s="77">
        <v>-6.3878875299999999E-2</v>
      </c>
      <c r="D115" s="15">
        <v>668800</v>
      </c>
      <c r="E115" s="32">
        <f t="shared" si="58"/>
        <v>3.0191004313000615E-2</v>
      </c>
      <c r="F115" s="18">
        <f>IF(ISNUMBER(D115), $B118 * E115, "")</f>
        <v>3019.1004313000617</v>
      </c>
      <c r="G115" s="31">
        <v>674500</v>
      </c>
      <c r="H115" s="32">
        <f t="shared" si="59"/>
        <v>3.8971041281577329E-2</v>
      </c>
      <c r="I115" s="101">
        <f>IF(ISNUMBER(G115), $B118 * H115, "")</f>
        <v>3897.1041281577327</v>
      </c>
      <c r="J115" s="15">
        <v>702000</v>
      </c>
      <c r="K115" s="32">
        <f t="shared" si="60"/>
        <v>8.1330868761552683E-2</v>
      </c>
      <c r="L115" s="18">
        <f>IF(ISNUMBER(J115), $B118 * K115, "")</f>
        <v>8133.0868761552683</v>
      </c>
      <c r="M115" s="31">
        <v>685800</v>
      </c>
      <c r="N115" s="32">
        <f t="shared" si="61"/>
        <v>5.6377079482439925E-2</v>
      </c>
      <c r="O115" s="18">
        <f>IF(ISNUMBER(M115), $B118 * N115, "")</f>
        <v>5637.7079482439922</v>
      </c>
      <c r="Q115" s="223"/>
      <c r="R115" s="223"/>
      <c r="S115" s="223"/>
    </row>
    <row r="116" spans="1:19">
      <c r="A116" s="162" t="s">
        <v>184</v>
      </c>
      <c r="B116" s="126">
        <v>1295</v>
      </c>
      <c r="C116" s="77">
        <v>-6.4981949499999997E-2</v>
      </c>
      <c r="D116" s="15">
        <v>1345</v>
      </c>
      <c r="E116" s="32">
        <f t="shared" si="58"/>
        <v>3.8610038610038609E-2</v>
      </c>
      <c r="F116" s="18">
        <f>IF(ISNUMBER(D116), $B118 * E116, "")</f>
        <v>3861.0038610038609</v>
      </c>
      <c r="G116" s="31">
        <v>1375</v>
      </c>
      <c r="H116" s="32">
        <f t="shared" si="59"/>
        <v>6.1776061776061778E-2</v>
      </c>
      <c r="I116" s="101">
        <f>IF(ISNUMBER(G116), $B118 * H116, "")</f>
        <v>6177.6061776061779</v>
      </c>
      <c r="J116" s="15">
        <v>1400</v>
      </c>
      <c r="K116" s="32">
        <f t="shared" si="60"/>
        <v>8.1081081081081086E-2</v>
      </c>
      <c r="L116" s="18">
        <f>IF(ISNUMBER(J116), $B118 * K116, "")</f>
        <v>8108.1081081081084</v>
      </c>
      <c r="M116" s="31">
        <v>1360</v>
      </c>
      <c r="N116" s="32">
        <f t="shared" si="61"/>
        <v>5.019305019305019E-2</v>
      </c>
      <c r="O116" s="18">
        <f>IF(ISNUMBER(M116), $B118 * N116, "")</f>
        <v>5019.3050193050194</v>
      </c>
      <c r="Q116" s="212"/>
      <c r="R116" s="213"/>
      <c r="S116" s="214"/>
    </row>
    <row r="117" spans="1:19" ht="17.25" thickBot="1">
      <c r="A117" s="130" t="s">
        <v>90</v>
      </c>
      <c r="B117" s="131">
        <v>179400</v>
      </c>
      <c r="C117" s="79">
        <v>-6.9743323800000007E-2</v>
      </c>
      <c r="D117" s="24">
        <v>189050</v>
      </c>
      <c r="E117" s="25">
        <f t="shared" si="58"/>
        <v>5.3790412486064657E-2</v>
      </c>
      <c r="F117" s="104">
        <f>IF(ISNUMBER(D117), $B118 * E117, "")</f>
        <v>5379.0412486064661</v>
      </c>
      <c r="G117" s="102">
        <v>189200</v>
      </c>
      <c r="H117" s="25">
        <f t="shared" si="59"/>
        <v>5.4626532887402456E-2</v>
      </c>
      <c r="I117" s="103">
        <f>IF(ISNUMBER(G117), $B118 * H117, "")</f>
        <v>5462.6532887402454</v>
      </c>
      <c r="J117" s="24">
        <v>191450</v>
      </c>
      <c r="K117" s="25">
        <f t="shared" si="60"/>
        <v>6.7168338907469344E-2</v>
      </c>
      <c r="L117" s="104">
        <f>IF(ISNUMBER(J117), $B118 * K117, "")</f>
        <v>6716.8338907469342</v>
      </c>
      <c r="M117" s="102">
        <v>188000</v>
      </c>
      <c r="N117" s="25">
        <f t="shared" si="61"/>
        <v>4.7937569676700112E-2</v>
      </c>
      <c r="O117" s="104">
        <f>IF(ISNUMBER(M117), $B118 * N117, "")</f>
        <v>4793.7569676700114</v>
      </c>
      <c r="Q117" s="215"/>
      <c r="R117" s="216"/>
      <c r="S117" s="217"/>
    </row>
    <row r="118" spans="1:19" ht="17.25" thickBot="1">
      <c r="A118" s="132" t="s">
        <v>300</v>
      </c>
      <c r="B118" s="276">
        <f>$B$37</f>
        <v>100000</v>
      </c>
      <c r="C118" s="277"/>
      <c r="D118" s="26" t="s">
        <v>301</v>
      </c>
      <c r="E118" s="27">
        <f>IF(COUNT(E98:E117), SUM(E98:E117) / COUNT(E98:E117), 0)</f>
        <v>4.0106434289570857E-2</v>
      </c>
      <c r="F118" s="28">
        <f>SUM(F98:F117)</f>
        <v>80212.868579141708</v>
      </c>
      <c r="G118" s="26" t="s">
        <v>301</v>
      </c>
      <c r="H118" s="27">
        <f>IF(COUNT(H98:H117), SUM(H98:H117) / COUNT(H98:H117), 0)</f>
        <v>5.656392768307681E-2</v>
      </c>
      <c r="I118" s="28">
        <f>SUM(I98:I117)</f>
        <v>113127.85536615363</v>
      </c>
      <c r="J118" s="26" t="s">
        <v>301</v>
      </c>
      <c r="K118" s="27">
        <f>IF(COUNT(K98:K117), SUM(K98:K117) / COUNT(K98:K117), 0)</f>
        <v>7.639247512214406E-2</v>
      </c>
      <c r="L118" s="28">
        <f>SUM(L98:L117)</f>
        <v>152784.95024428811</v>
      </c>
      <c r="M118" s="26" t="s">
        <v>301</v>
      </c>
      <c r="N118" s="27">
        <f>IF(COUNT(N98:N117), SUM(N98:N117) / COUNT(N98:N117), 0)</f>
        <v>5.7054474101317018E-2</v>
      </c>
      <c r="O118" s="28">
        <f>SUM(O98:O117)</f>
        <v>114108.94820263403</v>
      </c>
      <c r="Q118" s="218"/>
      <c r="R118" s="219"/>
      <c r="S118" s="220"/>
    </row>
    <row r="120" spans="1:19" ht="17.25" thickBot="1"/>
    <row r="121" spans="1:19" ht="17.25" thickBot="1">
      <c r="A121" s="234" t="s">
        <v>288</v>
      </c>
      <c r="B121" s="235"/>
      <c r="C121" s="235"/>
      <c r="D121" s="235"/>
      <c r="E121" s="235"/>
      <c r="F121" s="235"/>
      <c r="G121" s="235"/>
      <c r="H121" s="235"/>
      <c r="I121" s="235"/>
      <c r="J121" s="235"/>
      <c r="K121" s="235"/>
      <c r="L121" s="235"/>
      <c r="M121" s="235"/>
      <c r="N121" s="235"/>
      <c r="O121" s="236"/>
      <c r="Q121" s="233"/>
      <c r="R121" s="233"/>
      <c r="S121" s="233"/>
    </row>
    <row r="122" spans="1:19" ht="17.25" thickBot="1">
      <c r="A122" s="192" t="s">
        <v>297</v>
      </c>
      <c r="B122" s="234" t="s">
        <v>49</v>
      </c>
      <c r="C122" s="236"/>
      <c r="D122" s="234" t="s">
        <v>58</v>
      </c>
      <c r="E122" s="235"/>
      <c r="F122" s="236"/>
      <c r="G122" s="237">
        <f>_xlfn.IFNA(VLOOKUP(B122, 현재가테이블!$B$2:$D$200, 2, FALSE), "-")</f>
        <v>41418000</v>
      </c>
      <c r="H122" s="238"/>
      <c r="I122" s="239"/>
      <c r="J122" s="234" t="s">
        <v>59</v>
      </c>
      <c r="K122" s="235"/>
      <c r="L122" s="236"/>
      <c r="M122" s="240">
        <f>_xlfn.IFNA(VLOOKUP(B122, 현재가테이블!$B$2:$D$200, 3, FALSE), "-")</f>
        <v>-5.2176301000000001E-2</v>
      </c>
      <c r="N122" s="241"/>
      <c r="O122" s="242"/>
      <c r="Q122" s="233"/>
      <c r="R122" s="233"/>
      <c r="S122" s="233"/>
    </row>
    <row r="123" spans="1:19" ht="17.25" thickBot="1">
      <c r="A123" s="278" t="s">
        <v>55</v>
      </c>
      <c r="B123" s="274" t="str">
        <f>TEXT($G$1, "[$-ko-KR]yyyy-mm-dd(ddd) ") &amp; "오전 00:00"</f>
        <v>2021-06-09(수) 오전 00:00</v>
      </c>
      <c r="C123" s="275"/>
      <c r="D123" s="247" t="str">
        <f>TEXT($G$1, "[$-ko-KR]yyyy-mm-dd(ddd) ") &amp; "오후 14:00"</f>
        <v>2021-06-09(수) 오후 14:00</v>
      </c>
      <c r="E123" s="248"/>
      <c r="F123" s="249"/>
      <c r="G123" s="247" t="str">
        <f>TEXT($G$1, "[$-ko-KR]yyyy-mm-dd(ddd) ") &amp; "오후 19:00"</f>
        <v>2021-06-09(수) 오후 19:00</v>
      </c>
      <c r="H123" s="248"/>
      <c r="I123" s="249"/>
      <c r="J123" s="247" t="str">
        <f>TEXT($G$1, "[$-ko-KR]yyyy-mm-dd(ddd) ") &amp; "오후 21:00"</f>
        <v>2021-06-09(수) 오후 21:00</v>
      </c>
      <c r="K123" s="248"/>
      <c r="L123" s="249"/>
      <c r="M123" s="247" t="str">
        <f>TEXT($G$1+1, "[$-ko-KR]yyyy-mm-dd(ddd) ") &amp; "오전 00:00"</f>
        <v>2021-06-10(목) 오전 00:00</v>
      </c>
      <c r="N123" s="248"/>
      <c r="O123" s="249"/>
      <c r="Q123" s="233"/>
      <c r="R123" s="233"/>
      <c r="S123" s="233"/>
    </row>
    <row r="124" spans="1:19" ht="17.25" thickBot="1">
      <c r="A124" s="279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93" t="s">
        <v>58</v>
      </c>
      <c r="H124" s="194" t="s">
        <v>298</v>
      </c>
      <c r="I124" s="19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3"/>
      <c r="R124" s="223"/>
      <c r="S124" s="223"/>
    </row>
    <row r="125" spans="1:19" ht="17.25" thickBot="1">
      <c r="A125" s="161" t="s">
        <v>222</v>
      </c>
      <c r="B125" s="124">
        <v>10.1</v>
      </c>
      <c r="C125" s="76">
        <v>-9.0090090100000006E-2</v>
      </c>
      <c r="D125" s="13">
        <v>10.1</v>
      </c>
      <c r="E125" s="14">
        <f>IF(ISNUMBER(D125), (D125 - $B125) / $B125, "")</f>
        <v>0</v>
      </c>
      <c r="F125" s="16">
        <f>IF(ISNUMBER(D125), $B145 * E125, "")</f>
        <v>0</v>
      </c>
      <c r="G125" s="29">
        <v>10.199999999999999</v>
      </c>
      <c r="H125" s="14">
        <f>IF(ISNUMBER(G125), (G125 - $B125) / $B125, "")</f>
        <v>9.9009900990098664E-3</v>
      </c>
      <c r="I125" s="100">
        <f>IF(ISNUMBER(G125), $B145 * H125, "")</f>
        <v>990.09900990098663</v>
      </c>
      <c r="J125" s="13">
        <v>10.4</v>
      </c>
      <c r="K125" s="14">
        <f>IF(ISNUMBER(J125), (J125 - $B125) / $B125, "")</f>
        <v>2.9702970297029774E-2</v>
      </c>
      <c r="L125" s="16">
        <f>IF(ISNUMBER(J125), $B145 * K125, "")</f>
        <v>2970.2970297029774</v>
      </c>
      <c r="M125" s="29">
        <v>10.3</v>
      </c>
      <c r="N125" s="14">
        <f>IF(ISNUMBER(M125), (M125 - $B125) / $B125, "")</f>
        <v>1.980198019801991E-2</v>
      </c>
      <c r="O125" s="16">
        <f>IF(ISNUMBER(M125), $B145 * N125, "")</f>
        <v>1980.198019801991</v>
      </c>
      <c r="Q125" s="233"/>
      <c r="R125" s="233"/>
      <c r="S125" s="233"/>
    </row>
    <row r="126" spans="1:19" ht="17.25" thickBot="1">
      <c r="A126" s="162" t="s">
        <v>65</v>
      </c>
      <c r="B126" s="126">
        <v>31.2</v>
      </c>
      <c r="C126" s="77">
        <v>-0.10086455330000001</v>
      </c>
      <c r="D126" s="15">
        <v>32.200000000000003</v>
      </c>
      <c r="E126" s="32">
        <f t="shared" ref="E126:E129" si="62">IF(ISNUMBER(D126), (D126 - $B126) / $B126, "")</f>
        <v>3.2051282051282166E-2</v>
      </c>
      <c r="F126" s="18">
        <f>IF(ISNUMBER(D126), $B145 * E126, "")</f>
        <v>3205.1282051282165</v>
      </c>
      <c r="G126" s="31">
        <v>32.700000000000003</v>
      </c>
      <c r="H126" s="32">
        <f t="shared" ref="H126:H129" si="63">IF(ISNUMBER(G126), (G126 - $B126) / $B126, "")</f>
        <v>4.8076923076923191E-2</v>
      </c>
      <c r="I126" s="101">
        <f>IF(ISNUMBER(G126), $B145 * H126, "")</f>
        <v>4807.6923076923194</v>
      </c>
      <c r="J126" s="15">
        <v>33.4</v>
      </c>
      <c r="K126" s="32">
        <f t="shared" ref="K126:K129" si="64">IF(ISNUMBER(J126), (J126 - $B126) / $B126, "")</f>
        <v>7.0512820512820498E-2</v>
      </c>
      <c r="L126" s="18">
        <f>IF(ISNUMBER(J126), $B145 * K126, "")</f>
        <v>7051.2820512820499</v>
      </c>
      <c r="M126" s="31">
        <v>32.299999999999997</v>
      </c>
      <c r="N126" s="32">
        <f t="shared" ref="N126:N129" si="65">IF(ISNUMBER(M126), (M126 - $B126) / $B126, "")</f>
        <v>3.5256410256410187E-2</v>
      </c>
      <c r="O126" s="18">
        <f>IF(ISNUMBER(M126), $B145 * N126, "")</f>
        <v>3525.6410256410186</v>
      </c>
      <c r="Q126" s="233"/>
      <c r="R126" s="233"/>
      <c r="S126" s="233"/>
    </row>
    <row r="127" spans="1:19" ht="17.25" thickBot="1">
      <c r="A127" s="162" t="s">
        <v>152</v>
      </c>
      <c r="B127" s="126">
        <v>17.2</v>
      </c>
      <c r="C127" s="77">
        <v>-0.10416666669999999</v>
      </c>
      <c r="D127" s="15">
        <v>18.2</v>
      </c>
      <c r="E127" s="32">
        <f t="shared" si="62"/>
        <v>5.8139534883720929E-2</v>
      </c>
      <c r="F127" s="18">
        <f>IF(ISNUMBER(D127), $B145 * E127, "")</f>
        <v>5813.9534883720926</v>
      </c>
      <c r="G127" s="31">
        <v>18.3</v>
      </c>
      <c r="H127" s="32">
        <f t="shared" si="63"/>
        <v>6.3953488372093109E-2</v>
      </c>
      <c r="I127" s="101">
        <f>IF(ISNUMBER(G127), $B145 * H127, "")</f>
        <v>6395.3488372093107</v>
      </c>
      <c r="J127" s="15">
        <v>18.899999999999999</v>
      </c>
      <c r="K127" s="32">
        <f t="shared" si="64"/>
        <v>9.8837209302325549E-2</v>
      </c>
      <c r="L127" s="18">
        <f>IF(ISNUMBER(J127), $B145 * K127, "")</f>
        <v>9883.7209302325555</v>
      </c>
      <c r="M127" s="31">
        <v>18.399999999999999</v>
      </c>
      <c r="N127" s="32">
        <f t="shared" si="65"/>
        <v>6.9767441860465074E-2</v>
      </c>
      <c r="O127" s="18">
        <f>IF(ISNUMBER(M127), $B145 * N127, "")</f>
        <v>6976.7441860465078</v>
      </c>
      <c r="Q127" s="223"/>
      <c r="R127" s="223"/>
      <c r="S127" s="223"/>
    </row>
    <row r="128" spans="1:19" ht="17.25" thickBot="1">
      <c r="A128" s="162" t="s">
        <v>168</v>
      </c>
      <c r="B128" s="126">
        <v>88.2</v>
      </c>
      <c r="C128" s="77">
        <v>-0.1108870968</v>
      </c>
      <c r="D128" s="15">
        <v>89.5</v>
      </c>
      <c r="E128" s="32">
        <f t="shared" si="62"/>
        <v>1.4739229024943278E-2</v>
      </c>
      <c r="F128" s="18">
        <f>IF(ISNUMBER(D128), $B145 * E128, "")</f>
        <v>1473.9229024943279</v>
      </c>
      <c r="G128" s="31">
        <v>90.2</v>
      </c>
      <c r="H128" s="32">
        <f t="shared" si="63"/>
        <v>2.2675736961451247E-2</v>
      </c>
      <c r="I128" s="101">
        <f>IF(ISNUMBER(G128), $B145 * H128, "")</f>
        <v>2267.5736961451248</v>
      </c>
      <c r="J128" s="15">
        <v>93.5</v>
      </c>
      <c r="K128" s="32">
        <f t="shared" si="64"/>
        <v>6.009070294784577E-2</v>
      </c>
      <c r="L128" s="18">
        <f>IF(ISNUMBER(J128), $B145 * K128, "")</f>
        <v>6009.0702947845766</v>
      </c>
      <c r="M128" s="31">
        <v>91.8</v>
      </c>
      <c r="N128" s="32">
        <f t="shared" si="65"/>
        <v>4.0816326530612179E-2</v>
      </c>
      <c r="O128" s="18">
        <f>IF(ISNUMBER(M128), $B145 * N128, "")</f>
        <v>4081.6326530612178</v>
      </c>
      <c r="Q128" s="223"/>
      <c r="R128" s="223"/>
      <c r="S128" s="223"/>
    </row>
    <row r="129" spans="1:19" ht="17.25" thickBot="1">
      <c r="A129" s="163" t="s">
        <v>218</v>
      </c>
      <c r="B129" s="128">
        <v>14.2</v>
      </c>
      <c r="C129" s="78">
        <v>-0.1125</v>
      </c>
      <c r="D129" s="20">
        <v>14.2</v>
      </c>
      <c r="E129" s="21">
        <f t="shared" si="62"/>
        <v>0</v>
      </c>
      <c r="F129" s="22">
        <f>IF(ISNUMBER(D129), $B145 * E129, "")</f>
        <v>0</v>
      </c>
      <c r="G129" s="30">
        <v>14.3</v>
      </c>
      <c r="H129" s="21">
        <f t="shared" si="63"/>
        <v>7.0422535211268613E-3</v>
      </c>
      <c r="I129" s="105">
        <f>IF(ISNUMBER(G129), $B145 * H129, "")</f>
        <v>704.2253521126861</v>
      </c>
      <c r="J129" s="20">
        <v>14.6</v>
      </c>
      <c r="K129" s="21">
        <f t="shared" si="64"/>
        <v>2.8169014084507067E-2</v>
      </c>
      <c r="L129" s="22">
        <f>IF(ISNUMBER(J129), $B145 * K129, "")</f>
        <v>2816.9014084507066</v>
      </c>
      <c r="M129" s="30">
        <v>14.4</v>
      </c>
      <c r="N129" s="21">
        <f t="shared" si="65"/>
        <v>1.4084507042253596E-2</v>
      </c>
      <c r="O129" s="22">
        <f>IF(ISNUMBER(M129), $B145 * N129, "")</f>
        <v>1408.4507042253597</v>
      </c>
      <c r="Q129" s="223"/>
      <c r="R129" s="223"/>
      <c r="S129" s="223"/>
    </row>
    <row r="130" spans="1:19" ht="17.25" thickBot="1">
      <c r="A130" s="162" t="s">
        <v>134</v>
      </c>
      <c r="B130" s="129">
        <v>82.2</v>
      </c>
      <c r="C130" s="80">
        <v>-0.1132686084</v>
      </c>
      <c r="D130" s="106">
        <v>81.2</v>
      </c>
      <c r="E130" s="107">
        <f>IF(ISNUMBER(D130), (D130 - $B130) / $B130, "")</f>
        <v>-1.21654501216545E-2</v>
      </c>
      <c r="F130" s="108">
        <f>IF(ISNUMBER(D130), $B145 * E130, "")</f>
        <v>-1216.5450121654501</v>
      </c>
      <c r="G130" s="109">
        <v>82.4</v>
      </c>
      <c r="H130" s="107">
        <f>IF(ISNUMBER(G130), (G130 - $B130) / $B130, "")</f>
        <v>2.4330900243309346E-3</v>
      </c>
      <c r="I130" s="110">
        <f>IF(ISNUMBER(G130), $B145 * H130, "")</f>
        <v>243.30900243309347</v>
      </c>
      <c r="J130" s="106">
        <v>85.1</v>
      </c>
      <c r="K130" s="107">
        <f>IF(ISNUMBER(J130), (J130 - $B130) / $B130, "")</f>
        <v>3.5279805352797948E-2</v>
      </c>
      <c r="L130" s="108">
        <f>IF(ISNUMBER(J130), $B145 * K130, "")</f>
        <v>3527.9805352797948</v>
      </c>
      <c r="M130" s="109">
        <v>84.4</v>
      </c>
      <c r="N130" s="107">
        <f>IF(ISNUMBER(M130), (M130 - $B130) / $B130, "")</f>
        <v>2.6763990267639936E-2</v>
      </c>
      <c r="O130" s="108">
        <f>IF(ISNUMBER(M130), $B145 * N130, "")</f>
        <v>2676.3990267639938</v>
      </c>
      <c r="Q130" s="223"/>
      <c r="R130" s="223"/>
      <c r="S130" s="223"/>
    </row>
    <row r="131" spans="1:19" ht="17.25" thickBot="1">
      <c r="A131" s="162" t="s">
        <v>126</v>
      </c>
      <c r="B131" s="126">
        <v>24.1</v>
      </c>
      <c r="C131" s="77">
        <v>-0.1172161172</v>
      </c>
      <c r="D131" s="15">
        <v>24.5</v>
      </c>
      <c r="E131" s="32">
        <f t="shared" ref="E131:E134" si="66">IF(ISNUMBER(D131), (D131 - $B131) / $B131, "")</f>
        <v>1.6597510373443924E-2</v>
      </c>
      <c r="F131" s="18">
        <f>IF(ISNUMBER(D131), $B145 * E131, "")</f>
        <v>1659.7510373443924</v>
      </c>
      <c r="G131" s="31">
        <v>24.7</v>
      </c>
      <c r="H131" s="32">
        <f t="shared" ref="H131:H134" si="67">IF(ISNUMBER(G131), (G131 - $B131) / $B131, "")</f>
        <v>2.4896265560165887E-2</v>
      </c>
      <c r="I131" s="101">
        <f>IF(ISNUMBER(G131), $B145 * H131, "")</f>
        <v>2489.6265560165884</v>
      </c>
      <c r="J131" s="15">
        <v>25.6</v>
      </c>
      <c r="K131" s="32">
        <f t="shared" ref="K131:K134" si="68">IF(ISNUMBER(J131), (J131 - $B131) / $B131, "")</f>
        <v>6.2240663900414932E-2</v>
      </c>
      <c r="L131" s="18">
        <f>IF(ISNUMBER(J131), $B145 * K131, "")</f>
        <v>6224.0663900414929</v>
      </c>
      <c r="M131" s="31">
        <v>25.1</v>
      </c>
      <c r="N131" s="32">
        <f t="shared" ref="N131:N134" si="69">IF(ISNUMBER(M131), (M131 - $B131) / $B131, "")</f>
        <v>4.1493775933609957E-2</v>
      </c>
      <c r="O131" s="18">
        <f>IF(ISNUMBER(M131), $B145 * N131, "")</f>
        <v>4149.3775933609959</v>
      </c>
      <c r="Q131" s="223"/>
      <c r="R131" s="223"/>
      <c r="S131" s="223"/>
    </row>
    <row r="132" spans="1:19" ht="17.25" thickBot="1">
      <c r="A132" s="162" t="s">
        <v>264</v>
      </c>
      <c r="B132" s="126">
        <v>71.8</v>
      </c>
      <c r="C132" s="77">
        <v>-0.12009803920000001</v>
      </c>
      <c r="D132" s="15">
        <v>73.099999999999994</v>
      </c>
      <c r="E132" s="32">
        <f t="shared" si="66"/>
        <v>1.8105849582172664E-2</v>
      </c>
      <c r="F132" s="18">
        <f>IF(ISNUMBER(D132), $B145 * E132, "")</f>
        <v>1810.5849582172664</v>
      </c>
      <c r="G132" s="31">
        <v>74.8</v>
      </c>
      <c r="H132" s="32">
        <f t="shared" si="67"/>
        <v>4.1782729805013928E-2</v>
      </c>
      <c r="I132" s="101">
        <f>IF(ISNUMBER(G132), $B145 * H132, "")</f>
        <v>4178.2729805013932</v>
      </c>
      <c r="J132" s="15">
        <v>77.5</v>
      </c>
      <c r="K132" s="32">
        <f t="shared" si="68"/>
        <v>7.9387186629526499E-2</v>
      </c>
      <c r="L132" s="18">
        <f>IF(ISNUMBER(J132), $B145 * K132, "")</f>
        <v>7938.7186629526495</v>
      </c>
      <c r="M132" s="31">
        <v>76.2</v>
      </c>
      <c r="N132" s="32">
        <f t="shared" si="69"/>
        <v>6.1281337047353841E-2</v>
      </c>
      <c r="O132" s="18">
        <f>IF(ISNUMBER(M132), $B145 * N132, "")</f>
        <v>6128.1337047353845</v>
      </c>
      <c r="Q132" s="223"/>
      <c r="R132" s="223"/>
      <c r="S132" s="223"/>
    </row>
    <row r="133" spans="1:19" ht="17.25" thickBot="1">
      <c r="A133" s="162" t="s">
        <v>254</v>
      </c>
      <c r="B133" s="126">
        <v>42.2</v>
      </c>
      <c r="C133" s="77">
        <v>-0.1226611227</v>
      </c>
      <c r="D133" s="15">
        <v>42.8</v>
      </c>
      <c r="E133" s="32">
        <f t="shared" si="66"/>
        <v>1.421800947867285E-2</v>
      </c>
      <c r="F133" s="18">
        <f>IF(ISNUMBER(D133), $B145 * E133, "")</f>
        <v>1421.800947867285</v>
      </c>
      <c r="G133" s="31">
        <v>43.4</v>
      </c>
      <c r="H133" s="32">
        <f t="shared" si="67"/>
        <v>2.843601895734587E-2</v>
      </c>
      <c r="I133" s="101">
        <f>IF(ISNUMBER(G133), $B145 * H133, "")</f>
        <v>2843.6018957345868</v>
      </c>
      <c r="J133" s="15">
        <v>44.2</v>
      </c>
      <c r="K133" s="32">
        <f t="shared" si="68"/>
        <v>4.7393364928909949E-2</v>
      </c>
      <c r="L133" s="18">
        <f>IF(ISNUMBER(J133), $B145 * K133, "")</f>
        <v>4739.336492890995</v>
      </c>
      <c r="M133" s="31">
        <v>44</v>
      </c>
      <c r="N133" s="32">
        <f t="shared" si="69"/>
        <v>4.2654028436018884E-2</v>
      </c>
      <c r="O133" s="18">
        <f>IF(ISNUMBER(M133), $B145 * N133, "")</f>
        <v>4265.402843601888</v>
      </c>
      <c r="Q133" s="33"/>
      <c r="R133" s="33"/>
    </row>
    <row r="134" spans="1:19" ht="17.25" thickBot="1">
      <c r="A134" s="130" t="s">
        <v>266</v>
      </c>
      <c r="B134" s="131">
        <v>48.3</v>
      </c>
      <c r="C134" s="79">
        <v>-0.12658227850000001</v>
      </c>
      <c r="D134" s="24">
        <v>49.3</v>
      </c>
      <c r="E134" s="25">
        <f t="shared" si="66"/>
        <v>2.0703933747412008E-2</v>
      </c>
      <c r="F134" s="104">
        <f>IF(ISNUMBER(D134), $B145 * E134, "")</f>
        <v>2070.3933747412007</v>
      </c>
      <c r="G134" s="102">
        <v>50.3</v>
      </c>
      <c r="H134" s="25">
        <f t="shared" si="67"/>
        <v>4.1407867494824016E-2</v>
      </c>
      <c r="I134" s="103">
        <f>IF(ISNUMBER(G134), $B145 * H134, "")</f>
        <v>4140.7867494824013</v>
      </c>
      <c r="J134" s="24">
        <v>51.1</v>
      </c>
      <c r="K134" s="25">
        <f t="shared" si="68"/>
        <v>5.7971014492753714E-2</v>
      </c>
      <c r="L134" s="104">
        <f>IF(ISNUMBER(J134), $B145 * K134, "")</f>
        <v>5797.1014492753711</v>
      </c>
      <c r="M134" s="102">
        <v>51</v>
      </c>
      <c r="N134" s="25">
        <f t="shared" si="69"/>
        <v>5.5900621118012486E-2</v>
      </c>
      <c r="O134" s="104">
        <f>IF(ISNUMBER(M134), $B145 * N134, "")</f>
        <v>5590.0621118012486</v>
      </c>
      <c r="Q134" s="224"/>
      <c r="R134" s="225"/>
      <c r="S134" s="226"/>
    </row>
    <row r="135" spans="1:19">
      <c r="A135" s="161" t="s">
        <v>260</v>
      </c>
      <c r="B135" s="124">
        <v>59.7</v>
      </c>
      <c r="C135" s="76">
        <v>-0.13352685049999999</v>
      </c>
      <c r="D135" s="13">
        <v>59.9</v>
      </c>
      <c r="E135" s="14">
        <f>IF(ISNUMBER(D135), (D135 - $B135) / $B135, "")</f>
        <v>3.3500837520937308E-3</v>
      </c>
      <c r="F135" s="16">
        <f>IF(ISNUMBER(D135), $B145 * E135, "")</f>
        <v>335.00837520937307</v>
      </c>
      <c r="G135" s="29">
        <v>60.5</v>
      </c>
      <c r="H135" s="14">
        <f>IF(ISNUMBER(G135), (G135 - $B135) / $B135, "")</f>
        <v>1.3400335008375161E-2</v>
      </c>
      <c r="I135" s="100">
        <f>IF(ISNUMBER(G135), $B145 * H135, "")</f>
        <v>1340.0335008375162</v>
      </c>
      <c r="J135" s="13">
        <v>61.7</v>
      </c>
      <c r="K135" s="14">
        <f>IF(ISNUMBER(J135), (J135 - $B135) / $B135, "")</f>
        <v>3.350083752093802E-2</v>
      </c>
      <c r="L135" s="16">
        <f>IF(ISNUMBER(J135), $B145 * K135, "")</f>
        <v>3350.0837520938021</v>
      </c>
      <c r="M135" s="29">
        <v>60.8</v>
      </c>
      <c r="N135" s="14">
        <f>IF(ISNUMBER(M135), (M135 - $B135) / $B135, "")</f>
        <v>1.8425460636515817E-2</v>
      </c>
      <c r="O135" s="16">
        <f>IF(ISNUMBER(M135), $B145 * N135, "")</f>
        <v>1842.5460636515818</v>
      </c>
      <c r="Q135" s="227"/>
      <c r="R135" s="228"/>
      <c r="S135" s="229"/>
    </row>
    <row r="136" spans="1:19" ht="17.25" thickBot="1">
      <c r="A136" s="162" t="s">
        <v>268</v>
      </c>
      <c r="B136" s="126">
        <v>43.3</v>
      </c>
      <c r="C136" s="77">
        <v>-0.13400000000000001</v>
      </c>
      <c r="D136" s="15">
        <v>43.8</v>
      </c>
      <c r="E136" s="32">
        <f t="shared" ref="E136:E139" si="70">IF(ISNUMBER(D136), (D136 - $B136) / $B136, "")</f>
        <v>1.1547344110854504E-2</v>
      </c>
      <c r="F136" s="18">
        <f>IF(ISNUMBER(D136), $B145 * E136, "")</f>
        <v>1154.7344110854503</v>
      </c>
      <c r="G136" s="31">
        <v>44.4</v>
      </c>
      <c r="H136" s="32">
        <f t="shared" ref="H136:H139" si="71">IF(ISNUMBER(G136), (G136 - $B136) / $B136, "")</f>
        <v>2.5404157043879941E-2</v>
      </c>
      <c r="I136" s="101">
        <f>IF(ISNUMBER(G136), $B145 * H136, "")</f>
        <v>2540.4157043879941</v>
      </c>
      <c r="J136" s="15">
        <v>45.1</v>
      </c>
      <c r="K136" s="32">
        <f t="shared" ref="K136:K139" si="72">IF(ISNUMBER(J136), (J136 - $B136) / $B136, "")</f>
        <v>4.1570438799076313E-2</v>
      </c>
      <c r="L136" s="18">
        <f>IF(ISNUMBER(J136), $B145 * K136, "")</f>
        <v>4157.043879907631</v>
      </c>
      <c r="M136" s="31">
        <v>44.7</v>
      </c>
      <c r="N136" s="32">
        <f t="shared" ref="N136:N139" si="73">IF(ISNUMBER(M136), (M136 - $B136) / $B136, "")</f>
        <v>3.2332563510392744E-2</v>
      </c>
      <c r="O136" s="18">
        <f>IF(ISNUMBER(M136), $B145 * N136, "")</f>
        <v>3233.2563510392743</v>
      </c>
      <c r="Q136" s="230"/>
      <c r="R136" s="231"/>
      <c r="S136" s="232"/>
    </row>
    <row r="137" spans="1:19" ht="17.25" thickBot="1">
      <c r="A137" s="162" t="s">
        <v>214</v>
      </c>
      <c r="B137" s="126">
        <v>11.4</v>
      </c>
      <c r="C137" s="77">
        <v>-0.13636363639999999</v>
      </c>
      <c r="D137" s="15">
        <v>11.6</v>
      </c>
      <c r="E137" s="32">
        <f t="shared" si="70"/>
        <v>1.7543859649122744E-2</v>
      </c>
      <c r="F137" s="18">
        <f>IF(ISNUMBER(D137), $B145 * E137, "")</f>
        <v>1754.3859649122744</v>
      </c>
      <c r="G137" s="31">
        <v>11.8</v>
      </c>
      <c r="H137" s="32">
        <f t="shared" si="71"/>
        <v>3.5087719298245647E-2</v>
      </c>
      <c r="I137" s="101">
        <f>IF(ISNUMBER(G137), $B145 * H137, "")</f>
        <v>3508.7719298245647</v>
      </c>
      <c r="J137" s="15">
        <v>12.1</v>
      </c>
      <c r="K137" s="32">
        <f t="shared" si="72"/>
        <v>6.1403508771929759E-2</v>
      </c>
      <c r="L137" s="18">
        <f>IF(ISNUMBER(J137), $B145 * K137, "")</f>
        <v>6140.3508771929755</v>
      </c>
      <c r="M137" s="31">
        <v>12</v>
      </c>
      <c r="N137" s="32">
        <f t="shared" si="73"/>
        <v>5.263157894736839E-2</v>
      </c>
      <c r="O137" s="18">
        <f>IF(ISNUMBER(M137), $B145 * N137, "")</f>
        <v>5263.1578947368389</v>
      </c>
      <c r="Q137" s="223"/>
      <c r="R137" s="223"/>
      <c r="S137" s="223"/>
    </row>
    <row r="138" spans="1:19" ht="17.25" thickBot="1">
      <c r="A138" s="162" t="s">
        <v>228</v>
      </c>
      <c r="B138" s="126">
        <v>8.98</v>
      </c>
      <c r="C138" s="77">
        <v>-0.13653846150000001</v>
      </c>
      <c r="D138" s="15">
        <v>9.24</v>
      </c>
      <c r="E138" s="32">
        <f t="shared" si="70"/>
        <v>2.8953229398663672E-2</v>
      </c>
      <c r="F138" s="18">
        <f>IF(ISNUMBER(D138), $B145 * E138, "")</f>
        <v>2895.3229398663671</v>
      </c>
      <c r="G138" s="31">
        <v>9.31</v>
      </c>
      <c r="H138" s="32">
        <f t="shared" si="71"/>
        <v>3.6748329621380853E-2</v>
      </c>
      <c r="I138" s="101">
        <f>IF(ISNUMBER(G138), $B145 * H138, "")</f>
        <v>3674.8329621380853</v>
      </c>
      <c r="J138" s="15">
        <v>9.4600000000000009</v>
      </c>
      <c r="K138" s="32">
        <f t="shared" si="72"/>
        <v>5.3452115812917637E-2</v>
      </c>
      <c r="L138" s="18">
        <f>IF(ISNUMBER(J138), $B145 * K138, "")</f>
        <v>5345.2115812917637</v>
      </c>
      <c r="M138" s="31">
        <v>9.48</v>
      </c>
      <c r="N138" s="32">
        <f t="shared" si="73"/>
        <v>5.5679287305122491E-2</v>
      </c>
      <c r="O138" s="18">
        <f>IF(ISNUMBER(M138), $B145 * N138, "")</f>
        <v>5567.9287305122489</v>
      </c>
      <c r="Q138" s="233"/>
      <c r="R138" s="233"/>
      <c r="S138" s="233"/>
    </row>
    <row r="139" spans="1:19" ht="17.25" thickBot="1">
      <c r="A139" s="163" t="s">
        <v>198</v>
      </c>
      <c r="B139" s="128">
        <v>13.6</v>
      </c>
      <c r="C139" s="78">
        <v>-0.13924050630000001</v>
      </c>
      <c r="D139" s="20">
        <v>13.8</v>
      </c>
      <c r="E139" s="21">
        <f t="shared" si="70"/>
        <v>1.4705882352941256E-2</v>
      </c>
      <c r="F139" s="22">
        <f>IF(ISNUMBER(D139), $B145 * E139, "")</f>
        <v>1470.5882352941255</v>
      </c>
      <c r="G139" s="30">
        <v>13.7</v>
      </c>
      <c r="H139" s="21">
        <f t="shared" si="71"/>
        <v>7.3529411764705621E-3</v>
      </c>
      <c r="I139" s="105">
        <f>IF(ISNUMBER(G139), $B145 * H139, "")</f>
        <v>735.29411764705617</v>
      </c>
      <c r="J139" s="20">
        <v>14.1</v>
      </c>
      <c r="K139" s="21">
        <f t="shared" si="72"/>
        <v>3.6764705882352942E-2</v>
      </c>
      <c r="L139" s="22">
        <f>IF(ISNUMBER(J139), $B145 * K139, "")</f>
        <v>3676.4705882352941</v>
      </c>
      <c r="M139" s="30">
        <v>14</v>
      </c>
      <c r="N139" s="21">
        <f t="shared" si="73"/>
        <v>2.941176470588238E-2</v>
      </c>
      <c r="O139" s="22">
        <f>IF(ISNUMBER(M139), $B145 * N139, "")</f>
        <v>2941.1764705882379</v>
      </c>
      <c r="Q139" s="233"/>
      <c r="R139" s="233"/>
      <c r="S139" s="233"/>
    </row>
    <row r="140" spans="1:19" ht="17.25" thickBot="1">
      <c r="A140" s="162" t="s">
        <v>122</v>
      </c>
      <c r="B140" s="129">
        <v>53.9</v>
      </c>
      <c r="C140" s="80">
        <v>-0.1403508772</v>
      </c>
      <c r="D140" s="106">
        <v>55.1</v>
      </c>
      <c r="E140" s="107">
        <f>IF(ISNUMBER(D140), (D140 - $B140) / $B140, "")</f>
        <v>2.2263450834879461E-2</v>
      </c>
      <c r="F140" s="108">
        <f>IF(ISNUMBER(D140), $B145 * E140, "")</f>
        <v>2226.3450834879463</v>
      </c>
      <c r="G140" s="109">
        <v>54.9</v>
      </c>
      <c r="H140" s="107">
        <f>IF(ISNUMBER(G140), (G140 - $B140) / $B140, "")</f>
        <v>1.8552875695732839E-2</v>
      </c>
      <c r="I140" s="110">
        <f>IF(ISNUMBER(G140), $B145 * H140, "")</f>
        <v>1855.2875695732839</v>
      </c>
      <c r="J140" s="106">
        <v>55.6</v>
      </c>
      <c r="K140" s="107">
        <f>IF(ISNUMBER(J140), (J140 - $B140) / $B140, "")</f>
        <v>3.1539888682745876E-2</v>
      </c>
      <c r="L140" s="108">
        <f>IF(ISNUMBER(J140), $B145 * K140, "")</f>
        <v>3153.9888682745877</v>
      </c>
      <c r="M140" s="109">
        <v>55.4</v>
      </c>
      <c r="N140" s="107">
        <f>IF(ISNUMBER(M140), (M140 - $B140) / $B140, "")</f>
        <v>2.7829313543599257E-2</v>
      </c>
      <c r="O140" s="108">
        <f>IF(ISNUMBER(M140), $B145 * N140, "")</f>
        <v>2782.9313543599255</v>
      </c>
      <c r="Q140" s="223"/>
      <c r="R140" s="223"/>
      <c r="S140" s="223"/>
    </row>
    <row r="141" spans="1:19" ht="17.25" thickBot="1">
      <c r="A141" s="162" t="s">
        <v>212</v>
      </c>
      <c r="B141" s="126">
        <v>62</v>
      </c>
      <c r="C141" s="77">
        <v>-0.14127423820000001</v>
      </c>
      <c r="D141" s="15">
        <v>62.9</v>
      </c>
      <c r="E141" s="32">
        <f t="shared" ref="E141:E144" si="74">IF(ISNUMBER(D141), (D141 - $B141) / $B141, "")</f>
        <v>1.4516129032258041E-2</v>
      </c>
      <c r="F141" s="18">
        <f>IF(ISNUMBER(D141), $B145 * E141, "")</f>
        <v>1451.6129032258041</v>
      </c>
      <c r="G141" s="31">
        <v>63.4</v>
      </c>
      <c r="H141" s="32">
        <f t="shared" ref="H141:H144" si="75">IF(ISNUMBER(G141), (G141 - $B141) / $B141, "")</f>
        <v>2.25806451612903E-2</v>
      </c>
      <c r="I141" s="101">
        <f>IF(ISNUMBER(G141), $B145 * H141, "")</f>
        <v>2258.0645161290299</v>
      </c>
      <c r="J141" s="15">
        <v>64.7</v>
      </c>
      <c r="K141" s="32">
        <f t="shared" ref="K141:K144" si="76">IF(ISNUMBER(J141), (J141 - $B141) / $B141, "")</f>
        <v>4.3548387096774242E-2</v>
      </c>
      <c r="L141" s="18">
        <f>IF(ISNUMBER(J141), $B145 * K141, "")</f>
        <v>4354.838709677424</v>
      </c>
      <c r="M141" s="31">
        <v>63.8</v>
      </c>
      <c r="N141" s="32">
        <f t="shared" ref="N141:N144" si="77">IF(ISNUMBER(M141), (M141 - $B141) / $B141, "")</f>
        <v>2.9032258064516082E-2</v>
      </c>
      <c r="O141" s="18">
        <f>IF(ISNUMBER(M141), $B145 * N141, "")</f>
        <v>2903.2258064516082</v>
      </c>
      <c r="Q141" s="223"/>
      <c r="R141" s="223"/>
      <c r="S141" s="223"/>
    </row>
    <row r="142" spans="1:19" ht="17.25" thickBot="1">
      <c r="A142" s="162" t="s">
        <v>72</v>
      </c>
      <c r="B142" s="126">
        <v>17.5</v>
      </c>
      <c r="C142" s="77">
        <v>-0.1421568627</v>
      </c>
      <c r="D142" s="15">
        <v>18.5</v>
      </c>
      <c r="E142" s="32">
        <f t="shared" si="74"/>
        <v>5.7142857142857141E-2</v>
      </c>
      <c r="F142" s="18">
        <f>IF(ISNUMBER(D142), $B145 * E142, "")</f>
        <v>5714.2857142857138</v>
      </c>
      <c r="G142" s="31">
        <v>18.7</v>
      </c>
      <c r="H142" s="32">
        <f t="shared" si="75"/>
        <v>6.8571428571428533E-2</v>
      </c>
      <c r="I142" s="101">
        <f>IF(ISNUMBER(G142), $B145 * H142, "")</f>
        <v>6857.1428571428532</v>
      </c>
      <c r="J142" s="15">
        <v>18.7</v>
      </c>
      <c r="K142" s="32">
        <f t="shared" si="76"/>
        <v>6.8571428571428533E-2</v>
      </c>
      <c r="L142" s="18">
        <f>IF(ISNUMBER(J142), $B145 * K142, "")</f>
        <v>6857.1428571428532</v>
      </c>
      <c r="M142" s="31">
        <v>18.600000000000001</v>
      </c>
      <c r="N142" s="32">
        <f t="shared" si="77"/>
        <v>6.2857142857142945E-2</v>
      </c>
      <c r="O142" s="18">
        <f>IF(ISNUMBER(M142), $B145 * N142, "")</f>
        <v>6285.7142857142944</v>
      </c>
      <c r="Q142" s="223"/>
      <c r="R142" s="223"/>
      <c r="S142" s="223"/>
    </row>
    <row r="143" spans="1:19">
      <c r="A143" s="162" t="s">
        <v>186</v>
      </c>
      <c r="B143" s="126">
        <v>14.5</v>
      </c>
      <c r="C143" s="77">
        <v>-0.15204678360000001</v>
      </c>
      <c r="D143" s="15">
        <v>14.5</v>
      </c>
      <c r="E143" s="32">
        <f t="shared" si="74"/>
        <v>0</v>
      </c>
      <c r="F143" s="18">
        <f>IF(ISNUMBER(D143), $B145 * E143, "")</f>
        <v>0</v>
      </c>
      <c r="G143" s="31">
        <v>14.7</v>
      </c>
      <c r="H143" s="32">
        <f t="shared" si="75"/>
        <v>1.3793103448275813E-2</v>
      </c>
      <c r="I143" s="101">
        <f>IF(ISNUMBER(G143), $B145 * H143, "")</f>
        <v>1379.3103448275813</v>
      </c>
      <c r="J143" s="15">
        <v>15</v>
      </c>
      <c r="K143" s="32">
        <f t="shared" si="76"/>
        <v>3.4482758620689655E-2</v>
      </c>
      <c r="L143" s="18">
        <f>IF(ISNUMBER(J143), $B145 * K143, "")</f>
        <v>3448.2758620689656</v>
      </c>
      <c r="M143" s="31">
        <v>15.1</v>
      </c>
      <c r="N143" s="32">
        <f t="shared" si="77"/>
        <v>4.1379310344827565E-2</v>
      </c>
      <c r="O143" s="18">
        <f>IF(ISNUMBER(M143), $B145 * N143, "")</f>
        <v>4137.9310344827563</v>
      </c>
      <c r="Q143" s="212"/>
      <c r="R143" s="213"/>
      <c r="S143" s="214"/>
    </row>
    <row r="144" spans="1:19" ht="17.25" thickBot="1">
      <c r="A144" s="130" t="s">
        <v>220</v>
      </c>
      <c r="B144" s="131">
        <v>10.3</v>
      </c>
      <c r="C144" s="79">
        <v>-0.1557377049</v>
      </c>
      <c r="D144" s="24">
        <v>10.5</v>
      </c>
      <c r="E144" s="25">
        <f t="shared" si="74"/>
        <v>1.9417475728155269E-2</v>
      </c>
      <c r="F144" s="104">
        <f>IF(ISNUMBER(D144), $B145 * E144, "")</f>
        <v>1941.7475728155268</v>
      </c>
      <c r="G144" s="102">
        <v>10.6</v>
      </c>
      <c r="H144" s="25">
        <f t="shared" si="75"/>
        <v>2.9126213592232903E-2</v>
      </c>
      <c r="I144" s="103">
        <f>IF(ISNUMBER(G144), $B145 * H144, "")</f>
        <v>2912.6213592232903</v>
      </c>
      <c r="J144" s="24">
        <v>11</v>
      </c>
      <c r="K144" s="25">
        <f t="shared" si="76"/>
        <v>6.7961165048543618E-2</v>
      </c>
      <c r="L144" s="104">
        <f>IF(ISNUMBER(J144), $B145 * K144, "")</f>
        <v>6796.1165048543617</v>
      </c>
      <c r="M144" s="102">
        <v>11.5</v>
      </c>
      <c r="N144" s="25">
        <f t="shared" si="77"/>
        <v>0.11650485436893196</v>
      </c>
      <c r="O144" s="104">
        <f>IF(ISNUMBER(M144), $B145 * N144, "")</f>
        <v>11650.485436893196</v>
      </c>
      <c r="Q144" s="215"/>
      <c r="R144" s="216"/>
      <c r="S144" s="217"/>
    </row>
    <row r="145" spans="1:19" ht="17.25" thickBot="1">
      <c r="A145" s="132" t="s">
        <v>300</v>
      </c>
      <c r="B145" s="276">
        <f>$B$37</f>
        <v>100000</v>
      </c>
      <c r="C145" s="277"/>
      <c r="D145" s="26" t="s">
        <v>301</v>
      </c>
      <c r="E145" s="27">
        <f>IF(COUNT(E125:E144), SUM(E125:E144) / COUNT(E125:E144), 0)</f>
        <v>1.7591510551090959E-2</v>
      </c>
      <c r="F145" s="28">
        <f>SUM(F125:F144)</f>
        <v>35183.021102181912</v>
      </c>
      <c r="G145" s="26" t="s">
        <v>301</v>
      </c>
      <c r="H145" s="27">
        <f>IF(COUNT(H125:H144), SUM(H125:H144) / COUNT(H125:H144), 0)</f>
        <v>2.8061155624479871E-2</v>
      </c>
      <c r="I145" s="28">
        <f>SUM(I125:I144)</f>
        <v>56122.311248959748</v>
      </c>
      <c r="J145" s="26" t="s">
        <v>301</v>
      </c>
      <c r="K145" s="27">
        <f>IF(COUNT(K125:K144), SUM(K125:K144) / COUNT(K125:K144), 0)</f>
        <v>5.2118999362816408E-2</v>
      </c>
      <c r="L145" s="28">
        <f>SUM(L125:L144)</f>
        <v>104237.99872563283</v>
      </c>
      <c r="M145" s="26" t="s">
        <v>301</v>
      </c>
      <c r="N145" s="27">
        <f>IF(COUNT(N125:N144), SUM(N125:N144) / COUNT(N125:N144), 0)</f>
        <v>4.3695197648734786E-2</v>
      </c>
      <c r="O145" s="28">
        <f>SUM(O125:O144)</f>
        <v>87390.395297469571</v>
      </c>
      <c r="Q145" s="218"/>
      <c r="R145" s="219"/>
      <c r="S145" s="220"/>
    </row>
    <row r="147" spans="1:19" ht="17.25" thickBot="1"/>
    <row r="148" spans="1:19" ht="17.25" thickBot="1">
      <c r="A148" s="234" t="s">
        <v>289</v>
      </c>
      <c r="B148" s="235"/>
      <c r="C148" s="235"/>
      <c r="D148" s="235"/>
      <c r="E148" s="235"/>
      <c r="F148" s="235"/>
      <c r="G148" s="235"/>
      <c r="H148" s="235"/>
      <c r="I148" s="235"/>
      <c r="J148" s="235"/>
      <c r="K148" s="235"/>
      <c r="L148" s="235"/>
      <c r="M148" s="235"/>
      <c r="N148" s="235"/>
      <c r="O148" s="236"/>
      <c r="Q148" s="233"/>
      <c r="R148" s="233"/>
      <c r="S148" s="233"/>
    </row>
    <row r="149" spans="1:19" ht="17.25" thickBot="1">
      <c r="A149" s="192" t="s">
        <v>297</v>
      </c>
      <c r="B149" s="234" t="s">
        <v>49</v>
      </c>
      <c r="C149" s="236"/>
      <c r="D149" s="234" t="s">
        <v>58</v>
      </c>
      <c r="E149" s="235"/>
      <c r="F149" s="236"/>
      <c r="G149" s="237">
        <f>_xlfn.IFNA(VLOOKUP(B149, 현재가테이블!$B$2:$D$200, 2, FALSE), "-")</f>
        <v>41418000</v>
      </c>
      <c r="H149" s="238"/>
      <c r="I149" s="239"/>
      <c r="J149" s="234" t="s">
        <v>59</v>
      </c>
      <c r="K149" s="235"/>
      <c r="L149" s="236"/>
      <c r="M149" s="240">
        <f>_xlfn.IFNA(VLOOKUP(B149, 현재가테이블!$B$2:$D$200, 3, FALSE), "-")</f>
        <v>-5.2176301000000001E-2</v>
      </c>
      <c r="N149" s="241"/>
      <c r="O149" s="242"/>
      <c r="Q149" s="233"/>
      <c r="R149" s="233"/>
      <c r="S149" s="233"/>
    </row>
    <row r="150" spans="1:19" ht="17.25" thickBot="1">
      <c r="A150" s="278" t="s">
        <v>55</v>
      </c>
      <c r="B150" s="274" t="str">
        <f>TEXT($G$1, "[$-ko-KR]yyyy-mm-dd(ddd) ") &amp; "오전 00:00"</f>
        <v>2021-06-09(수) 오전 00:00</v>
      </c>
      <c r="C150" s="275"/>
      <c r="D150" s="247" t="str">
        <f>TEXT($G$1, "[$-ko-KR]yyyy-mm-dd(ddd) ") &amp; "오후 14:00"</f>
        <v>2021-06-09(수) 오후 14:00</v>
      </c>
      <c r="E150" s="248"/>
      <c r="F150" s="249"/>
      <c r="G150" s="247" t="str">
        <f>TEXT($G$1, "[$-ko-KR]yyyy-mm-dd(ddd) ") &amp; "오후 19:00"</f>
        <v>2021-06-09(수) 오후 19:00</v>
      </c>
      <c r="H150" s="248"/>
      <c r="I150" s="249"/>
      <c r="J150" s="247" t="str">
        <f>TEXT($G$1, "[$-ko-KR]yyyy-mm-dd(ddd) ") &amp; "오후 21:00"</f>
        <v>2021-06-09(수) 오후 21:00</v>
      </c>
      <c r="K150" s="248"/>
      <c r="L150" s="249"/>
      <c r="M150" s="247" t="str">
        <f>TEXT($G$1+1, "[$-ko-KR]yyyy-mm-dd(ddd) ") &amp; "오전 00:00"</f>
        <v>2021-06-10(목) 오전 00:00</v>
      </c>
      <c r="N150" s="248"/>
      <c r="O150" s="249"/>
      <c r="Q150" s="233"/>
      <c r="R150" s="233"/>
      <c r="S150" s="233"/>
    </row>
    <row r="151" spans="1:19" ht="17.25" thickBot="1">
      <c r="A151" s="279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93" t="s">
        <v>58</v>
      </c>
      <c r="H151" s="194" t="s">
        <v>298</v>
      </c>
      <c r="I151" s="19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3"/>
      <c r="R151" s="223"/>
      <c r="S151" s="223"/>
    </row>
    <row r="152" spans="1:19" ht="17.25" thickBot="1">
      <c r="A152" s="161" t="s">
        <v>282</v>
      </c>
      <c r="B152" s="124">
        <v>102</v>
      </c>
      <c r="C152" s="76">
        <v>-0.1130434783</v>
      </c>
      <c r="D152" s="13">
        <v>102</v>
      </c>
      <c r="E152" s="14">
        <f>IF(ISNUMBER(D152), (D152 - $B152) / $B152, "")</f>
        <v>0</v>
      </c>
      <c r="F152" s="16">
        <f>IF(ISNUMBER(D152), $B172 * E152, "")</f>
        <v>0</v>
      </c>
      <c r="G152" s="29">
        <v>103</v>
      </c>
      <c r="H152" s="14">
        <f>IF(ISNUMBER(G152), (G152 - $B152) / $B152, "")</f>
        <v>9.8039215686274508E-3</v>
      </c>
      <c r="I152" s="100">
        <f>IF(ISNUMBER(G152), $B172 * H152, "")</f>
        <v>980.39215686274508</v>
      </c>
      <c r="J152" s="13">
        <v>107</v>
      </c>
      <c r="K152" s="14">
        <f>IF(ISNUMBER(J152), (J152 - $B152) / $B152, "")</f>
        <v>4.9019607843137254E-2</v>
      </c>
      <c r="L152" s="16">
        <f>IF(ISNUMBER(J152), $B172 * K152, "")</f>
        <v>4901.9607843137255</v>
      </c>
      <c r="M152" s="29">
        <v>104</v>
      </c>
      <c r="N152" s="14">
        <f>IF(ISNUMBER(M152), (M152 - $B152) / $B152, "")</f>
        <v>1.9607843137254902E-2</v>
      </c>
      <c r="O152" s="16">
        <f>IF(ISNUMBER(M152), $B172 * N152, "")</f>
        <v>1960.7843137254902</v>
      </c>
      <c r="Q152" s="233"/>
      <c r="R152" s="233"/>
      <c r="S152" s="233"/>
    </row>
    <row r="153" spans="1:19" ht="17.25" thickBot="1">
      <c r="A153" s="162" t="s">
        <v>202</v>
      </c>
      <c r="B153" s="126">
        <v>102</v>
      </c>
      <c r="C153" s="77">
        <v>-0.1130434783</v>
      </c>
      <c r="D153" s="15">
        <v>104</v>
      </c>
      <c r="E153" s="32">
        <f t="shared" ref="E153:E156" si="78">IF(ISNUMBER(D153), (D153 - $B153) / $B153, "")</f>
        <v>1.9607843137254902E-2</v>
      </c>
      <c r="F153" s="18">
        <f>IF(ISNUMBER(D153), $B172 * E153, "")</f>
        <v>1960.7843137254902</v>
      </c>
      <c r="G153" s="31">
        <v>104</v>
      </c>
      <c r="H153" s="32">
        <f t="shared" ref="H153:H156" si="79">IF(ISNUMBER(G153), (G153 - $B153) / $B153, "")</f>
        <v>1.9607843137254902E-2</v>
      </c>
      <c r="I153" s="101">
        <f>IF(ISNUMBER(G153), $B172 * H153, "")</f>
        <v>1960.7843137254902</v>
      </c>
      <c r="J153" s="15">
        <v>106</v>
      </c>
      <c r="K153" s="32">
        <f t="shared" ref="K153:K156" si="80">IF(ISNUMBER(J153), (J153 - $B153) / $B153, "")</f>
        <v>3.9215686274509803E-2</v>
      </c>
      <c r="L153" s="18">
        <f>IF(ISNUMBER(J153), $B172 * K153, "")</f>
        <v>3921.5686274509803</v>
      </c>
      <c r="M153" s="31">
        <v>105</v>
      </c>
      <c r="N153" s="32">
        <f t="shared" ref="N153:N156" si="81">IF(ISNUMBER(M153), (M153 - $B153) / $B153, "")</f>
        <v>2.9411764705882353E-2</v>
      </c>
      <c r="O153" s="18">
        <f>IF(ISNUMBER(M153), $B172 * N153, "")</f>
        <v>2941.1764705882351</v>
      </c>
      <c r="Q153" s="233"/>
      <c r="R153" s="233"/>
      <c r="S153" s="233"/>
    </row>
    <row r="154" spans="1:19" ht="17.25" thickBot="1">
      <c r="A154" s="162" t="s">
        <v>210</v>
      </c>
      <c r="B154" s="126">
        <v>109</v>
      </c>
      <c r="C154" s="77">
        <v>-0.1138211382</v>
      </c>
      <c r="D154" s="15">
        <v>120</v>
      </c>
      <c r="E154" s="32">
        <f t="shared" si="78"/>
        <v>0.10091743119266056</v>
      </c>
      <c r="F154" s="18">
        <f>IF(ISNUMBER(D154), $B172 * E154, "")</f>
        <v>10091.743119266055</v>
      </c>
      <c r="G154" s="31">
        <v>119</v>
      </c>
      <c r="H154" s="32">
        <f t="shared" si="79"/>
        <v>9.1743119266055051E-2</v>
      </c>
      <c r="I154" s="101">
        <f>IF(ISNUMBER(G154), $B172 * H154, "")</f>
        <v>9174.3119266055055</v>
      </c>
      <c r="J154" s="15">
        <v>119</v>
      </c>
      <c r="K154" s="32">
        <f t="shared" si="80"/>
        <v>9.1743119266055051E-2</v>
      </c>
      <c r="L154" s="18">
        <f>IF(ISNUMBER(J154), $B172 * K154, "")</f>
        <v>9174.3119266055055</v>
      </c>
      <c r="M154" s="31">
        <v>117</v>
      </c>
      <c r="N154" s="32">
        <f t="shared" si="81"/>
        <v>7.3394495412844041E-2</v>
      </c>
      <c r="O154" s="18">
        <f>IF(ISNUMBER(M154), $B172 * N154, "")</f>
        <v>7339.4495412844044</v>
      </c>
      <c r="Q154" s="223"/>
      <c r="R154" s="223"/>
      <c r="S154" s="223"/>
    </row>
    <row r="155" spans="1:19" ht="17.25" thickBot="1">
      <c r="A155" s="162" t="s">
        <v>262</v>
      </c>
      <c r="B155" s="126">
        <v>535</v>
      </c>
      <c r="C155" s="77">
        <v>-0.11423841060000001</v>
      </c>
      <c r="D155" s="15">
        <v>539</v>
      </c>
      <c r="E155" s="32">
        <f t="shared" si="78"/>
        <v>7.4766355140186919E-3</v>
      </c>
      <c r="F155" s="18">
        <f>IF(ISNUMBER(D155), $B172 * E155, "")</f>
        <v>747.6635514018692</v>
      </c>
      <c r="G155" s="31">
        <v>551</v>
      </c>
      <c r="H155" s="32">
        <f t="shared" si="79"/>
        <v>2.9906542056074768E-2</v>
      </c>
      <c r="I155" s="101">
        <f>IF(ISNUMBER(G155), $B172 * H155, "")</f>
        <v>2990.6542056074768</v>
      </c>
      <c r="J155" s="15">
        <v>566</v>
      </c>
      <c r="K155" s="32">
        <f t="shared" si="80"/>
        <v>5.7943925233644861E-2</v>
      </c>
      <c r="L155" s="18">
        <f>IF(ISNUMBER(J155), $B172 * K155, "")</f>
        <v>5794.3925233644859</v>
      </c>
      <c r="M155" s="31">
        <v>555</v>
      </c>
      <c r="N155" s="32">
        <f t="shared" si="81"/>
        <v>3.7383177570093455E-2</v>
      </c>
      <c r="O155" s="18">
        <f>IF(ISNUMBER(M155), $B172 * N155, "")</f>
        <v>3738.3177570093453</v>
      </c>
      <c r="Q155" s="223"/>
      <c r="R155" s="223"/>
      <c r="S155" s="223"/>
    </row>
    <row r="156" spans="1:19" ht="17.25" thickBot="1">
      <c r="A156" s="163" t="s">
        <v>238</v>
      </c>
      <c r="B156" s="128">
        <v>155</v>
      </c>
      <c r="C156" s="78">
        <v>-0.11428571429999999</v>
      </c>
      <c r="D156" s="20">
        <v>160</v>
      </c>
      <c r="E156" s="21">
        <f t="shared" si="78"/>
        <v>3.2258064516129031E-2</v>
      </c>
      <c r="F156" s="22">
        <f>IF(ISNUMBER(D156), $B172 * E156, "")</f>
        <v>3225.8064516129029</v>
      </c>
      <c r="G156" s="30">
        <v>161</v>
      </c>
      <c r="H156" s="21">
        <f t="shared" si="79"/>
        <v>3.870967741935484E-2</v>
      </c>
      <c r="I156" s="105">
        <f>IF(ISNUMBER(G156), $B172 * H156, "")</f>
        <v>3870.9677419354839</v>
      </c>
      <c r="J156" s="20">
        <v>163</v>
      </c>
      <c r="K156" s="21">
        <f t="shared" si="80"/>
        <v>5.1612903225806452E-2</v>
      </c>
      <c r="L156" s="22">
        <f>IF(ISNUMBER(J156), $B172 * K156, "")</f>
        <v>5161.2903225806449</v>
      </c>
      <c r="M156" s="30">
        <v>163</v>
      </c>
      <c r="N156" s="21">
        <f t="shared" si="81"/>
        <v>5.1612903225806452E-2</v>
      </c>
      <c r="O156" s="22">
        <f>IF(ISNUMBER(M156), $B172 * N156, "")</f>
        <v>5161.2903225806449</v>
      </c>
      <c r="Q156" s="223"/>
      <c r="R156" s="223"/>
      <c r="S156" s="223"/>
    </row>
    <row r="157" spans="1:19" ht="17.25" thickBot="1">
      <c r="A157" s="162" t="s">
        <v>258</v>
      </c>
      <c r="B157" s="129">
        <v>407</v>
      </c>
      <c r="C157" s="80">
        <v>-0.1152173913</v>
      </c>
      <c r="D157" s="106">
        <v>414</v>
      </c>
      <c r="E157" s="107">
        <f>IF(ISNUMBER(D157), (D157 - $B157) / $B157, "")</f>
        <v>1.7199017199017199E-2</v>
      </c>
      <c r="F157" s="108">
        <f>IF(ISNUMBER(D157), $B172 * E157, "")</f>
        <v>1719.9017199017198</v>
      </c>
      <c r="G157" s="109">
        <v>419</v>
      </c>
      <c r="H157" s="107">
        <f>IF(ISNUMBER(G157), (G157 - $B157) / $B157, "")</f>
        <v>2.9484029484029485E-2</v>
      </c>
      <c r="I157" s="110">
        <f>IF(ISNUMBER(G157), $B172 * H157, "")</f>
        <v>2948.4029484029484</v>
      </c>
      <c r="J157" s="106">
        <v>427</v>
      </c>
      <c r="K157" s="107">
        <f>IF(ISNUMBER(J157), (J157 - $B157) / $B157, "")</f>
        <v>4.9140049140049137E-2</v>
      </c>
      <c r="L157" s="108">
        <f>IF(ISNUMBER(J157), $B172 * K157, "")</f>
        <v>4914.0049140049141</v>
      </c>
      <c r="M157" s="109">
        <v>419</v>
      </c>
      <c r="N157" s="107">
        <f>IF(ISNUMBER(M157), (M157 - $B157) / $B157, "")</f>
        <v>2.9484029484029485E-2</v>
      </c>
      <c r="O157" s="108">
        <f>IF(ISNUMBER(M157), $B172 * N157, "")</f>
        <v>2948.4029484029484</v>
      </c>
      <c r="Q157" s="223"/>
      <c r="R157" s="223"/>
      <c r="S157" s="223"/>
    </row>
    <row r="158" spans="1:19" ht="17.25" thickBot="1">
      <c r="A158" s="162" t="s">
        <v>226</v>
      </c>
      <c r="B158" s="126">
        <v>253</v>
      </c>
      <c r="C158" s="77">
        <v>-0.118466899</v>
      </c>
      <c r="D158" s="15">
        <v>265</v>
      </c>
      <c r="E158" s="32">
        <f t="shared" ref="E158:E161" si="82">IF(ISNUMBER(D158), (D158 - $B158) / $B158, "")</f>
        <v>4.7430830039525688E-2</v>
      </c>
      <c r="F158" s="18">
        <f>IF(ISNUMBER(D158), $B172 * E158, "")</f>
        <v>4743.083003952569</v>
      </c>
      <c r="G158" s="31">
        <v>264</v>
      </c>
      <c r="H158" s="32">
        <f t="shared" ref="H158:H161" si="83">IF(ISNUMBER(G158), (G158 - $B158) / $B158, "")</f>
        <v>4.3478260869565216E-2</v>
      </c>
      <c r="I158" s="101">
        <f>IF(ISNUMBER(G158), $B172 * H158, "")</f>
        <v>4347.826086956522</v>
      </c>
      <c r="J158" s="15">
        <v>269</v>
      </c>
      <c r="K158" s="32">
        <f t="shared" ref="K158:K161" si="84">IF(ISNUMBER(J158), (J158 - $B158) / $B158, "")</f>
        <v>6.3241106719367585E-2</v>
      </c>
      <c r="L158" s="18">
        <f>IF(ISNUMBER(J158), $B172 * K158, "")</f>
        <v>6324.1106719367581</v>
      </c>
      <c r="M158" s="31">
        <v>264</v>
      </c>
      <c r="N158" s="32">
        <f t="shared" ref="N158:N161" si="85">IF(ISNUMBER(M158), (M158 - $B158) / $B158, "")</f>
        <v>4.3478260869565216E-2</v>
      </c>
      <c r="O158" s="18">
        <f>IF(ISNUMBER(M158), $B172 * N158, "")</f>
        <v>4347.826086956522</v>
      </c>
      <c r="Q158" s="223"/>
      <c r="R158" s="223"/>
      <c r="S158" s="223"/>
    </row>
    <row r="159" spans="1:19" ht="17.25" thickBot="1">
      <c r="A159" s="162" t="s">
        <v>192</v>
      </c>
      <c r="B159" s="126">
        <v>963</v>
      </c>
      <c r="C159" s="77">
        <v>-0.12054794520000001</v>
      </c>
      <c r="D159" s="15">
        <v>1055</v>
      </c>
      <c r="E159" s="32">
        <f t="shared" si="82"/>
        <v>9.5534787123572176E-2</v>
      </c>
      <c r="F159" s="18">
        <f>IF(ISNUMBER(D159), $B172 * E159, "")</f>
        <v>9553.4787123572169</v>
      </c>
      <c r="G159" s="31">
        <v>1075</v>
      </c>
      <c r="H159" s="32">
        <f t="shared" si="83"/>
        <v>0.11630321910695743</v>
      </c>
      <c r="I159" s="101">
        <f>IF(ISNUMBER(G159), $B172 * H159, "")</f>
        <v>11630.321910695742</v>
      </c>
      <c r="J159" s="15">
        <v>1085</v>
      </c>
      <c r="K159" s="32">
        <f t="shared" si="84"/>
        <v>0.12668743509865005</v>
      </c>
      <c r="L159" s="18">
        <f>IF(ISNUMBER(J159), $B172 * K159, "")</f>
        <v>12668.743509865004</v>
      </c>
      <c r="M159" s="31">
        <v>1050</v>
      </c>
      <c r="N159" s="32">
        <f t="shared" si="85"/>
        <v>9.0342679127725853E-2</v>
      </c>
      <c r="O159" s="18">
        <f>IF(ISNUMBER(M159), $B172 * N159, "")</f>
        <v>9034.267912772586</v>
      </c>
      <c r="Q159" s="223"/>
      <c r="R159" s="223"/>
      <c r="S159" s="223"/>
    </row>
    <row r="160" spans="1:19" ht="17.25" thickBot="1">
      <c r="A160" s="162" t="s">
        <v>61</v>
      </c>
      <c r="B160" s="126">
        <v>758</v>
      </c>
      <c r="C160" s="77">
        <v>-0.12166859789999999</v>
      </c>
      <c r="D160" s="15">
        <v>785</v>
      </c>
      <c r="E160" s="32">
        <f t="shared" si="82"/>
        <v>3.5620052770448551E-2</v>
      </c>
      <c r="F160" s="18">
        <f>IF(ISNUMBER(D160), $B172 * E160, "")</f>
        <v>3562.0052770448551</v>
      </c>
      <c r="G160" s="31">
        <v>794</v>
      </c>
      <c r="H160" s="32">
        <f t="shared" si="83"/>
        <v>4.7493403693931395E-2</v>
      </c>
      <c r="I160" s="101">
        <f>IF(ISNUMBER(G160), $B172 * H160, "")</f>
        <v>4749.3403693931396</v>
      </c>
      <c r="J160" s="15">
        <v>823</v>
      </c>
      <c r="K160" s="32">
        <f t="shared" si="84"/>
        <v>8.5751978891820582E-2</v>
      </c>
      <c r="L160" s="18">
        <f>IF(ISNUMBER(J160), $B172 * K160, "")</f>
        <v>8575.1978891820581</v>
      </c>
      <c r="M160" s="31">
        <v>797</v>
      </c>
      <c r="N160" s="32">
        <f t="shared" si="85"/>
        <v>5.1451187335092345E-2</v>
      </c>
      <c r="O160" s="18">
        <f>IF(ISNUMBER(M160), $B172 * N160, "")</f>
        <v>5145.1187335092345</v>
      </c>
      <c r="Q160" s="33"/>
      <c r="R160" s="33"/>
    </row>
    <row r="161" spans="1:19" ht="17.25" thickBot="1">
      <c r="A161" s="130" t="s">
        <v>116</v>
      </c>
      <c r="B161" s="131">
        <v>301</v>
      </c>
      <c r="C161" s="79">
        <v>-0.12244897959999999</v>
      </c>
      <c r="D161" s="24">
        <v>312</v>
      </c>
      <c r="E161" s="25">
        <f t="shared" si="82"/>
        <v>3.6544850498338874E-2</v>
      </c>
      <c r="F161" s="104">
        <f>IF(ISNUMBER(D161), $B172 * E161, "")</f>
        <v>3654.4850498338874</v>
      </c>
      <c r="G161" s="102">
        <v>311</v>
      </c>
      <c r="H161" s="25">
        <f t="shared" si="83"/>
        <v>3.3222591362126248E-2</v>
      </c>
      <c r="I161" s="103">
        <f>IF(ISNUMBER(G161), $B172 * H161, "")</f>
        <v>3322.259136212625</v>
      </c>
      <c r="J161" s="24">
        <v>323</v>
      </c>
      <c r="K161" s="25">
        <f t="shared" si="84"/>
        <v>7.3089700996677748E-2</v>
      </c>
      <c r="L161" s="104">
        <f>IF(ISNUMBER(J161), $B172 * K161, "")</f>
        <v>7308.9700996677748</v>
      </c>
      <c r="M161" s="102">
        <v>318</v>
      </c>
      <c r="N161" s="25">
        <f t="shared" si="85"/>
        <v>5.647840531561462E-2</v>
      </c>
      <c r="O161" s="104">
        <f>IF(ISNUMBER(M161), $B172 * N161, "")</f>
        <v>5647.8405315614618</v>
      </c>
      <c r="Q161" s="224"/>
      <c r="R161" s="225"/>
      <c r="S161" s="226"/>
    </row>
    <row r="162" spans="1:19">
      <c r="A162" s="161" t="s">
        <v>230</v>
      </c>
      <c r="B162" s="124">
        <v>102</v>
      </c>
      <c r="C162" s="76">
        <v>-0.12820512819999999</v>
      </c>
      <c r="D162" s="13">
        <v>105</v>
      </c>
      <c r="E162" s="14">
        <f>IF(ISNUMBER(D162), (D162 - $B162) / $B162, "")</f>
        <v>2.9411764705882353E-2</v>
      </c>
      <c r="F162" s="16">
        <f>IF(ISNUMBER(D162), $B172 * E162, "")</f>
        <v>2941.1764705882351</v>
      </c>
      <c r="G162" s="29">
        <v>105</v>
      </c>
      <c r="H162" s="14">
        <f>IF(ISNUMBER(G162), (G162 - $B162) / $B162, "")</f>
        <v>2.9411764705882353E-2</v>
      </c>
      <c r="I162" s="100">
        <f>IF(ISNUMBER(G162), $B172 * H162, "")</f>
        <v>2941.1764705882351</v>
      </c>
      <c r="J162" s="13">
        <v>108</v>
      </c>
      <c r="K162" s="14">
        <f>IF(ISNUMBER(J162), (J162 - $B162) / $B162, "")</f>
        <v>5.8823529411764705E-2</v>
      </c>
      <c r="L162" s="16">
        <f>IF(ISNUMBER(J162), $B172 * K162, "")</f>
        <v>5882.3529411764703</v>
      </c>
      <c r="M162" s="29">
        <v>106</v>
      </c>
      <c r="N162" s="14">
        <f>IF(ISNUMBER(M162), (M162 - $B162) / $B162, "")</f>
        <v>3.9215686274509803E-2</v>
      </c>
      <c r="O162" s="16">
        <f>IF(ISNUMBER(M162), $B172 * N162, "")</f>
        <v>3921.5686274509803</v>
      </c>
      <c r="Q162" s="227"/>
      <c r="R162" s="228"/>
      <c r="S162" s="229"/>
    </row>
    <row r="163" spans="1:19" ht="17.25" thickBot="1">
      <c r="A163" s="162" t="s">
        <v>280</v>
      </c>
      <c r="B163" s="126">
        <v>889</v>
      </c>
      <c r="C163" s="77">
        <v>-0.13268292679999999</v>
      </c>
      <c r="D163" s="15">
        <v>964</v>
      </c>
      <c r="E163" s="32">
        <f t="shared" ref="E163:E166" si="86">IF(ISNUMBER(D163), (D163 - $B163) / $B163, "")</f>
        <v>8.4364454443194598E-2</v>
      </c>
      <c r="F163" s="18">
        <f>IF(ISNUMBER(D163), $B172 * E163, "")</f>
        <v>8436.4454443194591</v>
      </c>
      <c r="G163" s="31">
        <v>989</v>
      </c>
      <c r="H163" s="32">
        <f t="shared" ref="H163:H166" si="87">IF(ISNUMBER(G163), (G163 - $B163) / $B163, "")</f>
        <v>0.1124859392575928</v>
      </c>
      <c r="I163" s="101">
        <f>IF(ISNUMBER(G163), $B172 * H163, "")</f>
        <v>11248.59392575928</v>
      </c>
      <c r="J163" s="15">
        <v>1020</v>
      </c>
      <c r="K163" s="32">
        <f t="shared" ref="K163:K166" si="88">IF(ISNUMBER(J163), (J163 - $B163) / $B163, "")</f>
        <v>0.14735658042744657</v>
      </c>
      <c r="L163" s="18">
        <f>IF(ISNUMBER(J163), $B172 * K163, "")</f>
        <v>14735.658042744657</v>
      </c>
      <c r="M163" s="31">
        <v>997</v>
      </c>
      <c r="N163" s="32">
        <f t="shared" ref="N163:N166" si="89">IF(ISNUMBER(M163), (M163 - $B163) / $B163, "")</f>
        <v>0.12148481439820022</v>
      </c>
      <c r="O163" s="18">
        <f>IF(ISNUMBER(M163), $B172 * N163, "")</f>
        <v>12148.481439820021</v>
      </c>
      <c r="Q163" s="230"/>
      <c r="R163" s="231"/>
      <c r="S163" s="232"/>
    </row>
    <row r="164" spans="1:19" ht="17.25" thickBot="1">
      <c r="A164" s="162" t="s">
        <v>200</v>
      </c>
      <c r="B164" s="126">
        <v>175</v>
      </c>
      <c r="C164" s="77">
        <v>-0.1336633663</v>
      </c>
      <c r="D164" s="15">
        <v>181</v>
      </c>
      <c r="E164" s="32">
        <f t="shared" si="86"/>
        <v>3.4285714285714287E-2</v>
      </c>
      <c r="F164" s="18">
        <f>IF(ISNUMBER(D164), $B172 * E164, "")</f>
        <v>3428.5714285714289</v>
      </c>
      <c r="G164" s="31">
        <v>183</v>
      </c>
      <c r="H164" s="32">
        <f t="shared" si="87"/>
        <v>4.5714285714285714E-2</v>
      </c>
      <c r="I164" s="101">
        <f>IF(ISNUMBER(G164), $B172 * H164, "")</f>
        <v>4571.4285714285716</v>
      </c>
      <c r="J164" s="15">
        <v>184</v>
      </c>
      <c r="K164" s="32">
        <f t="shared" si="88"/>
        <v>5.1428571428571428E-2</v>
      </c>
      <c r="L164" s="18">
        <f>IF(ISNUMBER(J164), $B172 * K164, "")</f>
        <v>5142.8571428571431</v>
      </c>
      <c r="M164" s="31">
        <v>184</v>
      </c>
      <c r="N164" s="32">
        <f t="shared" si="89"/>
        <v>5.1428571428571428E-2</v>
      </c>
      <c r="O164" s="18">
        <f>IF(ISNUMBER(M164), $B172 * N164, "")</f>
        <v>5142.8571428571431</v>
      </c>
      <c r="Q164" s="223"/>
      <c r="R164" s="223"/>
      <c r="S164" s="223"/>
    </row>
    <row r="165" spans="1:19" ht="17.25" thickBot="1">
      <c r="A165" s="162" t="s">
        <v>256</v>
      </c>
      <c r="B165" s="126">
        <v>148</v>
      </c>
      <c r="C165" s="77">
        <v>-0.134502924</v>
      </c>
      <c r="D165" s="15">
        <v>152</v>
      </c>
      <c r="E165" s="32">
        <f t="shared" si="86"/>
        <v>2.7027027027027029E-2</v>
      </c>
      <c r="F165" s="18">
        <f>IF(ISNUMBER(D165), $B172 * E165, "")</f>
        <v>2702.7027027027029</v>
      </c>
      <c r="G165" s="31">
        <v>160</v>
      </c>
      <c r="H165" s="32">
        <f t="shared" si="87"/>
        <v>8.1081081081081086E-2</v>
      </c>
      <c r="I165" s="101">
        <f>IF(ISNUMBER(G165), $B172 * H165, "")</f>
        <v>8108.1081081081084</v>
      </c>
      <c r="J165" s="15">
        <v>159</v>
      </c>
      <c r="K165" s="32">
        <f t="shared" si="88"/>
        <v>7.4324324324324328E-2</v>
      </c>
      <c r="L165" s="18">
        <f>IF(ISNUMBER(J165), $B172 * K165, "")</f>
        <v>7432.4324324324325</v>
      </c>
      <c r="M165" s="31">
        <v>159</v>
      </c>
      <c r="N165" s="32">
        <f t="shared" si="89"/>
        <v>7.4324324324324328E-2</v>
      </c>
      <c r="O165" s="18">
        <f>IF(ISNUMBER(M165), $B172 * N165, "")</f>
        <v>7432.4324324324325</v>
      </c>
      <c r="Q165" s="233"/>
      <c r="R165" s="233"/>
      <c r="S165" s="233"/>
    </row>
    <row r="166" spans="1:19" ht="17.25" thickBot="1">
      <c r="A166" s="163" t="s">
        <v>174</v>
      </c>
      <c r="B166" s="128">
        <v>150</v>
      </c>
      <c r="C166" s="78">
        <v>-0.13793103449999999</v>
      </c>
      <c r="D166" s="20">
        <v>155</v>
      </c>
      <c r="E166" s="21">
        <f t="shared" si="86"/>
        <v>3.3333333333333333E-2</v>
      </c>
      <c r="F166" s="22">
        <f>IF(ISNUMBER(D166), $B172 * E166, "")</f>
        <v>3333.3333333333335</v>
      </c>
      <c r="G166" s="30">
        <v>154</v>
      </c>
      <c r="H166" s="21">
        <f t="shared" si="87"/>
        <v>2.6666666666666668E-2</v>
      </c>
      <c r="I166" s="105">
        <f>IF(ISNUMBER(G166), $B172 * H166, "")</f>
        <v>2666.666666666667</v>
      </c>
      <c r="J166" s="20">
        <v>156</v>
      </c>
      <c r="K166" s="21">
        <f t="shared" si="88"/>
        <v>0.04</v>
      </c>
      <c r="L166" s="22">
        <f>IF(ISNUMBER(J166), $B172 * K166, "")</f>
        <v>4000</v>
      </c>
      <c r="M166" s="30">
        <v>157</v>
      </c>
      <c r="N166" s="21">
        <f t="shared" si="89"/>
        <v>4.6666666666666669E-2</v>
      </c>
      <c r="O166" s="22">
        <f>IF(ISNUMBER(M166), $B172 * N166, "")</f>
        <v>4666.666666666667</v>
      </c>
      <c r="Q166" s="233"/>
      <c r="R166" s="233"/>
      <c r="S166" s="233"/>
    </row>
    <row r="167" spans="1:19" ht="17.25" thickBot="1">
      <c r="A167" s="162" t="s">
        <v>246</v>
      </c>
      <c r="B167" s="129">
        <v>255</v>
      </c>
      <c r="C167" s="80">
        <v>-0.14429530199999999</v>
      </c>
      <c r="D167" s="106">
        <v>280</v>
      </c>
      <c r="E167" s="107">
        <f>IF(ISNUMBER(D167), (D167 - $B167) / $B167, "")</f>
        <v>9.8039215686274508E-2</v>
      </c>
      <c r="F167" s="108">
        <f>IF(ISNUMBER(D167), $B172 * E167, "")</f>
        <v>9803.9215686274511</v>
      </c>
      <c r="G167" s="109">
        <v>266</v>
      </c>
      <c r="H167" s="107">
        <f>IF(ISNUMBER(G167), (G167 - $B167) / $B167, "")</f>
        <v>4.3137254901960784E-2</v>
      </c>
      <c r="I167" s="110">
        <f>IF(ISNUMBER(G167), $B172 * H167, "")</f>
        <v>4313.7254901960787</v>
      </c>
      <c r="J167" s="106">
        <v>273</v>
      </c>
      <c r="K167" s="107">
        <f>IF(ISNUMBER(J167), (J167 - $B167) / $B167, "")</f>
        <v>7.0588235294117646E-2</v>
      </c>
      <c r="L167" s="108">
        <f>IF(ISNUMBER(J167), $B172 * K167, "")</f>
        <v>7058.8235294117649</v>
      </c>
      <c r="M167" s="109">
        <v>270</v>
      </c>
      <c r="N167" s="107">
        <f>IF(ISNUMBER(M167), (M167 - $B167) / $B167, "")</f>
        <v>5.8823529411764705E-2</v>
      </c>
      <c r="O167" s="108">
        <f>IF(ISNUMBER(M167), $B172 * N167, "")</f>
        <v>5882.3529411764703</v>
      </c>
      <c r="Q167" s="223"/>
      <c r="R167" s="223"/>
      <c r="S167" s="223"/>
    </row>
    <row r="168" spans="1:19" ht="17.25" thickBot="1">
      <c r="A168" s="162" t="s">
        <v>208</v>
      </c>
      <c r="B168" s="126">
        <v>255</v>
      </c>
      <c r="C168" s="77">
        <v>-0.14429530199999999</v>
      </c>
      <c r="D168" s="15">
        <v>263</v>
      </c>
      <c r="E168" s="32">
        <f t="shared" ref="E168:E171" si="90">IF(ISNUMBER(D168), (D168 - $B168) / $B168, "")</f>
        <v>3.1372549019607843E-2</v>
      </c>
      <c r="F168" s="18">
        <f>IF(ISNUMBER(D168), $B172 * E168, "")</f>
        <v>3137.2549019607841</v>
      </c>
      <c r="G168" s="31">
        <v>261</v>
      </c>
      <c r="H168" s="32">
        <f t="shared" ref="H168:H171" si="91">IF(ISNUMBER(G168), (G168 - $B168) / $B168, "")</f>
        <v>2.3529411764705882E-2</v>
      </c>
      <c r="I168" s="101">
        <f>IF(ISNUMBER(G168), $B172 * H168, "")</f>
        <v>2352.9411764705883</v>
      </c>
      <c r="J168" s="15">
        <v>267</v>
      </c>
      <c r="K168" s="32">
        <f t="shared" ref="K168:K171" si="92">IF(ISNUMBER(J168), (J168 - $B168) / $B168, "")</f>
        <v>4.7058823529411764E-2</v>
      </c>
      <c r="L168" s="18">
        <f>IF(ISNUMBER(J168), $B172 * K168, "")</f>
        <v>4705.8823529411766</v>
      </c>
      <c r="M168" s="31">
        <v>264</v>
      </c>
      <c r="N168" s="32">
        <f t="shared" ref="N168:N171" si="93">IF(ISNUMBER(M168), (M168 - $B168) / $B168, "")</f>
        <v>3.5294117647058823E-2</v>
      </c>
      <c r="O168" s="18">
        <f>IF(ISNUMBER(M168), $B172 * N168, "")</f>
        <v>3529.4117647058824</v>
      </c>
      <c r="Q168" s="223"/>
      <c r="R168" s="223"/>
      <c r="S168" s="223"/>
    </row>
    <row r="169" spans="1:19" ht="17.25" thickBot="1">
      <c r="A169" s="162" t="s">
        <v>182</v>
      </c>
      <c r="B169" s="126">
        <v>260</v>
      </c>
      <c r="C169" s="77">
        <v>-0.14754098360000001</v>
      </c>
      <c r="D169" s="15">
        <v>263</v>
      </c>
      <c r="E169" s="32">
        <f t="shared" si="90"/>
        <v>1.1538461538461539E-2</v>
      </c>
      <c r="F169" s="18">
        <f>IF(ISNUMBER(D169), $B172 * E169, "")</f>
        <v>1153.8461538461538</v>
      </c>
      <c r="G169" s="31">
        <v>265</v>
      </c>
      <c r="H169" s="32">
        <f t="shared" si="91"/>
        <v>1.9230769230769232E-2</v>
      </c>
      <c r="I169" s="101">
        <f>IF(ISNUMBER(G169), $B172 * H169, "")</f>
        <v>1923.0769230769231</v>
      </c>
      <c r="J169" s="15">
        <v>275</v>
      </c>
      <c r="K169" s="32">
        <f t="shared" si="92"/>
        <v>5.7692307692307696E-2</v>
      </c>
      <c r="L169" s="18">
        <f>IF(ISNUMBER(J169), $B172 * K169, "")</f>
        <v>5769.2307692307695</v>
      </c>
      <c r="M169" s="31">
        <v>266</v>
      </c>
      <c r="N169" s="32">
        <f t="shared" si="93"/>
        <v>2.3076923076923078E-2</v>
      </c>
      <c r="O169" s="18">
        <f>IF(ISNUMBER(M169), $B172 * N169, "")</f>
        <v>2307.6923076923076</v>
      </c>
      <c r="Q169" s="223"/>
      <c r="R169" s="223"/>
      <c r="S169" s="223"/>
    </row>
    <row r="170" spans="1:19">
      <c r="A170" s="162" t="s">
        <v>234</v>
      </c>
      <c r="B170" s="126">
        <v>676</v>
      </c>
      <c r="C170" s="77">
        <v>-0.1486146096</v>
      </c>
      <c r="D170" s="15">
        <v>706</v>
      </c>
      <c r="E170" s="32">
        <f t="shared" si="90"/>
        <v>4.4378698224852069E-2</v>
      </c>
      <c r="F170" s="18">
        <f>IF(ISNUMBER(D170), $B172 * E170, "")</f>
        <v>4437.8698224852069</v>
      </c>
      <c r="G170" s="31">
        <v>704</v>
      </c>
      <c r="H170" s="32">
        <f t="shared" si="91"/>
        <v>4.142011834319527E-2</v>
      </c>
      <c r="I170" s="101">
        <f>IF(ISNUMBER(G170), $B172 * H170, "")</f>
        <v>4142.0118343195272</v>
      </c>
      <c r="J170" s="15">
        <v>714</v>
      </c>
      <c r="K170" s="32">
        <f t="shared" si="92"/>
        <v>5.6213017751479293E-2</v>
      </c>
      <c r="L170" s="18">
        <f>IF(ISNUMBER(J170), $B172 * K170, "")</f>
        <v>5621.3017751479292</v>
      </c>
      <c r="M170" s="31">
        <v>708</v>
      </c>
      <c r="N170" s="32">
        <f t="shared" si="93"/>
        <v>4.7337278106508875E-2</v>
      </c>
      <c r="O170" s="18">
        <f>IF(ISNUMBER(M170), $B172 * N170, "")</f>
        <v>4733.7278106508875</v>
      </c>
      <c r="Q170" s="212"/>
      <c r="R170" s="213"/>
      <c r="S170" s="214"/>
    </row>
    <row r="171" spans="1:19" ht="17.25" thickBot="1">
      <c r="A171" s="130" t="s">
        <v>252</v>
      </c>
      <c r="B171" s="131">
        <v>266</v>
      </c>
      <c r="C171" s="79">
        <v>-0.15015974439999999</v>
      </c>
      <c r="D171" s="24">
        <v>277</v>
      </c>
      <c r="E171" s="25">
        <f t="shared" si="90"/>
        <v>4.1353383458646614E-2</v>
      </c>
      <c r="F171" s="104">
        <f>IF(ISNUMBER(D171), $B172 * E171, "")</f>
        <v>4135.3383458646613</v>
      </c>
      <c r="G171" s="102">
        <v>280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283</v>
      </c>
      <c r="K171" s="25">
        <f t="shared" si="92"/>
        <v>6.3909774436090222E-2</v>
      </c>
      <c r="L171" s="104">
        <f>IF(ISNUMBER(J171), $B172 * K171, "")</f>
        <v>6390.977443609022</v>
      </c>
      <c r="M171" s="102">
        <v>277</v>
      </c>
      <c r="N171" s="25">
        <f t="shared" si="93"/>
        <v>4.1353383458646614E-2</v>
      </c>
      <c r="O171" s="104">
        <f>IF(ISNUMBER(M171), $B172 * N171, "")</f>
        <v>4135.3383458646613</v>
      </c>
      <c r="Q171" s="215"/>
      <c r="R171" s="216"/>
      <c r="S171" s="217"/>
    </row>
    <row r="172" spans="1:19" ht="17.25" thickBot="1">
      <c r="A172" s="132" t="s">
        <v>300</v>
      </c>
      <c r="B172" s="276">
        <f>$B$37</f>
        <v>100000</v>
      </c>
      <c r="C172" s="277"/>
      <c r="D172" s="26" t="s">
        <v>301</v>
      </c>
      <c r="E172" s="27">
        <f>IF(COUNT(E152:E171), SUM(E152:E171) / COUNT(E152:E171), 0)</f>
        <v>4.1384705685697985E-2</v>
      </c>
      <c r="F172" s="28">
        <f>SUM(F152:F171)</f>
        <v>82769.411371395981</v>
      </c>
      <c r="G172" s="26" t="s">
        <v>301</v>
      </c>
      <c r="H172" s="27">
        <f>IF(COUNT(H152:H171), SUM(H152:H171) / COUNT(H152:H171), 0)</f>
        <v>4.6753073928874248E-2</v>
      </c>
      <c r="I172" s="28">
        <f>SUM(I152:I171)</f>
        <v>93506.14785774851</v>
      </c>
      <c r="J172" s="26" t="s">
        <v>301</v>
      </c>
      <c r="K172" s="27">
        <f>IF(COUNT(K152:K171), SUM(K152:K171) / COUNT(K152:K171), 0)</f>
        <v>6.7742033849261613E-2</v>
      </c>
      <c r="L172" s="28">
        <f>SUM(L152:L171)</f>
        <v>135484.0676985232</v>
      </c>
      <c r="M172" s="26" t="s">
        <v>301</v>
      </c>
      <c r="N172" s="27">
        <f>IF(COUNT(N152:N171), SUM(N152:N171) / COUNT(N152:N171), 0)</f>
        <v>5.1082502048854159E-2</v>
      </c>
      <c r="O172" s="28">
        <f>SUM(O152:O171)</f>
        <v>102165.00409770834</v>
      </c>
      <c r="Q172" s="218"/>
      <c r="R172" s="219"/>
      <c r="S172" s="220"/>
    </row>
    <row r="174" spans="1:19" ht="17.25" thickBot="1"/>
    <row r="175" spans="1:19" ht="17.25" thickBot="1">
      <c r="A175" s="234" t="s">
        <v>285</v>
      </c>
      <c r="B175" s="235"/>
      <c r="C175" s="235"/>
      <c r="D175" s="235"/>
      <c r="E175" s="235"/>
      <c r="F175" s="235"/>
      <c r="G175" s="235"/>
      <c r="H175" s="235"/>
      <c r="I175" s="235"/>
      <c r="J175" s="235"/>
      <c r="K175" s="235"/>
      <c r="L175" s="235"/>
      <c r="M175" s="235"/>
      <c r="N175" s="235"/>
      <c r="O175" s="236"/>
      <c r="Q175" s="233"/>
      <c r="R175" s="233"/>
      <c r="S175" s="233"/>
    </row>
    <row r="176" spans="1:19" ht="17.25" thickBot="1">
      <c r="A176" s="192" t="s">
        <v>297</v>
      </c>
      <c r="B176" s="234" t="s">
        <v>49</v>
      </c>
      <c r="C176" s="236"/>
      <c r="D176" s="234" t="s">
        <v>58</v>
      </c>
      <c r="E176" s="235"/>
      <c r="F176" s="236"/>
      <c r="G176" s="237">
        <f>_xlfn.IFNA(VLOOKUP(B176, 현재가테이블!$B$2:$D$200, 2, FALSE), "-")</f>
        <v>41418000</v>
      </c>
      <c r="H176" s="238"/>
      <c r="I176" s="239"/>
      <c r="J176" s="234" t="s">
        <v>59</v>
      </c>
      <c r="K176" s="235"/>
      <c r="L176" s="236"/>
      <c r="M176" s="240">
        <f>_xlfn.IFNA(VLOOKUP(B176, 현재가테이블!$B$2:$D$200, 3, FALSE), "-")</f>
        <v>-5.2176301000000001E-2</v>
      </c>
      <c r="N176" s="241"/>
      <c r="O176" s="242"/>
      <c r="Q176" s="233"/>
      <c r="R176" s="233"/>
      <c r="S176" s="233"/>
    </row>
    <row r="177" spans="1:19" ht="17.25" thickBot="1">
      <c r="A177" s="278" t="s">
        <v>55</v>
      </c>
      <c r="B177" s="274" t="str">
        <f>TEXT($G$1, "[$-ko-KR]yyyy-mm-dd(ddd) ") &amp; "오전 00:00"</f>
        <v>2021-06-09(수) 오전 00:00</v>
      </c>
      <c r="C177" s="275"/>
      <c r="D177" s="247" t="str">
        <f>TEXT($G$1, "[$-ko-KR]yyyy-mm-dd(ddd) ") &amp; "오후 14:00"</f>
        <v>2021-06-09(수) 오후 14:00</v>
      </c>
      <c r="E177" s="248"/>
      <c r="F177" s="249"/>
      <c r="G177" s="247" t="str">
        <f>TEXT($G$1, "[$-ko-KR]yyyy-mm-dd(ddd) ") &amp; "오후 19:00"</f>
        <v>2021-06-09(수) 오후 19:00</v>
      </c>
      <c r="H177" s="248"/>
      <c r="I177" s="249"/>
      <c r="J177" s="247" t="str">
        <f>TEXT($G$1, "[$-ko-KR]yyyy-mm-dd(ddd) ") &amp; "오후 21:00"</f>
        <v>2021-06-09(수) 오후 21:00</v>
      </c>
      <c r="K177" s="248"/>
      <c r="L177" s="249"/>
      <c r="M177" s="247" t="str">
        <f>TEXT($G$1+1, "[$-ko-KR]yyyy-mm-dd(ddd) ") &amp; "오전 00:00"</f>
        <v>2021-06-10(목) 오전 00:00</v>
      </c>
      <c r="N177" s="248"/>
      <c r="O177" s="249"/>
      <c r="Q177" s="233"/>
      <c r="R177" s="233"/>
      <c r="S177" s="233"/>
    </row>
    <row r="178" spans="1:19" ht="17.25" thickBot="1">
      <c r="A178" s="279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93" t="s">
        <v>58</v>
      </c>
      <c r="H178" s="194" t="s">
        <v>298</v>
      </c>
      <c r="I178" s="19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3"/>
      <c r="R178" s="223"/>
      <c r="S178" s="223"/>
    </row>
    <row r="179" spans="1:19" ht="17.25" thickBot="1">
      <c r="A179" s="161" t="s">
        <v>272</v>
      </c>
      <c r="B179" s="124">
        <v>1195</v>
      </c>
      <c r="C179" s="76">
        <v>-0.13718411550000001</v>
      </c>
      <c r="D179" s="13">
        <v>1475</v>
      </c>
      <c r="E179" s="14">
        <f>IF(ISNUMBER(D179), (D179 - $B179) / $B179, "")</f>
        <v>0.23430962343096234</v>
      </c>
      <c r="F179" s="16">
        <f>IF(ISNUMBER(D179), $B199 * E179, "")</f>
        <v>23430.962343096235</v>
      </c>
      <c r="G179" s="29">
        <v>1440</v>
      </c>
      <c r="H179" s="14">
        <f>IF(ISNUMBER(G179), (G179 - $B179) / $B179, "")</f>
        <v>0.20502092050209206</v>
      </c>
      <c r="I179" s="100">
        <f>IF(ISNUMBER(G179), $B199 * H179, "")</f>
        <v>20502.092050209205</v>
      </c>
      <c r="J179" s="13">
        <v>1395</v>
      </c>
      <c r="K179" s="14">
        <f>IF(ISNUMBER(J179), (J179 - $B179) / $B179, "")</f>
        <v>0.16736401673640167</v>
      </c>
      <c r="L179" s="16">
        <f>IF(ISNUMBER(J179), $B199 * K179, "")</f>
        <v>16736.401673640168</v>
      </c>
      <c r="M179" s="29">
        <v>1365</v>
      </c>
      <c r="N179" s="14">
        <f>IF(ISNUMBER(M179), (M179 - $B179) / $B179, "")</f>
        <v>0.14225941422594143</v>
      </c>
      <c r="O179" s="16">
        <f>IF(ISNUMBER(M179), $B199 * N179, "")</f>
        <v>14225.941422594144</v>
      </c>
      <c r="Q179" s="233"/>
      <c r="R179" s="233"/>
      <c r="S179" s="233"/>
    </row>
    <row r="180" spans="1:19" ht="17.25" thickBot="1">
      <c r="A180" s="162" t="s">
        <v>174</v>
      </c>
      <c r="B180" s="126">
        <v>150</v>
      </c>
      <c r="C180" s="77">
        <v>-0.13793103449999999</v>
      </c>
      <c r="D180" s="15">
        <v>155</v>
      </c>
      <c r="E180" s="32">
        <f t="shared" ref="E180:E183" si="94">IF(ISNUMBER(D180), (D180 - $B180) / $B180, "")</f>
        <v>3.3333333333333333E-2</v>
      </c>
      <c r="F180" s="18">
        <f>IF(ISNUMBER(D180), $B199 * E180, "")</f>
        <v>3333.3333333333335</v>
      </c>
      <c r="G180" s="31">
        <v>154</v>
      </c>
      <c r="H180" s="32">
        <f t="shared" ref="H180:H183" si="95">IF(ISNUMBER(G180), (G180 - $B180) / $B180, "")</f>
        <v>2.6666666666666668E-2</v>
      </c>
      <c r="I180" s="101">
        <f>IF(ISNUMBER(G180), $B199 * H180, "")</f>
        <v>2666.666666666667</v>
      </c>
      <c r="J180" s="15">
        <v>156</v>
      </c>
      <c r="K180" s="32">
        <f t="shared" ref="K180:K183" si="96">IF(ISNUMBER(J180), (J180 - $B180) / $B180, "")</f>
        <v>0.04</v>
      </c>
      <c r="L180" s="18">
        <f>IF(ISNUMBER(J180), $B199 * K180, "")</f>
        <v>4000</v>
      </c>
      <c r="M180" s="31">
        <v>157</v>
      </c>
      <c r="N180" s="32">
        <f t="shared" ref="N180:N183" si="97">IF(ISNUMBER(M180), (M180 - $B180) / $B180, "")</f>
        <v>4.6666666666666669E-2</v>
      </c>
      <c r="O180" s="18">
        <f>IF(ISNUMBER(M180), $B199 * N180, "")</f>
        <v>4666.666666666667</v>
      </c>
      <c r="Q180" s="233"/>
      <c r="R180" s="233"/>
      <c r="S180" s="233"/>
    </row>
    <row r="181" spans="1:19" ht="17.25" thickBot="1">
      <c r="A181" s="162" t="s">
        <v>198</v>
      </c>
      <c r="B181" s="126">
        <v>13.6</v>
      </c>
      <c r="C181" s="77">
        <v>-0.13924050630000001</v>
      </c>
      <c r="D181" s="15">
        <v>13.8</v>
      </c>
      <c r="E181" s="32">
        <f t="shared" si="94"/>
        <v>1.4705882352941256E-2</v>
      </c>
      <c r="F181" s="18">
        <f>IF(ISNUMBER(D181), $B199 * E181, "")</f>
        <v>1470.5882352941255</v>
      </c>
      <c r="G181" s="31">
        <v>13.7</v>
      </c>
      <c r="H181" s="32">
        <f t="shared" si="95"/>
        <v>7.3529411764705621E-3</v>
      </c>
      <c r="I181" s="101">
        <f>IF(ISNUMBER(G181), $B199 * H181, "")</f>
        <v>735.29411764705617</v>
      </c>
      <c r="J181" s="15">
        <v>14.1</v>
      </c>
      <c r="K181" s="32">
        <f t="shared" si="96"/>
        <v>3.6764705882352942E-2</v>
      </c>
      <c r="L181" s="18">
        <f>IF(ISNUMBER(J181), $B199 * K181, "")</f>
        <v>3676.4705882352941</v>
      </c>
      <c r="M181" s="31">
        <v>14</v>
      </c>
      <c r="N181" s="32">
        <f t="shared" si="97"/>
        <v>2.941176470588238E-2</v>
      </c>
      <c r="O181" s="18">
        <f>IF(ISNUMBER(M181), $B199 * N181, "")</f>
        <v>2941.1764705882379</v>
      </c>
      <c r="Q181" s="223"/>
      <c r="R181" s="223"/>
      <c r="S181" s="223"/>
    </row>
    <row r="182" spans="1:19" ht="17.25" thickBot="1">
      <c r="A182" s="162" t="s">
        <v>204</v>
      </c>
      <c r="B182" s="126">
        <v>3165</v>
      </c>
      <c r="C182" s="77">
        <v>-0.13994565219999999</v>
      </c>
      <c r="D182" s="15">
        <v>3255</v>
      </c>
      <c r="E182" s="32">
        <f t="shared" si="94"/>
        <v>2.843601895734597E-2</v>
      </c>
      <c r="F182" s="18">
        <f>IF(ISNUMBER(D182), $B199 * E182, "")</f>
        <v>2843.6018957345968</v>
      </c>
      <c r="G182" s="31">
        <v>3255</v>
      </c>
      <c r="H182" s="32">
        <f t="shared" si="95"/>
        <v>2.843601895734597E-2</v>
      </c>
      <c r="I182" s="101">
        <f>IF(ISNUMBER(G182), $B199 * H182, "")</f>
        <v>2843.6018957345968</v>
      </c>
      <c r="J182" s="15">
        <v>3350</v>
      </c>
      <c r="K182" s="32">
        <f t="shared" si="96"/>
        <v>5.845181674565561E-2</v>
      </c>
      <c r="L182" s="18">
        <f>IF(ISNUMBER(J182), $B199 * K182, "")</f>
        <v>5845.1816745655615</v>
      </c>
      <c r="M182" s="31">
        <v>3305</v>
      </c>
      <c r="N182" s="32">
        <f t="shared" si="97"/>
        <v>4.4233807266982623E-2</v>
      </c>
      <c r="O182" s="18">
        <f>IF(ISNUMBER(M182), $B199 * N182, "")</f>
        <v>4423.3807266982622</v>
      </c>
      <c r="Q182" s="223"/>
      <c r="R182" s="223"/>
      <c r="S182" s="223"/>
    </row>
    <row r="183" spans="1:19" ht="17.25" thickBot="1">
      <c r="A183" s="163" t="s">
        <v>122</v>
      </c>
      <c r="B183" s="128">
        <v>53.9</v>
      </c>
      <c r="C183" s="78">
        <v>-0.1403508772</v>
      </c>
      <c r="D183" s="20">
        <v>55.1</v>
      </c>
      <c r="E183" s="21">
        <f t="shared" si="94"/>
        <v>2.2263450834879461E-2</v>
      </c>
      <c r="F183" s="22">
        <f>IF(ISNUMBER(D183), $B199 * E183, "")</f>
        <v>2226.3450834879463</v>
      </c>
      <c r="G183" s="30">
        <v>54.9</v>
      </c>
      <c r="H183" s="21">
        <f t="shared" si="95"/>
        <v>1.8552875695732839E-2</v>
      </c>
      <c r="I183" s="105">
        <f>IF(ISNUMBER(G183), $B199 * H183, "")</f>
        <v>1855.2875695732839</v>
      </c>
      <c r="J183" s="20">
        <v>55.6</v>
      </c>
      <c r="K183" s="21">
        <f t="shared" si="96"/>
        <v>3.1539888682745876E-2</v>
      </c>
      <c r="L183" s="22">
        <f>IF(ISNUMBER(J183), $B199 * K183, "")</f>
        <v>3153.9888682745877</v>
      </c>
      <c r="M183" s="30">
        <v>55.4</v>
      </c>
      <c r="N183" s="21">
        <f t="shared" si="97"/>
        <v>2.7829313543599257E-2</v>
      </c>
      <c r="O183" s="22">
        <f>IF(ISNUMBER(M183), $B199 * N183, "")</f>
        <v>2782.9313543599255</v>
      </c>
      <c r="Q183" s="223"/>
      <c r="R183" s="223"/>
      <c r="S183" s="223"/>
    </row>
    <row r="184" spans="1:19" ht="17.25" thickBot="1">
      <c r="A184" s="162" t="s">
        <v>212</v>
      </c>
      <c r="B184" s="129">
        <v>62</v>
      </c>
      <c r="C184" s="80">
        <v>-0.14127423820000001</v>
      </c>
      <c r="D184" s="106">
        <v>62.9</v>
      </c>
      <c r="E184" s="107">
        <f>IF(ISNUMBER(D184), (D184 - $B184) / $B184, "")</f>
        <v>1.4516129032258041E-2</v>
      </c>
      <c r="F184" s="108">
        <f>IF(ISNUMBER(D184), $B199 * E184, "")</f>
        <v>1451.6129032258041</v>
      </c>
      <c r="G184" s="109">
        <v>63.4</v>
      </c>
      <c r="H184" s="107">
        <f>IF(ISNUMBER(G184), (G184 - $B184) / $B184, "")</f>
        <v>2.25806451612903E-2</v>
      </c>
      <c r="I184" s="110">
        <f>IF(ISNUMBER(G184), $B199 * H184, "")</f>
        <v>2258.0645161290299</v>
      </c>
      <c r="J184" s="106">
        <v>64.7</v>
      </c>
      <c r="K184" s="107">
        <f>IF(ISNUMBER(J184), (J184 - $B184) / $B184, "")</f>
        <v>4.3548387096774242E-2</v>
      </c>
      <c r="L184" s="108">
        <f>IF(ISNUMBER(J184), $B199 * K184, "")</f>
        <v>4354.838709677424</v>
      </c>
      <c r="M184" s="109">
        <v>63.8</v>
      </c>
      <c r="N184" s="107">
        <f>IF(ISNUMBER(M184), (M184 - $B184) / $B184, "")</f>
        <v>2.9032258064516082E-2</v>
      </c>
      <c r="O184" s="108">
        <f>IF(ISNUMBER(M184), $B199 * N184, "")</f>
        <v>2903.2258064516082</v>
      </c>
      <c r="Q184" s="223"/>
      <c r="R184" s="223"/>
      <c r="S184" s="223"/>
    </row>
    <row r="185" spans="1:19" ht="17.25" thickBot="1">
      <c r="A185" s="162" t="s">
        <v>72</v>
      </c>
      <c r="B185" s="126">
        <v>17.5</v>
      </c>
      <c r="C185" s="77">
        <v>-0.1421568627</v>
      </c>
      <c r="D185" s="15">
        <v>18.5</v>
      </c>
      <c r="E185" s="32">
        <f t="shared" ref="E185:E188" si="98">IF(ISNUMBER(D185), (D185 - $B185) / $B185, "")</f>
        <v>5.7142857142857141E-2</v>
      </c>
      <c r="F185" s="18">
        <f>IF(ISNUMBER(D185), $B199 * E185, "")</f>
        <v>5714.2857142857138</v>
      </c>
      <c r="G185" s="31">
        <v>18.7</v>
      </c>
      <c r="H185" s="32">
        <f t="shared" ref="H185:H188" si="99">IF(ISNUMBER(G185), (G185 - $B185) / $B185, "")</f>
        <v>6.8571428571428533E-2</v>
      </c>
      <c r="I185" s="101">
        <f>IF(ISNUMBER(G185), $B199 * H185, "")</f>
        <v>6857.1428571428532</v>
      </c>
      <c r="J185" s="15">
        <v>18.7</v>
      </c>
      <c r="K185" s="32">
        <f t="shared" ref="K185:K188" si="100">IF(ISNUMBER(J185), (J185 - $B185) / $B185, "")</f>
        <v>6.8571428571428533E-2</v>
      </c>
      <c r="L185" s="18">
        <f>IF(ISNUMBER(J185), $B199 * K185, "")</f>
        <v>6857.1428571428532</v>
      </c>
      <c r="M185" s="31">
        <v>18.600000000000001</v>
      </c>
      <c r="N185" s="32">
        <f t="shared" ref="N185:N188" si="101">IF(ISNUMBER(M185), (M185 - $B185) / $B185, "")</f>
        <v>6.2857142857142945E-2</v>
      </c>
      <c r="O185" s="18">
        <f>IF(ISNUMBER(M185), $B199 * N185, "")</f>
        <v>6285.7142857142944</v>
      </c>
      <c r="Q185" s="223"/>
      <c r="R185" s="223"/>
      <c r="S185" s="223"/>
    </row>
    <row r="186" spans="1:19" ht="17.25" thickBot="1">
      <c r="A186" s="162" t="s">
        <v>246</v>
      </c>
      <c r="B186" s="126">
        <v>255</v>
      </c>
      <c r="C186" s="77">
        <v>-0.14429530199999999</v>
      </c>
      <c r="D186" s="15">
        <v>280</v>
      </c>
      <c r="E186" s="32">
        <f t="shared" si="98"/>
        <v>9.8039215686274508E-2</v>
      </c>
      <c r="F186" s="18">
        <f>IF(ISNUMBER(D186), $B199 * E186, "")</f>
        <v>9803.9215686274511</v>
      </c>
      <c r="G186" s="31">
        <v>266</v>
      </c>
      <c r="H186" s="32">
        <f t="shared" si="99"/>
        <v>4.3137254901960784E-2</v>
      </c>
      <c r="I186" s="101">
        <f>IF(ISNUMBER(G186), $B199 * H186, "")</f>
        <v>4313.7254901960787</v>
      </c>
      <c r="J186" s="15">
        <v>273</v>
      </c>
      <c r="K186" s="32">
        <f t="shared" si="100"/>
        <v>7.0588235294117646E-2</v>
      </c>
      <c r="L186" s="18">
        <f>IF(ISNUMBER(J186), $B199 * K186, "")</f>
        <v>7058.8235294117649</v>
      </c>
      <c r="M186" s="31">
        <v>270</v>
      </c>
      <c r="N186" s="32">
        <f t="shared" si="101"/>
        <v>5.8823529411764705E-2</v>
      </c>
      <c r="O186" s="18">
        <f>IF(ISNUMBER(M186), $B199 * N186, "")</f>
        <v>5882.3529411764703</v>
      </c>
      <c r="Q186" s="223"/>
      <c r="R186" s="223"/>
      <c r="S186" s="223"/>
    </row>
    <row r="187" spans="1:19" ht="17.25" thickBot="1">
      <c r="A187" s="162" t="s">
        <v>208</v>
      </c>
      <c r="B187" s="126">
        <v>255</v>
      </c>
      <c r="C187" s="77">
        <v>-0.14429530199999999</v>
      </c>
      <c r="D187" s="15">
        <v>263</v>
      </c>
      <c r="E187" s="32">
        <f t="shared" si="98"/>
        <v>3.1372549019607843E-2</v>
      </c>
      <c r="F187" s="18">
        <f>IF(ISNUMBER(D187), $B199 * E187, "")</f>
        <v>3137.2549019607841</v>
      </c>
      <c r="G187" s="31">
        <v>261</v>
      </c>
      <c r="H187" s="32">
        <f t="shared" si="99"/>
        <v>2.3529411764705882E-2</v>
      </c>
      <c r="I187" s="101">
        <f>IF(ISNUMBER(G187), $B199 * H187, "")</f>
        <v>2352.9411764705883</v>
      </c>
      <c r="J187" s="15">
        <v>267</v>
      </c>
      <c r="K187" s="32">
        <f t="shared" si="100"/>
        <v>4.7058823529411764E-2</v>
      </c>
      <c r="L187" s="18">
        <f>IF(ISNUMBER(J187), $B199 * K187, "")</f>
        <v>4705.8823529411766</v>
      </c>
      <c r="M187" s="31">
        <v>264</v>
      </c>
      <c r="N187" s="32">
        <f t="shared" si="101"/>
        <v>3.5294117647058823E-2</v>
      </c>
      <c r="O187" s="18">
        <f>IF(ISNUMBER(M187), $B199 * N187, "")</f>
        <v>3529.4117647058824</v>
      </c>
      <c r="Q187" s="33"/>
      <c r="R187" s="33"/>
    </row>
    <row r="188" spans="1:19" ht="17.25" thickBot="1">
      <c r="A188" s="130" t="s">
        <v>182</v>
      </c>
      <c r="B188" s="131">
        <v>260</v>
      </c>
      <c r="C188" s="79">
        <v>-0.14754098360000001</v>
      </c>
      <c r="D188" s="24">
        <v>263</v>
      </c>
      <c r="E188" s="25">
        <f t="shared" si="98"/>
        <v>1.1538461538461539E-2</v>
      </c>
      <c r="F188" s="104">
        <f>IF(ISNUMBER(D188), $B199 * E188, "")</f>
        <v>1153.8461538461538</v>
      </c>
      <c r="G188" s="102">
        <v>265</v>
      </c>
      <c r="H188" s="25">
        <f t="shared" si="99"/>
        <v>1.9230769230769232E-2</v>
      </c>
      <c r="I188" s="103">
        <f>IF(ISNUMBER(G188), $B199 * H188, "")</f>
        <v>1923.0769230769231</v>
      </c>
      <c r="J188" s="24">
        <v>275</v>
      </c>
      <c r="K188" s="25">
        <f t="shared" si="100"/>
        <v>5.7692307692307696E-2</v>
      </c>
      <c r="L188" s="104">
        <f>IF(ISNUMBER(J188), $B199 * K188, "")</f>
        <v>5769.2307692307695</v>
      </c>
      <c r="M188" s="102">
        <v>266</v>
      </c>
      <c r="N188" s="25">
        <f t="shared" si="101"/>
        <v>2.3076923076923078E-2</v>
      </c>
      <c r="O188" s="104">
        <f>IF(ISNUMBER(M188), $B199 * N188, "")</f>
        <v>2307.6923076923076</v>
      </c>
      <c r="Q188" s="224"/>
      <c r="R188" s="225"/>
      <c r="S188" s="226"/>
    </row>
    <row r="189" spans="1:19">
      <c r="A189" s="161" t="s">
        <v>234</v>
      </c>
      <c r="B189" s="124">
        <v>676</v>
      </c>
      <c r="C189" s="76">
        <v>-0.1486146096</v>
      </c>
      <c r="D189" s="13">
        <v>706</v>
      </c>
      <c r="E189" s="14">
        <f>IF(ISNUMBER(D189), (D189 - $B189) / $B189, "")</f>
        <v>4.4378698224852069E-2</v>
      </c>
      <c r="F189" s="16">
        <f>IF(ISNUMBER(D189), $B199 * E189, "")</f>
        <v>4437.8698224852069</v>
      </c>
      <c r="G189" s="29">
        <v>704</v>
      </c>
      <c r="H189" s="14">
        <f>IF(ISNUMBER(G189), (G189 - $B189) / $B189, "")</f>
        <v>4.142011834319527E-2</v>
      </c>
      <c r="I189" s="100">
        <f>IF(ISNUMBER(G189), $B199 * H189, "")</f>
        <v>4142.0118343195272</v>
      </c>
      <c r="J189" s="13">
        <v>714</v>
      </c>
      <c r="K189" s="14">
        <f>IF(ISNUMBER(J189), (J189 - $B189) / $B189, "")</f>
        <v>5.6213017751479293E-2</v>
      </c>
      <c r="L189" s="16">
        <f>IF(ISNUMBER(J189), $B199 * K189, "")</f>
        <v>5621.3017751479292</v>
      </c>
      <c r="M189" s="29">
        <v>708</v>
      </c>
      <c r="N189" s="14">
        <f>IF(ISNUMBER(M189), (M189 - $B189) / $B189, "")</f>
        <v>4.7337278106508875E-2</v>
      </c>
      <c r="O189" s="16">
        <f>IF(ISNUMBER(M189), $B199 * N189, "")</f>
        <v>4733.7278106508875</v>
      </c>
      <c r="Q189" s="227"/>
      <c r="R189" s="228"/>
      <c r="S189" s="229"/>
    </row>
    <row r="190" spans="1:19" ht="17.25" thickBot="1">
      <c r="A190" s="162" t="s">
        <v>194</v>
      </c>
      <c r="B190" s="126">
        <v>7535</v>
      </c>
      <c r="C190" s="77">
        <v>-0.15002820080000001</v>
      </c>
      <c r="D190" s="15">
        <v>7560</v>
      </c>
      <c r="E190" s="32">
        <f t="shared" ref="E190:E193" si="102">IF(ISNUMBER(D190), (D190 - $B190) / $B190, "")</f>
        <v>3.3178500331785005E-3</v>
      </c>
      <c r="F190" s="18">
        <f>IF(ISNUMBER(D190), $B199 * E190, "")</f>
        <v>331.78500331785006</v>
      </c>
      <c r="G190" s="31">
        <v>7540</v>
      </c>
      <c r="H190" s="32">
        <f t="shared" ref="H190:H193" si="103">IF(ISNUMBER(G190), (G190 - $B190) / $B190, "")</f>
        <v>6.6357000663570006E-4</v>
      </c>
      <c r="I190" s="101">
        <f>IF(ISNUMBER(G190), $B199 * H190, "")</f>
        <v>66.357000663570005</v>
      </c>
      <c r="J190" s="15">
        <v>7695</v>
      </c>
      <c r="K190" s="32">
        <f t="shared" ref="K190:K193" si="104">IF(ISNUMBER(J190), (J190 - $B190) / $B190, "")</f>
        <v>2.1234240212342402E-2</v>
      </c>
      <c r="L190" s="18">
        <f>IF(ISNUMBER(J190), $B199 * K190, "")</f>
        <v>2123.4240212342402</v>
      </c>
      <c r="M190" s="31">
        <v>7605</v>
      </c>
      <c r="N190" s="32">
        <f t="shared" ref="N190:N193" si="105">IF(ISNUMBER(M190), (M190 - $B190) / $B190, "")</f>
        <v>9.2899800928998005E-3</v>
      </c>
      <c r="O190" s="18">
        <f>IF(ISNUMBER(M190), $B199 * N190, "")</f>
        <v>928.99800928998002</v>
      </c>
      <c r="Q190" s="230"/>
      <c r="R190" s="231"/>
      <c r="S190" s="232"/>
    </row>
    <row r="191" spans="1:19" ht="17.25" thickBot="1">
      <c r="A191" s="162" t="s">
        <v>252</v>
      </c>
      <c r="B191" s="126">
        <v>266</v>
      </c>
      <c r="C191" s="77">
        <v>-0.15015974439999999</v>
      </c>
      <c r="D191" s="15">
        <v>277</v>
      </c>
      <c r="E191" s="32">
        <f t="shared" si="102"/>
        <v>4.1353383458646614E-2</v>
      </c>
      <c r="F191" s="18">
        <f>IF(ISNUMBER(D191), $B199 * E191, "")</f>
        <v>4135.3383458646613</v>
      </c>
      <c r="G191" s="31">
        <v>280</v>
      </c>
      <c r="H191" s="32">
        <f t="shared" si="103"/>
        <v>5.2631578947368418E-2</v>
      </c>
      <c r="I191" s="101">
        <f>IF(ISNUMBER(G191), $B199 * H191, "")</f>
        <v>5263.1578947368416</v>
      </c>
      <c r="J191" s="15">
        <v>283</v>
      </c>
      <c r="K191" s="32">
        <f t="shared" si="104"/>
        <v>6.3909774436090222E-2</v>
      </c>
      <c r="L191" s="18">
        <f>IF(ISNUMBER(J191), $B199 * K191, "")</f>
        <v>6390.977443609022</v>
      </c>
      <c r="M191" s="31">
        <v>277</v>
      </c>
      <c r="N191" s="32">
        <f t="shared" si="105"/>
        <v>4.1353383458646614E-2</v>
      </c>
      <c r="O191" s="18">
        <f>IF(ISNUMBER(M191), $B199 * N191, "")</f>
        <v>4135.3383458646613</v>
      </c>
      <c r="Q191" s="223"/>
      <c r="R191" s="223"/>
      <c r="S191" s="223"/>
    </row>
    <row r="192" spans="1:19" ht="17.25" thickBot="1">
      <c r="A192" s="162" t="s">
        <v>186</v>
      </c>
      <c r="B192" s="126">
        <v>14.5</v>
      </c>
      <c r="C192" s="77">
        <v>-0.15204678360000001</v>
      </c>
      <c r="D192" s="15">
        <v>14.5</v>
      </c>
      <c r="E192" s="32">
        <f t="shared" si="102"/>
        <v>0</v>
      </c>
      <c r="F192" s="18">
        <f>IF(ISNUMBER(D192), $B199 * E192, "")</f>
        <v>0</v>
      </c>
      <c r="G192" s="31">
        <v>14.7</v>
      </c>
      <c r="H192" s="32">
        <f t="shared" si="103"/>
        <v>1.3793103448275813E-2</v>
      </c>
      <c r="I192" s="101">
        <f>IF(ISNUMBER(G192), $B199 * H192, "")</f>
        <v>1379.3103448275813</v>
      </c>
      <c r="J192" s="15">
        <v>15</v>
      </c>
      <c r="K192" s="32">
        <f t="shared" si="104"/>
        <v>3.4482758620689655E-2</v>
      </c>
      <c r="L192" s="18">
        <f>IF(ISNUMBER(J192), $B199 * K192, "")</f>
        <v>3448.2758620689656</v>
      </c>
      <c r="M192" s="31">
        <v>15.1</v>
      </c>
      <c r="N192" s="32">
        <f t="shared" si="105"/>
        <v>4.1379310344827565E-2</v>
      </c>
      <c r="O192" s="18">
        <f>IF(ISNUMBER(M192), $B199 * N192, "")</f>
        <v>4137.9310344827563</v>
      </c>
      <c r="Q192" s="233"/>
      <c r="R192" s="233"/>
      <c r="S192" s="233"/>
    </row>
    <row r="193" spans="1:19" ht="17.25" thickBot="1">
      <c r="A193" s="163" t="s">
        <v>224</v>
      </c>
      <c r="B193" s="128">
        <v>1240</v>
      </c>
      <c r="C193" s="78">
        <v>-0.15358361770000001</v>
      </c>
      <c r="D193" s="20">
        <v>1410</v>
      </c>
      <c r="E193" s="21">
        <f t="shared" si="102"/>
        <v>0.13709677419354838</v>
      </c>
      <c r="F193" s="22">
        <f>IF(ISNUMBER(D193), $B199 * E193, "")</f>
        <v>13709.677419354837</v>
      </c>
      <c r="G193" s="30">
        <v>1415</v>
      </c>
      <c r="H193" s="21">
        <f t="shared" si="103"/>
        <v>0.14112903225806453</v>
      </c>
      <c r="I193" s="105">
        <f>IF(ISNUMBER(G193), $B199 * H193, "")</f>
        <v>14112.903225806453</v>
      </c>
      <c r="J193" s="20">
        <v>1385</v>
      </c>
      <c r="K193" s="21">
        <f t="shared" si="104"/>
        <v>0.11693548387096774</v>
      </c>
      <c r="L193" s="22">
        <f>IF(ISNUMBER(J193), $B199 * K193, "")</f>
        <v>11693.548387096773</v>
      </c>
      <c r="M193" s="30">
        <v>1355</v>
      </c>
      <c r="N193" s="21">
        <f t="shared" si="105"/>
        <v>9.2741935483870969E-2</v>
      </c>
      <c r="O193" s="22">
        <f>IF(ISNUMBER(M193), $B199 * N193, "")</f>
        <v>9274.1935483870966</v>
      </c>
      <c r="Q193" s="233"/>
      <c r="R193" s="233"/>
      <c r="S193" s="233"/>
    </row>
    <row r="194" spans="1:19" ht="17.25" thickBot="1">
      <c r="A194" s="162" t="s">
        <v>220</v>
      </c>
      <c r="B194" s="129">
        <v>10.3</v>
      </c>
      <c r="C194" s="80">
        <v>-0.1557377049</v>
      </c>
      <c r="D194" s="106">
        <v>10.5</v>
      </c>
      <c r="E194" s="107">
        <f>IF(ISNUMBER(D194), (D194 - $B194) / $B194, "")</f>
        <v>1.9417475728155269E-2</v>
      </c>
      <c r="F194" s="108">
        <f>IF(ISNUMBER(D194), $B199 * E194, "")</f>
        <v>1941.7475728155268</v>
      </c>
      <c r="G194" s="109">
        <v>10.6</v>
      </c>
      <c r="H194" s="107">
        <f>IF(ISNUMBER(G194), (G194 - $B194) / $B194, "")</f>
        <v>2.9126213592232903E-2</v>
      </c>
      <c r="I194" s="110">
        <f>IF(ISNUMBER(G194), $B199 * H194, "")</f>
        <v>2912.6213592232903</v>
      </c>
      <c r="J194" s="106">
        <v>11</v>
      </c>
      <c r="K194" s="107">
        <f>IF(ISNUMBER(J194), (J194 - $B194) / $B194, "")</f>
        <v>6.7961165048543618E-2</v>
      </c>
      <c r="L194" s="108">
        <f>IF(ISNUMBER(J194), $B199 * K194, "")</f>
        <v>6796.1165048543617</v>
      </c>
      <c r="M194" s="109">
        <v>11.5</v>
      </c>
      <c r="N194" s="107">
        <f>IF(ISNUMBER(M194), (M194 - $B194) / $B194, "")</f>
        <v>0.11650485436893196</v>
      </c>
      <c r="O194" s="108">
        <f>IF(ISNUMBER(M194), $B199 * N194, "")</f>
        <v>11650.485436893196</v>
      </c>
      <c r="Q194" s="223"/>
      <c r="R194" s="223"/>
      <c r="S194" s="223"/>
    </row>
    <row r="195" spans="1:19" ht="17.25" thickBot="1">
      <c r="A195" s="162" t="s">
        <v>190</v>
      </c>
      <c r="B195" s="126">
        <v>49950</v>
      </c>
      <c r="C195" s="77">
        <v>-0.16471571909999999</v>
      </c>
      <c r="D195" s="15">
        <v>58900</v>
      </c>
      <c r="E195" s="32">
        <f t="shared" ref="E195:E198" si="106">IF(ISNUMBER(D195), (D195 - $B195) / $B195, "")</f>
        <v>0.17917917917917917</v>
      </c>
      <c r="F195" s="18">
        <f>IF(ISNUMBER(D195), $B199 * E195, "")</f>
        <v>17917.917917917915</v>
      </c>
      <c r="G195" s="31">
        <v>61600</v>
      </c>
      <c r="H195" s="32">
        <f t="shared" ref="H195:H198" si="107">IF(ISNUMBER(G195), (G195 - $B195) / $B195, "")</f>
        <v>0.23323323323323322</v>
      </c>
      <c r="I195" s="101">
        <f>IF(ISNUMBER(G195), $B199 * H195, "")</f>
        <v>23323.323323323322</v>
      </c>
      <c r="J195" s="15">
        <v>60560</v>
      </c>
      <c r="K195" s="32">
        <f t="shared" ref="K195:K198" si="108">IF(ISNUMBER(J195), (J195 - $B195) / $B195, "")</f>
        <v>0.2124124124124124</v>
      </c>
      <c r="L195" s="18">
        <f>IF(ISNUMBER(J195), $B199 * K195, "")</f>
        <v>21241.241241241241</v>
      </c>
      <c r="M195" s="31">
        <v>60710</v>
      </c>
      <c r="N195" s="32">
        <f t="shared" ref="N195:N198" si="109">IF(ISNUMBER(M195), (M195 - $B195) / $B195, "")</f>
        <v>0.21541541541541542</v>
      </c>
      <c r="O195" s="18">
        <f>IF(ISNUMBER(M195), $B199 * N195, "")</f>
        <v>21541.541541541541</v>
      </c>
      <c r="Q195" s="223"/>
      <c r="R195" s="223"/>
      <c r="S195" s="223"/>
    </row>
    <row r="196" spans="1:19" ht="17.25" thickBot="1">
      <c r="A196" s="162" t="s">
        <v>274</v>
      </c>
      <c r="B196" s="126">
        <v>7980</v>
      </c>
      <c r="C196" s="77">
        <v>-0.17262830479999999</v>
      </c>
      <c r="D196" s="15">
        <v>8225</v>
      </c>
      <c r="E196" s="32">
        <f t="shared" si="106"/>
        <v>3.0701754385964911E-2</v>
      </c>
      <c r="F196" s="18">
        <f>IF(ISNUMBER(D196), $B199 * E196, "")</f>
        <v>3070.1754385964909</v>
      </c>
      <c r="G196" s="31">
        <v>8255</v>
      </c>
      <c r="H196" s="32">
        <f t="shared" si="107"/>
        <v>3.4461152882205512E-2</v>
      </c>
      <c r="I196" s="101">
        <f>IF(ISNUMBER(G196), $B199 * H196, "")</f>
        <v>3446.1152882205511</v>
      </c>
      <c r="J196" s="15">
        <v>8320</v>
      </c>
      <c r="K196" s="32">
        <f t="shared" si="108"/>
        <v>4.2606516290726815E-2</v>
      </c>
      <c r="L196" s="18">
        <f>IF(ISNUMBER(J196), $B199 * K196, "")</f>
        <v>4260.6516290726813</v>
      </c>
      <c r="M196" s="31">
        <v>8390</v>
      </c>
      <c r="N196" s="32">
        <f t="shared" si="109"/>
        <v>5.1378446115288218E-2</v>
      </c>
      <c r="O196" s="18">
        <f>IF(ISNUMBER(M196), $B199 * N196, "")</f>
        <v>5137.8446115288216</v>
      </c>
      <c r="Q196" s="223"/>
      <c r="R196" s="223"/>
      <c r="S196" s="223"/>
    </row>
    <row r="197" spans="1:19">
      <c r="A197" s="162" t="s">
        <v>276</v>
      </c>
      <c r="B197" s="126">
        <v>2780</v>
      </c>
      <c r="C197" s="77">
        <v>-0.18950437319999999</v>
      </c>
      <c r="D197" s="15">
        <v>3000</v>
      </c>
      <c r="E197" s="32">
        <f t="shared" si="106"/>
        <v>7.9136690647482008E-2</v>
      </c>
      <c r="F197" s="18">
        <f>IF(ISNUMBER(D197), $B199 * E197, "")</f>
        <v>7913.669064748201</v>
      </c>
      <c r="G197" s="31">
        <v>3075</v>
      </c>
      <c r="H197" s="32">
        <f t="shared" si="107"/>
        <v>0.10611510791366907</v>
      </c>
      <c r="I197" s="101">
        <f>IF(ISNUMBER(G197), $B199 * H197, "")</f>
        <v>10611.510791366907</v>
      </c>
      <c r="J197" s="15">
        <v>3045</v>
      </c>
      <c r="K197" s="32">
        <f t="shared" si="108"/>
        <v>9.5323741007194249E-2</v>
      </c>
      <c r="L197" s="18">
        <f>IF(ISNUMBER(J197), $B199 * K197, "")</f>
        <v>9532.3741007194258</v>
      </c>
      <c r="M197" s="31">
        <v>3055</v>
      </c>
      <c r="N197" s="32">
        <f t="shared" si="109"/>
        <v>9.8920863309352514E-2</v>
      </c>
      <c r="O197" s="18">
        <f>IF(ISNUMBER(M197), $B199 * N197, "")</f>
        <v>9892.0863309352517</v>
      </c>
      <c r="Q197" s="212"/>
      <c r="R197" s="213"/>
      <c r="S197" s="214"/>
    </row>
    <row r="198" spans="1:19" ht="17.25" thickBot="1">
      <c r="A198" s="130" t="s">
        <v>180</v>
      </c>
      <c r="B198" s="131">
        <v>2720</v>
      </c>
      <c r="C198" s="79">
        <v>-0.19882179680000001</v>
      </c>
      <c r="D198" s="24">
        <v>2780</v>
      </c>
      <c r="E198" s="25">
        <f t="shared" si="106"/>
        <v>2.2058823529411766E-2</v>
      </c>
      <c r="F198" s="104">
        <f>IF(ISNUMBER(D198), $B199 * E198, "")</f>
        <v>2205.8823529411766</v>
      </c>
      <c r="G198" s="102">
        <v>2780</v>
      </c>
      <c r="H198" s="25">
        <f t="shared" si="107"/>
        <v>2.2058823529411766E-2</v>
      </c>
      <c r="I198" s="103">
        <f>IF(ISNUMBER(G198), $B199 * H198, "")</f>
        <v>2205.8823529411766</v>
      </c>
      <c r="J198" s="24">
        <v>2810</v>
      </c>
      <c r="K198" s="25">
        <f t="shared" si="108"/>
        <v>3.3088235294117647E-2</v>
      </c>
      <c r="L198" s="104">
        <f>IF(ISNUMBER(J198), $B199 * K198, "")</f>
        <v>3308.8235294117649</v>
      </c>
      <c r="M198" s="102">
        <v>2770</v>
      </c>
      <c r="N198" s="25">
        <f t="shared" si="109"/>
        <v>1.8382352941176471E-2</v>
      </c>
      <c r="O198" s="104">
        <f>IF(ISNUMBER(M198), $B199 * N198, "")</f>
        <v>1838.2352941176471</v>
      </c>
      <c r="Q198" s="215"/>
      <c r="R198" s="216"/>
      <c r="S198" s="217"/>
    </row>
    <row r="199" spans="1:19" ht="17.25" thickBot="1">
      <c r="A199" s="132" t="s">
        <v>300</v>
      </c>
      <c r="B199" s="276">
        <f>$B$37</f>
        <v>100000</v>
      </c>
      <c r="C199" s="277"/>
      <c r="D199" s="26" t="s">
        <v>301</v>
      </c>
      <c r="E199" s="27">
        <f>IF(COUNT(E179:E198), SUM(E179:E198) / COUNT(E179:E198), 0)</f>
        <v>5.5114907535466995E-2</v>
      </c>
      <c r="F199" s="28">
        <f>SUM(F179:F198)</f>
        <v>110229.81507093401</v>
      </c>
      <c r="G199" s="26" t="s">
        <v>301</v>
      </c>
      <c r="H199" s="27">
        <f>IF(COUNT(H179:H198), SUM(H179:H198) / COUNT(H179:H198), 0)</f>
        <v>5.6885543339137742E-2</v>
      </c>
      <c r="I199" s="28">
        <f>SUM(I179:I198)</f>
        <v>113771.08667827549</v>
      </c>
      <c r="J199" s="26" t="s">
        <v>301</v>
      </c>
      <c r="K199" s="27">
        <f>IF(COUNT(K179:K198), SUM(K179:K198) / COUNT(K179:K198), 0)</f>
        <v>6.8287347758788003E-2</v>
      </c>
      <c r="L199" s="28">
        <f>SUM(L179:L198)</f>
        <v>136574.69551757604</v>
      </c>
      <c r="M199" s="26" t="s">
        <v>301</v>
      </c>
      <c r="N199" s="27">
        <f>IF(COUNT(N179:N198), SUM(N179:N198) / COUNT(N179:N198), 0)</f>
        <v>6.1609437855169827E-2</v>
      </c>
      <c r="O199" s="28">
        <f>SUM(O179:O198)</f>
        <v>123218.87571033965</v>
      </c>
      <c r="Q199" s="218"/>
      <c r="R199" s="219"/>
      <c r="S199" s="22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9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91" priority="157">
      <formula>AND($N17 &gt; 0, ISNUMBER($N17))</formula>
    </cfRule>
    <cfRule type="expression" dxfId="890" priority="158">
      <formula>AND($N17 = 0 * ISNUMBER($N17))</formula>
    </cfRule>
    <cfRule type="expression" dxfId="889" priority="159">
      <formula>AND($N17 &lt; 0, ISNUMBER($N17))</formula>
    </cfRule>
  </conditionalFormatting>
  <conditionalFormatting sqref="A17:F36">
    <cfRule type="expression" dxfId="888" priority="166">
      <formula>AND($E17 &gt; 0, ISNUMBER($E17))</formula>
    </cfRule>
    <cfRule type="expression" dxfId="887" priority="167">
      <formula>AND($E17 = 0 * ISNUMBER($E17))</formula>
    </cfRule>
    <cfRule type="expression" dxfId="886" priority="168">
      <formula>AND($E17 &lt; 0, ISNUMBER($E17))</formula>
    </cfRule>
  </conditionalFormatting>
  <conditionalFormatting sqref="A17:C36 G17:I36">
    <cfRule type="expression" dxfId="885" priority="163">
      <formula>AND($H17 &gt; 0, ISNUMBER($H17))</formula>
    </cfRule>
    <cfRule type="expression" dxfId="884" priority="164">
      <formula>AND($H17 = 0 * ISNUMBER($H17))</formula>
    </cfRule>
    <cfRule type="expression" dxfId="883" priority="165">
      <formula>AND($H17 &lt; 0, ISNUMBER($H17))</formula>
    </cfRule>
  </conditionalFormatting>
  <conditionalFormatting sqref="A17:C36 J17:L36">
    <cfRule type="expression" dxfId="882" priority="160">
      <formula>AND($K17 &gt; 0, ISNUMBER($K17))</formula>
    </cfRule>
    <cfRule type="expression" dxfId="881" priority="161">
      <formula>AND($K17 = 0 * ISNUMBER($K17))</formula>
    </cfRule>
    <cfRule type="expression" dxfId="880" priority="162">
      <formula>AND($K17 &lt; 0, ISNUMBER($K17))</formula>
    </cfRule>
  </conditionalFormatting>
  <conditionalFormatting sqref="D15:F16 E37:F37">
    <cfRule type="expression" dxfId="879" priority="154">
      <formula>$E$37 &gt; 0</formula>
    </cfRule>
    <cfRule type="expression" dxfId="878" priority="155">
      <formula>$E$37 = 0</formula>
    </cfRule>
    <cfRule type="expression" dxfId="877" priority="156">
      <formula>$E$37 &lt; 0</formula>
    </cfRule>
  </conditionalFormatting>
  <conditionalFormatting sqref="G15:I16 H37:I37">
    <cfRule type="expression" dxfId="876" priority="151">
      <formula>$H$37 &gt; 0</formula>
    </cfRule>
    <cfRule type="expression" dxfId="875" priority="152">
      <formula>$H$37 = 0</formula>
    </cfRule>
    <cfRule type="expression" dxfId="874" priority="153">
      <formula>$H$37 &lt; 0</formula>
    </cfRule>
  </conditionalFormatting>
  <conditionalFormatting sqref="J15:L16 K37:L37">
    <cfRule type="expression" dxfId="873" priority="148">
      <formula>$K$37 &gt; 0</formula>
    </cfRule>
    <cfRule type="expression" dxfId="872" priority="149">
      <formula>$K$37 = 0</formula>
    </cfRule>
    <cfRule type="expression" dxfId="871" priority="150">
      <formula>$K$37 &lt; 0</formula>
    </cfRule>
  </conditionalFormatting>
  <conditionalFormatting sqref="M15:O16 N37:O37">
    <cfRule type="expression" dxfId="870" priority="145">
      <formula>$N$37 &gt; 0</formula>
    </cfRule>
    <cfRule type="expression" dxfId="869" priority="146">
      <formula>$N$37 = 0</formula>
    </cfRule>
    <cfRule type="expression" dxfId="868" priority="147">
      <formula>$N$37 &lt; 0</formula>
    </cfRule>
  </conditionalFormatting>
  <conditionalFormatting sqref="A44:C63 M44:O63">
    <cfRule type="expression" dxfId="867" priority="133">
      <formula>AND($N44 &gt; 0, ISNUMBER($N44))</formula>
    </cfRule>
    <cfRule type="expression" dxfId="866" priority="134">
      <formula>AND($N44 = 0 * ISNUMBER($N44))</formula>
    </cfRule>
    <cfRule type="expression" dxfId="865" priority="135">
      <formula>AND($N44 &lt; 0, ISNUMBER($N44))</formula>
    </cfRule>
  </conditionalFormatting>
  <conditionalFormatting sqref="A44:F63">
    <cfRule type="expression" dxfId="864" priority="142">
      <formula>AND($E44 &gt; 0, ISNUMBER($E44))</formula>
    </cfRule>
    <cfRule type="expression" dxfId="863" priority="143">
      <formula>AND($E44 = 0 * ISNUMBER($E44))</formula>
    </cfRule>
    <cfRule type="expression" dxfId="862" priority="144">
      <formula>AND($E44 &lt; 0, ISNUMBER($E44))</formula>
    </cfRule>
  </conditionalFormatting>
  <conditionalFormatting sqref="A44:C63 G44:I63">
    <cfRule type="expression" dxfId="861" priority="139">
      <formula>AND($H44 &gt; 0, ISNUMBER($H44))</formula>
    </cfRule>
    <cfRule type="expression" dxfId="860" priority="140">
      <formula>AND($H44 = 0 * ISNUMBER($H44))</formula>
    </cfRule>
    <cfRule type="expression" dxfId="859" priority="141">
      <formula>AND($H44 &lt; 0, ISNUMBER($H44))</formula>
    </cfRule>
  </conditionalFormatting>
  <conditionalFormatting sqref="A44:C63 J44:L63">
    <cfRule type="expression" dxfId="858" priority="136">
      <formula>AND($K44 &gt; 0, ISNUMBER($K44))</formula>
    </cfRule>
    <cfRule type="expression" dxfId="857" priority="137">
      <formula>AND($K44 = 0 * ISNUMBER($K44))</formula>
    </cfRule>
    <cfRule type="expression" dxfId="856" priority="138">
      <formula>AND($K44 &lt; 0, ISNUMBER($K44))</formula>
    </cfRule>
  </conditionalFormatting>
  <conditionalFormatting sqref="D42:F43 E64:F64">
    <cfRule type="expression" dxfId="855" priority="130">
      <formula>$E$64 &gt; 0</formula>
    </cfRule>
    <cfRule type="expression" dxfId="854" priority="131">
      <formula>$E$64 = 0</formula>
    </cfRule>
    <cfRule type="expression" dxfId="853" priority="132">
      <formula>$E$64 &lt; 0</formula>
    </cfRule>
  </conditionalFormatting>
  <conditionalFormatting sqref="G42:I43 H64:I64">
    <cfRule type="expression" dxfId="852" priority="127">
      <formula>$H$64 &gt; 0</formula>
    </cfRule>
    <cfRule type="expression" dxfId="851" priority="128">
      <formula>$H$64 = 0</formula>
    </cfRule>
    <cfRule type="expression" dxfId="850" priority="129">
      <formula>$H$64 &lt; 0</formula>
    </cfRule>
  </conditionalFormatting>
  <conditionalFormatting sqref="J42:L43 K64:L64">
    <cfRule type="expression" dxfId="849" priority="124">
      <formula>$K$64 &gt; 0</formula>
    </cfRule>
    <cfRule type="expression" dxfId="848" priority="125">
      <formula>$K$64 = 0</formula>
    </cfRule>
    <cfRule type="expression" dxfId="847" priority="126">
      <formula>$K$64 &lt; 0</formula>
    </cfRule>
  </conditionalFormatting>
  <conditionalFormatting sqref="M42:O43 N64:O64">
    <cfRule type="expression" dxfId="846" priority="121">
      <formula>$N$64 &gt; 0</formula>
    </cfRule>
    <cfRule type="expression" dxfId="845" priority="122">
      <formula>$N$64 = 0</formula>
    </cfRule>
    <cfRule type="expression" dxfId="844" priority="123">
      <formula>$N$64 &lt; 0</formula>
    </cfRule>
  </conditionalFormatting>
  <conditionalFormatting sqref="A71:C90 M71:O90">
    <cfRule type="expression" dxfId="843" priority="109">
      <formula>AND($N71 &gt; 0, ISNUMBER($N71))</formula>
    </cfRule>
    <cfRule type="expression" dxfId="842" priority="110">
      <formula>AND($N71 = 0 * ISNUMBER($N71))</formula>
    </cfRule>
    <cfRule type="expression" dxfId="841" priority="111">
      <formula>AND($N71 &lt; 0, ISNUMBER($N71))</formula>
    </cfRule>
  </conditionalFormatting>
  <conditionalFormatting sqref="A71:F90">
    <cfRule type="expression" dxfId="840" priority="118">
      <formula>AND($E71 &gt; 0, ISNUMBER($E71))</formula>
    </cfRule>
    <cfRule type="expression" dxfId="839" priority="119">
      <formula>AND($E71 = 0 * ISNUMBER($E71))</formula>
    </cfRule>
    <cfRule type="expression" dxfId="838" priority="120">
      <formula>AND($E71 &lt; 0, ISNUMBER($E71))</formula>
    </cfRule>
  </conditionalFormatting>
  <conditionalFormatting sqref="A71:C90 G71:I90">
    <cfRule type="expression" dxfId="837" priority="115">
      <formula>AND($H71 &gt; 0, ISNUMBER($H71))</formula>
    </cfRule>
    <cfRule type="expression" dxfId="836" priority="116">
      <formula>AND($H71 = 0 * ISNUMBER($H71))</formula>
    </cfRule>
    <cfRule type="expression" dxfId="835" priority="117">
      <formula>AND($H71 &lt; 0, ISNUMBER($H71))</formula>
    </cfRule>
  </conditionalFormatting>
  <conditionalFormatting sqref="A71:C90 J71:L90">
    <cfRule type="expression" dxfId="834" priority="112">
      <formula>AND($K71 &gt; 0, ISNUMBER($K71))</formula>
    </cfRule>
    <cfRule type="expression" dxfId="833" priority="113">
      <formula>AND($K71 = 0 * ISNUMBER($K71))</formula>
    </cfRule>
    <cfRule type="expression" dxfId="832" priority="114">
      <formula>AND($K71 &lt; 0, ISNUMBER($K71))</formula>
    </cfRule>
  </conditionalFormatting>
  <conditionalFormatting sqref="D69:F70 E91:F91">
    <cfRule type="expression" dxfId="831" priority="106">
      <formula>$E$91 &gt; 0</formula>
    </cfRule>
    <cfRule type="expression" dxfId="830" priority="107">
      <formula>$E$91 = 0</formula>
    </cfRule>
    <cfRule type="expression" dxfId="829" priority="108">
      <formula>$E$91 &lt; 0</formula>
    </cfRule>
  </conditionalFormatting>
  <conditionalFormatting sqref="G69:I70 H91:I91">
    <cfRule type="expression" dxfId="828" priority="103">
      <formula>$H$91 &gt; 0</formula>
    </cfRule>
    <cfRule type="expression" dxfId="827" priority="104">
      <formula>$H$91 = 0</formula>
    </cfRule>
    <cfRule type="expression" dxfId="826" priority="105">
      <formula>$H$91 &lt; 0</formula>
    </cfRule>
  </conditionalFormatting>
  <conditionalFormatting sqref="J69:L70 K91:L91">
    <cfRule type="expression" dxfId="825" priority="100">
      <formula>$K$91 &gt; 0</formula>
    </cfRule>
    <cfRule type="expression" dxfId="824" priority="101">
      <formula>$K$91 = 0</formula>
    </cfRule>
    <cfRule type="expression" dxfId="823" priority="102">
      <formula>$K$91 &lt; 0</formula>
    </cfRule>
  </conditionalFormatting>
  <conditionalFormatting sqref="M69:O70 N91:O91">
    <cfRule type="expression" dxfId="822" priority="97">
      <formula>$N$91 &gt; 0</formula>
    </cfRule>
    <cfRule type="expression" dxfId="821" priority="98">
      <formula>$N$91 = 0</formula>
    </cfRule>
    <cfRule type="expression" dxfId="820" priority="99">
      <formula>$N$91 &lt; 0</formula>
    </cfRule>
  </conditionalFormatting>
  <conditionalFormatting sqref="A98:C117 M98:O117">
    <cfRule type="expression" dxfId="819" priority="85">
      <formula>AND($N98 &gt; 0, ISNUMBER($N98))</formula>
    </cfRule>
    <cfRule type="expression" dxfId="818" priority="86">
      <formula>AND($N98 = 0 * ISNUMBER($N98))</formula>
    </cfRule>
    <cfRule type="expression" dxfId="817" priority="87">
      <formula>AND($N98 &lt; 0, ISNUMBER($N98))</formula>
    </cfRule>
  </conditionalFormatting>
  <conditionalFormatting sqref="A98:F117">
    <cfRule type="expression" dxfId="816" priority="94">
      <formula>AND($E98 &gt; 0, ISNUMBER($E98))</formula>
    </cfRule>
    <cfRule type="expression" dxfId="815" priority="95">
      <formula>AND($E98 = 0 * ISNUMBER($E98))</formula>
    </cfRule>
    <cfRule type="expression" dxfId="814" priority="96">
      <formula>AND($E98 &lt; 0, ISNUMBER($E98))</formula>
    </cfRule>
  </conditionalFormatting>
  <conditionalFormatting sqref="A98:C117 G98:I117">
    <cfRule type="expression" dxfId="813" priority="91">
      <formula>AND($H98 &gt; 0, ISNUMBER($H98))</formula>
    </cfRule>
    <cfRule type="expression" dxfId="812" priority="92">
      <formula>AND($H98 = 0 * ISNUMBER($H98))</formula>
    </cfRule>
    <cfRule type="expression" dxfId="811" priority="93">
      <formula>AND($H98 &lt; 0, ISNUMBER($H98))</formula>
    </cfRule>
  </conditionalFormatting>
  <conditionalFormatting sqref="A98:C117 J98:L117">
    <cfRule type="expression" dxfId="810" priority="88">
      <formula>AND($K98 &gt; 0, ISNUMBER($K98))</formula>
    </cfRule>
    <cfRule type="expression" dxfId="809" priority="89">
      <formula>AND($K98 = 0 * ISNUMBER($K98))</formula>
    </cfRule>
    <cfRule type="expression" dxfId="808" priority="90">
      <formula>AND($K98 &lt; 0, ISNUMBER($K98))</formula>
    </cfRule>
  </conditionalFormatting>
  <conditionalFormatting sqref="D96:F97 E118:F118">
    <cfRule type="expression" dxfId="807" priority="82">
      <formula>$E$118 &gt; 0</formula>
    </cfRule>
    <cfRule type="expression" dxfId="806" priority="83">
      <formula>$E$118 = 0</formula>
    </cfRule>
    <cfRule type="expression" dxfId="805" priority="84">
      <formula>$E$118 &lt; 0</formula>
    </cfRule>
  </conditionalFormatting>
  <conditionalFormatting sqref="G96:I97 H118:I118">
    <cfRule type="expression" dxfId="804" priority="79">
      <formula>$H$118 &gt; 0</formula>
    </cfRule>
    <cfRule type="expression" dxfId="803" priority="80">
      <formula>$H$118 = 0</formula>
    </cfRule>
    <cfRule type="expression" dxfId="802" priority="81">
      <formula>$H$118 &lt; 0</formula>
    </cfRule>
  </conditionalFormatting>
  <conditionalFormatting sqref="J96:L97 K118:L118">
    <cfRule type="expression" dxfId="801" priority="76">
      <formula>$K$118 &gt; 0</formula>
    </cfRule>
    <cfRule type="expression" dxfId="800" priority="77">
      <formula>$K$118 = 0</formula>
    </cfRule>
    <cfRule type="expression" dxfId="799" priority="78">
      <formula>$K$118 &lt; 0</formula>
    </cfRule>
  </conditionalFormatting>
  <conditionalFormatting sqref="M96:O97 N118:O118">
    <cfRule type="expression" dxfId="798" priority="73">
      <formula>$N$118 &gt; 0</formula>
    </cfRule>
    <cfRule type="expression" dxfId="797" priority="74">
      <formula>$N$118 = 0</formula>
    </cfRule>
    <cfRule type="expression" dxfId="796" priority="75">
      <formula>$N$118 &lt; 0</formula>
    </cfRule>
  </conditionalFormatting>
  <conditionalFormatting sqref="A125:C144 M125:O144">
    <cfRule type="expression" dxfId="795" priority="61">
      <formula>AND($N125 &gt; 0, ISNUMBER($N125))</formula>
    </cfRule>
    <cfRule type="expression" dxfId="794" priority="62">
      <formula>AND($N125 = 0 * ISNUMBER($N125))</formula>
    </cfRule>
    <cfRule type="expression" dxfId="793" priority="63">
      <formula>AND($N125 &lt; 0, ISNUMBER($N125))</formula>
    </cfRule>
  </conditionalFormatting>
  <conditionalFormatting sqref="A125:F144">
    <cfRule type="expression" dxfId="792" priority="70">
      <formula>AND($E125 &gt; 0, ISNUMBER($E125))</formula>
    </cfRule>
    <cfRule type="expression" dxfId="791" priority="71">
      <formula>AND($E125 = 0 * ISNUMBER($E125))</formula>
    </cfRule>
    <cfRule type="expression" dxfId="790" priority="72">
      <formula>AND($E125 &lt; 0, ISNUMBER($E125))</formula>
    </cfRule>
  </conditionalFormatting>
  <conditionalFormatting sqref="A125:C144 G125:I144">
    <cfRule type="expression" dxfId="789" priority="67">
      <formula>AND($H125 &gt; 0, ISNUMBER($H125))</formula>
    </cfRule>
    <cfRule type="expression" dxfId="788" priority="68">
      <formula>AND($H125 = 0 * ISNUMBER($H125))</formula>
    </cfRule>
    <cfRule type="expression" dxfId="787" priority="69">
      <formula>AND($H125 &lt; 0, ISNUMBER($H125))</formula>
    </cfRule>
  </conditionalFormatting>
  <conditionalFormatting sqref="A125:C144 J125:L144">
    <cfRule type="expression" dxfId="786" priority="64">
      <formula>AND($K125 &gt; 0, ISNUMBER($K125))</formula>
    </cfRule>
    <cfRule type="expression" dxfId="785" priority="65">
      <formula>AND($K125 = 0 * ISNUMBER($K125))</formula>
    </cfRule>
    <cfRule type="expression" dxfId="784" priority="66">
      <formula>AND($K125 &lt; 0, ISNUMBER($K125))</formula>
    </cfRule>
  </conditionalFormatting>
  <conditionalFormatting sqref="D123:F124 E145:F145">
    <cfRule type="expression" dxfId="783" priority="58">
      <formula>$E$145 &gt; 0</formula>
    </cfRule>
    <cfRule type="expression" dxfId="782" priority="59">
      <formula>$E$145 = 0</formula>
    </cfRule>
    <cfRule type="expression" dxfId="781" priority="60">
      <formula>$E$145 &lt; 0</formula>
    </cfRule>
  </conditionalFormatting>
  <conditionalFormatting sqref="G123:I124 H145:I145">
    <cfRule type="expression" dxfId="780" priority="55">
      <formula>$H$145 &gt; 0</formula>
    </cfRule>
    <cfRule type="expression" dxfId="779" priority="56">
      <formula>$H$145 = 0</formula>
    </cfRule>
    <cfRule type="expression" dxfId="778" priority="57">
      <formula>$H$145 &lt; 0</formula>
    </cfRule>
  </conditionalFormatting>
  <conditionalFormatting sqref="J123:L124 K145:L145">
    <cfRule type="expression" dxfId="777" priority="52">
      <formula>$K$145 &gt; 0</formula>
    </cfRule>
    <cfRule type="expression" dxfId="776" priority="53">
      <formula>$K$145 = 0</formula>
    </cfRule>
    <cfRule type="expression" dxfId="775" priority="54">
      <formula>$K$145 &lt; 0</formula>
    </cfRule>
  </conditionalFormatting>
  <conditionalFormatting sqref="M123:O124 N145:O145">
    <cfRule type="expression" dxfId="774" priority="49">
      <formula>$N$145 &gt; 0</formula>
    </cfRule>
    <cfRule type="expression" dxfId="773" priority="50">
      <formula>$N$145 = 0</formula>
    </cfRule>
    <cfRule type="expression" dxfId="772" priority="51">
      <formula>$N$145 &lt; 0</formula>
    </cfRule>
  </conditionalFormatting>
  <conditionalFormatting sqref="A152:C171 M152:O171">
    <cfRule type="expression" dxfId="771" priority="37">
      <formula>AND($N152 &gt; 0, ISNUMBER($N152))</formula>
    </cfRule>
    <cfRule type="expression" dxfId="770" priority="38">
      <formula>AND($N152 = 0 * ISNUMBER($N152))</formula>
    </cfRule>
    <cfRule type="expression" dxfId="769" priority="39">
      <formula>AND($N152 &lt; 0, ISNUMBER($N152))</formula>
    </cfRule>
  </conditionalFormatting>
  <conditionalFormatting sqref="A152:F171">
    <cfRule type="expression" dxfId="768" priority="46">
      <formula>AND($E152 &gt; 0, ISNUMBER($E152))</formula>
    </cfRule>
    <cfRule type="expression" dxfId="767" priority="47">
      <formula>AND($E152 = 0 * ISNUMBER($E152))</formula>
    </cfRule>
    <cfRule type="expression" dxfId="766" priority="48">
      <formula>AND($E152 &lt; 0, ISNUMBER($E152))</formula>
    </cfRule>
  </conditionalFormatting>
  <conditionalFormatting sqref="A152:C171 G152:I171">
    <cfRule type="expression" dxfId="765" priority="43">
      <formula>AND($H152 &gt; 0, ISNUMBER($H152))</formula>
    </cfRule>
    <cfRule type="expression" dxfId="764" priority="44">
      <formula>AND($H152 = 0 * ISNUMBER($H152))</formula>
    </cfRule>
    <cfRule type="expression" dxfId="763" priority="45">
      <formula>AND($H152 &lt; 0, ISNUMBER($H152))</formula>
    </cfRule>
  </conditionalFormatting>
  <conditionalFormatting sqref="A152:C171 J152:L171">
    <cfRule type="expression" dxfId="762" priority="40">
      <formula>AND($K152 &gt; 0, ISNUMBER($K152))</formula>
    </cfRule>
    <cfRule type="expression" dxfId="761" priority="41">
      <formula>AND($K152 = 0 * ISNUMBER($K152))</formula>
    </cfRule>
    <cfRule type="expression" dxfId="760" priority="42">
      <formula>AND($K152 &lt; 0, ISNUMBER($K152))</formula>
    </cfRule>
  </conditionalFormatting>
  <conditionalFormatting sqref="D150:F151 E172:F172">
    <cfRule type="expression" dxfId="759" priority="34">
      <formula>$E$172 &gt; 0</formula>
    </cfRule>
    <cfRule type="expression" dxfId="758" priority="35">
      <formula>$E$172 = 0</formula>
    </cfRule>
    <cfRule type="expression" dxfId="757" priority="36">
      <formula>$E$172 &lt; 0</formula>
    </cfRule>
  </conditionalFormatting>
  <conditionalFormatting sqref="G150:I151 H172:I172">
    <cfRule type="expression" dxfId="756" priority="31">
      <formula>$H$172 &gt; 0</formula>
    </cfRule>
    <cfRule type="expression" dxfId="755" priority="32">
      <formula>$H$172 = 0</formula>
    </cfRule>
    <cfRule type="expression" dxfId="754" priority="33">
      <formula>$H$172 &lt; 0</formula>
    </cfRule>
  </conditionalFormatting>
  <conditionalFormatting sqref="J150:L151 K172:L172">
    <cfRule type="expression" dxfId="753" priority="28">
      <formula>$K$172 &gt; 0</formula>
    </cfRule>
    <cfRule type="expression" dxfId="752" priority="29">
      <formula>$K$172 = 0</formula>
    </cfRule>
    <cfRule type="expression" dxfId="751" priority="30">
      <formula>$K$172 &lt; 0</formula>
    </cfRule>
  </conditionalFormatting>
  <conditionalFormatting sqref="M150:O151 N172:O172">
    <cfRule type="expression" dxfId="750" priority="25">
      <formula>$N$172 &gt; 0</formula>
    </cfRule>
    <cfRule type="expression" dxfId="749" priority="26">
      <formula>$N$172 = 0</formula>
    </cfRule>
    <cfRule type="expression" dxfId="748" priority="27">
      <formula>$N$172 &lt; 0</formula>
    </cfRule>
  </conditionalFormatting>
  <conditionalFormatting sqref="A179:C198 M179:O198">
    <cfRule type="expression" dxfId="747" priority="13">
      <formula>AND($N179 &gt; 0, ISNUMBER($N179))</formula>
    </cfRule>
    <cfRule type="expression" dxfId="746" priority="14">
      <formula>AND($N179 = 0 * ISNUMBER($N179))</formula>
    </cfRule>
    <cfRule type="expression" dxfId="745" priority="15">
      <formula>AND($N179 &lt; 0, ISNUMBER($N179))</formula>
    </cfRule>
  </conditionalFormatting>
  <conditionalFormatting sqref="A179:F198">
    <cfRule type="expression" dxfId="744" priority="22">
      <formula>AND($E179 &gt; 0, ISNUMBER($E179))</formula>
    </cfRule>
    <cfRule type="expression" dxfId="743" priority="23">
      <formula>AND($E179 = 0 * ISNUMBER($E179))</formula>
    </cfRule>
    <cfRule type="expression" dxfId="742" priority="24">
      <formula>AND($E179 &lt; 0, ISNUMBER($E179))</formula>
    </cfRule>
  </conditionalFormatting>
  <conditionalFormatting sqref="A179:C198 G179:I198">
    <cfRule type="expression" dxfId="741" priority="19">
      <formula>AND($H179 &gt; 0, ISNUMBER($H179))</formula>
    </cfRule>
    <cfRule type="expression" dxfId="740" priority="20">
      <formula>AND($H179 = 0 * ISNUMBER($H179))</formula>
    </cfRule>
    <cfRule type="expression" dxfId="739" priority="21">
      <formula>AND($H179 &lt; 0, ISNUMBER($H179))</formula>
    </cfRule>
  </conditionalFormatting>
  <conditionalFormatting sqref="A179:C198 J179:L198">
    <cfRule type="expression" dxfId="738" priority="16">
      <formula>AND($K179 &gt; 0, ISNUMBER($K179))</formula>
    </cfRule>
    <cfRule type="expression" dxfId="737" priority="17">
      <formula>AND($K179 = 0 * ISNUMBER($K179))</formula>
    </cfRule>
    <cfRule type="expression" dxfId="736" priority="18">
      <formula>AND($K179 &lt; 0, ISNUMBER($K179))</formula>
    </cfRule>
  </conditionalFormatting>
  <conditionalFormatting sqref="D177:F178 E199:F199">
    <cfRule type="expression" dxfId="735" priority="10">
      <formula>$E$199 &gt; 0</formula>
    </cfRule>
    <cfRule type="expression" dxfId="734" priority="11">
      <formula>$E$199 = 0</formula>
    </cfRule>
    <cfRule type="expression" dxfId="733" priority="12">
      <formula>$E$199 &lt; 0</formula>
    </cfRule>
  </conditionalFormatting>
  <conditionalFormatting sqref="G177:I178 H199:I199">
    <cfRule type="expression" dxfId="732" priority="7">
      <formula>$H$199 &gt; 0</formula>
    </cfRule>
    <cfRule type="expression" dxfId="731" priority="8">
      <formula>$H$199 = 0</formula>
    </cfRule>
    <cfRule type="expression" dxfId="730" priority="9">
      <formula>$H$199 &lt; 0</formula>
    </cfRule>
  </conditionalFormatting>
  <conditionalFormatting sqref="J177:L178 K199:L199">
    <cfRule type="expression" dxfId="729" priority="4">
      <formula>$K$199 &gt; 0</formula>
    </cfRule>
    <cfRule type="expression" dxfId="728" priority="5">
      <formula>$K$199 = 0</formula>
    </cfRule>
    <cfRule type="expression" dxfId="727" priority="6">
      <formula>$K$199 &lt; 0</formula>
    </cfRule>
  </conditionalFormatting>
  <conditionalFormatting sqref="M177:O178 N199:O199">
    <cfRule type="expression" dxfId="726" priority="1">
      <formula>$N$199 &gt; 0</formula>
    </cfRule>
    <cfRule type="expression" dxfId="725" priority="2">
      <formula>$N$199 = 0</formula>
    </cfRule>
    <cfRule type="expression" dxfId="7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1A7CF-F76F-430B-9E25-3FBF08C75FF2}">
  <sheetPr codeName="Sheet16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4" t="s">
        <v>0</v>
      </c>
      <c r="B1" s="235"/>
      <c r="C1" s="235"/>
      <c r="D1" s="235"/>
      <c r="E1" s="235"/>
      <c r="F1" s="236"/>
      <c r="G1" s="265">
        <v>44357</v>
      </c>
      <c r="H1" s="266"/>
      <c r="I1" s="267"/>
      <c r="J1" s="234" t="s">
        <v>1</v>
      </c>
      <c r="K1" s="235"/>
      <c r="L1" s="235"/>
      <c r="M1" s="235"/>
      <c r="N1" s="235"/>
      <c r="O1" s="236"/>
      <c r="Q1" s="234" t="s">
        <v>2</v>
      </c>
      <c r="R1" s="236"/>
    </row>
    <row r="2" spans="1:19" ht="17.25" customHeight="1">
      <c r="A2" s="117" t="s">
        <v>3</v>
      </c>
      <c r="B2" s="268" t="s">
        <v>8</v>
      </c>
      <c r="C2" s="269"/>
      <c r="D2" s="269"/>
      <c r="E2" s="269"/>
      <c r="F2" s="270"/>
      <c r="G2" s="262" t="s">
        <v>46</v>
      </c>
      <c r="H2" s="263"/>
      <c r="I2" s="264"/>
      <c r="J2" s="1" t="s">
        <v>3</v>
      </c>
      <c r="K2" s="268" t="s">
        <v>350</v>
      </c>
      <c r="L2" s="269"/>
      <c r="M2" s="269"/>
      <c r="N2" s="269"/>
      <c r="O2" s="270"/>
      <c r="Q2" s="2" t="s">
        <v>6</v>
      </c>
      <c r="R2" s="3">
        <v>0.375</v>
      </c>
    </row>
    <row r="3" spans="1:19" ht="17.25" customHeight="1" thickBot="1">
      <c r="A3" s="118" t="s">
        <v>7</v>
      </c>
      <c r="B3" s="259" t="s">
        <v>358</v>
      </c>
      <c r="C3" s="260"/>
      <c r="D3" s="260"/>
      <c r="E3" s="260"/>
      <c r="F3" s="261"/>
      <c r="G3" s="25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26,139 KRW (1.31%)</v>
      </c>
      <c r="H3" s="256"/>
      <c r="I3" s="257"/>
      <c r="J3" s="4" t="s">
        <v>7</v>
      </c>
      <c r="K3" s="259" t="s">
        <v>351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9" t="s">
        <v>16</v>
      </c>
      <c r="C4" s="260"/>
      <c r="D4" s="260"/>
      <c r="E4" s="260"/>
      <c r="F4" s="261"/>
      <c r="G4" s="262" t="s">
        <v>44</v>
      </c>
      <c r="H4" s="263"/>
      <c r="I4" s="264"/>
      <c r="J4" s="4" t="s">
        <v>11</v>
      </c>
      <c r="K4" s="259" t="s">
        <v>352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9" t="s">
        <v>349</v>
      </c>
      <c r="C5" s="260"/>
      <c r="D5" s="260"/>
      <c r="E5" s="260"/>
      <c r="F5" s="261"/>
      <c r="G5" s="25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169,573 KRW (8.48%)</v>
      </c>
      <c r="H5" s="256"/>
      <c r="I5" s="257"/>
      <c r="J5" s="4" t="s">
        <v>15</v>
      </c>
      <c r="K5" s="259" t="s">
        <v>353</v>
      </c>
      <c r="L5" s="260"/>
      <c r="M5" s="260"/>
      <c r="N5" s="260"/>
      <c r="O5" s="261"/>
    </row>
    <row r="6" spans="1:19">
      <c r="A6" s="118" t="s">
        <v>18</v>
      </c>
      <c r="B6" s="259"/>
      <c r="C6" s="260"/>
      <c r="D6" s="260"/>
      <c r="E6" s="260"/>
      <c r="F6" s="261"/>
      <c r="G6" s="262" t="s">
        <v>45</v>
      </c>
      <c r="H6" s="263"/>
      <c r="I6" s="264"/>
      <c r="J6" s="4" t="s">
        <v>18</v>
      </c>
      <c r="K6" s="259" t="s">
        <v>354</v>
      </c>
      <c r="L6" s="260"/>
      <c r="M6" s="260"/>
      <c r="N6" s="260"/>
      <c r="O6" s="261"/>
    </row>
    <row r="7" spans="1:19" ht="17.25" thickBot="1">
      <c r="A7" s="118" t="s">
        <v>21</v>
      </c>
      <c r="B7" s="259"/>
      <c r="C7" s="260"/>
      <c r="D7" s="260"/>
      <c r="E7" s="260"/>
      <c r="F7" s="261"/>
      <c r="G7" s="25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31,233 KRW (1.56%)</v>
      </c>
      <c r="H7" s="256"/>
      <c r="I7" s="257"/>
      <c r="J7" s="4" t="s">
        <v>21</v>
      </c>
      <c r="K7" s="259" t="s">
        <v>355</v>
      </c>
      <c r="L7" s="260"/>
      <c r="M7" s="260"/>
      <c r="N7" s="260"/>
      <c r="O7" s="261"/>
    </row>
    <row r="8" spans="1:19" ht="17.25" thickBot="1">
      <c r="A8" s="118" t="s">
        <v>24</v>
      </c>
      <c r="B8" s="259"/>
      <c r="C8" s="260"/>
      <c r="D8" s="260"/>
      <c r="E8" s="260"/>
      <c r="F8" s="261"/>
      <c r="G8" s="262" t="s">
        <v>285</v>
      </c>
      <c r="H8" s="263"/>
      <c r="I8" s="264"/>
      <c r="J8" s="4" t="s">
        <v>24</v>
      </c>
      <c r="K8" s="259"/>
      <c r="L8" s="260"/>
      <c r="M8" s="260"/>
      <c r="N8" s="260"/>
      <c r="O8" s="261"/>
      <c r="Q8" s="234" t="s">
        <v>27</v>
      </c>
      <c r="R8" s="236"/>
    </row>
    <row r="9" spans="1:19" ht="17.25" thickBot="1">
      <c r="A9" s="118" t="s">
        <v>28</v>
      </c>
      <c r="B9" s="259"/>
      <c r="C9" s="260"/>
      <c r="D9" s="260"/>
      <c r="E9" s="260"/>
      <c r="F9" s="261"/>
      <c r="G9" s="25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136,633 KRW (6.83%)</v>
      </c>
      <c r="H9" s="256"/>
      <c r="I9" s="257"/>
      <c r="J9" s="4" t="s">
        <v>28</v>
      </c>
      <c r="K9" s="259"/>
      <c r="L9" s="260"/>
      <c r="M9" s="260"/>
      <c r="N9" s="260"/>
      <c r="O9" s="261"/>
      <c r="Q9" s="2" t="s">
        <v>29</v>
      </c>
      <c r="R9" s="6">
        <v>10</v>
      </c>
    </row>
    <row r="10" spans="1:19">
      <c r="A10" s="118" t="s">
        <v>30</v>
      </c>
      <c r="B10" s="259"/>
      <c r="C10" s="260"/>
      <c r="D10" s="260"/>
      <c r="E10" s="260"/>
      <c r="F10" s="261"/>
      <c r="G10" s="262" t="s">
        <v>47</v>
      </c>
      <c r="H10" s="263"/>
      <c r="I10" s="264"/>
      <c r="J10" s="4" t="s">
        <v>30</v>
      </c>
      <c r="K10" s="259" t="s">
        <v>356</v>
      </c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119" t="s">
        <v>32</v>
      </c>
      <c r="B11" s="252" t="s">
        <v>357</v>
      </c>
      <c r="C11" s="253"/>
      <c r="D11" s="253"/>
      <c r="E11" s="253"/>
      <c r="F11" s="254"/>
      <c r="G11" s="25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48,628 KRW (3.24%)</v>
      </c>
      <c r="H11" s="256"/>
      <c r="I11" s="257"/>
      <c r="J11" s="7" t="s">
        <v>32</v>
      </c>
      <c r="K11" s="252" t="s">
        <v>348</v>
      </c>
      <c r="L11" s="253"/>
      <c r="M11" s="253"/>
      <c r="N11" s="253"/>
      <c r="O11" s="254"/>
      <c r="Q11" s="65" t="s">
        <v>33</v>
      </c>
      <c r="R11" s="8">
        <v>1000</v>
      </c>
    </row>
    <row r="12" spans="1:19" ht="17.25" thickBot="1"/>
    <row r="13" spans="1:19" ht="17.25" customHeight="1" thickBot="1">
      <c r="A13" s="234" t="s">
        <v>34</v>
      </c>
      <c r="B13" s="235"/>
      <c r="C13" s="235"/>
      <c r="D13" s="235"/>
      <c r="E13" s="235"/>
      <c r="F13" s="235"/>
      <c r="G13" s="235"/>
      <c r="H13" s="235"/>
      <c r="I13" s="235"/>
      <c r="J13" s="235"/>
      <c r="K13" s="235"/>
      <c r="L13" s="235"/>
      <c r="M13" s="235"/>
      <c r="N13" s="235"/>
      <c r="O13" s="236"/>
      <c r="Q13" s="233"/>
      <c r="R13" s="233"/>
      <c r="S13" s="233"/>
    </row>
    <row r="14" spans="1:19" ht="17.25" customHeight="1" thickBot="1">
      <c r="A14" s="196" t="s">
        <v>35</v>
      </c>
      <c r="B14" s="234" t="s">
        <v>36</v>
      </c>
      <c r="C14" s="236"/>
      <c r="D14" s="234" t="s">
        <v>37</v>
      </c>
      <c r="E14" s="235"/>
      <c r="F14" s="236"/>
      <c r="G14" s="237">
        <f>_xlfn.IFNA(VLOOKUP(B14, 현재가테이블!$B$2:$D$200, 2, FALSE), "-")</f>
        <v>41418000</v>
      </c>
      <c r="H14" s="238"/>
      <c r="I14" s="239"/>
      <c r="J14" s="234" t="s">
        <v>38</v>
      </c>
      <c r="K14" s="235"/>
      <c r="L14" s="236"/>
      <c r="M14" s="240">
        <f>_xlfn.IFNA(VLOOKUP(B14, 현재가테이블!$B$2:$D$200, 3, FALSE), "-")</f>
        <v>-5.2176301000000001E-2</v>
      </c>
      <c r="N14" s="241"/>
      <c r="O14" s="242"/>
      <c r="Q14" s="233"/>
      <c r="R14" s="233"/>
      <c r="S14" s="233"/>
    </row>
    <row r="15" spans="1:19" ht="17.25" customHeight="1" thickBot="1">
      <c r="A15" s="271" t="s">
        <v>39</v>
      </c>
      <c r="B15" s="272" t="str">
        <f>TEXT($G$1, "[$-ko-KR]yyyy-mm-dd(ddd) ") &amp; "오전 00:00"</f>
        <v>2021-06-10(목) 오전 00:00</v>
      </c>
      <c r="C15" s="273"/>
      <c r="D15" s="247" t="str">
        <f>TEXT($G$1, "[$-ko-KR]yyyy-mm-dd(ddd) ") &amp; "오후 14:00"</f>
        <v>2021-06-10(목) 오후 14:00</v>
      </c>
      <c r="E15" s="248"/>
      <c r="F15" s="249"/>
      <c r="G15" s="247" t="str">
        <f>TEXT($G$1, "[$-ko-KR]yyyy-mm-dd(ddd) ") &amp; "오후 19:00"</f>
        <v>2021-06-10(목) 오후 19:00</v>
      </c>
      <c r="H15" s="248"/>
      <c r="I15" s="249"/>
      <c r="J15" s="247" t="str">
        <f>TEXT($G$1, "[$-ko-KR]yyyy-mm-dd(ddd) ") &amp; "오후 21:00"</f>
        <v>2021-06-10(목) 오후 21:00</v>
      </c>
      <c r="K15" s="248"/>
      <c r="L15" s="249"/>
      <c r="M15" s="247" t="str">
        <f>TEXT($G$1+1, "[$-ko-KR]yyyy-mm-dd(ddd) ") &amp; "오전 00:00"</f>
        <v>2021-06-11(금) 오전 00:00</v>
      </c>
      <c r="N15" s="248"/>
      <c r="O15" s="249"/>
      <c r="Q15" s="233"/>
      <c r="R15" s="233"/>
      <c r="S15" s="233"/>
    </row>
    <row r="16" spans="1:19" ht="17.25" customHeight="1" thickBot="1">
      <c r="A16" s="27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7" t="s">
        <v>37</v>
      </c>
      <c r="H16" s="198" t="s">
        <v>40</v>
      </c>
      <c r="I16" s="19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84.4</v>
      </c>
      <c r="C17" s="76">
        <f>IF(NOT(ISBLANK(_xlfn.IFNA(VLOOKUP($A17, $A$40:$O$199, 3, FALSE), ))), _xlfn.IFNA(VLOOKUP($A17, $A$40:$O$199, 3, FALSE), ), "")</f>
        <v>-2.3148148100000002E-2</v>
      </c>
      <c r="D17" s="13">
        <f>IF(NOT(ISBLANK(_xlfn.IFNA(VLOOKUP($A17, $A$40:$O$199, 4, FALSE), ))), _xlfn.IFNA(VLOOKUP($A17, $A$40:$O$199, 4, FALSE), ), "")</f>
        <v>86.1</v>
      </c>
      <c r="E17" s="14">
        <f>IF(NOT(ISBLANK(_xlfn.IFNA(VLOOKUP($A17, $A$40:$O$199, 5, FALSE), ))), _xlfn.IFNA(VLOOKUP($A17, $A$40:$O$199, 5, FALSE), ), "")</f>
        <v>2.0142180094786594E-2</v>
      </c>
      <c r="F17" s="16">
        <f>IF(NOT(ISBLANK(_xlfn.IFNA(VLOOKUP($A17, $A$40:$O$199, 6, FALSE), ))), _xlfn.IFNA(VLOOKUP($A17, $A$40:$O$199, 6, FALSE), ), "")</f>
        <v>2014.2180094786595</v>
      </c>
      <c r="G17" s="29">
        <f>IF(NOT(ISBLANK(_xlfn.IFNA(VLOOKUP($A17, $A$40:$O$199, 7, FALSE), ))), _xlfn.IFNA(VLOOKUP($A17, $A$40:$O$199, 7, FALSE), ), "")</f>
        <v>91</v>
      </c>
      <c r="H17" s="14">
        <f>IF(NOT(ISBLANK(_xlfn.IFNA(VLOOKUP($A17, $A$40:$O$199, 8, FALSE), ))), _xlfn.IFNA(VLOOKUP($A17, $A$40:$O$199, 8, FALSE), ), "")</f>
        <v>7.8199052132701355E-2</v>
      </c>
      <c r="I17" s="100">
        <f>IF(NOT(ISBLANK(_xlfn.IFNA(VLOOKUP($A17, $A$40:$O$199, 9, FALSE), ))), _xlfn.IFNA(VLOOKUP($A17, $A$40:$O$199, 9, FALSE), ), "")</f>
        <v>7819.9052132701354</v>
      </c>
      <c r="J17" s="13">
        <f>IF(NOT(ISBLANK(_xlfn.IFNA(VLOOKUP($A17, $A$40:$O$199, 10, FALSE), ))), _xlfn.IFNA(VLOOKUP($A17, $A$40:$O$199, 10, FALSE), ), "")</f>
        <v>89.8</v>
      </c>
      <c r="K17" s="14">
        <f>IF(NOT(ISBLANK(_xlfn.IFNA(VLOOKUP($A17, $A$40:$O$199, 11, FALSE), ))), _xlfn.IFNA(VLOOKUP($A17, $A$40:$O$199, 11, FALSE), ), "")</f>
        <v>6.3981042654028333E-2</v>
      </c>
      <c r="L17" s="16">
        <f>IF(NOT(ISBLANK(_xlfn.IFNA(VLOOKUP($A17, $A$40:$O$199, 12, FALSE), ))), _xlfn.IFNA(VLOOKUP($A17, $A$40:$O$199, 12, FALSE), ), "")</f>
        <v>6398.1042654028333</v>
      </c>
      <c r="M17" s="29">
        <f>IF(NOT(ISBLANK(_xlfn.IFNA(VLOOKUP($A17, $A$40:$O$199, 13, FALSE), ))), _xlfn.IFNA(VLOOKUP($A17, $A$40:$O$199, 13, FALSE), ), "")</f>
        <v>87.1</v>
      </c>
      <c r="N17" s="14">
        <f>IF(NOT(ISBLANK(_xlfn.IFNA(VLOOKUP($A17, $A$40:$O$199, 14, FALSE), ))), _xlfn.IFNA(VLOOKUP($A17, $A$40:$O$199, 14, FALSE), ), "")</f>
        <v>3.1990521327014083E-2</v>
      </c>
      <c r="O17" s="16">
        <f>IF(NOT(ISBLANK(_xlfn.IFNA(VLOOKUP($A17, $A$40:$O$199, 15, FALSE), ))), _xlfn.IFNA(VLOOKUP($A17, $A$40:$O$199, 15, FALSE), ), "")</f>
        <v>3199.0521327014085</v>
      </c>
      <c r="Q17" s="233"/>
      <c r="R17" s="233"/>
      <c r="S17" s="23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63.8</v>
      </c>
      <c r="C18" s="77">
        <f t="shared" ref="C18:C36" si="1">IF(NOT(ISBLANK(_xlfn.IFNA(VLOOKUP($A18, $A$40:$O$199, 3, FALSE), ))), _xlfn.IFNA(VLOOKUP($A18, $A$40:$O$199, 3, FALSE), ), "")</f>
        <v>-4.4910179600000003E-2</v>
      </c>
      <c r="D18" s="15">
        <f t="shared" ref="D18:D36" si="2">IF(NOT(ISBLANK(_xlfn.IFNA(VLOOKUP($A18, $A$40:$O$199, 4, FALSE), ))), _xlfn.IFNA(VLOOKUP($A18, $A$40:$O$199, 4, FALSE), ), "")</f>
        <v>67.900000000000006</v>
      </c>
      <c r="E18" s="32">
        <f t="shared" ref="E18:E36" si="3">IF(NOT(ISBLANK(_xlfn.IFNA(VLOOKUP($A18, $A$40:$O$199, 5, FALSE), ))), _xlfn.IFNA(VLOOKUP($A18, $A$40:$O$199, 5, FALSE), ), "")</f>
        <v>6.426332288401268E-2</v>
      </c>
      <c r="F18" s="18">
        <f t="shared" ref="F18:F36" si="4">IF(NOT(ISBLANK(_xlfn.IFNA(VLOOKUP($A18, $A$40:$O$199, 6, FALSE), ))), _xlfn.IFNA(VLOOKUP($A18, $A$40:$O$199, 6, FALSE), ), "")</f>
        <v>6426.3322884012678</v>
      </c>
      <c r="G18" s="31">
        <f t="shared" ref="G18:G36" si="5">IF(NOT(ISBLANK(_xlfn.IFNA(VLOOKUP($A18, $A$40:$O$199, 7, FALSE), ))), _xlfn.IFNA(VLOOKUP($A18, $A$40:$O$199, 7, FALSE), ), "")</f>
        <v>72.3</v>
      </c>
      <c r="H18" s="32">
        <f t="shared" ref="H18:H36" si="6">IF(NOT(ISBLANK(_xlfn.IFNA(VLOOKUP($A18, $A$40:$O$199, 8, FALSE), ))), _xlfn.IFNA(VLOOKUP($A18, $A$40:$O$199, 8, FALSE), ), "")</f>
        <v>0.13322884012539185</v>
      </c>
      <c r="I18" s="101">
        <f t="shared" ref="I18:I36" si="7">IF(NOT(ISBLANK(_xlfn.IFNA(VLOOKUP($A18, $A$40:$O$199, 9, FALSE), ))), _xlfn.IFNA(VLOOKUP($A18, $A$40:$O$199, 9, FALSE), ), "")</f>
        <v>13322.884012539185</v>
      </c>
      <c r="J18" s="15">
        <f t="shared" ref="J18:J36" si="8">IF(NOT(ISBLANK(_xlfn.IFNA(VLOOKUP($A18, $A$40:$O$199, 10, FALSE), ))), _xlfn.IFNA(VLOOKUP($A18, $A$40:$O$199, 10, FALSE), ), "")</f>
        <v>71.7</v>
      </c>
      <c r="K18" s="32">
        <f t="shared" ref="K18:K36" si="9">IF(NOT(ISBLANK(_xlfn.IFNA(VLOOKUP($A18, $A$40:$O$199, 11, FALSE), ))), _xlfn.IFNA(VLOOKUP($A18, $A$40:$O$199, 11, FALSE), ), "")</f>
        <v>0.1238244514106584</v>
      </c>
      <c r="L18" s="18">
        <f t="shared" ref="L18:L36" si="10">IF(NOT(ISBLANK(_xlfn.IFNA(VLOOKUP($A18, $A$40:$O$199, 12, FALSE), ))), _xlfn.IFNA(VLOOKUP($A18, $A$40:$O$199, 12, FALSE), ), "")</f>
        <v>12382.44514106584</v>
      </c>
      <c r="M18" s="31">
        <f t="shared" ref="M18:M36" si="11">IF(NOT(ISBLANK(_xlfn.IFNA(VLOOKUP($A18, $A$40:$O$199, 13, FALSE), ))), _xlfn.IFNA(VLOOKUP($A18, $A$40:$O$199, 13, FALSE), ), "")</f>
        <v>68.900000000000006</v>
      </c>
      <c r="N18" s="32">
        <f t="shared" ref="N18:N36" si="12">IF(NOT(ISBLANK(_xlfn.IFNA(VLOOKUP($A18, $A$40:$O$199, 14, FALSE), ))), _xlfn.IFNA(VLOOKUP($A18, $A$40:$O$199, 14, FALSE), ), "")</f>
        <v>7.9937304075235249E-2</v>
      </c>
      <c r="O18" s="18">
        <f t="shared" ref="O18:O36" si="13">IF(NOT(ISBLANK(_xlfn.IFNA(VLOOKUP($A18, $A$40:$O$199, 15, FALSE), ))), _xlfn.IFNA(VLOOKUP($A18, $A$40:$O$199, 15, FALSE), ), "")</f>
        <v>7993.7304075235252</v>
      </c>
      <c r="Q18" s="233"/>
      <c r="R18" s="233"/>
      <c r="S18" s="233"/>
    </row>
    <row r="19" spans="1:19" ht="17.25" customHeight="1" thickBot="1">
      <c r="A19" s="162" t="s">
        <v>202</v>
      </c>
      <c r="B19" s="126">
        <f t="shared" si="0"/>
        <v>105</v>
      </c>
      <c r="C19" s="77">
        <f t="shared" si="1"/>
        <v>-3.6697247699999998E-2</v>
      </c>
      <c r="D19" s="15">
        <f t="shared" si="2"/>
        <v>109</v>
      </c>
      <c r="E19" s="32">
        <f t="shared" si="3"/>
        <v>3.8095238095238099E-2</v>
      </c>
      <c r="F19" s="18">
        <f t="shared" si="4"/>
        <v>3809.5238095238101</v>
      </c>
      <c r="G19" s="31">
        <f t="shared" si="5"/>
        <v>114</v>
      </c>
      <c r="H19" s="32">
        <f t="shared" si="6"/>
        <v>8.5714285714285715E-2</v>
      </c>
      <c r="I19" s="101">
        <f t="shared" si="7"/>
        <v>8571.4285714285706</v>
      </c>
      <c r="J19" s="15">
        <f t="shared" si="8"/>
        <v>116</v>
      </c>
      <c r="K19" s="32">
        <f t="shared" si="9"/>
        <v>0.10476190476190476</v>
      </c>
      <c r="L19" s="18">
        <f t="shared" si="10"/>
        <v>10476.190476190477</v>
      </c>
      <c r="M19" s="31">
        <f t="shared" si="11"/>
        <v>112</v>
      </c>
      <c r="N19" s="32">
        <f t="shared" si="12"/>
        <v>6.6666666666666666E-2</v>
      </c>
      <c r="O19" s="18">
        <f t="shared" si="13"/>
        <v>6666.666666666667</v>
      </c>
      <c r="Q19" s="223"/>
      <c r="R19" s="223"/>
      <c r="S19" s="223"/>
    </row>
    <row r="20" spans="1:19" ht="17.25" customHeight="1" thickBot="1">
      <c r="A20" s="162" t="s">
        <v>120</v>
      </c>
      <c r="B20" s="126">
        <f t="shared" si="0"/>
        <v>134</v>
      </c>
      <c r="C20" s="77">
        <f t="shared" si="1"/>
        <v>1.51515152E-2</v>
      </c>
      <c r="D20" s="15">
        <f t="shared" si="2"/>
        <v>138</v>
      </c>
      <c r="E20" s="32">
        <f t="shared" si="3"/>
        <v>2.9850746268656716E-2</v>
      </c>
      <c r="F20" s="18">
        <f t="shared" si="4"/>
        <v>2985.0746268656717</v>
      </c>
      <c r="G20" s="31">
        <f t="shared" si="5"/>
        <v>140</v>
      </c>
      <c r="H20" s="32">
        <f t="shared" si="6"/>
        <v>4.4776119402985072E-2</v>
      </c>
      <c r="I20" s="101">
        <f t="shared" si="7"/>
        <v>4477.6119402985069</v>
      </c>
      <c r="J20" s="15">
        <f t="shared" si="8"/>
        <v>140</v>
      </c>
      <c r="K20" s="32">
        <f t="shared" si="9"/>
        <v>4.4776119402985072E-2</v>
      </c>
      <c r="L20" s="18">
        <f t="shared" si="10"/>
        <v>4477.6119402985069</v>
      </c>
      <c r="M20" s="31">
        <f t="shared" si="11"/>
        <v>139</v>
      </c>
      <c r="N20" s="32">
        <f t="shared" si="12"/>
        <v>3.7313432835820892E-2</v>
      </c>
      <c r="O20" s="18">
        <f t="shared" si="13"/>
        <v>3731.343283582089</v>
      </c>
      <c r="Q20" s="223"/>
      <c r="R20" s="223"/>
      <c r="S20" s="223"/>
    </row>
    <row r="21" spans="1:19" ht="17.25" customHeight="1" thickBot="1">
      <c r="A21" s="163" t="s">
        <v>246</v>
      </c>
      <c r="B21" s="128">
        <f t="shared" si="0"/>
        <v>270</v>
      </c>
      <c r="C21" s="78">
        <f t="shared" si="1"/>
        <v>-1.8181818200000002E-2</v>
      </c>
      <c r="D21" s="20">
        <f t="shared" si="2"/>
        <v>276</v>
      </c>
      <c r="E21" s="21">
        <f t="shared" si="3"/>
        <v>2.2222222222222223E-2</v>
      </c>
      <c r="F21" s="22">
        <f t="shared" si="4"/>
        <v>2222.2222222222222</v>
      </c>
      <c r="G21" s="30">
        <f t="shared" si="5"/>
        <v>292</v>
      </c>
      <c r="H21" s="21">
        <f t="shared" si="6"/>
        <v>8.1481481481481488E-2</v>
      </c>
      <c r="I21" s="105">
        <f t="shared" si="7"/>
        <v>8148.1481481481487</v>
      </c>
      <c r="J21" s="20">
        <f t="shared" si="8"/>
        <v>286</v>
      </c>
      <c r="K21" s="21">
        <f t="shared" si="9"/>
        <v>5.9259259259259262E-2</v>
      </c>
      <c r="L21" s="22">
        <f t="shared" si="10"/>
        <v>5925.9259259259261</v>
      </c>
      <c r="M21" s="30">
        <f t="shared" si="11"/>
        <v>283</v>
      </c>
      <c r="N21" s="21">
        <f t="shared" si="12"/>
        <v>4.8148148148148148E-2</v>
      </c>
      <c r="O21" s="22">
        <f t="shared" si="13"/>
        <v>4814.8148148148148</v>
      </c>
      <c r="Q21" s="223"/>
      <c r="R21" s="223"/>
      <c r="S21" s="223"/>
    </row>
    <row r="22" spans="1:19" ht="17.25" customHeight="1" thickBot="1">
      <c r="A22" s="162" t="s">
        <v>49</v>
      </c>
      <c r="B22" s="129">
        <f t="shared" si="0"/>
        <v>40074000</v>
      </c>
      <c r="C22" s="80">
        <f t="shared" si="1"/>
        <v>4.10453577E-2</v>
      </c>
      <c r="D22" s="106">
        <f t="shared" si="2"/>
        <v>42299000</v>
      </c>
      <c r="E22" s="107">
        <f t="shared" si="3"/>
        <v>5.5522283775016217E-2</v>
      </c>
      <c r="F22" s="108">
        <f t="shared" si="4"/>
        <v>5552.2283775016213</v>
      </c>
      <c r="G22" s="109">
        <f t="shared" si="5"/>
        <v>43202000</v>
      </c>
      <c r="H22" s="107">
        <f t="shared" si="6"/>
        <v>7.8055597145281236E-2</v>
      </c>
      <c r="I22" s="110">
        <f t="shared" si="7"/>
        <v>7805.5597145281235</v>
      </c>
      <c r="J22" s="106">
        <f t="shared" si="8"/>
        <v>43570000</v>
      </c>
      <c r="K22" s="107">
        <f t="shared" si="9"/>
        <v>8.7238608574137844E-2</v>
      </c>
      <c r="L22" s="108">
        <f t="shared" si="10"/>
        <v>8723.8608574137852</v>
      </c>
      <c r="M22" s="109">
        <f t="shared" si="11"/>
        <v>42789000</v>
      </c>
      <c r="N22" s="107">
        <f t="shared" si="12"/>
        <v>6.7749663123222045E-2</v>
      </c>
      <c r="O22" s="108">
        <f t="shared" si="13"/>
        <v>6774.9663123222044</v>
      </c>
      <c r="Q22" s="223"/>
      <c r="R22" s="223"/>
      <c r="S22" s="223"/>
    </row>
    <row r="23" spans="1:19" ht="17.25" customHeight="1" thickBot="1">
      <c r="A23" s="162" t="s">
        <v>220</v>
      </c>
      <c r="B23" s="126">
        <f t="shared" si="0"/>
        <v>11.5</v>
      </c>
      <c r="C23" s="77">
        <f t="shared" si="1"/>
        <v>3.6036036E-2</v>
      </c>
      <c r="D23" s="15">
        <f t="shared" si="2"/>
        <v>12.6</v>
      </c>
      <c r="E23" s="32">
        <f t="shared" si="3"/>
        <v>9.5652173913043453E-2</v>
      </c>
      <c r="F23" s="18">
        <f t="shared" si="4"/>
        <v>9565.2173913043462</v>
      </c>
      <c r="G23" s="31">
        <f t="shared" si="5"/>
        <v>12.6</v>
      </c>
      <c r="H23" s="32">
        <f t="shared" si="6"/>
        <v>9.5652173913043453E-2</v>
      </c>
      <c r="I23" s="101">
        <f t="shared" si="7"/>
        <v>9565.2173913043462</v>
      </c>
      <c r="J23" s="15">
        <f t="shared" si="8"/>
        <v>12.6</v>
      </c>
      <c r="K23" s="32">
        <f t="shared" si="9"/>
        <v>9.5652173913043453E-2</v>
      </c>
      <c r="L23" s="18">
        <f t="shared" si="10"/>
        <v>9565.2173913043462</v>
      </c>
      <c r="M23" s="31">
        <f t="shared" si="11"/>
        <v>12.3</v>
      </c>
      <c r="N23" s="32">
        <f t="shared" si="12"/>
        <v>6.9565217391304404E-2</v>
      </c>
      <c r="O23" s="18">
        <f t="shared" si="13"/>
        <v>6956.5217391304404</v>
      </c>
      <c r="Q23" s="223"/>
      <c r="R23" s="223"/>
      <c r="S23" s="223"/>
    </row>
    <row r="24" spans="1:19" ht="17.25" customHeight="1" thickBot="1">
      <c r="A24" s="162" t="s">
        <v>270</v>
      </c>
      <c r="B24" s="126">
        <f t="shared" si="0"/>
        <v>335</v>
      </c>
      <c r="C24" s="77">
        <f t="shared" si="1"/>
        <v>3.3950617299999999E-2</v>
      </c>
      <c r="D24" s="15">
        <f t="shared" si="2"/>
        <v>336</v>
      </c>
      <c r="E24" s="32">
        <f t="shared" si="3"/>
        <v>2.9850746268656717E-3</v>
      </c>
      <c r="F24" s="18">
        <f t="shared" si="4"/>
        <v>298.50746268656718</v>
      </c>
      <c r="G24" s="31">
        <f t="shared" si="5"/>
        <v>337</v>
      </c>
      <c r="H24" s="32">
        <f t="shared" si="6"/>
        <v>5.9701492537313433E-3</v>
      </c>
      <c r="I24" s="101">
        <f t="shared" si="7"/>
        <v>597.01492537313436</v>
      </c>
      <c r="J24" s="15">
        <f t="shared" si="8"/>
        <v>341</v>
      </c>
      <c r="K24" s="32">
        <f t="shared" si="9"/>
        <v>1.7910447761194031E-2</v>
      </c>
      <c r="L24" s="18">
        <f t="shared" si="10"/>
        <v>1791.0447761194032</v>
      </c>
      <c r="M24" s="31">
        <f t="shared" si="11"/>
        <v>339</v>
      </c>
      <c r="N24" s="32">
        <f t="shared" si="12"/>
        <v>1.1940298507462687E-2</v>
      </c>
      <c r="O24" s="18">
        <f t="shared" si="13"/>
        <v>1194.0298507462687</v>
      </c>
      <c r="Q24" s="223"/>
      <c r="R24" s="223"/>
      <c r="S24" s="223"/>
    </row>
    <row r="25" spans="1:19" ht="17.25" customHeight="1" thickBot="1">
      <c r="A25" s="162" t="s">
        <v>244</v>
      </c>
      <c r="B25" s="126">
        <f t="shared" si="0"/>
        <v>1690</v>
      </c>
      <c r="C25" s="77">
        <f t="shared" si="1"/>
        <v>3.3639143699999999E-2</v>
      </c>
      <c r="D25" s="15">
        <f t="shared" si="2"/>
        <v>1675</v>
      </c>
      <c r="E25" s="32">
        <f t="shared" si="3"/>
        <v>-8.8757396449704144E-3</v>
      </c>
      <c r="F25" s="18">
        <f t="shared" si="4"/>
        <v>-887.5739644970414</v>
      </c>
      <c r="G25" s="31">
        <f t="shared" si="5"/>
        <v>1735</v>
      </c>
      <c r="H25" s="32">
        <f t="shared" si="6"/>
        <v>2.6627218934911243E-2</v>
      </c>
      <c r="I25" s="101">
        <f t="shared" si="7"/>
        <v>2662.7218934911243</v>
      </c>
      <c r="J25" s="15">
        <f t="shared" si="8"/>
        <v>1720</v>
      </c>
      <c r="K25" s="32">
        <f t="shared" si="9"/>
        <v>1.7751479289940829E-2</v>
      </c>
      <c r="L25" s="18">
        <f t="shared" si="10"/>
        <v>1775.1479289940828</v>
      </c>
      <c r="M25" s="31">
        <f t="shared" si="11"/>
        <v>1695</v>
      </c>
      <c r="N25" s="32">
        <f t="shared" si="12"/>
        <v>2.9585798816568047E-3</v>
      </c>
      <c r="O25" s="18">
        <f t="shared" si="13"/>
        <v>295.85798816568047</v>
      </c>
      <c r="Q25" s="33"/>
      <c r="R25" s="33"/>
    </row>
    <row r="26" spans="1:19" ht="17.25" customHeight="1" thickBot="1">
      <c r="A26" s="130" t="s">
        <v>114</v>
      </c>
      <c r="B26" s="131">
        <f t="shared" si="0"/>
        <v>10700</v>
      </c>
      <c r="C26" s="79">
        <f t="shared" si="1"/>
        <v>2.29445507E-2</v>
      </c>
      <c r="D26" s="24">
        <f t="shared" si="2"/>
        <v>10420</v>
      </c>
      <c r="E26" s="25">
        <f t="shared" si="3"/>
        <v>-2.6168224299065422E-2</v>
      </c>
      <c r="F26" s="104">
        <f t="shared" si="4"/>
        <v>-2616.8224299065423</v>
      </c>
      <c r="G26" s="102">
        <f t="shared" si="5"/>
        <v>10400</v>
      </c>
      <c r="H26" s="25">
        <f t="shared" si="6"/>
        <v>-2.8037383177570093E-2</v>
      </c>
      <c r="I26" s="103">
        <f t="shared" si="7"/>
        <v>-2803.7383177570091</v>
      </c>
      <c r="J26" s="24">
        <f t="shared" si="8"/>
        <v>10320</v>
      </c>
      <c r="K26" s="25">
        <f t="shared" si="9"/>
        <v>-3.5514018691588788E-2</v>
      </c>
      <c r="L26" s="104">
        <f t="shared" si="10"/>
        <v>-3551.401869158879</v>
      </c>
      <c r="M26" s="102">
        <f t="shared" si="11"/>
        <v>10170</v>
      </c>
      <c r="N26" s="25">
        <f t="shared" si="12"/>
        <v>-4.9532710280373829E-2</v>
      </c>
      <c r="O26" s="104">
        <f t="shared" si="13"/>
        <v>-4953.2710280373831</v>
      </c>
      <c r="Q26" s="224"/>
      <c r="R26" s="225"/>
      <c r="S26" s="226"/>
    </row>
    <row r="27" spans="1:19" ht="17.25" customHeight="1">
      <c r="A27" s="161" t="s">
        <v>102</v>
      </c>
      <c r="B27" s="124">
        <f t="shared" si="0"/>
        <v>66700</v>
      </c>
      <c r="C27" s="76">
        <f t="shared" si="1"/>
        <v>2.09704577E-2</v>
      </c>
      <c r="D27" s="13">
        <f t="shared" si="2"/>
        <v>69790</v>
      </c>
      <c r="E27" s="14">
        <f t="shared" si="3"/>
        <v>4.6326836581709142E-2</v>
      </c>
      <c r="F27" s="16">
        <f t="shared" si="4"/>
        <v>4632.683658170914</v>
      </c>
      <c r="G27" s="29">
        <f t="shared" si="5"/>
        <v>69210</v>
      </c>
      <c r="H27" s="14">
        <f t="shared" si="6"/>
        <v>3.7631184407796101E-2</v>
      </c>
      <c r="I27" s="100">
        <f t="shared" si="7"/>
        <v>3763.11844077961</v>
      </c>
      <c r="J27" s="13">
        <f t="shared" si="8"/>
        <v>69240</v>
      </c>
      <c r="K27" s="14">
        <f t="shared" si="9"/>
        <v>3.8080959520239883E-2</v>
      </c>
      <c r="L27" s="16">
        <f t="shared" si="10"/>
        <v>3808.0959520239885</v>
      </c>
      <c r="M27" s="29">
        <f t="shared" si="11"/>
        <v>68500</v>
      </c>
      <c r="N27" s="14">
        <f t="shared" si="12"/>
        <v>2.6986506746626688E-2</v>
      </c>
      <c r="O27" s="16">
        <f t="shared" si="13"/>
        <v>2698.6506746626687</v>
      </c>
      <c r="Q27" s="227"/>
      <c r="R27" s="228"/>
      <c r="S27" s="229"/>
    </row>
    <row r="28" spans="1:19" ht="17.25" customHeight="1" thickBot="1">
      <c r="A28" s="162" t="s">
        <v>82</v>
      </c>
      <c r="B28" s="126">
        <f t="shared" si="0"/>
        <v>978</v>
      </c>
      <c r="C28" s="77">
        <f t="shared" si="1"/>
        <v>1.9812304499999999E-2</v>
      </c>
      <c r="D28" s="15">
        <f t="shared" si="2"/>
        <v>996</v>
      </c>
      <c r="E28" s="32">
        <f t="shared" si="3"/>
        <v>1.8404907975460124E-2</v>
      </c>
      <c r="F28" s="18">
        <f t="shared" si="4"/>
        <v>1840.4907975460123</v>
      </c>
      <c r="G28" s="31">
        <f t="shared" si="5"/>
        <v>1035</v>
      </c>
      <c r="H28" s="32">
        <f t="shared" si="6"/>
        <v>5.8282208588957052E-2</v>
      </c>
      <c r="I28" s="101">
        <f t="shared" si="7"/>
        <v>5828.2208588957055</v>
      </c>
      <c r="J28" s="15">
        <f t="shared" si="8"/>
        <v>1045</v>
      </c>
      <c r="K28" s="32">
        <f t="shared" si="9"/>
        <v>6.8507157464212681E-2</v>
      </c>
      <c r="L28" s="18">
        <f t="shared" si="10"/>
        <v>6850.7157464212678</v>
      </c>
      <c r="M28" s="31">
        <f t="shared" si="11"/>
        <v>1020</v>
      </c>
      <c r="N28" s="32">
        <f t="shared" si="12"/>
        <v>4.2944785276073622E-2</v>
      </c>
      <c r="O28" s="18">
        <f t="shared" si="13"/>
        <v>4294.4785276073626</v>
      </c>
      <c r="Q28" s="230"/>
      <c r="R28" s="231"/>
      <c r="S28" s="232"/>
    </row>
    <row r="29" spans="1:19" ht="17.25" customHeight="1" thickBot="1">
      <c r="A29" s="162" t="s">
        <v>224</v>
      </c>
      <c r="B29" s="126">
        <f t="shared" si="0"/>
        <v>1355</v>
      </c>
      <c r="C29" s="77">
        <f t="shared" si="1"/>
        <v>1.8796992500000002E-2</v>
      </c>
      <c r="D29" s="15">
        <f t="shared" si="2"/>
        <v>1445</v>
      </c>
      <c r="E29" s="32">
        <f t="shared" si="3"/>
        <v>6.6420664206642069E-2</v>
      </c>
      <c r="F29" s="18">
        <f t="shared" si="4"/>
        <v>6642.0664206642068</v>
      </c>
      <c r="G29" s="31">
        <f t="shared" si="5"/>
        <v>1415</v>
      </c>
      <c r="H29" s="32">
        <f t="shared" si="6"/>
        <v>4.4280442804428041E-2</v>
      </c>
      <c r="I29" s="101">
        <f t="shared" si="7"/>
        <v>4428.0442804428039</v>
      </c>
      <c r="J29" s="15">
        <f t="shared" si="8"/>
        <v>1390</v>
      </c>
      <c r="K29" s="32">
        <f t="shared" si="9"/>
        <v>2.5830258302583026E-2</v>
      </c>
      <c r="L29" s="18">
        <f t="shared" si="10"/>
        <v>2583.0258302583024</v>
      </c>
      <c r="M29" s="31">
        <f t="shared" si="11"/>
        <v>1390</v>
      </c>
      <c r="N29" s="32">
        <f t="shared" si="12"/>
        <v>2.5830258302583026E-2</v>
      </c>
      <c r="O29" s="18">
        <f t="shared" si="13"/>
        <v>2583.0258302583024</v>
      </c>
      <c r="Q29" s="223"/>
      <c r="R29" s="223"/>
      <c r="S29" s="223"/>
    </row>
    <row r="30" spans="1:19" ht="17.25" customHeight="1" thickBot="1">
      <c r="A30" s="162" t="s">
        <v>210</v>
      </c>
      <c r="B30" s="126">
        <f t="shared" si="0"/>
        <v>117</v>
      </c>
      <c r="C30" s="77">
        <f t="shared" si="1"/>
        <v>1.73913043E-2</v>
      </c>
      <c r="D30" s="15">
        <f t="shared" si="2"/>
        <v>118</v>
      </c>
      <c r="E30" s="32">
        <f t="shared" si="3"/>
        <v>8.5470085470085479E-3</v>
      </c>
      <c r="F30" s="18">
        <f t="shared" si="4"/>
        <v>854.70085470085473</v>
      </c>
      <c r="G30" s="31">
        <f t="shared" si="5"/>
        <v>121</v>
      </c>
      <c r="H30" s="32">
        <f t="shared" si="6"/>
        <v>3.4188034188034191E-2</v>
      </c>
      <c r="I30" s="101">
        <f t="shared" si="7"/>
        <v>3418.8034188034189</v>
      </c>
      <c r="J30" s="15">
        <f t="shared" si="8"/>
        <v>121</v>
      </c>
      <c r="K30" s="32">
        <f t="shared" si="9"/>
        <v>3.4188034188034191E-2</v>
      </c>
      <c r="L30" s="18">
        <f t="shared" si="10"/>
        <v>3418.8034188034189</v>
      </c>
      <c r="M30" s="31">
        <f t="shared" si="11"/>
        <v>120</v>
      </c>
      <c r="N30" s="32">
        <f t="shared" si="12"/>
        <v>2.564102564102564E-2</v>
      </c>
      <c r="O30" s="18">
        <f t="shared" si="13"/>
        <v>2564.102564102564</v>
      </c>
      <c r="Q30" s="233"/>
      <c r="R30" s="233"/>
      <c r="S30" s="233"/>
    </row>
    <row r="31" spans="1:19" ht="17.25" customHeight="1" thickBot="1">
      <c r="A31" s="163" t="s">
        <v>108</v>
      </c>
      <c r="B31" s="128">
        <f t="shared" si="0"/>
        <v>32230</v>
      </c>
      <c r="C31" s="78">
        <f t="shared" si="1"/>
        <v>1.54379332E-2</v>
      </c>
      <c r="D31" s="20">
        <f t="shared" si="2"/>
        <v>32460</v>
      </c>
      <c r="E31" s="21">
        <f t="shared" si="3"/>
        <v>7.1362085013962151E-3</v>
      </c>
      <c r="F31" s="22">
        <f t="shared" si="4"/>
        <v>713.62085013962155</v>
      </c>
      <c r="G31" s="30">
        <f t="shared" si="5"/>
        <v>32600</v>
      </c>
      <c r="H31" s="21">
        <f t="shared" si="6"/>
        <v>1.1479987589202606E-2</v>
      </c>
      <c r="I31" s="105">
        <f t="shared" si="7"/>
        <v>1147.9987589202606</v>
      </c>
      <c r="J31" s="20">
        <f t="shared" si="8"/>
        <v>32340</v>
      </c>
      <c r="K31" s="21">
        <f t="shared" si="9"/>
        <v>3.4129692832764505E-3</v>
      </c>
      <c r="L31" s="22">
        <f t="shared" si="10"/>
        <v>341.29692832764505</v>
      </c>
      <c r="M31" s="30">
        <f t="shared" si="11"/>
        <v>32170</v>
      </c>
      <c r="N31" s="21">
        <f t="shared" si="12"/>
        <v>-1.8616196090598821E-3</v>
      </c>
      <c r="O31" s="22">
        <f t="shared" si="13"/>
        <v>-186.1619609059882</v>
      </c>
      <c r="Q31" s="233"/>
      <c r="R31" s="233"/>
      <c r="S31" s="23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3"/>
      <c r="R32" s="223"/>
      <c r="S32" s="22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2"/>
      <c r="R35" s="213"/>
      <c r="S35" s="2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5"/>
      <c r="R36" s="216"/>
      <c r="S36" s="217"/>
    </row>
    <row r="37" spans="1:19" ht="17.25" customHeight="1" thickBot="1">
      <c r="A37" s="132" t="s">
        <v>42</v>
      </c>
      <c r="B37" s="276">
        <v>100000</v>
      </c>
      <c r="C37" s="277"/>
      <c r="D37" s="26" t="s">
        <v>43</v>
      </c>
      <c r="E37" s="27">
        <f>IF(COUNT(E17:E36), SUM(E17:E36) / COUNT(E17:E36), 0)</f>
        <v>2.9368326916534796E-2</v>
      </c>
      <c r="F37" s="28">
        <f>SUM(F17:F36)</f>
        <v>44052.49037480219</v>
      </c>
      <c r="G37" s="26" t="s">
        <v>43</v>
      </c>
      <c r="H37" s="27">
        <f>IF(COUNT(H17:H36), SUM(H17:H36) / COUNT(H17:H36), 0)</f>
        <v>5.250195950031071E-2</v>
      </c>
      <c r="I37" s="28">
        <f>SUM(I17:I36)</f>
        <v>78752.939250466065</v>
      </c>
      <c r="J37" s="26" t="s">
        <v>43</v>
      </c>
      <c r="K37" s="27">
        <f>IF(COUNT(K17:K36), SUM(K17:K36) / COUNT(K17:K36), 0)</f>
        <v>4.9977389806260632E-2</v>
      </c>
      <c r="L37" s="28">
        <f>SUM(L17:L36)</f>
        <v>74966.084709390954</v>
      </c>
      <c r="M37" s="26" t="s">
        <v>43</v>
      </c>
      <c r="N37" s="27">
        <f>IF(COUNT(N17:N36), SUM(N17:N36) / COUNT(N17:N36), 0)</f>
        <v>3.2418538535560412E-2</v>
      </c>
      <c r="O37" s="28">
        <f>SUM(O17:O36)</f>
        <v>48627.80780334062</v>
      </c>
      <c r="Q37" s="218"/>
      <c r="R37" s="219"/>
      <c r="S37" s="220"/>
    </row>
    <row r="38" spans="1:19" ht="17.25" customHeight="1"/>
    <row r="39" spans="1:19" ht="17.25" customHeight="1" thickBot="1"/>
    <row r="40" spans="1:19" ht="17.25" customHeight="1" thickBot="1">
      <c r="A40" s="234" t="s">
        <v>44</v>
      </c>
      <c r="B40" s="235"/>
      <c r="C40" s="235"/>
      <c r="D40" s="235"/>
      <c r="E40" s="235"/>
      <c r="F40" s="235"/>
      <c r="G40" s="235"/>
      <c r="H40" s="235"/>
      <c r="I40" s="235"/>
      <c r="J40" s="235"/>
      <c r="K40" s="235"/>
      <c r="L40" s="235"/>
      <c r="M40" s="235"/>
      <c r="N40" s="235"/>
      <c r="O40" s="236"/>
      <c r="Q40" s="233"/>
      <c r="R40" s="233"/>
      <c r="S40" s="233"/>
    </row>
    <row r="41" spans="1:19" ht="17.25" customHeight="1" thickBot="1">
      <c r="A41" s="196" t="s">
        <v>297</v>
      </c>
      <c r="B41" s="234" t="s">
        <v>49</v>
      </c>
      <c r="C41" s="236"/>
      <c r="D41" s="234" t="s">
        <v>58</v>
      </c>
      <c r="E41" s="235"/>
      <c r="F41" s="236"/>
      <c r="G41" s="237">
        <f>_xlfn.IFNA(VLOOKUP(B41, 현재가테이블!$B$2:$D$200, 2, FALSE), "-")</f>
        <v>41418000</v>
      </c>
      <c r="H41" s="238"/>
      <c r="I41" s="239"/>
      <c r="J41" s="234" t="s">
        <v>59</v>
      </c>
      <c r="K41" s="235"/>
      <c r="L41" s="236"/>
      <c r="M41" s="240">
        <f>_xlfn.IFNA(VLOOKUP(B41, 현재가테이블!$B$2:$D$200, 3, FALSE), "-")</f>
        <v>-5.2176301000000001E-2</v>
      </c>
      <c r="N41" s="241"/>
      <c r="O41" s="242"/>
      <c r="Q41" s="233"/>
      <c r="R41" s="233"/>
      <c r="S41" s="233"/>
    </row>
    <row r="42" spans="1:19" ht="17.25" customHeight="1" thickBot="1">
      <c r="A42" s="278" t="s">
        <v>55</v>
      </c>
      <c r="B42" s="274" t="str">
        <f>TEXT($G$1, "[$-ko-KR]yyyy-mm-dd(ddd) ") &amp; "오전 00:00"</f>
        <v>2021-06-10(목) 오전 00:00</v>
      </c>
      <c r="C42" s="275"/>
      <c r="D42" s="247" t="str">
        <f>TEXT($G$1, "[$-ko-KR]yyyy-mm-dd(ddd) ") &amp; "오후 14:00"</f>
        <v>2021-06-10(목) 오후 14:00</v>
      </c>
      <c r="E42" s="248"/>
      <c r="F42" s="249"/>
      <c r="G42" s="247" t="str">
        <f>TEXT($G$1, "[$-ko-KR]yyyy-mm-dd(ddd) ") &amp; "오후 19:00"</f>
        <v>2021-06-10(목) 오후 19:00</v>
      </c>
      <c r="H42" s="248"/>
      <c r="I42" s="249"/>
      <c r="J42" s="247" t="str">
        <f>TEXT($G$1, "[$-ko-KR]yyyy-mm-dd(ddd) ") &amp; "오후 21:00"</f>
        <v>2021-06-10(목) 오후 21:00</v>
      </c>
      <c r="K42" s="248"/>
      <c r="L42" s="249"/>
      <c r="M42" s="247" t="str">
        <f>TEXT($G$1+1, "[$-ko-KR]yyyy-mm-dd(ddd) ") &amp; "오전 00:00"</f>
        <v>2021-06-11(금) 오전 00:00</v>
      </c>
      <c r="N42" s="248"/>
      <c r="O42" s="249"/>
      <c r="Q42" s="233"/>
      <c r="R42" s="233"/>
      <c r="S42" s="233"/>
    </row>
    <row r="43" spans="1:19" ht="17.25" customHeight="1" thickBot="1">
      <c r="A43" s="279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97" t="s">
        <v>58</v>
      </c>
      <c r="H43" s="198" t="s">
        <v>298</v>
      </c>
      <c r="I43" s="19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3"/>
      <c r="R43" s="223"/>
      <c r="S43" s="223"/>
    </row>
    <row r="44" spans="1:19" ht="17.25" customHeight="1" thickBot="1">
      <c r="A44" s="161" t="s">
        <v>220</v>
      </c>
      <c r="B44" s="124">
        <v>11.5</v>
      </c>
      <c r="C44" s="76">
        <v>3.6036036E-2</v>
      </c>
      <c r="D44" s="13">
        <v>12.6</v>
      </c>
      <c r="E44" s="14">
        <f>IF(ISNUMBER(D44), (D44 - $B44) / $B44, "")</f>
        <v>9.5652173913043453E-2</v>
      </c>
      <c r="F44" s="16">
        <f>IF(ISNUMBER(D44), $B64 * E44, "")</f>
        <v>9565.2173913043462</v>
      </c>
      <c r="G44" s="29">
        <v>12.6</v>
      </c>
      <c r="H44" s="14">
        <f>IF(ISNUMBER(G44), (G44 - $B44) / $B44, "")</f>
        <v>9.5652173913043453E-2</v>
      </c>
      <c r="I44" s="100">
        <f>IF(ISNUMBER(G44), $B64 * H44, "")</f>
        <v>9565.2173913043462</v>
      </c>
      <c r="J44" s="13">
        <v>12.6</v>
      </c>
      <c r="K44" s="14">
        <f>IF(ISNUMBER(J44), (J44 - $B44) / $B44, "")</f>
        <v>9.5652173913043453E-2</v>
      </c>
      <c r="L44" s="16">
        <f>IF(ISNUMBER(J44), $B64 * K44, "")</f>
        <v>9565.2173913043462</v>
      </c>
      <c r="M44" s="29">
        <v>12.3</v>
      </c>
      <c r="N44" s="14">
        <f>IF(ISNUMBER(M44), (M44 - $B44) / $B44, "")</f>
        <v>6.9565217391304404E-2</v>
      </c>
      <c r="O44" s="16">
        <f>IF(ISNUMBER(M44), $B64 * N44, "")</f>
        <v>6956.5217391304404</v>
      </c>
      <c r="Q44" s="233"/>
      <c r="R44" s="233"/>
      <c r="S44" s="233"/>
    </row>
    <row r="45" spans="1:19" ht="17.25" customHeight="1" thickBot="1">
      <c r="A45" s="162" t="s">
        <v>278</v>
      </c>
      <c r="B45" s="126">
        <v>75.5</v>
      </c>
      <c r="C45" s="77">
        <v>-1.3227512999999999E-3</v>
      </c>
      <c r="D45" s="15">
        <v>79.400000000000006</v>
      </c>
      <c r="E45" s="32">
        <f t="shared" ref="E45:E48" si="14">IF(ISNUMBER(D45), (D45 - $B45) / $B45, "")</f>
        <v>5.1655629139072921E-2</v>
      </c>
      <c r="F45" s="18">
        <f>IF(ISNUMBER(D45), $B64 * E45, "")</f>
        <v>5165.5629139072926</v>
      </c>
      <c r="G45" s="31">
        <v>84.2</v>
      </c>
      <c r="H45" s="32">
        <f t="shared" ref="H45:H48" si="15">IF(ISNUMBER(G45), (G45 - $B45) / $B45, "")</f>
        <v>0.11523178807947024</v>
      </c>
      <c r="I45" s="101">
        <f>IF(ISNUMBER(G45), $B64 * H45, "")</f>
        <v>11523.178807947024</v>
      </c>
      <c r="J45" s="15">
        <v>79.7</v>
      </c>
      <c r="K45" s="32">
        <f t="shared" ref="K45:K48" si="16">IF(ISNUMBER(J45), (J45 - $B45) / $B45, "")</f>
        <v>5.5629139072847722E-2</v>
      </c>
      <c r="L45" s="18">
        <f>IF(ISNUMBER(J45), $B64 * K45, "")</f>
        <v>5562.913907284772</v>
      </c>
      <c r="M45" s="31">
        <v>77.599999999999994</v>
      </c>
      <c r="N45" s="32">
        <f t="shared" ref="N45:N48" si="17">IF(ISNUMBER(M45), (M45 - $B45) / $B45, "")</f>
        <v>2.7814569536423767E-2</v>
      </c>
      <c r="O45" s="18">
        <f>IF(ISNUMBER(M45), $B64 * N45, "")</f>
        <v>2781.4569536423769</v>
      </c>
      <c r="Q45" s="233"/>
      <c r="R45" s="233"/>
      <c r="S45" s="233"/>
    </row>
    <row r="46" spans="1:19" ht="17.25" customHeight="1" thickBot="1">
      <c r="A46" s="162" t="s">
        <v>156</v>
      </c>
      <c r="B46" s="126">
        <v>83.2</v>
      </c>
      <c r="C46" s="77">
        <v>-7.1599044999999997E-3</v>
      </c>
      <c r="D46" s="15">
        <v>85.7</v>
      </c>
      <c r="E46" s="32">
        <f t="shared" si="14"/>
        <v>3.004807692307692E-2</v>
      </c>
      <c r="F46" s="18">
        <f>IF(ISNUMBER(D46), $B64 * E46, "")</f>
        <v>3004.8076923076919</v>
      </c>
      <c r="G46" s="31">
        <v>87</v>
      </c>
      <c r="H46" s="32">
        <f t="shared" si="15"/>
        <v>4.5673076923076886E-2</v>
      </c>
      <c r="I46" s="101">
        <f>IF(ISNUMBER(G46), $B64 * H46, "")</f>
        <v>4567.3076923076887</v>
      </c>
      <c r="J46" s="15">
        <v>86.4</v>
      </c>
      <c r="K46" s="32">
        <f t="shared" si="16"/>
        <v>3.8461538461538491E-2</v>
      </c>
      <c r="L46" s="18">
        <f>IF(ISNUMBER(J46), $B64 * K46, "")</f>
        <v>3846.1538461538489</v>
      </c>
      <c r="M46" s="31">
        <v>85.1</v>
      </c>
      <c r="N46" s="32">
        <f t="shared" si="17"/>
        <v>2.283653846153836E-2</v>
      </c>
      <c r="O46" s="18">
        <f>IF(ISNUMBER(M46), $B64 * N46, "")</f>
        <v>2283.6538461538362</v>
      </c>
      <c r="Q46" s="223"/>
      <c r="R46" s="223"/>
      <c r="S46" s="223"/>
    </row>
    <row r="47" spans="1:19" ht="17.25" customHeight="1" thickBot="1">
      <c r="A47" s="162" t="s">
        <v>152</v>
      </c>
      <c r="B47" s="126">
        <v>18.399999999999999</v>
      </c>
      <c r="C47" s="77">
        <v>-1.0752688200000001E-2</v>
      </c>
      <c r="D47" s="15">
        <v>19.399999999999999</v>
      </c>
      <c r="E47" s="32">
        <f t="shared" si="14"/>
        <v>5.4347826086956527E-2</v>
      </c>
      <c r="F47" s="18">
        <f>IF(ISNUMBER(D47), $B64 * E47, "")</f>
        <v>5434.7826086956529</v>
      </c>
      <c r="G47" s="31">
        <v>19.899999999999999</v>
      </c>
      <c r="H47" s="32">
        <f t="shared" si="15"/>
        <v>8.1521739130434784E-2</v>
      </c>
      <c r="I47" s="101">
        <f>IF(ISNUMBER(G47), $B64 * H47, "")</f>
        <v>8152.173913043478</v>
      </c>
      <c r="J47" s="15">
        <v>19.600000000000001</v>
      </c>
      <c r="K47" s="32">
        <f t="shared" si="16"/>
        <v>6.5217391304347991E-2</v>
      </c>
      <c r="L47" s="18">
        <f>IF(ISNUMBER(J47), $B64 * K47, "")</f>
        <v>6521.7391304347993</v>
      </c>
      <c r="M47" s="31">
        <v>19.3</v>
      </c>
      <c r="N47" s="32">
        <f t="shared" si="17"/>
        <v>4.891304347826099E-2</v>
      </c>
      <c r="O47" s="18">
        <f>IF(ISNUMBER(M47), $B64 * N47, "")</f>
        <v>4891.3043478260988</v>
      </c>
      <c r="Q47" s="223"/>
      <c r="R47" s="223"/>
      <c r="S47" s="223"/>
    </row>
    <row r="48" spans="1:19" ht="17.25" customHeight="1" thickBot="1">
      <c r="A48" s="163" t="s">
        <v>168</v>
      </c>
      <c r="B48" s="128">
        <v>91.8</v>
      </c>
      <c r="C48" s="78">
        <v>-1.50214592E-2</v>
      </c>
      <c r="D48" s="20">
        <v>95</v>
      </c>
      <c r="E48" s="21">
        <f t="shared" si="14"/>
        <v>3.4858387799564301E-2</v>
      </c>
      <c r="F48" s="22">
        <f>IF(ISNUMBER(D48), $B64 * E48, "")</f>
        <v>3485.8387799564302</v>
      </c>
      <c r="G48" s="30">
        <v>97.3</v>
      </c>
      <c r="H48" s="21">
        <f t="shared" si="15"/>
        <v>5.9912854030501089E-2</v>
      </c>
      <c r="I48" s="105">
        <f>IF(ISNUMBER(G48), $B64 * H48, "")</f>
        <v>5991.2854030501094</v>
      </c>
      <c r="J48" s="20">
        <v>96</v>
      </c>
      <c r="K48" s="21">
        <f t="shared" si="16"/>
        <v>4.5751633986928136E-2</v>
      </c>
      <c r="L48" s="22">
        <f>IF(ISNUMBER(J48), $B64 * K48, "")</f>
        <v>4575.1633986928136</v>
      </c>
      <c r="M48" s="30">
        <v>95.8</v>
      </c>
      <c r="N48" s="21">
        <f t="shared" si="17"/>
        <v>4.357298474945534E-2</v>
      </c>
      <c r="O48" s="22">
        <f>IF(ISNUMBER(M48), $B64 * N48, "")</f>
        <v>4357.2984749455336</v>
      </c>
      <c r="Q48" s="223"/>
      <c r="R48" s="223"/>
      <c r="S48" s="223"/>
    </row>
    <row r="49" spans="1:19" ht="17.25" customHeight="1" thickBot="1">
      <c r="A49" s="162" t="s">
        <v>266</v>
      </c>
      <c r="B49" s="129">
        <v>51</v>
      </c>
      <c r="C49" s="80">
        <v>-1.54440154E-2</v>
      </c>
      <c r="D49" s="106">
        <v>57</v>
      </c>
      <c r="E49" s="107">
        <f>IF(ISNUMBER(D49), (D49 - $B49) / $B49, "")</f>
        <v>0.11764705882352941</v>
      </c>
      <c r="F49" s="108">
        <f>IF(ISNUMBER(D49), $B64 * E49, "")</f>
        <v>11764.705882352941</v>
      </c>
      <c r="G49" s="109">
        <v>62.7</v>
      </c>
      <c r="H49" s="107">
        <f>IF(ISNUMBER(G49), (G49 - $B49) / $B49, "")</f>
        <v>0.2294117647058824</v>
      </c>
      <c r="I49" s="110">
        <f>IF(ISNUMBER(G49), $B64 * H49, "")</f>
        <v>22941.176470588242</v>
      </c>
      <c r="J49" s="106">
        <v>59.9</v>
      </c>
      <c r="K49" s="107">
        <f>IF(ISNUMBER(J49), (J49 - $B49) / $B49, "")</f>
        <v>0.17450980392156859</v>
      </c>
      <c r="L49" s="108">
        <f>IF(ISNUMBER(J49), $B64 * K49, "")</f>
        <v>17450.98039215686</v>
      </c>
      <c r="M49" s="109">
        <v>56.4</v>
      </c>
      <c r="N49" s="107">
        <f>IF(ISNUMBER(M49), (M49 - $B49) / $B49, "")</f>
        <v>0.10588235294117644</v>
      </c>
      <c r="O49" s="108">
        <f>IF(ISNUMBER(M49), $B64 * N49, "")</f>
        <v>10588.235294117645</v>
      </c>
      <c r="Q49" s="223"/>
      <c r="R49" s="223"/>
      <c r="S49" s="223"/>
    </row>
    <row r="50" spans="1:19" ht="17.25" customHeight="1" thickBot="1">
      <c r="A50" s="162" t="s">
        <v>264</v>
      </c>
      <c r="B50" s="126">
        <v>76.2</v>
      </c>
      <c r="C50" s="77">
        <v>-1.5503876E-2</v>
      </c>
      <c r="D50" s="15">
        <v>83.9</v>
      </c>
      <c r="E50" s="32">
        <f t="shared" ref="E50:E53" si="18">IF(ISNUMBER(D50), (D50 - $B50) / $B50, "")</f>
        <v>0.10104986876640423</v>
      </c>
      <c r="F50" s="18">
        <f>IF(ISNUMBER(D50), $B64 * E50, "")</f>
        <v>10104.986876640423</v>
      </c>
      <c r="G50" s="31">
        <v>81.900000000000006</v>
      </c>
      <c r="H50" s="32">
        <f t="shared" ref="H50:H53" si="19">IF(ISNUMBER(G50), (G50 - $B50) / $B50, "")</f>
        <v>7.4803149606299246E-2</v>
      </c>
      <c r="I50" s="101">
        <f>IF(ISNUMBER(G50), $B64 * H50, "")</f>
        <v>7480.3149606299248</v>
      </c>
      <c r="J50" s="15">
        <v>83.8</v>
      </c>
      <c r="K50" s="32">
        <f t="shared" ref="K50:K53" si="20">IF(ISNUMBER(J50), (J50 - $B50) / $B50, "")</f>
        <v>9.9737532808398865E-2</v>
      </c>
      <c r="L50" s="18">
        <f>IF(ISNUMBER(J50), $B64 * K50, "")</f>
        <v>9973.7532808398864</v>
      </c>
      <c r="M50" s="31">
        <v>83.4</v>
      </c>
      <c r="N50" s="32">
        <f t="shared" ref="N50:N53" si="21">IF(ISNUMBER(M50), (M50 - $B50) / $B50, "")</f>
        <v>9.4488188976377993E-2</v>
      </c>
      <c r="O50" s="18">
        <f>IF(ISNUMBER(M50), $B64 * N50, "")</f>
        <v>9448.8188976377987</v>
      </c>
      <c r="Q50" s="223"/>
      <c r="R50" s="223"/>
      <c r="S50" s="223"/>
    </row>
    <row r="51" spans="1:19" ht="17.25" customHeight="1" thickBot="1">
      <c r="A51" s="162" t="s">
        <v>65</v>
      </c>
      <c r="B51" s="126">
        <v>32.299999999999997</v>
      </c>
      <c r="C51" s="77">
        <v>-1.82370821E-2</v>
      </c>
      <c r="D51" s="15">
        <v>33.799999999999997</v>
      </c>
      <c r="E51" s="32">
        <f t="shared" si="18"/>
        <v>4.6439628482972138E-2</v>
      </c>
      <c r="F51" s="18">
        <f>IF(ISNUMBER(D51), $B64 * E51, "")</f>
        <v>4643.9628482972139</v>
      </c>
      <c r="G51" s="31">
        <v>34.1</v>
      </c>
      <c r="H51" s="32">
        <f t="shared" si="19"/>
        <v>5.57275541795667E-2</v>
      </c>
      <c r="I51" s="101">
        <f>IF(ISNUMBER(G51), $B64 * H51, "")</f>
        <v>5572.7554179566696</v>
      </c>
      <c r="J51" s="15">
        <v>34.299999999999997</v>
      </c>
      <c r="K51" s="32">
        <f t="shared" si="20"/>
        <v>6.1919504643962855E-2</v>
      </c>
      <c r="L51" s="18">
        <f>IF(ISNUMBER(J51), $B64 * K51, "")</f>
        <v>6191.9504643962855</v>
      </c>
      <c r="M51" s="31">
        <v>33.5</v>
      </c>
      <c r="N51" s="32">
        <f t="shared" si="21"/>
        <v>3.7151702786377798E-2</v>
      </c>
      <c r="O51" s="18">
        <f>IF(ISNUMBER(M51), $B64 * N51, "")</f>
        <v>3715.1702786377796</v>
      </c>
      <c r="Q51" s="223"/>
      <c r="R51" s="223"/>
      <c r="S51" s="223"/>
    </row>
    <row r="52" spans="1:19" ht="17.25" customHeight="1" thickBot="1">
      <c r="A52" s="162" t="s">
        <v>254</v>
      </c>
      <c r="B52" s="126">
        <v>44</v>
      </c>
      <c r="C52" s="77">
        <v>-2.00445434E-2</v>
      </c>
      <c r="D52" s="15">
        <v>64.2</v>
      </c>
      <c r="E52" s="32">
        <f t="shared" si="18"/>
        <v>0.45909090909090916</v>
      </c>
      <c r="F52" s="18">
        <f>IF(ISNUMBER(D52), $B64 * E52, "")</f>
        <v>45909.090909090919</v>
      </c>
      <c r="G52" s="31">
        <v>74.5</v>
      </c>
      <c r="H52" s="32">
        <f t="shared" si="19"/>
        <v>0.69318181818181823</v>
      </c>
      <c r="I52" s="101">
        <f>IF(ISNUMBER(G52), $B64 * H52, "")</f>
        <v>69318.181818181823</v>
      </c>
      <c r="J52" s="15">
        <v>71.900000000000006</v>
      </c>
      <c r="K52" s="32">
        <f t="shared" si="20"/>
        <v>0.63409090909090926</v>
      </c>
      <c r="L52" s="18">
        <f>IF(ISNUMBER(J52), $B64 * K52, "")</f>
        <v>63409.090909090926</v>
      </c>
      <c r="M52" s="31">
        <v>66.3</v>
      </c>
      <c r="N52" s="32">
        <f t="shared" si="21"/>
        <v>0.50681818181818172</v>
      </c>
      <c r="O52" s="18">
        <f>IF(ISNUMBER(M52), $B64 * N52, "")</f>
        <v>50681.818181818169</v>
      </c>
      <c r="Q52" s="33"/>
      <c r="R52" s="33"/>
    </row>
    <row r="53" spans="1:19" ht="17.25" customHeight="1" thickBot="1">
      <c r="A53" s="130" t="s">
        <v>100</v>
      </c>
      <c r="B53" s="131">
        <v>4.18</v>
      </c>
      <c r="C53" s="79">
        <v>-2.1077283400000001E-2</v>
      </c>
      <c r="D53" s="24">
        <v>4.28</v>
      </c>
      <c r="E53" s="25">
        <f t="shared" si="18"/>
        <v>2.3923444976076683E-2</v>
      </c>
      <c r="F53" s="104">
        <f>IF(ISNUMBER(D53), $B64 * E53, "")</f>
        <v>2392.3444976076685</v>
      </c>
      <c r="G53" s="102">
        <v>4.3099999999999996</v>
      </c>
      <c r="H53" s="25">
        <f t="shared" si="19"/>
        <v>3.1100478468899496E-2</v>
      </c>
      <c r="I53" s="103">
        <f>IF(ISNUMBER(G53), $B64 * H53, "")</f>
        <v>3110.0478468899496</v>
      </c>
      <c r="J53" s="24">
        <v>4.2699999999999996</v>
      </c>
      <c r="K53" s="25">
        <f t="shared" si="20"/>
        <v>2.1531100478468866E-2</v>
      </c>
      <c r="L53" s="104">
        <f>IF(ISNUMBER(J53), $B64 * K53, "")</f>
        <v>2153.1100478468866</v>
      </c>
      <c r="M53" s="102">
        <v>4.24</v>
      </c>
      <c r="N53" s="25">
        <f t="shared" si="21"/>
        <v>1.4354066985646053E-2</v>
      </c>
      <c r="O53" s="104">
        <f>IF(ISNUMBER(M53), $B64 * N53, "")</f>
        <v>1435.4066985646052</v>
      </c>
      <c r="Q53" s="224"/>
      <c r="R53" s="225"/>
      <c r="S53" s="226"/>
    </row>
    <row r="54" spans="1:19" ht="17.25" customHeight="1">
      <c r="A54" s="161" t="s">
        <v>134</v>
      </c>
      <c r="B54" s="124">
        <v>84.4</v>
      </c>
      <c r="C54" s="76">
        <v>-2.3148148100000002E-2</v>
      </c>
      <c r="D54" s="13">
        <v>86.1</v>
      </c>
      <c r="E54" s="14">
        <f>IF(ISNUMBER(D54), (D54 - $B54) / $B54, "")</f>
        <v>2.0142180094786594E-2</v>
      </c>
      <c r="F54" s="16">
        <f>IF(ISNUMBER(D54), $B64 * E54, "")</f>
        <v>2014.2180094786595</v>
      </c>
      <c r="G54" s="29">
        <v>91</v>
      </c>
      <c r="H54" s="14">
        <f>IF(ISNUMBER(G54), (G54 - $B54) / $B54, "")</f>
        <v>7.8199052132701355E-2</v>
      </c>
      <c r="I54" s="100">
        <f>IF(ISNUMBER(G54), $B64 * H54, "")</f>
        <v>7819.9052132701354</v>
      </c>
      <c r="J54" s="13">
        <v>89.8</v>
      </c>
      <c r="K54" s="14">
        <f>IF(ISNUMBER(J54), (J54 - $B54) / $B54, "")</f>
        <v>6.3981042654028333E-2</v>
      </c>
      <c r="L54" s="16">
        <f>IF(ISNUMBER(J54), $B64 * K54, "")</f>
        <v>6398.1042654028333</v>
      </c>
      <c r="M54" s="29">
        <v>87.1</v>
      </c>
      <c r="N54" s="14">
        <f>IF(ISNUMBER(M54), (M54 - $B54) / $B54, "")</f>
        <v>3.1990521327014083E-2</v>
      </c>
      <c r="O54" s="16">
        <f>IF(ISNUMBER(M54), $B64 * N54, "")</f>
        <v>3199.0521327014085</v>
      </c>
      <c r="Q54" s="227"/>
      <c r="R54" s="228"/>
      <c r="S54" s="229"/>
    </row>
    <row r="55" spans="1:19" ht="17.25" customHeight="1" thickBot="1">
      <c r="A55" s="162" t="s">
        <v>214</v>
      </c>
      <c r="B55" s="126">
        <v>12</v>
      </c>
      <c r="C55" s="77">
        <v>-2.4390243900000001E-2</v>
      </c>
      <c r="D55" s="15">
        <v>12.9</v>
      </c>
      <c r="E55" s="32">
        <f t="shared" ref="E55:E58" si="22">IF(ISNUMBER(D55), (D55 - $B55) / $B55, "")</f>
        <v>7.5000000000000025E-2</v>
      </c>
      <c r="F55" s="18">
        <f>IF(ISNUMBER(D55), $B64 * E55, "")</f>
        <v>7500.0000000000027</v>
      </c>
      <c r="G55" s="31">
        <v>13.2</v>
      </c>
      <c r="H55" s="32">
        <f t="shared" ref="H55:H58" si="23">IF(ISNUMBER(G55), (G55 - $B55) / $B55, "")</f>
        <v>9.9999999999999936E-2</v>
      </c>
      <c r="I55" s="101">
        <f>IF(ISNUMBER(G55), $B64 * H55, "")</f>
        <v>9999.9999999999927</v>
      </c>
      <c r="J55" s="15">
        <v>13.3</v>
      </c>
      <c r="K55" s="32">
        <f t="shared" ref="K55:K58" si="24">IF(ISNUMBER(J55), (J55 - $B55) / $B55, "")</f>
        <v>0.10833333333333339</v>
      </c>
      <c r="L55" s="18">
        <f>IF(ISNUMBER(J55), $B64 * K55, "")</f>
        <v>10833.333333333339</v>
      </c>
      <c r="M55" s="31">
        <v>12.7</v>
      </c>
      <c r="N55" s="32">
        <f t="shared" ref="N55:N58" si="25">IF(ISNUMBER(M55), (M55 - $B55) / $B55, "")</f>
        <v>5.8333333333333272E-2</v>
      </c>
      <c r="O55" s="18">
        <f>IF(ISNUMBER(M55), $B64 * N55, "")</f>
        <v>5833.3333333333276</v>
      </c>
      <c r="Q55" s="230"/>
      <c r="R55" s="231"/>
      <c r="S55" s="232"/>
    </row>
    <row r="56" spans="1:19" ht="17.25" customHeight="1" thickBot="1">
      <c r="A56" s="162" t="s">
        <v>72</v>
      </c>
      <c r="B56" s="126">
        <v>18.600000000000001</v>
      </c>
      <c r="C56" s="77">
        <v>-2.6178010500000001E-2</v>
      </c>
      <c r="D56" s="15">
        <v>19.600000000000001</v>
      </c>
      <c r="E56" s="32">
        <f t="shared" si="22"/>
        <v>5.3763440860215048E-2</v>
      </c>
      <c r="F56" s="18">
        <f>IF(ISNUMBER(D56), $B64 * E56, "")</f>
        <v>5376.3440860215051</v>
      </c>
      <c r="G56" s="31">
        <v>19.8</v>
      </c>
      <c r="H56" s="32">
        <f t="shared" si="23"/>
        <v>6.4516129032258021E-2</v>
      </c>
      <c r="I56" s="101">
        <f>IF(ISNUMBER(G56), $B64 * H56, "")</f>
        <v>6451.6129032258023</v>
      </c>
      <c r="J56" s="15">
        <v>19.8</v>
      </c>
      <c r="K56" s="32">
        <f t="shared" si="24"/>
        <v>6.4516129032258021E-2</v>
      </c>
      <c r="L56" s="18">
        <f>IF(ISNUMBER(J56), $B64 * K56, "")</f>
        <v>6451.6129032258023</v>
      </c>
      <c r="M56" s="31">
        <v>19.7</v>
      </c>
      <c r="N56" s="32">
        <f t="shared" si="25"/>
        <v>5.9139784946236437E-2</v>
      </c>
      <c r="O56" s="18">
        <f>IF(ISNUMBER(M56), $B64 * N56, "")</f>
        <v>5913.9784946236441</v>
      </c>
      <c r="Q56" s="223"/>
      <c r="R56" s="223"/>
      <c r="S56" s="223"/>
    </row>
    <row r="57" spans="1:19" ht="17.25" customHeight="1" thickBot="1">
      <c r="A57" s="162" t="s">
        <v>126</v>
      </c>
      <c r="B57" s="126">
        <v>25.1</v>
      </c>
      <c r="C57" s="77">
        <v>-2.7131782900000002E-2</v>
      </c>
      <c r="D57" s="15">
        <v>26.5</v>
      </c>
      <c r="E57" s="32">
        <f t="shared" si="22"/>
        <v>5.5776892430278828E-2</v>
      </c>
      <c r="F57" s="18">
        <f>IF(ISNUMBER(D57), $B64 * E57, "")</f>
        <v>5577.6892430278831</v>
      </c>
      <c r="G57" s="31">
        <v>28.5</v>
      </c>
      <c r="H57" s="32">
        <f t="shared" si="23"/>
        <v>0.13545816733067723</v>
      </c>
      <c r="I57" s="101">
        <f>IF(ISNUMBER(G57), $B64 * H57, "")</f>
        <v>13545.816733067722</v>
      </c>
      <c r="J57" s="15">
        <v>27.6</v>
      </c>
      <c r="K57" s="32">
        <f t="shared" si="24"/>
        <v>9.9601593625498003E-2</v>
      </c>
      <c r="L57" s="18">
        <f>IF(ISNUMBER(J57), $B64 * K57, "")</f>
        <v>9960.1593625498008</v>
      </c>
      <c r="M57" s="31">
        <v>27</v>
      </c>
      <c r="N57" s="32">
        <f t="shared" si="25"/>
        <v>7.5697211155378419E-2</v>
      </c>
      <c r="O57" s="18">
        <f>IF(ISNUMBER(M57), $B64 * N57, "")</f>
        <v>7569.7211155378418</v>
      </c>
      <c r="Q57" s="233"/>
      <c r="R57" s="233"/>
      <c r="S57" s="233"/>
    </row>
    <row r="58" spans="1:19" ht="17.25" customHeight="1" thickBot="1">
      <c r="A58" s="163" t="s">
        <v>196</v>
      </c>
      <c r="B58" s="128">
        <v>10.6</v>
      </c>
      <c r="C58" s="78">
        <v>-2.7522935799999999E-2</v>
      </c>
      <c r="D58" s="20">
        <v>11.3</v>
      </c>
      <c r="E58" s="21">
        <f t="shared" si="22"/>
        <v>6.60377358490567E-2</v>
      </c>
      <c r="F58" s="22">
        <f>IF(ISNUMBER(D58), $B64 * E58, "")</f>
        <v>6603.7735849056698</v>
      </c>
      <c r="G58" s="30">
        <v>11.3</v>
      </c>
      <c r="H58" s="21">
        <f t="shared" si="23"/>
        <v>6.60377358490567E-2</v>
      </c>
      <c r="I58" s="105">
        <f>IF(ISNUMBER(G58), $B64 * H58, "")</f>
        <v>6603.7735849056698</v>
      </c>
      <c r="J58" s="20">
        <v>11.4</v>
      </c>
      <c r="K58" s="21">
        <f t="shared" si="24"/>
        <v>7.5471698113207614E-2</v>
      </c>
      <c r="L58" s="22">
        <f>IF(ISNUMBER(J58), $B64 * K58, "")</f>
        <v>7547.1698113207613</v>
      </c>
      <c r="M58" s="30">
        <v>11.2</v>
      </c>
      <c r="N58" s="21">
        <f t="shared" si="25"/>
        <v>5.6603773584905627E-2</v>
      </c>
      <c r="O58" s="22">
        <f>IF(ISNUMBER(M58), $B64 * N58, "")</f>
        <v>5660.377358490563</v>
      </c>
      <c r="Q58" s="233"/>
      <c r="R58" s="233"/>
      <c r="S58" s="233"/>
    </row>
    <row r="59" spans="1:19" ht="17.25" customHeight="1" thickBot="1">
      <c r="A59" s="162" t="s">
        <v>154</v>
      </c>
      <c r="B59" s="129">
        <v>10</v>
      </c>
      <c r="C59" s="80">
        <v>-2.9126213599999999E-2</v>
      </c>
      <c r="D59" s="106">
        <v>10.7</v>
      </c>
      <c r="E59" s="107">
        <f>IF(ISNUMBER(D59), (D59 - $B59) / $B59, "")</f>
        <v>6.9999999999999923E-2</v>
      </c>
      <c r="F59" s="108">
        <f>IF(ISNUMBER(D59), $B64 * E59, "")</f>
        <v>6999.9999999999927</v>
      </c>
      <c r="G59" s="109">
        <v>11.1</v>
      </c>
      <c r="H59" s="107">
        <f>IF(ISNUMBER(G59), (G59 - $B59) / $B59, "")</f>
        <v>0.10999999999999996</v>
      </c>
      <c r="I59" s="110">
        <f>IF(ISNUMBER(G59), $B64 * H59, "")</f>
        <v>10999.999999999996</v>
      </c>
      <c r="J59" s="106">
        <v>11</v>
      </c>
      <c r="K59" s="107">
        <f>IF(ISNUMBER(J59), (J59 - $B59) / $B59, "")</f>
        <v>0.1</v>
      </c>
      <c r="L59" s="108">
        <f>IF(ISNUMBER(J59), $B64 * K59, "")</f>
        <v>10000</v>
      </c>
      <c r="M59" s="109">
        <v>10.9</v>
      </c>
      <c r="N59" s="107">
        <f>IF(ISNUMBER(M59), (M59 - $B59) / $B59, "")</f>
        <v>9.0000000000000038E-2</v>
      </c>
      <c r="O59" s="108">
        <f>IF(ISNUMBER(M59), $B64 * N59, "")</f>
        <v>9000.0000000000036</v>
      </c>
      <c r="Q59" s="223"/>
      <c r="R59" s="223"/>
      <c r="S59" s="223"/>
    </row>
    <row r="60" spans="1:19" ht="17.25" customHeight="1" thickBot="1">
      <c r="A60" s="162" t="s">
        <v>222</v>
      </c>
      <c r="B60" s="126">
        <v>10.3</v>
      </c>
      <c r="C60" s="77">
        <v>-3.7383177599999998E-2</v>
      </c>
      <c r="D60" s="15">
        <v>10.9</v>
      </c>
      <c r="E60" s="32">
        <f t="shared" ref="E60:E63" si="26">IF(ISNUMBER(D60), (D60 - $B60) / $B60, "")</f>
        <v>5.825242718446598E-2</v>
      </c>
      <c r="F60" s="18">
        <f>IF(ISNUMBER(D60), $B64 * E60, "")</f>
        <v>5825.2427184465978</v>
      </c>
      <c r="G60" s="31">
        <v>11.4</v>
      </c>
      <c r="H60" s="32">
        <f t="shared" ref="H60:H63" si="27">IF(ISNUMBER(G60), (G60 - $B60) / $B60, "")</f>
        <v>0.10679611650485432</v>
      </c>
      <c r="I60" s="101">
        <f>IF(ISNUMBER(G60), $B64 * H60, "")</f>
        <v>10679.611650485433</v>
      </c>
      <c r="J60" s="15">
        <v>11.3</v>
      </c>
      <c r="K60" s="32">
        <f t="shared" ref="K60:K63" si="28">IF(ISNUMBER(J60), (J60 - $B60) / $B60, "")</f>
        <v>9.7087378640776698E-2</v>
      </c>
      <c r="L60" s="18">
        <f>IF(ISNUMBER(J60), $B64 * K60, "")</f>
        <v>9708.7378640776697</v>
      </c>
      <c r="M60" s="31">
        <v>11.3</v>
      </c>
      <c r="N60" s="32">
        <f t="shared" ref="N60:N63" si="29">IF(ISNUMBER(M60), (M60 - $B60) / $B60, "")</f>
        <v>9.7087378640776698E-2</v>
      </c>
      <c r="O60" s="18">
        <f>IF(ISNUMBER(M60), $B64 * N60, "")</f>
        <v>9708.7378640776697</v>
      </c>
      <c r="Q60" s="223"/>
      <c r="R60" s="223"/>
      <c r="S60" s="223"/>
    </row>
    <row r="61" spans="1:19" ht="17.25" customHeight="1" thickBot="1">
      <c r="A61" s="162" t="s">
        <v>228</v>
      </c>
      <c r="B61" s="126">
        <v>9.48</v>
      </c>
      <c r="C61" s="77">
        <v>-3.8539553800000001E-2</v>
      </c>
      <c r="D61" s="15">
        <v>9.94</v>
      </c>
      <c r="E61" s="32">
        <f t="shared" si="26"/>
        <v>4.8523206751054752E-2</v>
      </c>
      <c r="F61" s="18">
        <f>IF(ISNUMBER(D61), $B64 * E61, "")</f>
        <v>4852.3206751054749</v>
      </c>
      <c r="G61" s="31">
        <v>10.3</v>
      </c>
      <c r="H61" s="32">
        <f t="shared" si="27"/>
        <v>8.6497890295358676E-2</v>
      </c>
      <c r="I61" s="101">
        <f>IF(ISNUMBER(G61), $B64 * H61, "")</f>
        <v>8649.7890295358684</v>
      </c>
      <c r="J61" s="15">
        <v>10.3</v>
      </c>
      <c r="K61" s="32">
        <f t="shared" si="28"/>
        <v>8.6497890295358676E-2</v>
      </c>
      <c r="L61" s="18">
        <f>IF(ISNUMBER(J61), $B64 * K61, "")</f>
        <v>8649.7890295358684</v>
      </c>
      <c r="M61" s="31">
        <v>10.1</v>
      </c>
      <c r="N61" s="32">
        <f t="shared" si="29"/>
        <v>6.5400843881856449E-2</v>
      </c>
      <c r="O61" s="18">
        <f>IF(ISNUMBER(M61), $B64 * N61, "")</f>
        <v>6540.0843881856454</v>
      </c>
      <c r="Q61" s="223"/>
      <c r="R61" s="223"/>
      <c r="S61" s="223"/>
    </row>
    <row r="62" spans="1:19" ht="17.25" customHeight="1">
      <c r="A62" s="162" t="s">
        <v>218</v>
      </c>
      <c r="B62" s="126">
        <v>14.4</v>
      </c>
      <c r="C62" s="77">
        <v>-0.04</v>
      </c>
      <c r="D62" s="15">
        <v>15.4</v>
      </c>
      <c r="E62" s="32">
        <f t="shared" si="26"/>
        <v>6.9444444444444448E-2</v>
      </c>
      <c r="F62" s="18">
        <f>IF(ISNUMBER(D62), $B64 * E62, "")</f>
        <v>6944.4444444444443</v>
      </c>
      <c r="G62" s="31">
        <v>16.2</v>
      </c>
      <c r="H62" s="32">
        <f t="shared" si="27"/>
        <v>0.12499999999999992</v>
      </c>
      <c r="I62" s="101">
        <f>IF(ISNUMBER(G62), $B64 * H62, "")</f>
        <v>12499.999999999991</v>
      </c>
      <c r="J62" s="15">
        <v>17</v>
      </c>
      <c r="K62" s="32">
        <f t="shared" si="28"/>
        <v>0.18055555555555552</v>
      </c>
      <c r="L62" s="18">
        <f>IF(ISNUMBER(J62), $B64 * K62, "")</f>
        <v>18055.555555555551</v>
      </c>
      <c r="M62" s="31">
        <v>15.8</v>
      </c>
      <c r="N62" s="32">
        <f t="shared" si="29"/>
        <v>9.7222222222222238E-2</v>
      </c>
      <c r="O62" s="18">
        <f>IF(ISNUMBER(M62), $B64 * N62, "")</f>
        <v>9722.2222222222244</v>
      </c>
      <c r="Q62" s="212"/>
      <c r="R62" s="213"/>
      <c r="S62" s="214"/>
    </row>
    <row r="63" spans="1:19" ht="17.25" customHeight="1" thickBot="1">
      <c r="A63" s="130" t="s">
        <v>198</v>
      </c>
      <c r="B63" s="131">
        <v>14</v>
      </c>
      <c r="C63" s="79">
        <v>-4.1095890400000001E-2</v>
      </c>
      <c r="D63" s="24">
        <v>14.7</v>
      </c>
      <c r="E63" s="25">
        <f t="shared" si="26"/>
        <v>4.9999999999999947E-2</v>
      </c>
      <c r="F63" s="104">
        <f>IF(ISNUMBER(D63), $B64 * E63, "")</f>
        <v>4999.9999999999945</v>
      </c>
      <c r="G63" s="102">
        <v>15.3</v>
      </c>
      <c r="H63" s="25">
        <f t="shared" si="27"/>
        <v>9.2857142857142902E-2</v>
      </c>
      <c r="I63" s="103">
        <f>IF(ISNUMBER(G63), $B64 * H63, "")</f>
        <v>9285.7142857142899</v>
      </c>
      <c r="J63" s="24">
        <v>15.4</v>
      </c>
      <c r="K63" s="25">
        <f t="shared" si="28"/>
        <v>0.10000000000000002</v>
      </c>
      <c r="L63" s="104">
        <f>IF(ISNUMBER(J63), $B64 * K63, "")</f>
        <v>10000.000000000002</v>
      </c>
      <c r="M63" s="102">
        <v>15.3</v>
      </c>
      <c r="N63" s="25">
        <f t="shared" si="29"/>
        <v>9.2857142857142902E-2</v>
      </c>
      <c r="O63" s="104">
        <f>IF(ISNUMBER(M63), $B64 * N63, "")</f>
        <v>9285.7142857142899</v>
      </c>
      <c r="Q63" s="215"/>
      <c r="R63" s="216"/>
      <c r="S63" s="217"/>
    </row>
    <row r="64" spans="1:19" ht="17.25" customHeight="1" thickBot="1">
      <c r="A64" s="132" t="s">
        <v>300</v>
      </c>
      <c r="B64" s="276">
        <f>$B$37</f>
        <v>100000</v>
      </c>
      <c r="C64" s="277"/>
      <c r="D64" s="26" t="s">
        <v>301</v>
      </c>
      <c r="E64" s="27">
        <f>IF(COUNT(E44:E63), SUM(E44:E63) / COUNT(E44:E63), 0)</f>
        <v>7.9082666580795408E-2</v>
      </c>
      <c r="F64" s="28">
        <f>SUM(F44:F63)</f>
        <v>158165.3331615908</v>
      </c>
      <c r="G64" s="26" t="s">
        <v>301</v>
      </c>
      <c r="H64" s="27">
        <f>IF(COUNT(H44:H63), SUM(H44:H63) / COUNT(H44:H63), 0)</f>
        <v>0.12237893156105209</v>
      </c>
      <c r="I64" s="28">
        <f>SUM(I44:I63)</f>
        <v>244757.86312210411</v>
      </c>
      <c r="J64" s="26" t="s">
        <v>301</v>
      </c>
      <c r="K64" s="27">
        <f>IF(COUNT(K44:K63), SUM(K44:K63) / COUNT(K44:K63), 0)</f>
        <v>0.11342726744660152</v>
      </c>
      <c r="L64" s="28">
        <f>SUM(L44:L63)</f>
        <v>226854.53489320306</v>
      </c>
      <c r="M64" s="26" t="s">
        <v>301</v>
      </c>
      <c r="N64" s="27">
        <f>IF(COUNT(N44:N63), SUM(N44:N63) / COUNT(N44:N63), 0)</f>
        <v>8.4786452953680466E-2</v>
      </c>
      <c r="O64" s="28">
        <f>SUM(O44:O63)</f>
        <v>169572.9059073609</v>
      </c>
      <c r="Q64" s="218"/>
      <c r="R64" s="219"/>
      <c r="S64" s="220"/>
    </row>
    <row r="65" spans="1:19" ht="17.25" customHeight="1"/>
    <row r="66" spans="1:19" ht="17.25" customHeight="1" thickBot="1"/>
    <row r="67" spans="1:19" ht="17.25" thickBot="1">
      <c r="A67" s="234" t="s">
        <v>45</v>
      </c>
      <c r="B67" s="235"/>
      <c r="C67" s="235"/>
      <c r="D67" s="235"/>
      <c r="E67" s="235"/>
      <c r="F67" s="235"/>
      <c r="G67" s="235"/>
      <c r="H67" s="235"/>
      <c r="I67" s="235"/>
      <c r="J67" s="235"/>
      <c r="K67" s="235"/>
      <c r="L67" s="235"/>
      <c r="M67" s="235"/>
      <c r="N67" s="235"/>
      <c r="O67" s="236"/>
      <c r="Q67" s="233"/>
      <c r="R67" s="233"/>
      <c r="S67" s="233"/>
    </row>
    <row r="68" spans="1:19" ht="17.25" thickBot="1">
      <c r="A68" s="196" t="s">
        <v>297</v>
      </c>
      <c r="B68" s="234" t="s">
        <v>49</v>
      </c>
      <c r="C68" s="236"/>
      <c r="D68" s="234" t="s">
        <v>58</v>
      </c>
      <c r="E68" s="235"/>
      <c r="F68" s="236"/>
      <c r="G68" s="237">
        <f>_xlfn.IFNA(VLOOKUP(B68, 현재가테이블!$B$2:$D$200, 2, FALSE), "-")</f>
        <v>41418000</v>
      </c>
      <c r="H68" s="238"/>
      <c r="I68" s="239"/>
      <c r="J68" s="234" t="s">
        <v>59</v>
      </c>
      <c r="K68" s="235"/>
      <c r="L68" s="236"/>
      <c r="M68" s="240">
        <f>_xlfn.IFNA(VLOOKUP(B68, 현재가테이블!$B$2:$D$200, 3, FALSE), "-")</f>
        <v>-5.2176301000000001E-2</v>
      </c>
      <c r="N68" s="241"/>
      <c r="O68" s="242"/>
      <c r="Q68" s="233"/>
      <c r="R68" s="233"/>
      <c r="S68" s="233"/>
    </row>
    <row r="69" spans="1:19" ht="17.25" thickBot="1">
      <c r="A69" s="278" t="s">
        <v>55</v>
      </c>
      <c r="B69" s="274" t="str">
        <f>TEXT($G$1, "[$-ko-KR]yyyy-mm-dd(ddd) ") &amp; "오전 00:00"</f>
        <v>2021-06-10(목) 오전 00:00</v>
      </c>
      <c r="C69" s="275"/>
      <c r="D69" s="247" t="str">
        <f>TEXT($G$1, "[$-ko-KR]yyyy-mm-dd(ddd) ") &amp; "오후 14:00"</f>
        <v>2021-06-10(목) 오후 14:00</v>
      </c>
      <c r="E69" s="248"/>
      <c r="F69" s="249"/>
      <c r="G69" s="247" t="str">
        <f>TEXT($G$1, "[$-ko-KR]yyyy-mm-dd(ddd) ") &amp; "오후 19:00"</f>
        <v>2021-06-10(목) 오후 19:00</v>
      </c>
      <c r="H69" s="248"/>
      <c r="I69" s="249"/>
      <c r="J69" s="247" t="str">
        <f>TEXT($G$1, "[$-ko-KR]yyyy-mm-dd(ddd) ") &amp; "오후 21:00"</f>
        <v>2021-06-10(목) 오후 21:00</v>
      </c>
      <c r="K69" s="248"/>
      <c r="L69" s="249"/>
      <c r="M69" s="247" t="str">
        <f>TEXT($G$1+1, "[$-ko-KR]yyyy-mm-dd(ddd) ") &amp; "오전 00:00"</f>
        <v>2021-06-11(금) 오전 00:00</v>
      </c>
      <c r="N69" s="248"/>
      <c r="O69" s="249"/>
      <c r="Q69" s="233"/>
      <c r="R69" s="233"/>
      <c r="S69" s="233"/>
    </row>
    <row r="70" spans="1:19" ht="17.25" thickBot="1">
      <c r="A70" s="279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97" t="s">
        <v>58</v>
      </c>
      <c r="H70" s="198" t="s">
        <v>298</v>
      </c>
      <c r="I70" s="19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3"/>
      <c r="R70" s="223"/>
      <c r="S70" s="223"/>
    </row>
    <row r="71" spans="1:19" ht="17.25" thickBot="1">
      <c r="A71" s="161" t="s">
        <v>142</v>
      </c>
      <c r="B71" s="124">
        <v>709</v>
      </c>
      <c r="C71" s="76">
        <v>8.2442748100000005E-2</v>
      </c>
      <c r="D71" s="13">
        <v>659</v>
      </c>
      <c r="E71" s="14">
        <f>IF(ISNUMBER(D71), (D71 - $B71) / $B71, "")</f>
        <v>-7.0521861777150918E-2</v>
      </c>
      <c r="F71" s="16">
        <f>IF(ISNUMBER(D71), $B91 * E71, "")</f>
        <v>-7052.1861777150916</v>
      </c>
      <c r="G71" s="29">
        <v>651</v>
      </c>
      <c r="H71" s="14">
        <f>IF(ISNUMBER(G71), (G71 - $B71) / $B71, "")</f>
        <v>-8.1805359661495061E-2</v>
      </c>
      <c r="I71" s="100">
        <f>IF(ISNUMBER(G71), $B91 * H71, "")</f>
        <v>-8180.5359661495058</v>
      </c>
      <c r="J71" s="13">
        <v>632</v>
      </c>
      <c r="K71" s="14">
        <f>IF(ISNUMBER(J71), (J71 - $B71) / $B71, "")</f>
        <v>-0.10860366713681241</v>
      </c>
      <c r="L71" s="16">
        <f>IF(ISNUMBER(J71), $B91 * K71, "")</f>
        <v>-10860.36671368124</v>
      </c>
      <c r="M71" s="29">
        <v>630</v>
      </c>
      <c r="N71" s="14">
        <f>IF(ISNUMBER(M71), (M71 - $B71) / $B71, "")</f>
        <v>-0.11142454160789844</v>
      </c>
      <c r="O71" s="16">
        <f>IF(ISNUMBER(M71), $B91 * N71, "")</f>
        <v>-11142.454160789845</v>
      </c>
      <c r="Q71" s="233"/>
      <c r="R71" s="233"/>
      <c r="S71" s="233"/>
    </row>
    <row r="72" spans="1:19" ht="17.25" thickBot="1">
      <c r="A72" s="162" t="s">
        <v>280</v>
      </c>
      <c r="B72" s="126">
        <v>997</v>
      </c>
      <c r="C72" s="77">
        <v>4.3979057600000003E-2</v>
      </c>
      <c r="D72" s="15">
        <v>983</v>
      </c>
      <c r="E72" s="32">
        <f t="shared" ref="E72:E75" si="30">IF(ISNUMBER(D72), (D72 - $B72) / $B72, "")</f>
        <v>-1.4042126379137413E-2</v>
      </c>
      <c r="F72" s="18">
        <f>IF(ISNUMBER(D72), $B91 * E72, "")</f>
        <v>-1404.2126379137412</v>
      </c>
      <c r="G72" s="31">
        <v>1005</v>
      </c>
      <c r="H72" s="32">
        <f t="shared" ref="H72:H75" si="31">IF(ISNUMBER(G72), (G72 - $B72) / $B72, "")</f>
        <v>8.0240722166499499E-3</v>
      </c>
      <c r="I72" s="101">
        <f>IF(ISNUMBER(G72), $B91 * H72, "")</f>
        <v>802.40722166499495</v>
      </c>
      <c r="J72" s="15">
        <v>1005</v>
      </c>
      <c r="K72" s="32">
        <f t="shared" ref="K72:K75" si="32">IF(ISNUMBER(J72), (J72 - $B72) / $B72, "")</f>
        <v>8.0240722166499499E-3</v>
      </c>
      <c r="L72" s="18">
        <f>IF(ISNUMBER(J72), $B91 * K72, "")</f>
        <v>802.40722166499495</v>
      </c>
      <c r="M72" s="31">
        <v>992</v>
      </c>
      <c r="N72" s="32">
        <f t="shared" ref="N72:N75" si="33">IF(ISNUMBER(M72), (M72 - $B72) / $B72, "")</f>
        <v>-5.0150451354062184E-3</v>
      </c>
      <c r="O72" s="18">
        <f>IF(ISNUMBER(M72), $B91 * N72, "")</f>
        <v>-501.50451354062187</v>
      </c>
      <c r="Q72" s="233"/>
      <c r="R72" s="233"/>
      <c r="S72" s="233"/>
    </row>
    <row r="73" spans="1:19" ht="17.25" thickBot="1">
      <c r="A73" s="162" t="s">
        <v>270</v>
      </c>
      <c r="B73" s="126">
        <v>335</v>
      </c>
      <c r="C73" s="77">
        <v>3.3950617299999999E-2</v>
      </c>
      <c r="D73" s="15">
        <v>336</v>
      </c>
      <c r="E73" s="32">
        <f t="shared" si="30"/>
        <v>2.9850746268656717E-3</v>
      </c>
      <c r="F73" s="18">
        <f>IF(ISNUMBER(D73), $B91 * E73, "")</f>
        <v>298.50746268656718</v>
      </c>
      <c r="G73" s="31">
        <v>337</v>
      </c>
      <c r="H73" s="32">
        <f t="shared" si="31"/>
        <v>5.9701492537313433E-3</v>
      </c>
      <c r="I73" s="101">
        <f>IF(ISNUMBER(G73), $B91 * H73, "")</f>
        <v>597.01492537313436</v>
      </c>
      <c r="J73" s="15">
        <v>341</v>
      </c>
      <c r="K73" s="32">
        <f t="shared" si="32"/>
        <v>1.7910447761194031E-2</v>
      </c>
      <c r="L73" s="18">
        <f>IF(ISNUMBER(J73), $B91 * K73, "")</f>
        <v>1791.0447761194032</v>
      </c>
      <c r="M73" s="31">
        <v>339</v>
      </c>
      <c r="N73" s="32">
        <f t="shared" si="33"/>
        <v>1.1940298507462687E-2</v>
      </c>
      <c r="O73" s="18">
        <f>IF(ISNUMBER(M73), $B91 * N73, "")</f>
        <v>1194.0298507462687</v>
      </c>
      <c r="Q73" s="223"/>
      <c r="R73" s="223"/>
      <c r="S73" s="223"/>
    </row>
    <row r="74" spans="1:19" ht="17.25" thickBot="1">
      <c r="A74" s="162" t="s">
        <v>82</v>
      </c>
      <c r="B74" s="126">
        <v>978</v>
      </c>
      <c r="C74" s="77">
        <v>1.9812304499999999E-2</v>
      </c>
      <c r="D74" s="15">
        <v>996</v>
      </c>
      <c r="E74" s="32">
        <f t="shared" si="30"/>
        <v>1.8404907975460124E-2</v>
      </c>
      <c r="F74" s="18">
        <f>IF(ISNUMBER(D74), $B91 * E74, "")</f>
        <v>1840.4907975460123</v>
      </c>
      <c r="G74" s="31">
        <v>1035</v>
      </c>
      <c r="H74" s="32">
        <f t="shared" si="31"/>
        <v>5.8282208588957052E-2</v>
      </c>
      <c r="I74" s="101">
        <f>IF(ISNUMBER(G74), $B91 * H74, "")</f>
        <v>5828.2208588957055</v>
      </c>
      <c r="J74" s="15">
        <v>1045</v>
      </c>
      <c r="K74" s="32">
        <f t="shared" si="32"/>
        <v>6.8507157464212681E-2</v>
      </c>
      <c r="L74" s="18">
        <f>IF(ISNUMBER(J74), $B91 * K74, "")</f>
        <v>6850.7157464212678</v>
      </c>
      <c r="M74" s="31">
        <v>1020</v>
      </c>
      <c r="N74" s="32">
        <f t="shared" si="33"/>
        <v>4.2944785276073622E-2</v>
      </c>
      <c r="O74" s="18">
        <f>IF(ISNUMBER(M74), $B91 * N74, "")</f>
        <v>4294.4785276073626</v>
      </c>
      <c r="Q74" s="223"/>
      <c r="R74" s="223"/>
      <c r="S74" s="223"/>
    </row>
    <row r="75" spans="1:19" ht="17.25" thickBot="1">
      <c r="A75" s="163" t="s">
        <v>210</v>
      </c>
      <c r="B75" s="128">
        <v>117</v>
      </c>
      <c r="C75" s="78">
        <v>1.73913043E-2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121</v>
      </c>
      <c r="H75" s="21">
        <f t="shared" si="31"/>
        <v>3.4188034188034191E-2</v>
      </c>
      <c r="I75" s="105">
        <f>IF(ISNUMBER(G75), $B91 * H75, "")</f>
        <v>3418.8034188034189</v>
      </c>
      <c r="J75" s="20">
        <v>121</v>
      </c>
      <c r="K75" s="21">
        <f t="shared" si="32"/>
        <v>3.4188034188034191E-2</v>
      </c>
      <c r="L75" s="22">
        <f>IF(ISNUMBER(J75), $B91 * K75, "")</f>
        <v>3418.8034188034189</v>
      </c>
      <c r="M75" s="30">
        <v>120</v>
      </c>
      <c r="N75" s="21">
        <f t="shared" si="33"/>
        <v>2.564102564102564E-2</v>
      </c>
      <c r="O75" s="22">
        <f>IF(ISNUMBER(M75), $B91 * N75, "")</f>
        <v>2564.102564102564</v>
      </c>
      <c r="Q75" s="223"/>
      <c r="R75" s="223"/>
      <c r="S75" s="223"/>
    </row>
    <row r="76" spans="1:19" ht="17.25" thickBot="1">
      <c r="A76" s="162" t="s">
        <v>120</v>
      </c>
      <c r="B76" s="129">
        <v>134</v>
      </c>
      <c r="C76" s="80">
        <v>1.51515152E-2</v>
      </c>
      <c r="D76" s="106">
        <v>138</v>
      </c>
      <c r="E76" s="107">
        <f>IF(ISNUMBER(D76), (D76 - $B76) / $B76, "")</f>
        <v>2.9850746268656716E-2</v>
      </c>
      <c r="F76" s="108">
        <f>IF(ISNUMBER(D76), $B91 * E76, "")</f>
        <v>2985.0746268656717</v>
      </c>
      <c r="G76" s="109">
        <v>140</v>
      </c>
      <c r="H76" s="107">
        <f>IF(ISNUMBER(G76), (G76 - $B76) / $B76, "")</f>
        <v>4.4776119402985072E-2</v>
      </c>
      <c r="I76" s="110">
        <f>IF(ISNUMBER(G76), $B91 * H76, "")</f>
        <v>4477.6119402985069</v>
      </c>
      <c r="J76" s="106">
        <v>140</v>
      </c>
      <c r="K76" s="107">
        <f>IF(ISNUMBER(J76), (J76 - $B76) / $B76, "")</f>
        <v>4.4776119402985072E-2</v>
      </c>
      <c r="L76" s="108">
        <f>IF(ISNUMBER(J76), $B91 * K76, "")</f>
        <v>4477.6119402985069</v>
      </c>
      <c r="M76" s="109">
        <v>139</v>
      </c>
      <c r="N76" s="107">
        <f>IF(ISNUMBER(M76), (M76 - $B76) / $B76, "")</f>
        <v>3.7313432835820892E-2</v>
      </c>
      <c r="O76" s="108">
        <f>IF(ISNUMBER(M76), $B91 * N76, "")</f>
        <v>3731.343283582089</v>
      </c>
      <c r="Q76" s="223"/>
      <c r="R76" s="223"/>
      <c r="S76" s="223"/>
    </row>
    <row r="77" spans="1:19" ht="17.25" thickBot="1">
      <c r="A77" s="162" t="s">
        <v>57</v>
      </c>
      <c r="B77" s="126">
        <v>191</v>
      </c>
      <c r="C77" s="77">
        <v>5.2631579E-3</v>
      </c>
      <c r="D77" s="15">
        <v>198</v>
      </c>
      <c r="E77" s="32">
        <f t="shared" ref="E77:E80" si="34">IF(ISNUMBER(D77), (D77 - $B77) / $B77, "")</f>
        <v>3.6649214659685861E-2</v>
      </c>
      <c r="F77" s="18">
        <f>IF(ISNUMBER(D77), $B91 * E77, "")</f>
        <v>3664.9214659685863</v>
      </c>
      <c r="G77" s="31">
        <v>200</v>
      </c>
      <c r="H77" s="32">
        <f t="shared" ref="H77:H80" si="35">IF(ISNUMBER(G77), (G77 - $B77) / $B77, "")</f>
        <v>4.712041884816754E-2</v>
      </c>
      <c r="I77" s="101">
        <f>IF(ISNUMBER(G77), $B91 * H77, "")</f>
        <v>4712.0418848167537</v>
      </c>
      <c r="J77" s="15">
        <v>199</v>
      </c>
      <c r="K77" s="32">
        <f t="shared" ref="K77:K80" si="36">IF(ISNUMBER(J77), (J77 - $B77) / $B77, "")</f>
        <v>4.1884816753926704E-2</v>
      </c>
      <c r="L77" s="18">
        <f>IF(ISNUMBER(J77), $B91 * K77, "")</f>
        <v>4188.4816753926707</v>
      </c>
      <c r="M77" s="31">
        <v>198</v>
      </c>
      <c r="N77" s="32">
        <f t="shared" ref="N77:N80" si="37">IF(ISNUMBER(M77), (M77 - $B77) / $B77, "")</f>
        <v>3.6649214659685861E-2</v>
      </c>
      <c r="O77" s="18">
        <f>IF(ISNUMBER(M77), $B91 * N77, "")</f>
        <v>3664.9214659685863</v>
      </c>
      <c r="Q77" s="223"/>
      <c r="R77" s="223"/>
      <c r="S77" s="223"/>
    </row>
    <row r="78" spans="1:19" ht="17.25" thickBot="1">
      <c r="A78" s="162" t="s">
        <v>128</v>
      </c>
      <c r="B78" s="126">
        <v>329</v>
      </c>
      <c r="C78" s="77">
        <v>3.0487804999999998E-3</v>
      </c>
      <c r="D78" s="15">
        <v>336</v>
      </c>
      <c r="E78" s="32">
        <f t="shared" si="34"/>
        <v>2.1276595744680851E-2</v>
      </c>
      <c r="F78" s="18">
        <f>IF(ISNUMBER(D78), $B91 * E78, "")</f>
        <v>2127.6595744680849</v>
      </c>
      <c r="G78" s="31">
        <v>342</v>
      </c>
      <c r="H78" s="32">
        <f t="shared" si="35"/>
        <v>3.9513677811550151E-2</v>
      </c>
      <c r="I78" s="101">
        <f>IF(ISNUMBER(G78), $B91 * H78, "")</f>
        <v>3951.3677811550151</v>
      </c>
      <c r="J78" s="15">
        <v>339</v>
      </c>
      <c r="K78" s="32">
        <f t="shared" si="36"/>
        <v>3.0395136778115502E-2</v>
      </c>
      <c r="L78" s="18">
        <f>IF(ISNUMBER(J78), $B91 * K78, "")</f>
        <v>3039.5136778115502</v>
      </c>
      <c r="M78" s="31">
        <v>334</v>
      </c>
      <c r="N78" s="32">
        <f t="shared" si="37"/>
        <v>1.5197568389057751E-2</v>
      </c>
      <c r="O78" s="18">
        <f>IF(ISNUMBER(M78), $B91 * N78, "")</f>
        <v>1519.7568389057751</v>
      </c>
      <c r="Q78" s="223"/>
      <c r="R78" s="223"/>
      <c r="S78" s="223"/>
    </row>
    <row r="79" spans="1:19" ht="17.25" thickBot="1">
      <c r="A79" s="162" t="s">
        <v>136</v>
      </c>
      <c r="B79" s="126">
        <v>125</v>
      </c>
      <c r="C79" s="77">
        <v>0</v>
      </c>
      <c r="D79" s="15">
        <v>128</v>
      </c>
      <c r="E79" s="32">
        <f t="shared" si="34"/>
        <v>2.4E-2</v>
      </c>
      <c r="F79" s="18">
        <f>IF(ISNUMBER(D79), $B91 * E79, "")</f>
        <v>2400</v>
      </c>
      <c r="G79" s="31">
        <v>128</v>
      </c>
      <c r="H79" s="32">
        <f t="shared" si="35"/>
        <v>2.4E-2</v>
      </c>
      <c r="I79" s="101">
        <f>IF(ISNUMBER(G79), $B91 * H79, "")</f>
        <v>2400</v>
      </c>
      <c r="J79" s="15">
        <v>128</v>
      </c>
      <c r="K79" s="32">
        <f t="shared" si="36"/>
        <v>2.4E-2</v>
      </c>
      <c r="L79" s="18">
        <f>IF(ISNUMBER(J79), $B91 * K79, "")</f>
        <v>2400</v>
      </c>
      <c r="M79" s="31">
        <v>127</v>
      </c>
      <c r="N79" s="32">
        <f t="shared" si="37"/>
        <v>1.6E-2</v>
      </c>
      <c r="O79" s="18">
        <f>IF(ISNUMBER(M79), $B91 * N79, "")</f>
        <v>1600</v>
      </c>
      <c r="Q79" s="33"/>
      <c r="R79" s="33"/>
    </row>
    <row r="80" spans="1:19" ht="17.25" thickBot="1">
      <c r="A80" s="130" t="s">
        <v>256</v>
      </c>
      <c r="B80" s="131">
        <v>159</v>
      </c>
      <c r="C80" s="79">
        <v>0</v>
      </c>
      <c r="D80" s="24">
        <v>158</v>
      </c>
      <c r="E80" s="25">
        <f t="shared" si="34"/>
        <v>-6.2893081761006293E-3</v>
      </c>
      <c r="F80" s="104">
        <f>IF(ISNUMBER(D80), $B91 * E80, "")</f>
        <v>-628.93081761006295</v>
      </c>
      <c r="G80" s="102">
        <v>162</v>
      </c>
      <c r="H80" s="25">
        <f t="shared" si="35"/>
        <v>1.8867924528301886E-2</v>
      </c>
      <c r="I80" s="103">
        <f>IF(ISNUMBER(G80), $B91 * H80, "")</f>
        <v>1886.7924528301885</v>
      </c>
      <c r="J80" s="24">
        <v>162</v>
      </c>
      <c r="K80" s="25">
        <f t="shared" si="36"/>
        <v>1.8867924528301886E-2</v>
      </c>
      <c r="L80" s="104">
        <f>IF(ISNUMBER(J80), $B91 * K80, "")</f>
        <v>1886.7924528301885</v>
      </c>
      <c r="M80" s="102">
        <v>160</v>
      </c>
      <c r="N80" s="25">
        <f t="shared" si="37"/>
        <v>6.2893081761006293E-3</v>
      </c>
      <c r="O80" s="104">
        <f>IF(ISNUMBER(M80), $B91 * N80, "")</f>
        <v>628.93081761006295</v>
      </c>
      <c r="Q80" s="224"/>
      <c r="R80" s="225"/>
      <c r="S80" s="226"/>
    </row>
    <row r="81" spans="1:19">
      <c r="A81" s="161" t="s">
        <v>80</v>
      </c>
      <c r="B81" s="124">
        <v>773</v>
      </c>
      <c r="C81" s="76">
        <v>-1.2919896999999999E-3</v>
      </c>
      <c r="D81" s="13">
        <v>789</v>
      </c>
      <c r="E81" s="14">
        <f>IF(ISNUMBER(D81), (D81 - $B81) / $B81, "")</f>
        <v>2.0698576972833119E-2</v>
      </c>
      <c r="F81" s="16">
        <f>IF(ISNUMBER(D81), $B91 * E81, "")</f>
        <v>2069.8576972833121</v>
      </c>
      <c r="G81" s="29">
        <v>795</v>
      </c>
      <c r="H81" s="14">
        <f>IF(ISNUMBER(G81), (G81 - $B81) / $B81, "")</f>
        <v>2.8460543337645538E-2</v>
      </c>
      <c r="I81" s="100">
        <f>IF(ISNUMBER(G81), $B91 * H81, "")</f>
        <v>2846.0543337645536</v>
      </c>
      <c r="J81" s="13">
        <v>787</v>
      </c>
      <c r="K81" s="14">
        <f>IF(ISNUMBER(J81), (J81 - $B81) / $B81, "")</f>
        <v>1.8111254851228976E-2</v>
      </c>
      <c r="L81" s="16">
        <f>IF(ISNUMBER(J81), $B91 * K81, "")</f>
        <v>1811.1254851228975</v>
      </c>
      <c r="M81" s="29">
        <v>767</v>
      </c>
      <c r="N81" s="14">
        <f>IF(ISNUMBER(M81), (M81 - $B81) / $B81, "")</f>
        <v>-7.7619663648124193E-3</v>
      </c>
      <c r="O81" s="16">
        <f>IF(ISNUMBER(M81), $B91 * N81, "")</f>
        <v>-776.19663648124197</v>
      </c>
      <c r="Q81" s="227"/>
      <c r="R81" s="228"/>
      <c r="S81" s="229"/>
    </row>
    <row r="82" spans="1:19" ht="17.25" thickBot="1">
      <c r="A82" s="162" t="s">
        <v>88</v>
      </c>
      <c r="B82" s="126">
        <v>267</v>
      </c>
      <c r="C82" s="77">
        <v>-7.4349441999999998E-3</v>
      </c>
      <c r="D82" s="15">
        <v>269</v>
      </c>
      <c r="E82" s="32">
        <f t="shared" ref="E82:E85" si="38">IF(ISNUMBER(D82), (D82 - $B82) / $B82, "")</f>
        <v>7.4906367041198503E-3</v>
      </c>
      <c r="F82" s="18">
        <f>IF(ISNUMBER(D82), $B91 * E82, "")</f>
        <v>749.06367041198507</v>
      </c>
      <c r="G82" s="31">
        <v>274</v>
      </c>
      <c r="H82" s="32">
        <f t="shared" ref="H82:H85" si="39">IF(ISNUMBER(G82), (G82 - $B82) / $B82, "")</f>
        <v>2.6217228464419477E-2</v>
      </c>
      <c r="I82" s="101">
        <f>IF(ISNUMBER(G82), $B91 * H82, "")</f>
        <v>2621.7228464419477</v>
      </c>
      <c r="J82" s="15">
        <v>274</v>
      </c>
      <c r="K82" s="32">
        <f t="shared" ref="K82:K85" si="40">IF(ISNUMBER(J82), (J82 - $B82) / $B82, "")</f>
        <v>2.6217228464419477E-2</v>
      </c>
      <c r="L82" s="18">
        <f>IF(ISNUMBER(J82), $B91 * K82, "")</f>
        <v>2621.7228464419477</v>
      </c>
      <c r="M82" s="31">
        <v>270</v>
      </c>
      <c r="N82" s="32">
        <f t="shared" ref="N82:N85" si="41">IF(ISNUMBER(M82), (M82 - $B82) / $B82, "")</f>
        <v>1.1235955056179775E-2</v>
      </c>
      <c r="O82" s="18">
        <f>IF(ISNUMBER(M82), $B91 * N82, "")</f>
        <v>1123.5955056179776</v>
      </c>
      <c r="Q82" s="230"/>
      <c r="R82" s="231"/>
      <c r="S82" s="232"/>
    </row>
    <row r="83" spans="1:19" ht="17.25" thickBot="1">
      <c r="A83" s="162" t="s">
        <v>296</v>
      </c>
      <c r="B83" s="126">
        <v>373</v>
      </c>
      <c r="C83" s="77">
        <v>-7.9787234000000002E-3</v>
      </c>
      <c r="D83" s="15">
        <v>388</v>
      </c>
      <c r="E83" s="32">
        <f t="shared" si="38"/>
        <v>4.0214477211796246E-2</v>
      </c>
      <c r="F83" s="18">
        <f>IF(ISNUMBER(D83), $B91 * E83, "")</f>
        <v>4021.4477211796248</v>
      </c>
      <c r="G83" s="31">
        <v>391</v>
      </c>
      <c r="H83" s="32">
        <f t="shared" si="39"/>
        <v>4.8257372654155493E-2</v>
      </c>
      <c r="I83" s="101">
        <f>IF(ISNUMBER(G83), $B91 * H83, "")</f>
        <v>4825.7372654155497</v>
      </c>
      <c r="J83" s="15">
        <v>388</v>
      </c>
      <c r="K83" s="32">
        <f t="shared" si="40"/>
        <v>4.0214477211796246E-2</v>
      </c>
      <c r="L83" s="18">
        <f>IF(ISNUMBER(J83), $B91 * K83, "")</f>
        <v>4021.4477211796248</v>
      </c>
      <c r="M83" s="31">
        <v>383</v>
      </c>
      <c r="N83" s="32">
        <f t="shared" si="41"/>
        <v>2.6809651474530832E-2</v>
      </c>
      <c r="O83" s="18">
        <f>IF(ISNUMBER(M83), $B91 * N83, "")</f>
        <v>2680.9651474530833</v>
      </c>
      <c r="Q83" s="223"/>
      <c r="R83" s="223"/>
      <c r="S83" s="223"/>
    </row>
    <row r="84" spans="1:19" ht="17.25" thickBot="1">
      <c r="A84" s="162" t="s">
        <v>240</v>
      </c>
      <c r="B84" s="126">
        <v>115</v>
      </c>
      <c r="C84" s="77">
        <v>-8.6206896999999998E-3</v>
      </c>
      <c r="D84" s="15">
        <v>116</v>
      </c>
      <c r="E84" s="32">
        <f t="shared" si="38"/>
        <v>8.6956521739130436E-3</v>
      </c>
      <c r="F84" s="18">
        <f>IF(ISNUMBER(D84), $B91 * E84, "")</f>
        <v>869.56521739130437</v>
      </c>
      <c r="G84" s="31">
        <v>120</v>
      </c>
      <c r="H84" s="32">
        <f t="shared" si="39"/>
        <v>4.3478260869565216E-2</v>
      </c>
      <c r="I84" s="101">
        <f>IF(ISNUMBER(G84), $B91 * H84, "")</f>
        <v>4347.826086956522</v>
      </c>
      <c r="J84" s="15">
        <v>118</v>
      </c>
      <c r="K84" s="32">
        <f t="shared" si="40"/>
        <v>2.6086956521739129E-2</v>
      </c>
      <c r="L84" s="18">
        <f>IF(ISNUMBER(J84), $B91 * K84, "")</f>
        <v>2608.695652173913</v>
      </c>
      <c r="M84" s="31">
        <v>117</v>
      </c>
      <c r="N84" s="32">
        <f t="shared" si="41"/>
        <v>1.7391304347826087E-2</v>
      </c>
      <c r="O84" s="18">
        <f>IF(ISNUMBER(M84), $B91 * N84, "")</f>
        <v>1739.1304347826087</v>
      </c>
      <c r="Q84" s="233"/>
      <c r="R84" s="233"/>
      <c r="S84" s="233"/>
    </row>
    <row r="85" spans="1:19" ht="17.25" thickBot="1">
      <c r="A85" s="163" t="s">
        <v>238</v>
      </c>
      <c r="B85" s="128">
        <v>163</v>
      </c>
      <c r="C85" s="78">
        <v>-1.2121212100000001E-2</v>
      </c>
      <c r="D85" s="20">
        <v>165</v>
      </c>
      <c r="E85" s="21">
        <f t="shared" si="38"/>
        <v>1.2269938650306749E-2</v>
      </c>
      <c r="F85" s="22">
        <f>IF(ISNUMBER(D85), $B91 * E85, "")</f>
        <v>1226.9938650306749</v>
      </c>
      <c r="G85" s="30">
        <v>171</v>
      </c>
      <c r="H85" s="21">
        <f t="shared" si="39"/>
        <v>4.9079754601226995E-2</v>
      </c>
      <c r="I85" s="105">
        <f>IF(ISNUMBER(G85), $B91 * H85, "")</f>
        <v>4907.9754601226996</v>
      </c>
      <c r="J85" s="20">
        <v>170</v>
      </c>
      <c r="K85" s="21">
        <f t="shared" si="40"/>
        <v>4.2944785276073622E-2</v>
      </c>
      <c r="L85" s="22">
        <f>IF(ISNUMBER(J85), $B91 * K85, "")</f>
        <v>4294.4785276073626</v>
      </c>
      <c r="M85" s="30">
        <v>169</v>
      </c>
      <c r="N85" s="21">
        <f t="shared" si="41"/>
        <v>3.6809815950920248E-2</v>
      </c>
      <c r="O85" s="22">
        <f>IF(ISNUMBER(M85), $B91 * N85, "")</f>
        <v>3680.9815950920247</v>
      </c>
      <c r="Q85" s="233"/>
      <c r="R85" s="233"/>
      <c r="S85" s="233"/>
    </row>
    <row r="86" spans="1:19" ht="17.25" thickBot="1">
      <c r="A86" s="162" t="s">
        <v>132</v>
      </c>
      <c r="B86" s="129">
        <v>129</v>
      </c>
      <c r="C86" s="80">
        <v>-1.52671756E-2</v>
      </c>
      <c r="D86" s="106">
        <v>137</v>
      </c>
      <c r="E86" s="107">
        <f>IF(ISNUMBER(D86), (D86 - $B86) / $B86, "")</f>
        <v>6.2015503875968991E-2</v>
      </c>
      <c r="F86" s="108">
        <f>IF(ISNUMBER(D86), $B91 * E86, "")</f>
        <v>6201.5503875968989</v>
      </c>
      <c r="G86" s="109">
        <v>135</v>
      </c>
      <c r="H86" s="107">
        <f>IF(ISNUMBER(G86), (G86 - $B86) / $B86, "")</f>
        <v>4.6511627906976744E-2</v>
      </c>
      <c r="I86" s="110">
        <f>IF(ISNUMBER(G86), $B91 * H86, "")</f>
        <v>4651.1627906976746</v>
      </c>
      <c r="J86" s="106">
        <v>135</v>
      </c>
      <c r="K86" s="107">
        <f>IF(ISNUMBER(J86), (J86 - $B86) / $B86, "")</f>
        <v>4.6511627906976744E-2</v>
      </c>
      <c r="L86" s="108">
        <f>IF(ISNUMBER(J86), $B91 * K86, "")</f>
        <v>4651.1627906976746</v>
      </c>
      <c r="M86" s="109">
        <v>132</v>
      </c>
      <c r="N86" s="107">
        <f>IF(ISNUMBER(M86), (M86 - $B86) / $B86, "")</f>
        <v>2.3255813953488372E-2</v>
      </c>
      <c r="O86" s="108">
        <f>IF(ISNUMBER(M86), $B91 * N86, "")</f>
        <v>2325.5813953488373</v>
      </c>
      <c r="Q86" s="223"/>
      <c r="R86" s="223"/>
      <c r="S86" s="223"/>
    </row>
    <row r="87" spans="1:19" ht="17.25" thickBot="1">
      <c r="A87" s="162" t="s">
        <v>262</v>
      </c>
      <c r="B87" s="126">
        <v>555</v>
      </c>
      <c r="C87" s="77">
        <v>-1.7699115000000001E-2</v>
      </c>
      <c r="D87" s="15">
        <v>576</v>
      </c>
      <c r="E87" s="32">
        <f t="shared" ref="E87:E90" si="42">IF(ISNUMBER(D87), (D87 - $B87) / $B87, "")</f>
        <v>3.783783783783784E-2</v>
      </c>
      <c r="F87" s="18">
        <f>IF(ISNUMBER(D87), $B91 * E87, "")</f>
        <v>3783.7837837837842</v>
      </c>
      <c r="G87" s="31">
        <v>581</v>
      </c>
      <c r="H87" s="32">
        <f t="shared" ref="H87:H90" si="43">IF(ISNUMBER(G87), (G87 - $B87) / $B87, "")</f>
        <v>4.6846846846846847E-2</v>
      </c>
      <c r="I87" s="101">
        <f>IF(ISNUMBER(G87), $B91 * H87, "")</f>
        <v>4684.6846846846847</v>
      </c>
      <c r="J87" s="15">
        <v>583</v>
      </c>
      <c r="K87" s="32">
        <f t="shared" ref="K87:K90" si="44">IF(ISNUMBER(J87), (J87 - $B87) / $B87, "")</f>
        <v>5.0450450450450449E-2</v>
      </c>
      <c r="L87" s="18">
        <f>IF(ISNUMBER(J87), $B91 * K87, "")</f>
        <v>5045.0450450450453</v>
      </c>
      <c r="M87" s="31">
        <v>568</v>
      </c>
      <c r="N87" s="32">
        <f t="shared" ref="N87:N90" si="45">IF(ISNUMBER(M87), (M87 - $B87) / $B87, "")</f>
        <v>2.3423423423423424E-2</v>
      </c>
      <c r="O87" s="18">
        <f>IF(ISNUMBER(M87), $B91 * N87, "")</f>
        <v>2342.3423423423424</v>
      </c>
      <c r="Q87" s="223"/>
      <c r="R87" s="223"/>
      <c r="S87" s="223"/>
    </row>
    <row r="88" spans="1:19" ht="17.25" thickBot="1">
      <c r="A88" s="162" t="s">
        <v>246</v>
      </c>
      <c r="B88" s="126">
        <v>270</v>
      </c>
      <c r="C88" s="77">
        <v>-1.8181818200000002E-2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292</v>
      </c>
      <c r="H88" s="32">
        <f t="shared" si="43"/>
        <v>8.1481481481481488E-2</v>
      </c>
      <c r="I88" s="101">
        <f>IF(ISNUMBER(G88), $B91 * H88, "")</f>
        <v>8148.1481481481487</v>
      </c>
      <c r="J88" s="15">
        <v>286</v>
      </c>
      <c r="K88" s="32">
        <f t="shared" si="44"/>
        <v>5.9259259259259262E-2</v>
      </c>
      <c r="L88" s="18">
        <f>IF(ISNUMBER(J88), $B91 * K88, "")</f>
        <v>5925.9259259259261</v>
      </c>
      <c r="M88" s="31">
        <v>283</v>
      </c>
      <c r="N88" s="32">
        <f t="shared" si="45"/>
        <v>4.8148148148148148E-2</v>
      </c>
      <c r="O88" s="18">
        <f>IF(ISNUMBER(M88), $B91 * N88, "")</f>
        <v>4814.8148148148148</v>
      </c>
      <c r="Q88" s="223"/>
      <c r="R88" s="223"/>
      <c r="S88" s="223"/>
    </row>
    <row r="89" spans="1:19">
      <c r="A89" s="162" t="s">
        <v>174</v>
      </c>
      <c r="B89" s="126">
        <v>157</v>
      </c>
      <c r="C89" s="77">
        <v>-1.8749999999999999E-2</v>
      </c>
      <c r="D89" s="15">
        <v>168</v>
      </c>
      <c r="E89" s="32">
        <f t="shared" si="42"/>
        <v>7.0063694267515922E-2</v>
      </c>
      <c r="F89" s="18">
        <f>IF(ISNUMBER(D89), $B91 * E89, "")</f>
        <v>7006.3694267515921</v>
      </c>
      <c r="G89" s="31">
        <v>167</v>
      </c>
      <c r="H89" s="32">
        <f t="shared" si="43"/>
        <v>6.3694267515923567E-2</v>
      </c>
      <c r="I89" s="101">
        <f>IF(ISNUMBER(G89), $B91 * H89, "")</f>
        <v>6369.4267515923566</v>
      </c>
      <c r="J89" s="15">
        <v>165</v>
      </c>
      <c r="K89" s="32">
        <f t="shared" si="44"/>
        <v>5.0955414012738856E-2</v>
      </c>
      <c r="L89" s="18">
        <f>IF(ISNUMBER(J89), $B91 * K89, "")</f>
        <v>5095.5414012738856</v>
      </c>
      <c r="M89" s="31">
        <v>163</v>
      </c>
      <c r="N89" s="32">
        <f t="shared" si="45"/>
        <v>3.8216560509554139E-2</v>
      </c>
      <c r="O89" s="18">
        <f>IF(ISNUMBER(M89), $B91 * N89, "")</f>
        <v>3821.6560509554138</v>
      </c>
      <c r="Q89" s="212"/>
      <c r="R89" s="213"/>
      <c r="S89" s="214"/>
    </row>
    <row r="90" spans="1:19" ht="17.25" thickBot="1">
      <c r="A90" s="130" t="s">
        <v>92</v>
      </c>
      <c r="B90" s="131">
        <v>986</v>
      </c>
      <c r="C90" s="79">
        <v>-1.8905472600000001E-2</v>
      </c>
      <c r="D90" s="24">
        <v>1030</v>
      </c>
      <c r="E90" s="25">
        <f t="shared" si="42"/>
        <v>4.4624746450304259E-2</v>
      </c>
      <c r="F90" s="104">
        <f>IF(ISNUMBER(D90), $B91 * E90, "")</f>
        <v>4462.4746450304256</v>
      </c>
      <c r="G90" s="102">
        <v>1015</v>
      </c>
      <c r="H90" s="25">
        <f t="shared" si="43"/>
        <v>2.9411764705882353E-2</v>
      </c>
      <c r="I90" s="103">
        <f>IF(ISNUMBER(G90), $B91 * H90, "")</f>
        <v>2941.1764705882351</v>
      </c>
      <c r="J90" s="24">
        <v>1020</v>
      </c>
      <c r="K90" s="25">
        <f t="shared" si="44"/>
        <v>3.4482758620689655E-2</v>
      </c>
      <c r="L90" s="104">
        <f>IF(ISNUMBER(J90), $B91 * K90, "")</f>
        <v>3448.2758620689656</v>
      </c>
      <c r="M90" s="102">
        <v>1005</v>
      </c>
      <c r="N90" s="25">
        <f t="shared" si="45"/>
        <v>1.9269776876267748E-2</v>
      </c>
      <c r="O90" s="104">
        <f>IF(ISNUMBER(M90), $B91 * N90, "")</f>
        <v>1926.9776876267749</v>
      </c>
      <c r="Q90" s="215"/>
      <c r="R90" s="216"/>
      <c r="S90" s="217"/>
    </row>
    <row r="91" spans="1:19" ht="17.25" thickBot="1">
      <c r="A91" s="132" t="s">
        <v>300</v>
      </c>
      <c r="B91" s="276">
        <f>$B$37</f>
        <v>100000</v>
      </c>
      <c r="C91" s="277"/>
      <c r="D91" s="26" t="s">
        <v>301</v>
      </c>
      <c r="E91" s="27">
        <f>IF(COUNT(E71:E90), SUM(E71:E90) / COUNT(E71:E90), 0)</f>
        <v>1.884967689283935E-2</v>
      </c>
      <c r="F91" s="28">
        <f>SUM(F71:F90)</f>
        <v>37699.353785678701</v>
      </c>
      <c r="G91" s="26" t="s">
        <v>301</v>
      </c>
      <c r="H91" s="27">
        <f>IF(COUNT(H71:H90), SUM(H71:H90) / COUNT(H71:H90), 0)</f>
        <v>3.311881967805029E-2</v>
      </c>
      <c r="I91" s="28">
        <f>SUM(I71:I90)</f>
        <v>66237.639356100583</v>
      </c>
      <c r="J91" s="26" t="s">
        <v>301</v>
      </c>
      <c r="K91" s="27">
        <f>IF(COUNT(K71:K90), SUM(K71:K90) / COUNT(K71:K90), 0)</f>
        <v>2.8759212726598999E-2</v>
      </c>
      <c r="L91" s="28">
        <f>SUM(L71:L90)</f>
        <v>57518.425453197997</v>
      </c>
      <c r="M91" s="26" t="s">
        <v>301</v>
      </c>
      <c r="N91" s="27">
        <f>IF(COUNT(N71:N90), SUM(N71:N90) / COUNT(N71:N90), 0)</f>
        <v>1.5616726505872435E-2</v>
      </c>
      <c r="O91" s="28">
        <f>SUM(O71:O90)</f>
        <v>31233.453011744874</v>
      </c>
      <c r="Q91" s="218"/>
      <c r="R91" s="219"/>
      <c r="S91" s="220"/>
    </row>
    <row r="93" spans="1:19" ht="17.25" thickBot="1"/>
    <row r="94" spans="1:19" ht="17.25" thickBot="1">
      <c r="A94" s="234" t="s">
        <v>46</v>
      </c>
      <c r="B94" s="235"/>
      <c r="C94" s="235"/>
      <c r="D94" s="235"/>
      <c r="E94" s="235"/>
      <c r="F94" s="235"/>
      <c r="G94" s="235"/>
      <c r="H94" s="235"/>
      <c r="I94" s="235"/>
      <c r="J94" s="235"/>
      <c r="K94" s="235"/>
      <c r="L94" s="235"/>
      <c r="M94" s="235"/>
      <c r="N94" s="235"/>
      <c r="O94" s="236"/>
      <c r="Q94" s="233"/>
      <c r="R94" s="233"/>
      <c r="S94" s="233"/>
    </row>
    <row r="95" spans="1:19" ht="17.25" thickBot="1">
      <c r="A95" s="196" t="s">
        <v>297</v>
      </c>
      <c r="B95" s="234" t="s">
        <v>49</v>
      </c>
      <c r="C95" s="236"/>
      <c r="D95" s="234" t="s">
        <v>58</v>
      </c>
      <c r="E95" s="235"/>
      <c r="F95" s="236"/>
      <c r="G95" s="237">
        <f>_xlfn.IFNA(VLOOKUP(B95, 현재가테이블!$B$2:$D$200, 2, FALSE), "-")</f>
        <v>41418000</v>
      </c>
      <c r="H95" s="238"/>
      <c r="I95" s="239"/>
      <c r="J95" s="234" t="s">
        <v>59</v>
      </c>
      <c r="K95" s="235"/>
      <c r="L95" s="236"/>
      <c r="M95" s="240">
        <f>_xlfn.IFNA(VLOOKUP(B95, 현재가테이블!$B$2:$D$200, 3, FALSE), "-")</f>
        <v>-5.2176301000000001E-2</v>
      </c>
      <c r="N95" s="241"/>
      <c r="O95" s="242"/>
      <c r="Q95" s="233"/>
      <c r="R95" s="233"/>
      <c r="S95" s="233"/>
    </row>
    <row r="96" spans="1:19" ht="17.25" thickBot="1">
      <c r="A96" s="278" t="s">
        <v>55</v>
      </c>
      <c r="B96" s="274" t="str">
        <f>TEXT($G$1, "[$-ko-KR]yyyy-mm-dd(ddd) ") &amp; "오전 00:00"</f>
        <v>2021-06-10(목) 오전 00:00</v>
      </c>
      <c r="C96" s="275"/>
      <c r="D96" s="247" t="str">
        <f>TEXT($G$1, "[$-ko-KR]yyyy-mm-dd(ddd) ") &amp; "오후 14:00"</f>
        <v>2021-06-10(목) 오후 14:00</v>
      </c>
      <c r="E96" s="248"/>
      <c r="F96" s="249"/>
      <c r="G96" s="247" t="str">
        <f>TEXT($G$1, "[$-ko-KR]yyyy-mm-dd(ddd) ") &amp; "오후 19:00"</f>
        <v>2021-06-10(목) 오후 19:00</v>
      </c>
      <c r="H96" s="248"/>
      <c r="I96" s="249"/>
      <c r="J96" s="247" t="str">
        <f>TEXT($G$1, "[$-ko-KR]yyyy-mm-dd(ddd) ") &amp; "오후 21:00"</f>
        <v>2021-06-10(목) 오후 21:00</v>
      </c>
      <c r="K96" s="248"/>
      <c r="L96" s="249"/>
      <c r="M96" s="247" t="str">
        <f>TEXT($G$1+1, "[$-ko-KR]yyyy-mm-dd(ddd) ") &amp; "오전 00:00"</f>
        <v>2021-06-11(금) 오전 00:00</v>
      </c>
      <c r="N96" s="248"/>
      <c r="O96" s="249"/>
      <c r="Q96" s="233"/>
      <c r="R96" s="233"/>
      <c r="S96" s="233"/>
    </row>
    <row r="97" spans="1:19" ht="17.25" thickBot="1">
      <c r="A97" s="279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97" t="s">
        <v>58</v>
      </c>
      <c r="H97" s="198" t="s">
        <v>298</v>
      </c>
      <c r="I97" s="19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3"/>
      <c r="R97" s="223"/>
      <c r="S97" s="223"/>
    </row>
    <row r="98" spans="1:19" ht="17.25" thickBot="1">
      <c r="A98" s="161" t="s">
        <v>94</v>
      </c>
      <c r="B98" s="124">
        <v>73990</v>
      </c>
      <c r="C98" s="76">
        <v>0.2131496967</v>
      </c>
      <c r="D98" s="13">
        <v>84580</v>
      </c>
      <c r="E98" s="14">
        <f>IF(ISNUMBER(D98), (D98 - $B98) / $B98, "")</f>
        <v>0.14312744965535884</v>
      </c>
      <c r="F98" s="16">
        <f>IF(ISNUMBER(D98), $B118 * E98, "")</f>
        <v>14312.744965535883</v>
      </c>
      <c r="G98" s="29">
        <v>83350</v>
      </c>
      <c r="H98" s="14">
        <f>IF(ISNUMBER(G98), (G98 - $B98) / $B98, "")</f>
        <v>0.12650358156507635</v>
      </c>
      <c r="I98" s="100">
        <f>IF(ISNUMBER(G98), $B118 * H98, "")</f>
        <v>12650.358156507635</v>
      </c>
      <c r="J98" s="13">
        <v>85060</v>
      </c>
      <c r="K98" s="14">
        <f>IF(ISNUMBER(J98), (J98 - $B98) / $B98, "")</f>
        <v>0.14961481281254224</v>
      </c>
      <c r="L98" s="16">
        <f>IF(ISNUMBER(J98), $B118 * K98, "")</f>
        <v>14961.481281254224</v>
      </c>
      <c r="M98" s="29">
        <v>84140</v>
      </c>
      <c r="N98" s="14">
        <f>IF(ISNUMBER(M98), (M98 - $B98) / $B98, "")</f>
        <v>0.13718070009460737</v>
      </c>
      <c r="O98" s="16">
        <f>IF(ISNUMBER(M98), $B118 * N98, "")</f>
        <v>13718.070009460736</v>
      </c>
      <c r="Q98" s="233"/>
      <c r="R98" s="233"/>
      <c r="S98" s="233"/>
    </row>
    <row r="99" spans="1:19" ht="17.25" thickBot="1">
      <c r="A99" s="162" t="s">
        <v>142</v>
      </c>
      <c r="B99" s="126">
        <v>709</v>
      </c>
      <c r="C99" s="77">
        <v>8.2442748100000005E-2</v>
      </c>
      <c r="D99" s="15">
        <v>659</v>
      </c>
      <c r="E99" s="32">
        <f t="shared" ref="E99:E102" si="46">IF(ISNUMBER(D99), (D99 - $B99) / $B99, "")</f>
        <v>-7.0521861777150918E-2</v>
      </c>
      <c r="F99" s="18">
        <f>IF(ISNUMBER(D99), $B118 * E99, "")</f>
        <v>-7052.1861777150916</v>
      </c>
      <c r="G99" s="31">
        <v>651</v>
      </c>
      <c r="H99" s="32">
        <f t="shared" ref="H99:H102" si="47">IF(ISNUMBER(G99), (G99 - $B99) / $B99, "")</f>
        <v>-8.1805359661495061E-2</v>
      </c>
      <c r="I99" s="101">
        <f>IF(ISNUMBER(G99), $B118 * H99, "")</f>
        <v>-8180.5359661495058</v>
      </c>
      <c r="J99" s="15">
        <v>632</v>
      </c>
      <c r="K99" s="32">
        <f t="shared" ref="K99:K102" si="48">IF(ISNUMBER(J99), (J99 - $B99) / $B99, "")</f>
        <v>-0.10860366713681241</v>
      </c>
      <c r="L99" s="18">
        <f>IF(ISNUMBER(J99), $B118 * K99, "")</f>
        <v>-10860.36671368124</v>
      </c>
      <c r="M99" s="31">
        <v>630</v>
      </c>
      <c r="N99" s="32">
        <f t="shared" ref="N99:N102" si="49">IF(ISNUMBER(M99), (M99 - $B99) / $B99, "")</f>
        <v>-0.11142454160789844</v>
      </c>
      <c r="O99" s="18">
        <f>IF(ISNUMBER(M99), $B118 * N99, "")</f>
        <v>-11142.454160789845</v>
      </c>
      <c r="Q99" s="233"/>
      <c r="R99" s="233"/>
      <c r="S99" s="233"/>
    </row>
    <row r="100" spans="1:19" ht="17.25" thickBot="1">
      <c r="A100" s="162" t="s">
        <v>248</v>
      </c>
      <c r="B100" s="126">
        <v>1755</v>
      </c>
      <c r="C100" s="77">
        <v>0.08</v>
      </c>
      <c r="D100" s="15">
        <v>1680</v>
      </c>
      <c r="E100" s="32">
        <f t="shared" si="46"/>
        <v>-4.2735042735042736E-2</v>
      </c>
      <c r="F100" s="18">
        <f>IF(ISNUMBER(D100), $B118 * E100, "")</f>
        <v>-4273.5042735042734</v>
      </c>
      <c r="G100" s="31">
        <v>1710</v>
      </c>
      <c r="H100" s="32">
        <f t="shared" si="47"/>
        <v>-2.564102564102564E-2</v>
      </c>
      <c r="I100" s="101">
        <f>IF(ISNUMBER(G100), $B118 * H100, "")</f>
        <v>-2564.102564102564</v>
      </c>
      <c r="J100" s="15">
        <v>1710</v>
      </c>
      <c r="K100" s="32">
        <f t="shared" si="48"/>
        <v>-2.564102564102564E-2</v>
      </c>
      <c r="L100" s="18">
        <f>IF(ISNUMBER(J100), $B118 * K100, "")</f>
        <v>-2564.102564102564</v>
      </c>
      <c r="M100" s="31">
        <v>1685</v>
      </c>
      <c r="N100" s="32">
        <f t="shared" si="49"/>
        <v>-3.9886039886039885E-2</v>
      </c>
      <c r="O100" s="18">
        <f>IF(ISNUMBER(M100), $B118 * N100, "")</f>
        <v>-3988.6039886039885</v>
      </c>
      <c r="Q100" s="223"/>
      <c r="R100" s="223"/>
      <c r="S100" s="223"/>
    </row>
    <row r="101" spans="1:19" ht="17.25" thickBot="1">
      <c r="A101" s="162" t="s">
        <v>272</v>
      </c>
      <c r="B101" s="126">
        <v>1365</v>
      </c>
      <c r="C101" s="77">
        <v>5.4054054099999999E-2</v>
      </c>
      <c r="D101" s="15">
        <v>1375</v>
      </c>
      <c r="E101" s="32">
        <f t="shared" si="46"/>
        <v>7.326007326007326E-3</v>
      </c>
      <c r="F101" s="18">
        <f>IF(ISNUMBER(D101), $B118 * E101, "")</f>
        <v>732.60073260073261</v>
      </c>
      <c r="G101" s="31">
        <v>1370</v>
      </c>
      <c r="H101" s="32">
        <f t="shared" si="47"/>
        <v>3.663003663003663E-3</v>
      </c>
      <c r="I101" s="101">
        <f>IF(ISNUMBER(G101), $B118 * H101, "")</f>
        <v>366.30036630036631</v>
      </c>
      <c r="J101" s="15">
        <v>1360</v>
      </c>
      <c r="K101" s="32">
        <f t="shared" si="48"/>
        <v>-3.663003663003663E-3</v>
      </c>
      <c r="L101" s="18">
        <f>IF(ISNUMBER(J101), $B118 * K101, "")</f>
        <v>-366.30036630036631</v>
      </c>
      <c r="M101" s="31">
        <v>1365</v>
      </c>
      <c r="N101" s="32">
        <f t="shared" si="49"/>
        <v>0</v>
      </c>
      <c r="O101" s="18">
        <f>IF(ISNUMBER(M101), $B118 * N101, "")</f>
        <v>0</v>
      </c>
      <c r="Q101" s="223"/>
      <c r="R101" s="223"/>
      <c r="S101" s="223"/>
    </row>
    <row r="102" spans="1:19" ht="17.25" thickBot="1">
      <c r="A102" s="163" t="s">
        <v>280</v>
      </c>
      <c r="B102" s="128">
        <v>997</v>
      </c>
      <c r="C102" s="78">
        <v>4.3979057600000003E-2</v>
      </c>
      <c r="D102" s="20">
        <v>983</v>
      </c>
      <c r="E102" s="21">
        <f t="shared" si="46"/>
        <v>-1.4042126379137413E-2</v>
      </c>
      <c r="F102" s="22">
        <f>IF(ISNUMBER(D102), $B118 * E102, "")</f>
        <v>-1404.2126379137412</v>
      </c>
      <c r="G102" s="30">
        <v>1005</v>
      </c>
      <c r="H102" s="21">
        <f t="shared" si="47"/>
        <v>8.0240722166499499E-3</v>
      </c>
      <c r="I102" s="105">
        <f>IF(ISNUMBER(G102), $B118 * H102, "")</f>
        <v>802.40722166499495</v>
      </c>
      <c r="J102" s="20">
        <v>1005</v>
      </c>
      <c r="K102" s="21">
        <f t="shared" si="48"/>
        <v>8.0240722166499499E-3</v>
      </c>
      <c r="L102" s="22">
        <f>IF(ISNUMBER(J102), $B118 * K102, "")</f>
        <v>802.40722166499495</v>
      </c>
      <c r="M102" s="30">
        <v>992</v>
      </c>
      <c r="N102" s="21">
        <f t="shared" si="49"/>
        <v>-5.0150451354062184E-3</v>
      </c>
      <c r="O102" s="22">
        <f>IF(ISNUMBER(M102), $B118 * N102, "")</f>
        <v>-501.50451354062187</v>
      </c>
      <c r="Q102" s="223"/>
      <c r="R102" s="223"/>
      <c r="S102" s="223"/>
    </row>
    <row r="103" spans="1:19" ht="17.25" thickBot="1">
      <c r="A103" s="162" t="s">
        <v>49</v>
      </c>
      <c r="B103" s="129">
        <v>40074000</v>
      </c>
      <c r="C103" s="80">
        <v>4.10453577E-2</v>
      </c>
      <c r="D103" s="106">
        <v>42299000</v>
      </c>
      <c r="E103" s="107">
        <f>IF(ISNUMBER(D103), (D103 - $B103) / $B103, "")</f>
        <v>5.5522283775016217E-2</v>
      </c>
      <c r="F103" s="108">
        <f>IF(ISNUMBER(D103), $B118 * E103, "")</f>
        <v>5552.2283775016213</v>
      </c>
      <c r="G103" s="109">
        <v>43202000</v>
      </c>
      <c r="H103" s="107">
        <f>IF(ISNUMBER(G103), (G103 - $B103) / $B103, "")</f>
        <v>7.8055597145281236E-2</v>
      </c>
      <c r="I103" s="110">
        <f>IF(ISNUMBER(G103), $B118 * H103, "")</f>
        <v>7805.5597145281235</v>
      </c>
      <c r="J103" s="106">
        <v>43570000</v>
      </c>
      <c r="K103" s="107">
        <f>IF(ISNUMBER(J103), (J103 - $B103) / $B103, "")</f>
        <v>8.7238608574137844E-2</v>
      </c>
      <c r="L103" s="108">
        <f>IF(ISNUMBER(J103), $B118 * K103, "")</f>
        <v>8723.8608574137852</v>
      </c>
      <c r="M103" s="109">
        <v>42789000</v>
      </c>
      <c r="N103" s="107">
        <f>IF(ISNUMBER(M103), (M103 - $B103) / $B103, "")</f>
        <v>6.7749663123222045E-2</v>
      </c>
      <c r="O103" s="108">
        <f>IF(ISNUMBER(M103), $B118 * N103, "")</f>
        <v>6774.9663123222044</v>
      </c>
      <c r="Q103" s="223"/>
      <c r="R103" s="223"/>
      <c r="S103" s="223"/>
    </row>
    <row r="104" spans="1:19" ht="17.25" thickBot="1">
      <c r="A104" s="162" t="s">
        <v>220</v>
      </c>
      <c r="B104" s="126">
        <v>11.5</v>
      </c>
      <c r="C104" s="77">
        <v>3.6036036E-2</v>
      </c>
      <c r="D104" s="15">
        <v>12.6</v>
      </c>
      <c r="E104" s="32">
        <f t="shared" ref="E104:E107" si="50">IF(ISNUMBER(D104), (D104 - $B104) / $B104, "")</f>
        <v>9.5652173913043453E-2</v>
      </c>
      <c r="F104" s="18">
        <f>IF(ISNUMBER(D104), $B118 * E104, "")</f>
        <v>9565.2173913043462</v>
      </c>
      <c r="G104" s="31">
        <v>12.6</v>
      </c>
      <c r="H104" s="32">
        <f t="shared" ref="H104:H107" si="51">IF(ISNUMBER(G104), (G104 - $B104) / $B104, "")</f>
        <v>9.5652173913043453E-2</v>
      </c>
      <c r="I104" s="101">
        <f>IF(ISNUMBER(G104), $B118 * H104, "")</f>
        <v>9565.2173913043462</v>
      </c>
      <c r="J104" s="15">
        <v>12.6</v>
      </c>
      <c r="K104" s="32">
        <f t="shared" ref="K104:K107" si="52">IF(ISNUMBER(J104), (J104 - $B104) / $B104, "")</f>
        <v>9.5652173913043453E-2</v>
      </c>
      <c r="L104" s="18">
        <f>IF(ISNUMBER(J104), $B118 * K104, "")</f>
        <v>9565.2173913043462</v>
      </c>
      <c r="M104" s="31">
        <v>12.3</v>
      </c>
      <c r="N104" s="32">
        <f t="shared" ref="N104:N107" si="53">IF(ISNUMBER(M104), (M104 - $B104) / $B104, "")</f>
        <v>6.9565217391304404E-2</v>
      </c>
      <c r="O104" s="18">
        <f>IF(ISNUMBER(M104), $B118 * N104, "")</f>
        <v>6956.5217391304404</v>
      </c>
      <c r="Q104" s="223"/>
      <c r="R104" s="223"/>
      <c r="S104" s="223"/>
    </row>
    <row r="105" spans="1:19" ht="17.25" thickBot="1">
      <c r="A105" s="162" t="s">
        <v>270</v>
      </c>
      <c r="B105" s="126">
        <v>335</v>
      </c>
      <c r="C105" s="77">
        <v>3.3950617299999999E-2</v>
      </c>
      <c r="D105" s="15">
        <v>336</v>
      </c>
      <c r="E105" s="32">
        <f t="shared" si="50"/>
        <v>2.9850746268656717E-3</v>
      </c>
      <c r="F105" s="18">
        <f>IF(ISNUMBER(D105), $B118 * E105, "")</f>
        <v>298.50746268656718</v>
      </c>
      <c r="G105" s="31">
        <v>337</v>
      </c>
      <c r="H105" s="32">
        <f t="shared" si="51"/>
        <v>5.9701492537313433E-3</v>
      </c>
      <c r="I105" s="101">
        <f>IF(ISNUMBER(G105), $B118 * H105, "")</f>
        <v>597.01492537313436</v>
      </c>
      <c r="J105" s="15">
        <v>341</v>
      </c>
      <c r="K105" s="32">
        <f t="shared" si="52"/>
        <v>1.7910447761194031E-2</v>
      </c>
      <c r="L105" s="18">
        <f>IF(ISNUMBER(J105), $B118 * K105, "")</f>
        <v>1791.0447761194032</v>
      </c>
      <c r="M105" s="31">
        <v>339</v>
      </c>
      <c r="N105" s="32">
        <f t="shared" si="53"/>
        <v>1.1940298507462687E-2</v>
      </c>
      <c r="O105" s="18">
        <f>IF(ISNUMBER(M105), $B118 * N105, "")</f>
        <v>1194.0298507462687</v>
      </c>
      <c r="Q105" s="223"/>
      <c r="R105" s="223"/>
      <c r="S105" s="223"/>
    </row>
    <row r="106" spans="1:19" ht="17.25" thickBot="1">
      <c r="A106" s="162" t="s">
        <v>244</v>
      </c>
      <c r="B106" s="126">
        <v>1690</v>
      </c>
      <c r="C106" s="77">
        <v>3.3639143699999999E-2</v>
      </c>
      <c r="D106" s="15">
        <v>1675</v>
      </c>
      <c r="E106" s="32">
        <f t="shared" si="50"/>
        <v>-8.8757396449704144E-3</v>
      </c>
      <c r="F106" s="18">
        <f>IF(ISNUMBER(D106), $B118 * E106, "")</f>
        <v>-887.5739644970414</v>
      </c>
      <c r="G106" s="31">
        <v>1735</v>
      </c>
      <c r="H106" s="32">
        <f t="shared" si="51"/>
        <v>2.6627218934911243E-2</v>
      </c>
      <c r="I106" s="101">
        <f>IF(ISNUMBER(G106), $B118 * H106, "")</f>
        <v>2662.7218934911243</v>
      </c>
      <c r="J106" s="15">
        <v>1720</v>
      </c>
      <c r="K106" s="32">
        <f t="shared" si="52"/>
        <v>1.7751479289940829E-2</v>
      </c>
      <c r="L106" s="18">
        <f>IF(ISNUMBER(J106), $B118 * K106, "")</f>
        <v>1775.1479289940828</v>
      </c>
      <c r="M106" s="31">
        <v>1695</v>
      </c>
      <c r="N106" s="32">
        <f t="shared" si="53"/>
        <v>2.9585798816568047E-3</v>
      </c>
      <c r="O106" s="18">
        <f>IF(ISNUMBER(M106), $B118 * N106, "")</f>
        <v>295.85798816568047</v>
      </c>
      <c r="Q106" s="33"/>
      <c r="R106" s="33"/>
    </row>
    <row r="107" spans="1:19" ht="17.25" thickBot="1">
      <c r="A107" s="130" t="s">
        <v>114</v>
      </c>
      <c r="B107" s="131">
        <v>10700</v>
      </c>
      <c r="C107" s="79">
        <v>2.29445507E-2</v>
      </c>
      <c r="D107" s="24">
        <v>10420</v>
      </c>
      <c r="E107" s="25">
        <f t="shared" si="50"/>
        <v>-2.6168224299065422E-2</v>
      </c>
      <c r="F107" s="104">
        <f>IF(ISNUMBER(D107), $B118 * E107, "")</f>
        <v>-2616.8224299065423</v>
      </c>
      <c r="G107" s="102">
        <v>10400</v>
      </c>
      <c r="H107" s="25">
        <f t="shared" si="51"/>
        <v>-2.8037383177570093E-2</v>
      </c>
      <c r="I107" s="103">
        <f>IF(ISNUMBER(G107), $B118 * H107, "")</f>
        <v>-2803.7383177570091</v>
      </c>
      <c r="J107" s="24">
        <v>10320</v>
      </c>
      <c r="K107" s="25">
        <f t="shared" si="52"/>
        <v>-3.5514018691588788E-2</v>
      </c>
      <c r="L107" s="104">
        <f>IF(ISNUMBER(J107), $B118 * K107, "")</f>
        <v>-3551.401869158879</v>
      </c>
      <c r="M107" s="102">
        <v>10170</v>
      </c>
      <c r="N107" s="25">
        <f t="shared" si="53"/>
        <v>-4.9532710280373829E-2</v>
      </c>
      <c r="O107" s="104">
        <f>IF(ISNUMBER(M107), $B118 * N107, "")</f>
        <v>-4953.2710280373831</v>
      </c>
      <c r="Q107" s="224"/>
      <c r="R107" s="225"/>
      <c r="S107" s="226"/>
    </row>
    <row r="108" spans="1:19">
      <c r="A108" s="161" t="s">
        <v>102</v>
      </c>
      <c r="B108" s="124">
        <v>66700</v>
      </c>
      <c r="C108" s="76">
        <v>2.09704577E-2</v>
      </c>
      <c r="D108" s="13">
        <v>69790</v>
      </c>
      <c r="E108" s="14">
        <f>IF(ISNUMBER(D108), (D108 - $B108) / $B108, "")</f>
        <v>4.6326836581709142E-2</v>
      </c>
      <c r="F108" s="16">
        <f>IF(ISNUMBER(D108), $B118 * E108, "")</f>
        <v>4632.683658170914</v>
      </c>
      <c r="G108" s="29">
        <v>69210</v>
      </c>
      <c r="H108" s="14">
        <f>IF(ISNUMBER(G108), (G108 - $B108) / $B108, "")</f>
        <v>3.7631184407796101E-2</v>
      </c>
      <c r="I108" s="100">
        <f>IF(ISNUMBER(G108), $B118 * H108, "")</f>
        <v>3763.11844077961</v>
      </c>
      <c r="J108" s="13">
        <v>69240</v>
      </c>
      <c r="K108" s="14">
        <f>IF(ISNUMBER(J108), (J108 - $B108) / $B108, "")</f>
        <v>3.8080959520239883E-2</v>
      </c>
      <c r="L108" s="16">
        <f>IF(ISNUMBER(J108), $B118 * K108, "")</f>
        <v>3808.0959520239885</v>
      </c>
      <c r="M108" s="29">
        <v>68500</v>
      </c>
      <c r="N108" s="14">
        <f>IF(ISNUMBER(M108), (M108 - $B108) / $B108, "")</f>
        <v>2.6986506746626688E-2</v>
      </c>
      <c r="O108" s="16">
        <f>IF(ISNUMBER(M108), $B118 * N108, "")</f>
        <v>2698.6506746626687</v>
      </c>
      <c r="Q108" s="227"/>
      <c r="R108" s="228"/>
      <c r="S108" s="229"/>
    </row>
    <row r="109" spans="1:19" ht="17.25" thickBot="1">
      <c r="A109" s="162" t="s">
        <v>82</v>
      </c>
      <c r="B109" s="126">
        <v>978</v>
      </c>
      <c r="C109" s="77">
        <v>1.9812304499999999E-2</v>
      </c>
      <c r="D109" s="15">
        <v>996</v>
      </c>
      <c r="E109" s="32">
        <f t="shared" ref="E109:E112" si="54">IF(ISNUMBER(D109), (D109 - $B109) / $B109, "")</f>
        <v>1.8404907975460124E-2</v>
      </c>
      <c r="F109" s="18">
        <f>IF(ISNUMBER(D109), $B118 * E109, "")</f>
        <v>1840.4907975460123</v>
      </c>
      <c r="G109" s="31">
        <v>1035</v>
      </c>
      <c r="H109" s="32">
        <f t="shared" ref="H109:H112" si="55">IF(ISNUMBER(G109), (G109 - $B109) / $B109, "")</f>
        <v>5.8282208588957052E-2</v>
      </c>
      <c r="I109" s="101">
        <f>IF(ISNUMBER(G109), $B118 * H109, "")</f>
        <v>5828.2208588957055</v>
      </c>
      <c r="J109" s="15">
        <v>1045</v>
      </c>
      <c r="K109" s="32">
        <f t="shared" ref="K109:K112" si="56">IF(ISNUMBER(J109), (J109 - $B109) / $B109, "")</f>
        <v>6.8507157464212681E-2</v>
      </c>
      <c r="L109" s="18">
        <f>IF(ISNUMBER(J109), $B118 * K109, "")</f>
        <v>6850.7157464212678</v>
      </c>
      <c r="M109" s="31">
        <v>1020</v>
      </c>
      <c r="N109" s="32">
        <f t="shared" ref="N109:N112" si="57">IF(ISNUMBER(M109), (M109 - $B109) / $B109, "")</f>
        <v>4.2944785276073622E-2</v>
      </c>
      <c r="O109" s="18">
        <f>IF(ISNUMBER(M109), $B118 * N109, "")</f>
        <v>4294.4785276073626</v>
      </c>
      <c r="Q109" s="230"/>
      <c r="R109" s="231"/>
      <c r="S109" s="232"/>
    </row>
    <row r="110" spans="1:19" ht="17.25" thickBot="1">
      <c r="A110" s="162" t="s">
        <v>224</v>
      </c>
      <c r="B110" s="126">
        <v>1355</v>
      </c>
      <c r="C110" s="77">
        <v>1.8796992500000002E-2</v>
      </c>
      <c r="D110" s="15">
        <v>1445</v>
      </c>
      <c r="E110" s="32">
        <f t="shared" si="54"/>
        <v>6.6420664206642069E-2</v>
      </c>
      <c r="F110" s="18">
        <f>IF(ISNUMBER(D110), $B118 * E110, "")</f>
        <v>6642.0664206642068</v>
      </c>
      <c r="G110" s="31">
        <v>1415</v>
      </c>
      <c r="H110" s="32">
        <f t="shared" si="55"/>
        <v>4.4280442804428041E-2</v>
      </c>
      <c r="I110" s="101">
        <f>IF(ISNUMBER(G110), $B118 * H110, "")</f>
        <v>4428.0442804428039</v>
      </c>
      <c r="J110" s="15">
        <v>1390</v>
      </c>
      <c r="K110" s="32">
        <f t="shared" si="56"/>
        <v>2.5830258302583026E-2</v>
      </c>
      <c r="L110" s="18">
        <f>IF(ISNUMBER(J110), $B118 * K110, "")</f>
        <v>2583.0258302583024</v>
      </c>
      <c r="M110" s="31">
        <v>1390</v>
      </c>
      <c r="N110" s="32">
        <f t="shared" si="57"/>
        <v>2.5830258302583026E-2</v>
      </c>
      <c r="O110" s="18">
        <f>IF(ISNUMBER(M110), $B118 * N110, "")</f>
        <v>2583.0258302583024</v>
      </c>
      <c r="Q110" s="223"/>
      <c r="R110" s="223"/>
      <c r="S110" s="223"/>
    </row>
    <row r="111" spans="1:19" ht="17.25" thickBot="1">
      <c r="A111" s="162" t="s">
        <v>210</v>
      </c>
      <c r="B111" s="126">
        <v>117</v>
      </c>
      <c r="C111" s="77">
        <v>1.73913043E-2</v>
      </c>
      <c r="D111" s="15">
        <v>118</v>
      </c>
      <c r="E111" s="32">
        <f t="shared" si="54"/>
        <v>8.5470085470085479E-3</v>
      </c>
      <c r="F111" s="18">
        <f>IF(ISNUMBER(D111), $B118 * E111, "")</f>
        <v>854.70085470085473</v>
      </c>
      <c r="G111" s="31">
        <v>121</v>
      </c>
      <c r="H111" s="32">
        <f t="shared" si="55"/>
        <v>3.4188034188034191E-2</v>
      </c>
      <c r="I111" s="101">
        <f>IF(ISNUMBER(G111), $B118 * H111, "")</f>
        <v>3418.8034188034189</v>
      </c>
      <c r="J111" s="15">
        <v>121</v>
      </c>
      <c r="K111" s="32">
        <f t="shared" si="56"/>
        <v>3.4188034188034191E-2</v>
      </c>
      <c r="L111" s="18">
        <f>IF(ISNUMBER(J111), $B118 * K111, "")</f>
        <v>3418.8034188034189</v>
      </c>
      <c r="M111" s="31">
        <v>120</v>
      </c>
      <c r="N111" s="32">
        <f t="shared" si="57"/>
        <v>2.564102564102564E-2</v>
      </c>
      <c r="O111" s="18">
        <f>IF(ISNUMBER(M111), $B118 * N111, "")</f>
        <v>2564.102564102564</v>
      </c>
      <c r="Q111" s="233"/>
      <c r="R111" s="233"/>
      <c r="S111" s="233"/>
    </row>
    <row r="112" spans="1:19" ht="17.25" thickBot="1">
      <c r="A112" s="163" t="s">
        <v>108</v>
      </c>
      <c r="B112" s="128">
        <v>32230</v>
      </c>
      <c r="C112" s="78">
        <v>1.54379332E-2</v>
      </c>
      <c r="D112" s="20">
        <v>32460</v>
      </c>
      <c r="E112" s="21">
        <f t="shared" si="54"/>
        <v>7.1362085013962151E-3</v>
      </c>
      <c r="F112" s="22">
        <f>IF(ISNUMBER(D112), $B118 * E112, "")</f>
        <v>713.62085013962155</v>
      </c>
      <c r="G112" s="30">
        <v>32600</v>
      </c>
      <c r="H112" s="21">
        <f t="shared" si="55"/>
        <v>1.1479987589202606E-2</v>
      </c>
      <c r="I112" s="105">
        <f>IF(ISNUMBER(G112), $B118 * H112, "")</f>
        <v>1147.9987589202606</v>
      </c>
      <c r="J112" s="20">
        <v>32340</v>
      </c>
      <c r="K112" s="21">
        <f t="shared" si="56"/>
        <v>3.4129692832764505E-3</v>
      </c>
      <c r="L112" s="22">
        <f>IF(ISNUMBER(J112), $B118 * K112, "")</f>
        <v>341.29692832764505</v>
      </c>
      <c r="M112" s="30">
        <v>32170</v>
      </c>
      <c r="N112" s="21">
        <f t="shared" si="57"/>
        <v>-1.8616196090598821E-3</v>
      </c>
      <c r="O112" s="22">
        <f>IF(ISNUMBER(M112), $B118 * N112, "")</f>
        <v>-186.1619609059882</v>
      </c>
      <c r="Q112" s="233"/>
      <c r="R112" s="233"/>
      <c r="S112" s="233"/>
    </row>
    <row r="113" spans="1:19" ht="17.25" thickBot="1">
      <c r="A113" s="162" t="s">
        <v>140</v>
      </c>
      <c r="B113" s="129">
        <v>2335</v>
      </c>
      <c r="C113" s="80">
        <v>1.5217391300000001E-2</v>
      </c>
      <c r="D113" s="106">
        <v>2275</v>
      </c>
      <c r="E113" s="107">
        <f>IF(ISNUMBER(D113), (D113 - $B113) / $B113, "")</f>
        <v>-2.569593147751606E-2</v>
      </c>
      <c r="F113" s="108">
        <f>IF(ISNUMBER(D113), $B118 * E113, "")</f>
        <v>-2569.593147751606</v>
      </c>
      <c r="G113" s="109">
        <v>2320</v>
      </c>
      <c r="H113" s="107">
        <f>IF(ISNUMBER(G113), (G113 - $B113) / $B113, "")</f>
        <v>-6.4239828693790149E-3</v>
      </c>
      <c r="I113" s="110">
        <f>IF(ISNUMBER(G113), $B118 * H113, "")</f>
        <v>-642.3982869379015</v>
      </c>
      <c r="J113" s="106">
        <v>2295</v>
      </c>
      <c r="K113" s="107">
        <f>IF(ISNUMBER(J113), (J113 - $B113) / $B113, "")</f>
        <v>-1.7130620985010708E-2</v>
      </c>
      <c r="L113" s="108">
        <f>IF(ISNUMBER(J113), $B118 * K113, "")</f>
        <v>-1713.0620985010707</v>
      </c>
      <c r="M113" s="109">
        <v>2240</v>
      </c>
      <c r="N113" s="107">
        <f>IF(ISNUMBER(M113), (M113 - $B113) / $B113, "")</f>
        <v>-4.068522483940043E-2</v>
      </c>
      <c r="O113" s="108">
        <f>IF(ISNUMBER(M113), $B118 * N113, "")</f>
        <v>-4068.522483940043</v>
      </c>
      <c r="Q113" s="223"/>
      <c r="R113" s="223"/>
      <c r="S113" s="223"/>
    </row>
    <row r="114" spans="1:19" ht="17.25" thickBot="1">
      <c r="A114" s="162" t="s">
        <v>120</v>
      </c>
      <c r="B114" s="126">
        <v>134</v>
      </c>
      <c r="C114" s="77">
        <v>1.51515152E-2</v>
      </c>
      <c r="D114" s="15">
        <v>138</v>
      </c>
      <c r="E114" s="32">
        <f t="shared" ref="E114:E117" si="58">IF(ISNUMBER(D114), (D114 - $B114) / $B114, "")</f>
        <v>2.9850746268656716E-2</v>
      </c>
      <c r="F114" s="18">
        <f>IF(ISNUMBER(D114), $B118 * E114, "")</f>
        <v>2985.0746268656717</v>
      </c>
      <c r="G114" s="31">
        <v>140</v>
      </c>
      <c r="H114" s="32">
        <f t="shared" ref="H114:H117" si="59">IF(ISNUMBER(G114), (G114 - $B114) / $B114, "")</f>
        <v>4.4776119402985072E-2</v>
      </c>
      <c r="I114" s="101">
        <f>IF(ISNUMBER(G114), $B118 * H114, "")</f>
        <v>4477.6119402985069</v>
      </c>
      <c r="J114" s="15">
        <v>140</v>
      </c>
      <c r="K114" s="32">
        <f t="shared" ref="K114:K117" si="60">IF(ISNUMBER(J114), (J114 - $B114) / $B114, "")</f>
        <v>4.4776119402985072E-2</v>
      </c>
      <c r="L114" s="18">
        <f>IF(ISNUMBER(J114), $B118 * K114, "")</f>
        <v>4477.6119402985069</v>
      </c>
      <c r="M114" s="31">
        <v>139</v>
      </c>
      <c r="N114" s="32">
        <f t="shared" ref="N114:N117" si="61">IF(ISNUMBER(M114), (M114 - $B114) / $B114, "")</f>
        <v>3.7313432835820892E-2</v>
      </c>
      <c r="O114" s="18">
        <f>IF(ISNUMBER(M114), $B118 * N114, "")</f>
        <v>3731.343283582089</v>
      </c>
      <c r="Q114" s="223"/>
      <c r="R114" s="223"/>
      <c r="S114" s="223"/>
    </row>
    <row r="115" spans="1:19" ht="17.25" thickBot="1">
      <c r="A115" s="162" t="s">
        <v>69</v>
      </c>
      <c r="B115" s="126">
        <v>5000</v>
      </c>
      <c r="C115" s="77">
        <v>1.2145749000000001E-2</v>
      </c>
      <c r="D115" s="15">
        <v>5095</v>
      </c>
      <c r="E115" s="32">
        <f t="shared" si="58"/>
        <v>1.9E-2</v>
      </c>
      <c r="F115" s="18">
        <f>IF(ISNUMBER(D115), $B118 * E115, "")</f>
        <v>1900</v>
      </c>
      <c r="G115" s="31">
        <v>5180</v>
      </c>
      <c r="H115" s="32">
        <f t="shared" si="59"/>
        <v>3.5999999999999997E-2</v>
      </c>
      <c r="I115" s="101">
        <f>IF(ISNUMBER(G115), $B118 * H115, "")</f>
        <v>3599.9999999999995</v>
      </c>
      <c r="J115" s="15">
        <v>5090</v>
      </c>
      <c r="K115" s="32">
        <f t="shared" si="60"/>
        <v>1.7999999999999999E-2</v>
      </c>
      <c r="L115" s="18">
        <f>IF(ISNUMBER(J115), $B118 * K115, "")</f>
        <v>1799.9999999999998</v>
      </c>
      <c r="M115" s="31">
        <v>4960</v>
      </c>
      <c r="N115" s="32">
        <f t="shared" si="61"/>
        <v>-8.0000000000000002E-3</v>
      </c>
      <c r="O115" s="18">
        <f>IF(ISNUMBER(M115), $B118 * N115, "")</f>
        <v>-800</v>
      </c>
      <c r="Q115" s="223"/>
      <c r="R115" s="223"/>
      <c r="S115" s="223"/>
    </row>
    <row r="116" spans="1:19">
      <c r="A116" s="162" t="s">
        <v>162</v>
      </c>
      <c r="B116" s="126">
        <v>1115</v>
      </c>
      <c r="C116" s="77">
        <v>9.0497738000000008E-3</v>
      </c>
      <c r="D116" s="15">
        <v>1140</v>
      </c>
      <c r="E116" s="32">
        <f t="shared" si="58"/>
        <v>2.2421524663677129E-2</v>
      </c>
      <c r="F116" s="18">
        <f>IF(ISNUMBER(D116), $B118 * E116, "")</f>
        <v>2242.1524663677128</v>
      </c>
      <c r="G116" s="31">
        <v>1155</v>
      </c>
      <c r="H116" s="32">
        <f t="shared" si="59"/>
        <v>3.5874439461883408E-2</v>
      </c>
      <c r="I116" s="101">
        <f>IF(ISNUMBER(G116), $B118 * H116, "")</f>
        <v>3587.4439461883408</v>
      </c>
      <c r="J116" s="15">
        <v>1155</v>
      </c>
      <c r="K116" s="32">
        <f t="shared" si="60"/>
        <v>3.5874439461883408E-2</v>
      </c>
      <c r="L116" s="18">
        <f>IF(ISNUMBER(J116), $B118 * K116, "")</f>
        <v>3587.4439461883408</v>
      </c>
      <c r="M116" s="31">
        <v>1150</v>
      </c>
      <c r="N116" s="32">
        <f t="shared" si="61"/>
        <v>3.1390134529147982E-2</v>
      </c>
      <c r="O116" s="18">
        <f>IF(ISNUMBER(M116), $B118 * N116, "")</f>
        <v>3139.0134529147981</v>
      </c>
      <c r="Q116" s="212"/>
      <c r="R116" s="213"/>
      <c r="S116" s="214"/>
    </row>
    <row r="117" spans="1:19" ht="17.25" thickBot="1">
      <c r="A117" s="130" t="s">
        <v>90</v>
      </c>
      <c r="B117" s="131">
        <v>188000</v>
      </c>
      <c r="C117" s="79">
        <v>6.6934404000000003E-3</v>
      </c>
      <c r="D117" s="24">
        <v>195350</v>
      </c>
      <c r="E117" s="25">
        <f t="shared" si="58"/>
        <v>3.9095744680851065E-2</v>
      </c>
      <c r="F117" s="104">
        <f>IF(ISNUMBER(D117), $B118 * E117, "")</f>
        <v>3909.5744680851067</v>
      </c>
      <c r="G117" s="102">
        <v>196050</v>
      </c>
      <c r="H117" s="25">
        <f t="shared" si="59"/>
        <v>4.2819148936170212E-2</v>
      </c>
      <c r="I117" s="103">
        <f>IF(ISNUMBER(G117), $B118 * H117, "")</f>
        <v>4281.9148936170213</v>
      </c>
      <c r="J117" s="24">
        <v>196000</v>
      </c>
      <c r="K117" s="25">
        <f t="shared" si="60"/>
        <v>4.2553191489361701E-2</v>
      </c>
      <c r="L117" s="104">
        <f>IF(ISNUMBER(J117), $B118 * K117, "")</f>
        <v>4255.3191489361698</v>
      </c>
      <c r="M117" s="102">
        <v>195200</v>
      </c>
      <c r="N117" s="25">
        <f t="shared" si="61"/>
        <v>3.8297872340425532E-2</v>
      </c>
      <c r="O117" s="104">
        <f>IF(ISNUMBER(M117), $B118 * N117, "")</f>
        <v>3829.7872340425533</v>
      </c>
      <c r="Q117" s="215"/>
      <c r="R117" s="216"/>
      <c r="S117" s="217"/>
    </row>
    <row r="118" spans="1:19" ht="17.25" thickBot="1">
      <c r="A118" s="132" t="s">
        <v>300</v>
      </c>
      <c r="B118" s="276">
        <f>$B$37</f>
        <v>100000</v>
      </c>
      <c r="C118" s="277"/>
      <c r="D118" s="26" t="s">
        <v>301</v>
      </c>
      <c r="E118" s="27">
        <f>IF(COUNT(E98:E117), SUM(E98:E117) / COUNT(E98:E117), 0)</f>
        <v>1.8688885220440481E-2</v>
      </c>
      <c r="F118" s="28">
        <f>SUM(F98:F117)</f>
        <v>37377.770440880951</v>
      </c>
      <c r="G118" s="26" t="s">
        <v>301</v>
      </c>
      <c r="H118" s="27">
        <f>IF(COUNT(H98:H117), SUM(H98:H117) / COUNT(H98:H117), 0)</f>
        <v>2.7395980536084209E-2</v>
      </c>
      <c r="I118" s="28">
        <f>SUM(I98:I117)</f>
        <v>54791.961072168408</v>
      </c>
      <c r="J118" s="26" t="s">
        <v>301</v>
      </c>
      <c r="K118" s="27">
        <f>IF(COUNT(K98:K117), SUM(K98:K117) / COUNT(K98:K117), 0)</f>
        <v>2.4843119378132175E-2</v>
      </c>
      <c r="L118" s="28">
        <f>SUM(L98:L117)</f>
        <v>49686.238756264363</v>
      </c>
      <c r="M118" s="26" t="s">
        <v>301</v>
      </c>
      <c r="N118" s="27">
        <f>IF(COUNT(N98:N117), SUM(N98:N117) / COUNT(N98:N117), 0)</f>
        <v>1.3069664665588898E-2</v>
      </c>
      <c r="O118" s="28">
        <f>SUM(O98:O117)</f>
        <v>26139.329331177796</v>
      </c>
      <c r="Q118" s="218"/>
      <c r="R118" s="219"/>
      <c r="S118" s="220"/>
    </row>
    <row r="120" spans="1:19" ht="17.25" thickBot="1"/>
    <row r="121" spans="1:19" ht="17.25" thickBot="1">
      <c r="A121" s="234" t="s">
        <v>288</v>
      </c>
      <c r="B121" s="235"/>
      <c r="C121" s="235"/>
      <c r="D121" s="235"/>
      <c r="E121" s="235"/>
      <c r="F121" s="235"/>
      <c r="G121" s="235"/>
      <c r="H121" s="235"/>
      <c r="I121" s="235"/>
      <c r="J121" s="235"/>
      <c r="K121" s="235"/>
      <c r="L121" s="235"/>
      <c r="M121" s="235"/>
      <c r="N121" s="235"/>
      <c r="O121" s="236"/>
      <c r="Q121" s="233"/>
      <c r="R121" s="233"/>
      <c r="S121" s="233"/>
    </row>
    <row r="122" spans="1:19" ht="17.25" thickBot="1">
      <c r="A122" s="196" t="s">
        <v>297</v>
      </c>
      <c r="B122" s="234" t="s">
        <v>49</v>
      </c>
      <c r="C122" s="236"/>
      <c r="D122" s="234" t="s">
        <v>58</v>
      </c>
      <c r="E122" s="235"/>
      <c r="F122" s="236"/>
      <c r="G122" s="237">
        <f>_xlfn.IFNA(VLOOKUP(B122, 현재가테이블!$B$2:$D$200, 2, FALSE), "-")</f>
        <v>41418000</v>
      </c>
      <c r="H122" s="238"/>
      <c r="I122" s="239"/>
      <c r="J122" s="234" t="s">
        <v>59</v>
      </c>
      <c r="K122" s="235"/>
      <c r="L122" s="236"/>
      <c r="M122" s="240">
        <f>_xlfn.IFNA(VLOOKUP(B122, 현재가테이블!$B$2:$D$200, 3, FALSE), "-")</f>
        <v>-5.2176301000000001E-2</v>
      </c>
      <c r="N122" s="241"/>
      <c r="O122" s="242"/>
      <c r="Q122" s="233"/>
      <c r="R122" s="233"/>
      <c r="S122" s="233"/>
    </row>
    <row r="123" spans="1:19" ht="17.25" thickBot="1">
      <c r="A123" s="278" t="s">
        <v>55</v>
      </c>
      <c r="B123" s="274" t="str">
        <f>TEXT($G$1, "[$-ko-KR]yyyy-mm-dd(ddd) ") &amp; "오전 00:00"</f>
        <v>2021-06-10(목) 오전 00:00</v>
      </c>
      <c r="C123" s="275"/>
      <c r="D123" s="247" t="str">
        <f>TEXT($G$1, "[$-ko-KR]yyyy-mm-dd(ddd) ") &amp; "오후 14:00"</f>
        <v>2021-06-10(목) 오후 14:00</v>
      </c>
      <c r="E123" s="248"/>
      <c r="F123" s="249"/>
      <c r="G123" s="247" t="str">
        <f>TEXT($G$1, "[$-ko-KR]yyyy-mm-dd(ddd) ") &amp; "오후 19:00"</f>
        <v>2021-06-10(목) 오후 19:00</v>
      </c>
      <c r="H123" s="248"/>
      <c r="I123" s="249"/>
      <c r="J123" s="247" t="str">
        <f>TEXT($G$1, "[$-ko-KR]yyyy-mm-dd(ddd) ") &amp; "오후 21:00"</f>
        <v>2021-06-10(목) 오후 21:00</v>
      </c>
      <c r="K123" s="248"/>
      <c r="L123" s="249"/>
      <c r="M123" s="247" t="str">
        <f>TEXT($G$1+1, "[$-ko-KR]yyyy-mm-dd(ddd) ") &amp; "오전 00:00"</f>
        <v>2021-06-11(금) 오전 00:00</v>
      </c>
      <c r="N123" s="248"/>
      <c r="O123" s="249"/>
      <c r="Q123" s="233"/>
      <c r="R123" s="233"/>
      <c r="S123" s="233"/>
    </row>
    <row r="124" spans="1:19" ht="17.25" thickBot="1">
      <c r="A124" s="279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97" t="s">
        <v>58</v>
      </c>
      <c r="H124" s="198" t="s">
        <v>298</v>
      </c>
      <c r="I124" s="19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3"/>
      <c r="R124" s="223"/>
      <c r="S124" s="223"/>
    </row>
    <row r="125" spans="1:19" ht="17.25" thickBot="1">
      <c r="A125" s="161" t="s">
        <v>65</v>
      </c>
      <c r="B125" s="124">
        <v>32.299999999999997</v>
      </c>
      <c r="C125" s="76">
        <v>-1.82370821E-2</v>
      </c>
      <c r="D125" s="13">
        <v>33.799999999999997</v>
      </c>
      <c r="E125" s="14">
        <f>IF(ISNUMBER(D125), (D125 - $B125) / $B125, "")</f>
        <v>4.6439628482972138E-2</v>
      </c>
      <c r="F125" s="16">
        <f>IF(ISNUMBER(D125), $B145 * E125, "")</f>
        <v>4643.9628482972139</v>
      </c>
      <c r="G125" s="29">
        <v>34.1</v>
      </c>
      <c r="H125" s="14">
        <f>IF(ISNUMBER(G125), (G125 - $B125) / $B125, "")</f>
        <v>5.57275541795667E-2</v>
      </c>
      <c r="I125" s="100">
        <f>IF(ISNUMBER(G125), $B145 * H125, "")</f>
        <v>5572.7554179566696</v>
      </c>
      <c r="J125" s="13">
        <v>34.299999999999997</v>
      </c>
      <c r="K125" s="14">
        <f>IF(ISNUMBER(J125), (J125 - $B125) / $B125, "")</f>
        <v>6.1919504643962855E-2</v>
      </c>
      <c r="L125" s="16">
        <f>IF(ISNUMBER(J125), $B145 * K125, "")</f>
        <v>6191.9504643962855</v>
      </c>
      <c r="M125" s="29">
        <v>33.5</v>
      </c>
      <c r="N125" s="14">
        <f>IF(ISNUMBER(M125), (M125 - $B125) / $B125, "")</f>
        <v>3.7151702786377798E-2</v>
      </c>
      <c r="O125" s="16">
        <f>IF(ISNUMBER(M125), $B145 * N125, "")</f>
        <v>3715.1702786377796</v>
      </c>
      <c r="Q125" s="233"/>
      <c r="R125" s="233"/>
      <c r="S125" s="233"/>
    </row>
    <row r="126" spans="1:19" ht="17.25" thickBot="1">
      <c r="A126" s="162" t="s">
        <v>254</v>
      </c>
      <c r="B126" s="126">
        <v>44</v>
      </c>
      <c r="C126" s="77">
        <v>-2.00445434E-2</v>
      </c>
      <c r="D126" s="15">
        <v>64.2</v>
      </c>
      <c r="E126" s="32">
        <f t="shared" ref="E126:E129" si="62">IF(ISNUMBER(D126), (D126 - $B126) / $B126, "")</f>
        <v>0.45909090909090916</v>
      </c>
      <c r="F126" s="18">
        <f>IF(ISNUMBER(D126), $B145 * E126, "")</f>
        <v>45909.090909090919</v>
      </c>
      <c r="G126" s="31">
        <v>74.5</v>
      </c>
      <c r="H126" s="32">
        <f t="shared" ref="H126:H129" si="63">IF(ISNUMBER(G126), (G126 - $B126) / $B126, "")</f>
        <v>0.69318181818181823</v>
      </c>
      <c r="I126" s="101">
        <f>IF(ISNUMBER(G126), $B145 * H126, "")</f>
        <v>69318.181818181823</v>
      </c>
      <c r="J126" s="15">
        <v>71.900000000000006</v>
      </c>
      <c r="K126" s="32">
        <f t="shared" ref="K126:K129" si="64">IF(ISNUMBER(J126), (J126 - $B126) / $B126, "")</f>
        <v>0.63409090909090926</v>
      </c>
      <c r="L126" s="18">
        <f>IF(ISNUMBER(J126), $B145 * K126, "")</f>
        <v>63409.090909090926</v>
      </c>
      <c r="M126" s="31">
        <v>66.3</v>
      </c>
      <c r="N126" s="32">
        <f t="shared" ref="N126:N129" si="65">IF(ISNUMBER(M126), (M126 - $B126) / $B126, "")</f>
        <v>0.50681818181818172</v>
      </c>
      <c r="O126" s="18">
        <f>IF(ISNUMBER(M126), $B145 * N126, "")</f>
        <v>50681.818181818169</v>
      </c>
      <c r="Q126" s="233"/>
      <c r="R126" s="233"/>
      <c r="S126" s="233"/>
    </row>
    <row r="127" spans="1:19" ht="17.25" thickBot="1">
      <c r="A127" s="162" t="s">
        <v>100</v>
      </c>
      <c r="B127" s="126">
        <v>4.18</v>
      </c>
      <c r="C127" s="77">
        <v>-2.1077283400000001E-2</v>
      </c>
      <c r="D127" s="15">
        <v>4.28</v>
      </c>
      <c r="E127" s="32">
        <f t="shared" si="62"/>
        <v>2.3923444976076683E-2</v>
      </c>
      <c r="F127" s="18">
        <f>IF(ISNUMBER(D127), $B145 * E127, "")</f>
        <v>2392.3444976076685</v>
      </c>
      <c r="G127" s="31">
        <v>4.3099999999999996</v>
      </c>
      <c r="H127" s="32">
        <f t="shared" si="63"/>
        <v>3.1100478468899496E-2</v>
      </c>
      <c r="I127" s="101">
        <f>IF(ISNUMBER(G127), $B145 * H127, "")</f>
        <v>3110.0478468899496</v>
      </c>
      <c r="J127" s="15">
        <v>4.2699999999999996</v>
      </c>
      <c r="K127" s="32">
        <f t="shared" si="64"/>
        <v>2.1531100478468866E-2</v>
      </c>
      <c r="L127" s="18">
        <f>IF(ISNUMBER(J127), $B145 * K127, "")</f>
        <v>2153.1100478468866</v>
      </c>
      <c r="M127" s="31">
        <v>4.24</v>
      </c>
      <c r="N127" s="32">
        <f t="shared" si="65"/>
        <v>1.4354066985646053E-2</v>
      </c>
      <c r="O127" s="18">
        <f>IF(ISNUMBER(M127), $B145 * N127, "")</f>
        <v>1435.4066985646052</v>
      </c>
      <c r="Q127" s="223"/>
      <c r="R127" s="223"/>
      <c r="S127" s="223"/>
    </row>
    <row r="128" spans="1:19" ht="17.25" thickBot="1">
      <c r="A128" s="162" t="s">
        <v>134</v>
      </c>
      <c r="B128" s="126">
        <v>84.4</v>
      </c>
      <c r="C128" s="77">
        <v>-2.3148148100000002E-2</v>
      </c>
      <c r="D128" s="15">
        <v>86.1</v>
      </c>
      <c r="E128" s="32">
        <f t="shared" si="62"/>
        <v>2.0142180094786594E-2</v>
      </c>
      <c r="F128" s="18">
        <f>IF(ISNUMBER(D128), $B145 * E128, "")</f>
        <v>2014.2180094786595</v>
      </c>
      <c r="G128" s="31">
        <v>91</v>
      </c>
      <c r="H128" s="32">
        <f t="shared" si="63"/>
        <v>7.8199052132701355E-2</v>
      </c>
      <c r="I128" s="101">
        <f>IF(ISNUMBER(G128), $B145 * H128, "")</f>
        <v>7819.9052132701354</v>
      </c>
      <c r="J128" s="15">
        <v>89.8</v>
      </c>
      <c r="K128" s="32">
        <f t="shared" si="64"/>
        <v>6.3981042654028333E-2</v>
      </c>
      <c r="L128" s="18">
        <f>IF(ISNUMBER(J128), $B145 * K128, "")</f>
        <v>6398.1042654028333</v>
      </c>
      <c r="M128" s="31">
        <v>87.1</v>
      </c>
      <c r="N128" s="32">
        <f t="shared" si="65"/>
        <v>3.1990521327014083E-2</v>
      </c>
      <c r="O128" s="18">
        <f>IF(ISNUMBER(M128), $B145 * N128, "")</f>
        <v>3199.0521327014085</v>
      </c>
      <c r="Q128" s="223"/>
      <c r="R128" s="223"/>
      <c r="S128" s="223"/>
    </row>
    <row r="129" spans="1:19" ht="17.25" thickBot="1">
      <c r="A129" s="163" t="s">
        <v>214</v>
      </c>
      <c r="B129" s="128">
        <v>12</v>
      </c>
      <c r="C129" s="78">
        <v>-2.4390243900000001E-2</v>
      </c>
      <c r="D129" s="20">
        <v>12.9</v>
      </c>
      <c r="E129" s="21">
        <f t="shared" si="62"/>
        <v>7.5000000000000025E-2</v>
      </c>
      <c r="F129" s="22">
        <f>IF(ISNUMBER(D129), $B145 * E129, "")</f>
        <v>7500.0000000000027</v>
      </c>
      <c r="G129" s="30">
        <v>13.2</v>
      </c>
      <c r="H129" s="21">
        <f t="shared" si="63"/>
        <v>9.9999999999999936E-2</v>
      </c>
      <c r="I129" s="105">
        <f>IF(ISNUMBER(G129), $B145 * H129, "")</f>
        <v>9999.9999999999927</v>
      </c>
      <c r="J129" s="20">
        <v>13.3</v>
      </c>
      <c r="K129" s="21">
        <f t="shared" si="64"/>
        <v>0.10833333333333339</v>
      </c>
      <c r="L129" s="22">
        <f>IF(ISNUMBER(J129), $B145 * K129, "")</f>
        <v>10833.333333333339</v>
      </c>
      <c r="M129" s="30">
        <v>12.7</v>
      </c>
      <c r="N129" s="21">
        <f t="shared" si="65"/>
        <v>5.8333333333333272E-2</v>
      </c>
      <c r="O129" s="22">
        <f>IF(ISNUMBER(M129), $B145 * N129, "")</f>
        <v>5833.3333333333276</v>
      </c>
      <c r="Q129" s="223"/>
      <c r="R129" s="223"/>
      <c r="S129" s="223"/>
    </row>
    <row r="130" spans="1:19" ht="17.25" thickBot="1">
      <c r="A130" s="162" t="s">
        <v>72</v>
      </c>
      <c r="B130" s="129">
        <v>18.600000000000001</v>
      </c>
      <c r="C130" s="80">
        <v>-2.6178010500000001E-2</v>
      </c>
      <c r="D130" s="106">
        <v>19.600000000000001</v>
      </c>
      <c r="E130" s="107">
        <f>IF(ISNUMBER(D130), (D130 - $B130) / $B130, "")</f>
        <v>5.3763440860215048E-2</v>
      </c>
      <c r="F130" s="108">
        <f>IF(ISNUMBER(D130), $B145 * E130, "")</f>
        <v>5376.3440860215051</v>
      </c>
      <c r="G130" s="109">
        <v>19.8</v>
      </c>
      <c r="H130" s="107">
        <f>IF(ISNUMBER(G130), (G130 - $B130) / $B130, "")</f>
        <v>6.4516129032258021E-2</v>
      </c>
      <c r="I130" s="110">
        <f>IF(ISNUMBER(G130), $B145 * H130, "")</f>
        <v>6451.6129032258023</v>
      </c>
      <c r="J130" s="106">
        <v>19.8</v>
      </c>
      <c r="K130" s="107">
        <f>IF(ISNUMBER(J130), (J130 - $B130) / $B130, "")</f>
        <v>6.4516129032258021E-2</v>
      </c>
      <c r="L130" s="108">
        <f>IF(ISNUMBER(J130), $B145 * K130, "")</f>
        <v>6451.6129032258023</v>
      </c>
      <c r="M130" s="109">
        <v>19.7</v>
      </c>
      <c r="N130" s="107">
        <f>IF(ISNUMBER(M130), (M130 - $B130) / $B130, "")</f>
        <v>5.9139784946236437E-2</v>
      </c>
      <c r="O130" s="108">
        <f>IF(ISNUMBER(M130), $B145 * N130, "")</f>
        <v>5913.9784946236441</v>
      </c>
      <c r="Q130" s="223"/>
      <c r="R130" s="223"/>
      <c r="S130" s="223"/>
    </row>
    <row r="131" spans="1:19" ht="17.25" thickBot="1">
      <c r="A131" s="162" t="s">
        <v>126</v>
      </c>
      <c r="B131" s="126">
        <v>25.1</v>
      </c>
      <c r="C131" s="77">
        <v>-2.7131782900000002E-2</v>
      </c>
      <c r="D131" s="15">
        <v>26.5</v>
      </c>
      <c r="E131" s="32">
        <f t="shared" ref="E131:E134" si="66">IF(ISNUMBER(D131), (D131 - $B131) / $B131, "")</f>
        <v>5.5776892430278828E-2</v>
      </c>
      <c r="F131" s="18">
        <f>IF(ISNUMBER(D131), $B145 * E131, "")</f>
        <v>5577.6892430278831</v>
      </c>
      <c r="G131" s="31">
        <v>28.5</v>
      </c>
      <c r="H131" s="32">
        <f t="shared" ref="H131:H134" si="67">IF(ISNUMBER(G131), (G131 - $B131) / $B131, "")</f>
        <v>0.13545816733067723</v>
      </c>
      <c r="I131" s="101">
        <f>IF(ISNUMBER(G131), $B145 * H131, "")</f>
        <v>13545.816733067722</v>
      </c>
      <c r="J131" s="15">
        <v>27.6</v>
      </c>
      <c r="K131" s="32">
        <f t="shared" ref="K131:K134" si="68">IF(ISNUMBER(J131), (J131 - $B131) / $B131, "")</f>
        <v>9.9601593625498003E-2</v>
      </c>
      <c r="L131" s="18">
        <f>IF(ISNUMBER(J131), $B145 * K131, "")</f>
        <v>9960.1593625498008</v>
      </c>
      <c r="M131" s="31">
        <v>27</v>
      </c>
      <c r="N131" s="32">
        <f t="shared" ref="N131:N134" si="69">IF(ISNUMBER(M131), (M131 - $B131) / $B131, "")</f>
        <v>7.5697211155378419E-2</v>
      </c>
      <c r="O131" s="18">
        <f>IF(ISNUMBER(M131), $B145 * N131, "")</f>
        <v>7569.7211155378418</v>
      </c>
      <c r="Q131" s="223"/>
      <c r="R131" s="223"/>
      <c r="S131" s="223"/>
    </row>
    <row r="132" spans="1:19" ht="17.25" thickBot="1">
      <c r="A132" s="162" t="s">
        <v>196</v>
      </c>
      <c r="B132" s="126">
        <v>10.6</v>
      </c>
      <c r="C132" s="77">
        <v>-2.7522935799999999E-2</v>
      </c>
      <c r="D132" s="15">
        <v>11.3</v>
      </c>
      <c r="E132" s="32">
        <f t="shared" si="66"/>
        <v>6.60377358490567E-2</v>
      </c>
      <c r="F132" s="18">
        <f>IF(ISNUMBER(D132), $B145 * E132, "")</f>
        <v>6603.7735849056698</v>
      </c>
      <c r="G132" s="31">
        <v>11.3</v>
      </c>
      <c r="H132" s="32">
        <f t="shared" si="67"/>
        <v>6.60377358490567E-2</v>
      </c>
      <c r="I132" s="101">
        <f>IF(ISNUMBER(G132), $B145 * H132, "")</f>
        <v>6603.7735849056698</v>
      </c>
      <c r="J132" s="15">
        <v>11.4</v>
      </c>
      <c r="K132" s="32">
        <f t="shared" si="68"/>
        <v>7.5471698113207614E-2</v>
      </c>
      <c r="L132" s="18">
        <f>IF(ISNUMBER(J132), $B145 * K132, "")</f>
        <v>7547.1698113207613</v>
      </c>
      <c r="M132" s="31">
        <v>11.2</v>
      </c>
      <c r="N132" s="32">
        <f t="shared" si="69"/>
        <v>5.6603773584905627E-2</v>
      </c>
      <c r="O132" s="18">
        <f>IF(ISNUMBER(M132), $B145 * N132, "")</f>
        <v>5660.377358490563</v>
      </c>
      <c r="Q132" s="223"/>
      <c r="R132" s="223"/>
      <c r="S132" s="223"/>
    </row>
    <row r="133" spans="1:19" ht="17.25" thickBot="1">
      <c r="A133" s="162" t="s">
        <v>154</v>
      </c>
      <c r="B133" s="126">
        <v>10</v>
      </c>
      <c r="C133" s="77">
        <v>-2.9126213599999999E-2</v>
      </c>
      <c r="D133" s="15">
        <v>10.7</v>
      </c>
      <c r="E133" s="32">
        <f t="shared" si="66"/>
        <v>6.9999999999999923E-2</v>
      </c>
      <c r="F133" s="18">
        <f>IF(ISNUMBER(D133), $B145 * E133, "")</f>
        <v>6999.9999999999927</v>
      </c>
      <c r="G133" s="31">
        <v>11.1</v>
      </c>
      <c r="H133" s="32">
        <f t="shared" si="67"/>
        <v>0.10999999999999996</v>
      </c>
      <c r="I133" s="101">
        <f>IF(ISNUMBER(G133), $B145 * H133, "")</f>
        <v>10999.999999999996</v>
      </c>
      <c r="J133" s="15">
        <v>11</v>
      </c>
      <c r="K133" s="32">
        <f t="shared" si="68"/>
        <v>0.1</v>
      </c>
      <c r="L133" s="18">
        <f>IF(ISNUMBER(J133), $B145 * K133, "")</f>
        <v>10000</v>
      </c>
      <c r="M133" s="31">
        <v>10.9</v>
      </c>
      <c r="N133" s="32">
        <f t="shared" si="69"/>
        <v>9.0000000000000038E-2</v>
      </c>
      <c r="O133" s="18">
        <f>IF(ISNUMBER(M133), $B145 * N133, "")</f>
        <v>9000.0000000000036</v>
      </c>
      <c r="Q133" s="33"/>
      <c r="R133" s="33"/>
    </row>
    <row r="134" spans="1:19" ht="17.25" thickBot="1">
      <c r="A134" s="130" t="s">
        <v>222</v>
      </c>
      <c r="B134" s="131">
        <v>10.3</v>
      </c>
      <c r="C134" s="79">
        <v>-3.7383177599999998E-2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11.4</v>
      </c>
      <c r="H134" s="25">
        <f t="shared" si="67"/>
        <v>0.10679611650485432</v>
      </c>
      <c r="I134" s="103">
        <f>IF(ISNUMBER(G134), $B145 * H134, "")</f>
        <v>10679.611650485433</v>
      </c>
      <c r="J134" s="24">
        <v>11.3</v>
      </c>
      <c r="K134" s="25">
        <f t="shared" si="68"/>
        <v>9.7087378640776698E-2</v>
      </c>
      <c r="L134" s="104">
        <f>IF(ISNUMBER(J134), $B145 * K134, "")</f>
        <v>9708.7378640776697</v>
      </c>
      <c r="M134" s="102">
        <v>11.3</v>
      </c>
      <c r="N134" s="25">
        <f t="shared" si="69"/>
        <v>9.7087378640776698E-2</v>
      </c>
      <c r="O134" s="104">
        <f>IF(ISNUMBER(M134), $B145 * N134, "")</f>
        <v>9708.7378640776697</v>
      </c>
      <c r="Q134" s="224"/>
      <c r="R134" s="225"/>
      <c r="S134" s="226"/>
    </row>
    <row r="135" spans="1:19">
      <c r="A135" s="161" t="s">
        <v>228</v>
      </c>
      <c r="B135" s="124">
        <v>9.48</v>
      </c>
      <c r="C135" s="76">
        <v>-3.8539553800000001E-2</v>
      </c>
      <c r="D135" s="13">
        <v>9.94</v>
      </c>
      <c r="E135" s="14">
        <f>IF(ISNUMBER(D135), (D135 - $B135) / $B135, "")</f>
        <v>4.8523206751054752E-2</v>
      </c>
      <c r="F135" s="16">
        <f>IF(ISNUMBER(D135), $B145 * E135, "")</f>
        <v>4852.3206751054749</v>
      </c>
      <c r="G135" s="29">
        <v>10.3</v>
      </c>
      <c r="H135" s="14">
        <f>IF(ISNUMBER(G135), (G135 - $B135) / $B135, "")</f>
        <v>8.6497890295358676E-2</v>
      </c>
      <c r="I135" s="100">
        <f>IF(ISNUMBER(G135), $B145 * H135, "")</f>
        <v>8649.7890295358684</v>
      </c>
      <c r="J135" s="13">
        <v>10.3</v>
      </c>
      <c r="K135" s="14">
        <f>IF(ISNUMBER(J135), (J135 - $B135) / $B135, "")</f>
        <v>8.6497890295358676E-2</v>
      </c>
      <c r="L135" s="16">
        <f>IF(ISNUMBER(J135), $B145 * K135, "")</f>
        <v>8649.7890295358684</v>
      </c>
      <c r="M135" s="29">
        <v>10.1</v>
      </c>
      <c r="N135" s="14">
        <f>IF(ISNUMBER(M135), (M135 - $B135) / $B135, "")</f>
        <v>6.5400843881856449E-2</v>
      </c>
      <c r="O135" s="16">
        <f>IF(ISNUMBER(M135), $B145 * N135, "")</f>
        <v>6540.0843881856454</v>
      </c>
      <c r="Q135" s="227"/>
      <c r="R135" s="228"/>
      <c r="S135" s="229"/>
    </row>
    <row r="136" spans="1:19" ht="17.25" thickBot="1">
      <c r="A136" s="162" t="s">
        <v>218</v>
      </c>
      <c r="B136" s="126">
        <v>14.4</v>
      </c>
      <c r="C136" s="77">
        <v>-0.04</v>
      </c>
      <c r="D136" s="15">
        <v>15.4</v>
      </c>
      <c r="E136" s="32">
        <f t="shared" ref="E136:E139" si="70">IF(ISNUMBER(D136), (D136 - $B136) / $B136, "")</f>
        <v>6.9444444444444448E-2</v>
      </c>
      <c r="F136" s="18">
        <f>IF(ISNUMBER(D136), $B145 * E136, "")</f>
        <v>6944.4444444444443</v>
      </c>
      <c r="G136" s="31">
        <v>16.2</v>
      </c>
      <c r="H136" s="32">
        <f t="shared" ref="H136:H139" si="71">IF(ISNUMBER(G136), (G136 - $B136) / $B136, "")</f>
        <v>0.12499999999999992</v>
      </c>
      <c r="I136" s="101">
        <f>IF(ISNUMBER(G136), $B145 * H136, "")</f>
        <v>12499.999999999991</v>
      </c>
      <c r="J136" s="15">
        <v>17</v>
      </c>
      <c r="K136" s="32">
        <f t="shared" ref="K136:K139" si="72">IF(ISNUMBER(J136), (J136 - $B136) / $B136, "")</f>
        <v>0.18055555555555552</v>
      </c>
      <c r="L136" s="18">
        <f>IF(ISNUMBER(J136), $B145 * K136, "")</f>
        <v>18055.555555555551</v>
      </c>
      <c r="M136" s="31">
        <v>15.8</v>
      </c>
      <c r="N136" s="32">
        <f t="shared" ref="N136:N139" si="73">IF(ISNUMBER(M136), (M136 - $B136) / $B136, "")</f>
        <v>9.7222222222222238E-2</v>
      </c>
      <c r="O136" s="18">
        <f>IF(ISNUMBER(M136), $B145 * N136, "")</f>
        <v>9722.2222222222244</v>
      </c>
      <c r="Q136" s="230"/>
      <c r="R136" s="231"/>
      <c r="S136" s="232"/>
    </row>
    <row r="137" spans="1:19" ht="17.25" thickBot="1">
      <c r="A137" s="162" t="s">
        <v>198</v>
      </c>
      <c r="B137" s="126">
        <v>14</v>
      </c>
      <c r="C137" s="77">
        <v>-4.1095890400000001E-2</v>
      </c>
      <c r="D137" s="15">
        <v>14.7</v>
      </c>
      <c r="E137" s="32">
        <f t="shared" si="70"/>
        <v>4.9999999999999947E-2</v>
      </c>
      <c r="F137" s="18">
        <f>IF(ISNUMBER(D137), $B145 * E137, "")</f>
        <v>4999.9999999999945</v>
      </c>
      <c r="G137" s="31">
        <v>15.3</v>
      </c>
      <c r="H137" s="32">
        <f t="shared" si="71"/>
        <v>9.2857142857142902E-2</v>
      </c>
      <c r="I137" s="101">
        <f>IF(ISNUMBER(G137), $B145 * H137, "")</f>
        <v>9285.7142857142899</v>
      </c>
      <c r="J137" s="15">
        <v>15.4</v>
      </c>
      <c r="K137" s="32">
        <f t="shared" si="72"/>
        <v>0.10000000000000002</v>
      </c>
      <c r="L137" s="18">
        <f>IF(ISNUMBER(J137), $B145 * K137, "")</f>
        <v>10000.000000000002</v>
      </c>
      <c r="M137" s="31">
        <v>15.3</v>
      </c>
      <c r="N137" s="32">
        <f t="shared" si="73"/>
        <v>9.2857142857142902E-2</v>
      </c>
      <c r="O137" s="18">
        <f>IF(ISNUMBER(M137), $B145 * N137, "")</f>
        <v>9285.7142857142899</v>
      </c>
      <c r="Q137" s="223"/>
      <c r="R137" s="223"/>
      <c r="S137" s="223"/>
    </row>
    <row r="138" spans="1:19" ht="17.25" thickBot="1">
      <c r="A138" s="162" t="s">
        <v>268</v>
      </c>
      <c r="B138" s="126">
        <v>44.7</v>
      </c>
      <c r="C138" s="77">
        <v>-4.2826552499999997E-2</v>
      </c>
      <c r="D138" s="15">
        <v>51.8</v>
      </c>
      <c r="E138" s="32">
        <f t="shared" si="70"/>
        <v>0.15883668903803119</v>
      </c>
      <c r="F138" s="18">
        <f>IF(ISNUMBER(D138), $B145 * E138, "")</f>
        <v>15883.66890380312</v>
      </c>
      <c r="G138" s="31">
        <v>53.1</v>
      </c>
      <c r="H138" s="32">
        <f t="shared" si="71"/>
        <v>0.18791946308724827</v>
      </c>
      <c r="I138" s="101">
        <f>IF(ISNUMBER(G138), $B145 * H138, "")</f>
        <v>18791.946308724826</v>
      </c>
      <c r="J138" s="15">
        <v>52.3</v>
      </c>
      <c r="K138" s="32">
        <f t="shared" si="72"/>
        <v>0.17002237136465312</v>
      </c>
      <c r="L138" s="18">
        <f>IF(ISNUMBER(J138), $B145 * K138, "")</f>
        <v>17002.237136465312</v>
      </c>
      <c r="M138" s="31">
        <v>50.3</v>
      </c>
      <c r="N138" s="32">
        <f t="shared" si="73"/>
        <v>0.12527964205816541</v>
      </c>
      <c r="O138" s="18">
        <f>IF(ISNUMBER(M138), $B145 * N138, "")</f>
        <v>12527.964205816541</v>
      </c>
      <c r="Q138" s="233"/>
      <c r="R138" s="233"/>
      <c r="S138" s="233"/>
    </row>
    <row r="139" spans="1:19" ht="17.25" thickBot="1">
      <c r="A139" s="163" t="s">
        <v>122</v>
      </c>
      <c r="B139" s="128">
        <v>55.4</v>
      </c>
      <c r="C139" s="78">
        <v>-4.3177892900000001E-2</v>
      </c>
      <c r="D139" s="20">
        <v>66.5</v>
      </c>
      <c r="E139" s="21">
        <f t="shared" si="70"/>
        <v>0.20036101083032495</v>
      </c>
      <c r="F139" s="22">
        <f>IF(ISNUMBER(D139), $B145 * E139, "")</f>
        <v>20036.101083032496</v>
      </c>
      <c r="G139" s="30">
        <v>76</v>
      </c>
      <c r="H139" s="21">
        <f t="shared" si="71"/>
        <v>0.37184115523465705</v>
      </c>
      <c r="I139" s="105">
        <f>IF(ISNUMBER(G139), $B145 * H139, "")</f>
        <v>37184.115523465705</v>
      </c>
      <c r="J139" s="20">
        <v>74.599999999999994</v>
      </c>
      <c r="K139" s="21">
        <f t="shared" si="72"/>
        <v>0.34657039711191329</v>
      </c>
      <c r="L139" s="22">
        <f>IF(ISNUMBER(J139), $B145 * K139, "")</f>
        <v>34657.039711191326</v>
      </c>
      <c r="M139" s="30">
        <v>70.400000000000006</v>
      </c>
      <c r="N139" s="21">
        <f t="shared" si="73"/>
        <v>0.27075812274368244</v>
      </c>
      <c r="O139" s="22">
        <f>IF(ISNUMBER(M139), $B145 * N139, "")</f>
        <v>27075.812274368243</v>
      </c>
      <c r="Q139" s="233"/>
      <c r="R139" s="233"/>
      <c r="S139" s="233"/>
    </row>
    <row r="140" spans="1:19" ht="17.25" thickBot="1">
      <c r="A140" s="162" t="s">
        <v>212</v>
      </c>
      <c r="B140" s="129">
        <v>63.8</v>
      </c>
      <c r="C140" s="80">
        <v>-4.4910179600000003E-2</v>
      </c>
      <c r="D140" s="106">
        <v>67.900000000000006</v>
      </c>
      <c r="E140" s="107">
        <f>IF(ISNUMBER(D140), (D140 - $B140) / $B140, "")</f>
        <v>6.426332288401268E-2</v>
      </c>
      <c r="F140" s="108">
        <f>IF(ISNUMBER(D140), $B145 * E140, "")</f>
        <v>6426.3322884012678</v>
      </c>
      <c r="G140" s="109">
        <v>72.3</v>
      </c>
      <c r="H140" s="107">
        <f>IF(ISNUMBER(G140), (G140 - $B140) / $B140, "")</f>
        <v>0.13322884012539185</v>
      </c>
      <c r="I140" s="110">
        <f>IF(ISNUMBER(G140), $B145 * H140, "")</f>
        <v>13322.884012539185</v>
      </c>
      <c r="J140" s="106">
        <v>71.7</v>
      </c>
      <c r="K140" s="107">
        <f>IF(ISNUMBER(J140), (J140 - $B140) / $B140, "")</f>
        <v>0.1238244514106584</v>
      </c>
      <c r="L140" s="108">
        <f>IF(ISNUMBER(J140), $B145 * K140, "")</f>
        <v>12382.44514106584</v>
      </c>
      <c r="M140" s="109">
        <v>68.900000000000006</v>
      </c>
      <c r="N140" s="107">
        <f>IF(ISNUMBER(M140), (M140 - $B140) / $B140, "")</f>
        <v>7.9937304075235249E-2</v>
      </c>
      <c r="O140" s="108">
        <f>IF(ISNUMBER(M140), $B145 * N140, "")</f>
        <v>7993.7304075235252</v>
      </c>
      <c r="Q140" s="223"/>
      <c r="R140" s="223"/>
      <c r="S140" s="223"/>
    </row>
    <row r="141" spans="1:19" ht="17.25" thickBot="1">
      <c r="A141" s="162" t="s">
        <v>260</v>
      </c>
      <c r="B141" s="126">
        <v>60.8</v>
      </c>
      <c r="C141" s="77">
        <v>-4.7021943599999998E-2</v>
      </c>
      <c r="D141" s="15">
        <v>65.900000000000006</v>
      </c>
      <c r="E141" s="32">
        <f t="shared" ref="E141:E144" si="74">IF(ISNUMBER(D141), (D141 - $B141) / $B141, "")</f>
        <v>8.3881578947368571E-2</v>
      </c>
      <c r="F141" s="18">
        <f>IF(ISNUMBER(D141), $B145 * E141, "")</f>
        <v>8388.1578947368562</v>
      </c>
      <c r="G141" s="31">
        <v>69.3</v>
      </c>
      <c r="H141" s="32">
        <f t="shared" ref="H141:H144" si="75">IF(ISNUMBER(G141), (G141 - $B141) / $B141, "")</f>
        <v>0.13980263157894737</v>
      </c>
      <c r="I141" s="101">
        <f>IF(ISNUMBER(G141), $B145 * H141, "")</f>
        <v>13980.263157894737</v>
      </c>
      <c r="J141" s="15">
        <v>69</v>
      </c>
      <c r="K141" s="32">
        <f t="shared" ref="K141:K144" si="76">IF(ISNUMBER(J141), (J141 - $B141) / $B141, "")</f>
        <v>0.13486842105263164</v>
      </c>
      <c r="L141" s="18">
        <f>IF(ISNUMBER(J141), $B145 * K141, "")</f>
        <v>13486.842105263164</v>
      </c>
      <c r="M141" s="31">
        <v>66.400000000000006</v>
      </c>
      <c r="N141" s="32">
        <f t="shared" ref="N141:N144" si="77">IF(ISNUMBER(M141), (M141 - $B141) / $B141, "")</f>
        <v>9.2105263157894884E-2</v>
      </c>
      <c r="O141" s="18">
        <f>IF(ISNUMBER(M141), $B145 * N141, "")</f>
        <v>9210.5263157894879</v>
      </c>
      <c r="Q141" s="223"/>
      <c r="R141" s="223"/>
      <c r="S141" s="223"/>
    </row>
    <row r="142" spans="1:19" ht="17.25" thickBot="1">
      <c r="A142" s="162" t="s">
        <v>186</v>
      </c>
      <c r="B142" s="126">
        <v>15.1</v>
      </c>
      <c r="C142" s="77">
        <v>-5.0314465400000001E-2</v>
      </c>
      <c r="D142" s="15">
        <v>17.899999999999999</v>
      </c>
      <c r="E142" s="32">
        <f t="shared" si="74"/>
        <v>0.18543046357615886</v>
      </c>
      <c r="F142" s="18">
        <f>IF(ISNUMBER(D142), $B145 * E142, "")</f>
        <v>18543.046357615887</v>
      </c>
      <c r="G142" s="31">
        <v>18.600000000000001</v>
      </c>
      <c r="H142" s="32">
        <f t="shared" si="75"/>
        <v>0.2317880794701988</v>
      </c>
      <c r="I142" s="101">
        <f>IF(ISNUMBER(G142), $B145 * H142, "")</f>
        <v>23178.807947019879</v>
      </c>
      <c r="J142" s="15">
        <v>18.399999999999999</v>
      </c>
      <c r="K142" s="32">
        <f t="shared" si="76"/>
        <v>0.21854304635761582</v>
      </c>
      <c r="L142" s="18">
        <f>IF(ISNUMBER(J142), $B145 * K142, "")</f>
        <v>21854.304635761582</v>
      </c>
      <c r="M142" s="31">
        <v>17.7</v>
      </c>
      <c r="N142" s="32">
        <f t="shared" si="77"/>
        <v>0.17218543046357615</v>
      </c>
      <c r="O142" s="18">
        <f>IF(ISNUMBER(M142), $B145 * N142, "")</f>
        <v>17218.543046357616</v>
      </c>
      <c r="Q142" s="223"/>
      <c r="R142" s="223"/>
      <c r="S142" s="223"/>
    </row>
    <row r="143" spans="1:19">
      <c r="A143" s="162" t="s">
        <v>236</v>
      </c>
      <c r="B143" s="126">
        <v>51.3</v>
      </c>
      <c r="C143" s="77">
        <v>-5.1756007399999998E-2</v>
      </c>
      <c r="D143" s="15">
        <v>54.2</v>
      </c>
      <c r="E143" s="32">
        <f t="shared" si="74"/>
        <v>5.6530214424951382E-2</v>
      </c>
      <c r="F143" s="18">
        <f>IF(ISNUMBER(D143), $B145 * E143, "")</f>
        <v>5653.0214424951382</v>
      </c>
      <c r="G143" s="31">
        <v>54.6</v>
      </c>
      <c r="H143" s="32">
        <f t="shared" si="75"/>
        <v>6.4327485380117053E-2</v>
      </c>
      <c r="I143" s="101">
        <f>IF(ISNUMBER(G143), $B145 * H143, "")</f>
        <v>6432.748538011705</v>
      </c>
      <c r="J143" s="15">
        <v>54.6</v>
      </c>
      <c r="K143" s="32">
        <f t="shared" si="76"/>
        <v>6.4327485380117053E-2</v>
      </c>
      <c r="L143" s="18">
        <f>IF(ISNUMBER(J143), $B145 * K143, "")</f>
        <v>6432.748538011705</v>
      </c>
      <c r="M143" s="31">
        <v>53.7</v>
      </c>
      <c r="N143" s="32">
        <f t="shared" si="77"/>
        <v>4.6783625730994267E-2</v>
      </c>
      <c r="O143" s="18">
        <f>IF(ISNUMBER(M143), $B145 * N143, "")</f>
        <v>4678.3625730994263</v>
      </c>
      <c r="Q143" s="212"/>
      <c r="R143" s="213"/>
      <c r="S143" s="214"/>
    </row>
    <row r="144" spans="1:19" ht="17.25" thickBot="1">
      <c r="A144" s="130" t="s">
        <v>172</v>
      </c>
      <c r="B144" s="131">
        <v>13.4</v>
      </c>
      <c r="C144" s="79">
        <v>-5.6338028200000001E-2</v>
      </c>
      <c r="D144" s="24">
        <v>13.8</v>
      </c>
      <c r="E144" s="25">
        <f t="shared" si="74"/>
        <v>2.9850746268656744E-2</v>
      </c>
      <c r="F144" s="104">
        <f>IF(ISNUMBER(D144), $B145 * E144, "")</f>
        <v>2985.0746268656744</v>
      </c>
      <c r="G144" s="102">
        <v>14.4</v>
      </c>
      <c r="H144" s="25">
        <f t="shared" si="75"/>
        <v>7.4626865671641784E-2</v>
      </c>
      <c r="I144" s="103">
        <f>IF(ISNUMBER(G144), $B145 * H144, "")</f>
        <v>7462.6865671641781</v>
      </c>
      <c r="J144" s="24">
        <v>14.3</v>
      </c>
      <c r="K144" s="25">
        <f t="shared" si="76"/>
        <v>6.7164179104477639E-2</v>
      </c>
      <c r="L144" s="104">
        <f>IF(ISNUMBER(J144), $B145 * K144, "")</f>
        <v>6716.4179104477644</v>
      </c>
      <c r="M144" s="102">
        <v>14.1</v>
      </c>
      <c r="N144" s="25">
        <f t="shared" si="77"/>
        <v>5.2238805970149196E-2</v>
      </c>
      <c r="O144" s="104">
        <f>IF(ISNUMBER(M144), $B145 * N144, "")</f>
        <v>5223.8805970149197</v>
      </c>
      <c r="Q144" s="215"/>
      <c r="R144" s="216"/>
      <c r="S144" s="217"/>
    </row>
    <row r="145" spans="1:19" ht="17.25" thickBot="1">
      <c r="A145" s="132" t="s">
        <v>300</v>
      </c>
      <c r="B145" s="276">
        <f>$B$37</f>
        <v>100000</v>
      </c>
      <c r="C145" s="277"/>
      <c r="D145" s="26" t="s">
        <v>301</v>
      </c>
      <c r="E145" s="27">
        <f>IF(COUNT(E125:E144), SUM(E125:E144) / COUNT(E125:E144), 0)</f>
        <v>9.3777416806688232E-2</v>
      </c>
      <c r="F145" s="28">
        <f>SUM(F125:F144)</f>
        <v>187554.83361337642</v>
      </c>
      <c r="G145" s="26" t="s">
        <v>301</v>
      </c>
      <c r="H145" s="27">
        <f>IF(COUNT(H125:H144), SUM(H125:H144) / COUNT(H125:H144), 0)</f>
        <v>0.14744533026902679</v>
      </c>
      <c r="I145" s="28">
        <f>SUM(I125:I144)</f>
        <v>294890.66053805355</v>
      </c>
      <c r="J145" s="26" t="s">
        <v>301</v>
      </c>
      <c r="K145" s="27">
        <f>IF(COUNT(K125:K144), SUM(K125:K144) / COUNT(K125:K144), 0)</f>
        <v>0.1409453243622712</v>
      </c>
      <c r="L145" s="28">
        <f>SUM(L125:L144)</f>
        <v>281890.64872454241</v>
      </c>
      <c r="M145" s="26" t="s">
        <v>301</v>
      </c>
      <c r="N145" s="27">
        <f>IF(COUNT(N125:N144), SUM(N125:N144) / COUNT(N125:N144), 0)</f>
        <v>0.10609721788693849</v>
      </c>
      <c r="O145" s="28">
        <f>SUM(O125:O144)</f>
        <v>212194.4357738769</v>
      </c>
      <c r="Q145" s="218"/>
      <c r="R145" s="219"/>
      <c r="S145" s="220"/>
    </row>
    <row r="147" spans="1:19" ht="17.25" thickBot="1"/>
    <row r="148" spans="1:19" ht="17.25" thickBot="1">
      <c r="A148" s="234" t="s">
        <v>289</v>
      </c>
      <c r="B148" s="235"/>
      <c r="C148" s="235"/>
      <c r="D148" s="235"/>
      <c r="E148" s="235"/>
      <c r="F148" s="235"/>
      <c r="G148" s="235"/>
      <c r="H148" s="235"/>
      <c r="I148" s="235"/>
      <c r="J148" s="235"/>
      <c r="K148" s="235"/>
      <c r="L148" s="235"/>
      <c r="M148" s="235"/>
      <c r="N148" s="235"/>
      <c r="O148" s="236"/>
      <c r="Q148" s="233"/>
      <c r="R148" s="233"/>
      <c r="S148" s="233"/>
    </row>
    <row r="149" spans="1:19" ht="17.25" thickBot="1">
      <c r="A149" s="196" t="s">
        <v>297</v>
      </c>
      <c r="B149" s="234" t="s">
        <v>49</v>
      </c>
      <c r="C149" s="236"/>
      <c r="D149" s="234" t="s">
        <v>58</v>
      </c>
      <c r="E149" s="235"/>
      <c r="F149" s="236"/>
      <c r="G149" s="237">
        <f>_xlfn.IFNA(VLOOKUP(B149, 현재가테이블!$B$2:$D$200, 2, FALSE), "-")</f>
        <v>41418000</v>
      </c>
      <c r="H149" s="238"/>
      <c r="I149" s="239"/>
      <c r="J149" s="234" t="s">
        <v>59</v>
      </c>
      <c r="K149" s="235"/>
      <c r="L149" s="236"/>
      <c r="M149" s="240">
        <f>_xlfn.IFNA(VLOOKUP(B149, 현재가테이블!$B$2:$D$200, 3, FALSE), "-")</f>
        <v>-5.2176301000000001E-2</v>
      </c>
      <c r="N149" s="241"/>
      <c r="O149" s="242"/>
      <c r="Q149" s="233"/>
      <c r="R149" s="233"/>
      <c r="S149" s="233"/>
    </row>
    <row r="150" spans="1:19" ht="17.25" thickBot="1">
      <c r="A150" s="278" t="s">
        <v>55</v>
      </c>
      <c r="B150" s="274" t="str">
        <f>TEXT($G$1, "[$-ko-KR]yyyy-mm-dd(ddd) ") &amp; "오전 00:00"</f>
        <v>2021-06-10(목) 오전 00:00</v>
      </c>
      <c r="C150" s="275"/>
      <c r="D150" s="247" t="str">
        <f>TEXT($G$1, "[$-ko-KR]yyyy-mm-dd(ddd) ") &amp; "오후 14:00"</f>
        <v>2021-06-10(목) 오후 14:00</v>
      </c>
      <c r="E150" s="248"/>
      <c r="F150" s="249"/>
      <c r="G150" s="247" t="str">
        <f>TEXT($G$1, "[$-ko-KR]yyyy-mm-dd(ddd) ") &amp; "오후 19:00"</f>
        <v>2021-06-10(목) 오후 19:00</v>
      </c>
      <c r="H150" s="248"/>
      <c r="I150" s="249"/>
      <c r="J150" s="247" t="str">
        <f>TEXT($G$1, "[$-ko-KR]yyyy-mm-dd(ddd) ") &amp; "오후 21:00"</f>
        <v>2021-06-10(목) 오후 21:00</v>
      </c>
      <c r="K150" s="248"/>
      <c r="L150" s="249"/>
      <c r="M150" s="247" t="str">
        <f>TEXT($G$1+1, "[$-ko-KR]yyyy-mm-dd(ddd) ") &amp; "오전 00:00"</f>
        <v>2021-06-11(금) 오전 00:00</v>
      </c>
      <c r="N150" s="248"/>
      <c r="O150" s="249"/>
      <c r="Q150" s="233"/>
      <c r="R150" s="233"/>
      <c r="S150" s="233"/>
    </row>
    <row r="151" spans="1:19" ht="17.25" thickBot="1">
      <c r="A151" s="279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97" t="s">
        <v>58</v>
      </c>
      <c r="H151" s="198" t="s">
        <v>298</v>
      </c>
      <c r="I151" s="19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3"/>
      <c r="R151" s="223"/>
      <c r="S151" s="223"/>
    </row>
    <row r="152" spans="1:19" ht="17.25" thickBot="1">
      <c r="A152" s="161" t="s">
        <v>116</v>
      </c>
      <c r="B152" s="124">
        <v>318</v>
      </c>
      <c r="C152" s="76">
        <v>-2.1538461500000002E-2</v>
      </c>
      <c r="D152" s="13">
        <v>328</v>
      </c>
      <c r="E152" s="14">
        <f>IF(ISNUMBER(D152), (D152 - $B152) / $B152, "")</f>
        <v>3.1446540880503145E-2</v>
      </c>
      <c r="F152" s="16">
        <f>IF(ISNUMBER(D152), $B172 * E152, "")</f>
        <v>3144.6540880503144</v>
      </c>
      <c r="G152" s="29">
        <v>347</v>
      </c>
      <c r="H152" s="14">
        <f>IF(ISNUMBER(G152), (G152 - $B152) / $B152, "")</f>
        <v>9.1194968553459113E-2</v>
      </c>
      <c r="I152" s="100">
        <f>IF(ISNUMBER(G152), $B172 * H152, "")</f>
        <v>9119.4968553459112</v>
      </c>
      <c r="J152" s="13">
        <v>340</v>
      </c>
      <c r="K152" s="14">
        <f>IF(ISNUMBER(J152), (J152 - $B152) / $B152, "")</f>
        <v>6.9182389937106917E-2</v>
      </c>
      <c r="L152" s="16">
        <f>IF(ISNUMBER(J152), $B172 * K152, "")</f>
        <v>6918.2389937106918</v>
      </c>
      <c r="M152" s="29">
        <v>338</v>
      </c>
      <c r="N152" s="14">
        <f>IF(ISNUMBER(M152), (M152 - $B152) / $B152, "")</f>
        <v>6.2893081761006289E-2</v>
      </c>
      <c r="O152" s="16">
        <f>IF(ISNUMBER(M152), $B172 * N152, "")</f>
        <v>6289.3081761006288</v>
      </c>
      <c r="Q152" s="233"/>
      <c r="R152" s="233"/>
      <c r="S152" s="233"/>
    </row>
    <row r="153" spans="1:19" ht="17.25" thickBot="1">
      <c r="A153" s="162" t="s">
        <v>226</v>
      </c>
      <c r="B153" s="126">
        <v>264</v>
      </c>
      <c r="C153" s="77">
        <v>-2.2222222199999999E-2</v>
      </c>
      <c r="D153" s="15">
        <v>273</v>
      </c>
      <c r="E153" s="32">
        <f t="shared" ref="E153:E156" si="78">IF(ISNUMBER(D153), (D153 - $B153) / $B153, "")</f>
        <v>3.4090909090909088E-2</v>
      </c>
      <c r="F153" s="18">
        <f>IF(ISNUMBER(D153), $B172 * E153, "")</f>
        <v>3409.090909090909</v>
      </c>
      <c r="G153" s="31">
        <v>282</v>
      </c>
      <c r="H153" s="32">
        <f t="shared" ref="H153:H156" si="79">IF(ISNUMBER(G153), (G153 - $B153) / $B153, "")</f>
        <v>6.8181818181818177E-2</v>
      </c>
      <c r="I153" s="101">
        <f>IF(ISNUMBER(G153), $B172 * H153, "")</f>
        <v>6818.181818181818</v>
      </c>
      <c r="J153" s="15">
        <v>283</v>
      </c>
      <c r="K153" s="32">
        <f t="shared" ref="K153:K156" si="80">IF(ISNUMBER(J153), (J153 - $B153) / $B153, "")</f>
        <v>7.1969696969696975E-2</v>
      </c>
      <c r="L153" s="18">
        <f>IF(ISNUMBER(J153), $B172 * K153, "")</f>
        <v>7196.9696969696979</v>
      </c>
      <c r="M153" s="31">
        <v>277</v>
      </c>
      <c r="N153" s="32">
        <f t="shared" ref="N153:N156" si="81">IF(ISNUMBER(M153), (M153 - $B153) / $B153, "")</f>
        <v>4.924242424242424E-2</v>
      </c>
      <c r="O153" s="18">
        <f>IF(ISNUMBER(M153), $B172 * N153, "")</f>
        <v>4924.242424242424</v>
      </c>
      <c r="Q153" s="233"/>
      <c r="R153" s="233"/>
      <c r="S153" s="233"/>
    </row>
    <row r="154" spans="1:19" ht="17.25" thickBot="1">
      <c r="A154" s="162" t="s">
        <v>200</v>
      </c>
      <c r="B154" s="126">
        <v>184</v>
      </c>
      <c r="C154" s="77">
        <v>-2.6455026499999999E-2</v>
      </c>
      <c r="D154" s="15">
        <v>198</v>
      </c>
      <c r="E154" s="32">
        <f t="shared" si="78"/>
        <v>7.6086956521739135E-2</v>
      </c>
      <c r="F154" s="18">
        <f>IF(ISNUMBER(D154), $B172 * E154, "")</f>
        <v>7608.6956521739139</v>
      </c>
      <c r="G154" s="31">
        <v>202</v>
      </c>
      <c r="H154" s="32">
        <f t="shared" si="79"/>
        <v>9.7826086956521743E-2</v>
      </c>
      <c r="I154" s="101">
        <f>IF(ISNUMBER(G154), $B172 * H154, "")</f>
        <v>9782.608695652174</v>
      </c>
      <c r="J154" s="15">
        <v>202</v>
      </c>
      <c r="K154" s="32">
        <f t="shared" si="80"/>
        <v>9.7826086956521743E-2</v>
      </c>
      <c r="L154" s="18">
        <f>IF(ISNUMBER(J154), $B172 * K154, "")</f>
        <v>9782.608695652174</v>
      </c>
      <c r="M154" s="31">
        <v>198</v>
      </c>
      <c r="N154" s="32">
        <f t="shared" si="81"/>
        <v>7.6086956521739135E-2</v>
      </c>
      <c r="O154" s="18">
        <f>IF(ISNUMBER(M154), $B172 * N154, "")</f>
        <v>7608.6956521739139</v>
      </c>
      <c r="Q154" s="223"/>
      <c r="R154" s="223"/>
      <c r="S154" s="223"/>
    </row>
    <row r="155" spans="1:19" ht="17.25" thickBot="1">
      <c r="A155" s="162" t="s">
        <v>284</v>
      </c>
      <c r="B155" s="126">
        <v>220</v>
      </c>
      <c r="C155" s="77">
        <v>-2.65486726E-2</v>
      </c>
      <c r="D155" s="15">
        <v>227</v>
      </c>
      <c r="E155" s="32">
        <f t="shared" si="78"/>
        <v>3.1818181818181815E-2</v>
      </c>
      <c r="F155" s="18">
        <f>IF(ISNUMBER(D155), $B172 * E155, "")</f>
        <v>3181.8181818181815</v>
      </c>
      <c r="G155" s="31">
        <v>237</v>
      </c>
      <c r="H155" s="32">
        <f t="shared" si="79"/>
        <v>7.7272727272727271E-2</v>
      </c>
      <c r="I155" s="101">
        <f>IF(ISNUMBER(G155), $B172 * H155, "")</f>
        <v>7727.272727272727</v>
      </c>
      <c r="J155" s="15">
        <v>235</v>
      </c>
      <c r="K155" s="32">
        <f t="shared" si="80"/>
        <v>6.8181818181818177E-2</v>
      </c>
      <c r="L155" s="18">
        <f>IF(ISNUMBER(J155), $B172 * K155, "")</f>
        <v>6818.181818181818</v>
      </c>
      <c r="M155" s="31">
        <v>233</v>
      </c>
      <c r="N155" s="32">
        <f t="shared" si="81"/>
        <v>5.909090909090909E-2</v>
      </c>
      <c r="O155" s="18">
        <f>IF(ISNUMBER(M155), $B172 * N155, "")</f>
        <v>5909.090909090909</v>
      </c>
      <c r="Q155" s="223"/>
      <c r="R155" s="223"/>
      <c r="S155" s="223"/>
    </row>
    <row r="156" spans="1:19" ht="17.25" thickBot="1">
      <c r="A156" s="163" t="s">
        <v>61</v>
      </c>
      <c r="B156" s="128">
        <v>797</v>
      </c>
      <c r="C156" s="78">
        <v>-2.92326431E-2</v>
      </c>
      <c r="D156" s="20">
        <v>830</v>
      </c>
      <c r="E156" s="21">
        <f t="shared" si="78"/>
        <v>4.1405269761606023E-2</v>
      </c>
      <c r="F156" s="22">
        <f>IF(ISNUMBER(D156), $B172 * E156, "")</f>
        <v>4140.5269761606023</v>
      </c>
      <c r="G156" s="30">
        <v>829</v>
      </c>
      <c r="H156" s="21">
        <f t="shared" si="79"/>
        <v>4.0150564617314928E-2</v>
      </c>
      <c r="I156" s="105">
        <f>IF(ISNUMBER(G156), $B172 * H156, "")</f>
        <v>4015.0564617314926</v>
      </c>
      <c r="J156" s="20">
        <v>824</v>
      </c>
      <c r="K156" s="21">
        <f t="shared" si="80"/>
        <v>3.3877038895859475E-2</v>
      </c>
      <c r="L156" s="22">
        <f>IF(ISNUMBER(J156), $B172 * K156, "")</f>
        <v>3387.7038895859473</v>
      </c>
      <c r="M156" s="30">
        <v>817</v>
      </c>
      <c r="N156" s="21">
        <f t="shared" si="81"/>
        <v>2.5094102885821833E-2</v>
      </c>
      <c r="O156" s="22">
        <f>IF(ISNUMBER(M156), $B172 * N156, "")</f>
        <v>2509.4102885821831</v>
      </c>
      <c r="Q156" s="223"/>
      <c r="R156" s="223"/>
      <c r="S156" s="223"/>
    </row>
    <row r="157" spans="1:19" ht="17.25" thickBot="1">
      <c r="A157" s="162" t="s">
        <v>51</v>
      </c>
      <c r="B157" s="129">
        <v>390</v>
      </c>
      <c r="C157" s="80">
        <v>-3.2258064500000003E-2</v>
      </c>
      <c r="D157" s="106">
        <v>409</v>
      </c>
      <c r="E157" s="107">
        <f>IF(ISNUMBER(D157), (D157 - $B157) / $B157, "")</f>
        <v>4.8717948717948718E-2</v>
      </c>
      <c r="F157" s="108">
        <f>IF(ISNUMBER(D157), $B172 * E157, "")</f>
        <v>4871.7948717948721</v>
      </c>
      <c r="G157" s="109">
        <v>403</v>
      </c>
      <c r="H157" s="107">
        <f>IF(ISNUMBER(G157), (G157 - $B157) / $B157, "")</f>
        <v>3.3333333333333333E-2</v>
      </c>
      <c r="I157" s="110">
        <f>IF(ISNUMBER(G157), $B172 * H157, "")</f>
        <v>3333.3333333333335</v>
      </c>
      <c r="J157" s="106">
        <v>404</v>
      </c>
      <c r="K157" s="107">
        <f>IF(ISNUMBER(J157), (J157 - $B157) / $B157, "")</f>
        <v>3.5897435897435895E-2</v>
      </c>
      <c r="L157" s="108">
        <f>IF(ISNUMBER(J157), $B172 * K157, "")</f>
        <v>3589.7435897435894</v>
      </c>
      <c r="M157" s="109">
        <v>396</v>
      </c>
      <c r="N157" s="107">
        <f>IF(ISNUMBER(M157), (M157 - $B157) / $B157, "")</f>
        <v>1.5384615384615385E-2</v>
      </c>
      <c r="O157" s="108">
        <f>IF(ISNUMBER(M157), $B172 * N157, "")</f>
        <v>1538.4615384615386</v>
      </c>
      <c r="Q157" s="223"/>
      <c r="R157" s="223"/>
      <c r="S157" s="223"/>
    </row>
    <row r="158" spans="1:19" ht="17.25" thickBot="1">
      <c r="A158" s="162" t="s">
        <v>258</v>
      </c>
      <c r="B158" s="126">
        <v>419</v>
      </c>
      <c r="C158" s="77">
        <v>-3.4562212000000002E-2</v>
      </c>
      <c r="D158" s="15">
        <v>461</v>
      </c>
      <c r="E158" s="32">
        <f t="shared" ref="E158:E161" si="82">IF(ISNUMBER(D158), (D158 - $B158) / $B158, "")</f>
        <v>0.10023866348448687</v>
      </c>
      <c r="F158" s="18">
        <f>IF(ISNUMBER(D158), $B172 * E158, "")</f>
        <v>10023.866348448688</v>
      </c>
      <c r="G158" s="31">
        <v>456</v>
      </c>
      <c r="H158" s="32">
        <f t="shared" ref="H158:H161" si="83">IF(ISNUMBER(G158), (G158 - $B158) / $B158, "")</f>
        <v>8.83054892601432E-2</v>
      </c>
      <c r="I158" s="101">
        <f>IF(ISNUMBER(G158), $B172 * H158, "")</f>
        <v>8830.5489260143204</v>
      </c>
      <c r="J158" s="15">
        <v>453</v>
      </c>
      <c r="K158" s="32">
        <f t="shared" ref="K158:K161" si="84">IF(ISNUMBER(J158), (J158 - $B158) / $B158, "")</f>
        <v>8.1145584725536998E-2</v>
      </c>
      <c r="L158" s="18">
        <f>IF(ISNUMBER(J158), $B172 * K158, "")</f>
        <v>8114.5584725537001</v>
      </c>
      <c r="M158" s="31">
        <v>446</v>
      </c>
      <c r="N158" s="32">
        <f t="shared" ref="N158:N161" si="85">IF(ISNUMBER(M158), (M158 - $B158) / $B158, "")</f>
        <v>6.4439140811455853E-2</v>
      </c>
      <c r="O158" s="18">
        <f>IF(ISNUMBER(M158), $B172 * N158, "")</f>
        <v>6443.9140811455854</v>
      </c>
      <c r="Q158" s="223"/>
      <c r="R158" s="223"/>
      <c r="S158" s="223"/>
    </row>
    <row r="159" spans="1:19" ht="17.25" thickBot="1">
      <c r="A159" s="162" t="s">
        <v>250</v>
      </c>
      <c r="B159" s="126">
        <v>111</v>
      </c>
      <c r="C159" s="77">
        <v>-3.4782608700000002E-2</v>
      </c>
      <c r="D159" s="15">
        <v>114</v>
      </c>
      <c r="E159" s="32">
        <f t="shared" si="82"/>
        <v>2.7027027027027029E-2</v>
      </c>
      <c r="F159" s="18">
        <f>IF(ISNUMBER(D159), $B172 * E159, "")</f>
        <v>2702.7027027027029</v>
      </c>
      <c r="G159" s="31">
        <v>121</v>
      </c>
      <c r="H159" s="32">
        <f t="shared" si="83"/>
        <v>9.0090090090090086E-2</v>
      </c>
      <c r="I159" s="101">
        <f>IF(ISNUMBER(G159), $B172 * H159, "")</f>
        <v>9009.0090090090089</v>
      </c>
      <c r="J159" s="15">
        <v>120</v>
      </c>
      <c r="K159" s="32">
        <f t="shared" si="84"/>
        <v>8.1081081081081086E-2</v>
      </c>
      <c r="L159" s="18">
        <f>IF(ISNUMBER(J159), $B172 * K159, "")</f>
        <v>8108.1081081081084</v>
      </c>
      <c r="M159" s="31">
        <v>121</v>
      </c>
      <c r="N159" s="32">
        <f t="shared" si="85"/>
        <v>9.0090090090090086E-2</v>
      </c>
      <c r="O159" s="18">
        <f>IF(ISNUMBER(M159), $B172 * N159, "")</f>
        <v>9009.0090090090089</v>
      </c>
      <c r="Q159" s="223"/>
      <c r="R159" s="223"/>
      <c r="S159" s="223"/>
    </row>
    <row r="160" spans="1:19" ht="17.25" thickBot="1">
      <c r="A160" s="162" t="s">
        <v>230</v>
      </c>
      <c r="B160" s="126">
        <v>106</v>
      </c>
      <c r="C160" s="77">
        <v>-3.6363636400000003E-2</v>
      </c>
      <c r="D160" s="15">
        <v>108</v>
      </c>
      <c r="E160" s="32">
        <f t="shared" si="82"/>
        <v>1.8867924528301886E-2</v>
      </c>
      <c r="F160" s="18">
        <f>IF(ISNUMBER(D160), $B172 * E160, "")</f>
        <v>1886.7924528301885</v>
      </c>
      <c r="G160" s="31">
        <v>113</v>
      </c>
      <c r="H160" s="32">
        <f t="shared" si="83"/>
        <v>6.6037735849056603E-2</v>
      </c>
      <c r="I160" s="101">
        <f>IF(ISNUMBER(G160), $B172 * H160, "")</f>
        <v>6603.7735849056598</v>
      </c>
      <c r="J160" s="15">
        <v>112</v>
      </c>
      <c r="K160" s="32">
        <f t="shared" si="84"/>
        <v>5.6603773584905662E-2</v>
      </c>
      <c r="L160" s="18">
        <f>IF(ISNUMBER(J160), $B172 * K160, "")</f>
        <v>5660.3773584905666</v>
      </c>
      <c r="M160" s="31">
        <v>111</v>
      </c>
      <c r="N160" s="32">
        <f t="shared" si="85"/>
        <v>4.716981132075472E-2</v>
      </c>
      <c r="O160" s="18">
        <f>IF(ISNUMBER(M160), $B172 * N160, "")</f>
        <v>4716.9811320754725</v>
      </c>
      <c r="Q160" s="33"/>
      <c r="R160" s="33"/>
    </row>
    <row r="161" spans="1:19" ht="17.25" thickBot="1">
      <c r="A161" s="130" t="s">
        <v>232</v>
      </c>
      <c r="B161" s="131">
        <v>105</v>
      </c>
      <c r="C161" s="79">
        <v>-3.6697247699999998E-2</v>
      </c>
      <c r="D161" s="24">
        <v>111</v>
      </c>
      <c r="E161" s="25">
        <f t="shared" si="82"/>
        <v>5.7142857142857141E-2</v>
      </c>
      <c r="F161" s="104">
        <f>IF(ISNUMBER(D161), $B172 * E161, "")</f>
        <v>5714.2857142857138</v>
      </c>
      <c r="G161" s="102">
        <v>111</v>
      </c>
      <c r="H161" s="25">
        <f t="shared" si="83"/>
        <v>5.7142857142857141E-2</v>
      </c>
      <c r="I161" s="103">
        <f>IF(ISNUMBER(G161), $B172 * H161, "")</f>
        <v>5714.2857142857138</v>
      </c>
      <c r="J161" s="24">
        <v>112</v>
      </c>
      <c r="K161" s="25">
        <f t="shared" si="84"/>
        <v>6.6666666666666666E-2</v>
      </c>
      <c r="L161" s="104">
        <f>IF(ISNUMBER(J161), $B172 * K161, "")</f>
        <v>6666.666666666667</v>
      </c>
      <c r="M161" s="102">
        <v>110</v>
      </c>
      <c r="N161" s="25">
        <f t="shared" si="85"/>
        <v>4.7619047619047616E-2</v>
      </c>
      <c r="O161" s="104">
        <f>IF(ISNUMBER(M161), $B172 * N161, "")</f>
        <v>4761.9047619047615</v>
      </c>
      <c r="Q161" s="224"/>
      <c r="R161" s="225"/>
      <c r="S161" s="226"/>
    </row>
    <row r="162" spans="1:19">
      <c r="A162" s="161" t="s">
        <v>202</v>
      </c>
      <c r="B162" s="124">
        <v>105</v>
      </c>
      <c r="C162" s="76">
        <v>-3.6697247699999998E-2</v>
      </c>
      <c r="D162" s="13">
        <v>109</v>
      </c>
      <c r="E162" s="14">
        <f>IF(ISNUMBER(D162), (D162 - $B162) / $B162, "")</f>
        <v>3.8095238095238099E-2</v>
      </c>
      <c r="F162" s="16">
        <f>IF(ISNUMBER(D162), $B172 * E162, "")</f>
        <v>3809.5238095238101</v>
      </c>
      <c r="G162" s="29">
        <v>114</v>
      </c>
      <c r="H162" s="14">
        <f>IF(ISNUMBER(G162), (G162 - $B162) / $B162, "")</f>
        <v>8.5714285714285715E-2</v>
      </c>
      <c r="I162" s="100">
        <f>IF(ISNUMBER(G162), $B172 * H162, "")</f>
        <v>8571.4285714285706</v>
      </c>
      <c r="J162" s="13">
        <v>116</v>
      </c>
      <c r="K162" s="14">
        <f>IF(ISNUMBER(J162), (J162 - $B162) / $B162, "")</f>
        <v>0.10476190476190476</v>
      </c>
      <c r="L162" s="16">
        <f>IF(ISNUMBER(J162), $B172 * K162, "")</f>
        <v>10476.190476190477</v>
      </c>
      <c r="M162" s="29">
        <v>112</v>
      </c>
      <c r="N162" s="14">
        <f>IF(ISNUMBER(M162), (M162 - $B162) / $B162, "")</f>
        <v>6.6666666666666666E-2</v>
      </c>
      <c r="O162" s="16">
        <f>IF(ISNUMBER(M162), $B172 * N162, "")</f>
        <v>6666.666666666667</v>
      </c>
      <c r="Q162" s="227"/>
      <c r="R162" s="228"/>
      <c r="S162" s="229"/>
    </row>
    <row r="163" spans="1:19" ht="17.25" thickBot="1">
      <c r="A163" s="162" t="s">
        <v>234</v>
      </c>
      <c r="B163" s="126">
        <v>708</v>
      </c>
      <c r="C163" s="77">
        <v>-3.6734693899999997E-2</v>
      </c>
      <c r="D163" s="15">
        <v>729</v>
      </c>
      <c r="E163" s="32">
        <f t="shared" ref="E163:E166" si="86">IF(ISNUMBER(D163), (D163 - $B163) / $B163, "")</f>
        <v>2.9661016949152543E-2</v>
      </c>
      <c r="F163" s="18">
        <f>IF(ISNUMBER(D163), $B172 * E163, "")</f>
        <v>2966.1016949152545</v>
      </c>
      <c r="G163" s="31">
        <v>746</v>
      </c>
      <c r="H163" s="32">
        <f t="shared" ref="H163:H166" si="87">IF(ISNUMBER(G163), (G163 - $B163) / $B163, "")</f>
        <v>5.3672316384180789E-2</v>
      </c>
      <c r="I163" s="101">
        <f>IF(ISNUMBER(G163), $B172 * H163, "")</f>
        <v>5367.2316384180785</v>
      </c>
      <c r="J163" s="15">
        <v>740</v>
      </c>
      <c r="K163" s="32">
        <f t="shared" ref="K163:K166" si="88">IF(ISNUMBER(J163), (J163 - $B163) / $B163, "")</f>
        <v>4.519774011299435E-2</v>
      </c>
      <c r="L163" s="18">
        <f>IF(ISNUMBER(J163), $B172 * K163, "")</f>
        <v>4519.7740112994352</v>
      </c>
      <c r="M163" s="31">
        <v>737</v>
      </c>
      <c r="N163" s="32">
        <f t="shared" ref="N163:N166" si="89">IF(ISNUMBER(M163), (M163 - $B163) / $B163, "")</f>
        <v>4.0960451977401127E-2</v>
      </c>
      <c r="O163" s="18">
        <f>IF(ISNUMBER(M163), $B172 * N163, "")</f>
        <v>4096.0451977401126</v>
      </c>
      <c r="Q163" s="230"/>
      <c r="R163" s="231"/>
      <c r="S163" s="232"/>
    </row>
    <row r="164" spans="1:19" ht="17.25" thickBot="1">
      <c r="A164" s="162" t="s">
        <v>282</v>
      </c>
      <c r="B164" s="126">
        <v>104</v>
      </c>
      <c r="C164" s="77">
        <v>-3.7037037000000002E-2</v>
      </c>
      <c r="D164" s="15">
        <v>107</v>
      </c>
      <c r="E164" s="32">
        <f t="shared" si="86"/>
        <v>2.8846153846153848E-2</v>
      </c>
      <c r="F164" s="18">
        <f>IF(ISNUMBER(D164), $B172 * E164, "")</f>
        <v>2884.6153846153848</v>
      </c>
      <c r="G164" s="31">
        <v>112</v>
      </c>
      <c r="H164" s="32">
        <f t="shared" si="87"/>
        <v>7.6923076923076927E-2</v>
      </c>
      <c r="I164" s="101">
        <f>IF(ISNUMBER(G164), $B172 * H164, "")</f>
        <v>7692.3076923076924</v>
      </c>
      <c r="J164" s="15">
        <v>113</v>
      </c>
      <c r="K164" s="32">
        <f t="shared" si="88"/>
        <v>8.6538461538461536E-2</v>
      </c>
      <c r="L164" s="18">
        <f>IF(ISNUMBER(J164), $B172 * K164, "")</f>
        <v>8653.8461538461543</v>
      </c>
      <c r="M164" s="31">
        <v>111</v>
      </c>
      <c r="N164" s="32">
        <f t="shared" si="89"/>
        <v>6.7307692307692304E-2</v>
      </c>
      <c r="O164" s="18">
        <f>IF(ISNUMBER(M164), $B172 * N164, "")</f>
        <v>6730.7692307692305</v>
      </c>
      <c r="Q164" s="223"/>
      <c r="R164" s="223"/>
      <c r="S164" s="223"/>
    </row>
    <row r="165" spans="1:19" ht="17.25" thickBot="1">
      <c r="A165" s="162" t="s">
        <v>252</v>
      </c>
      <c r="B165" s="126">
        <v>277</v>
      </c>
      <c r="C165" s="77">
        <v>-3.8194444399999999E-2</v>
      </c>
      <c r="D165" s="15">
        <v>286</v>
      </c>
      <c r="E165" s="32">
        <f t="shared" si="86"/>
        <v>3.2490974729241874E-2</v>
      </c>
      <c r="F165" s="18">
        <f>IF(ISNUMBER(D165), $B172 * E165, "")</f>
        <v>3249.0974729241875</v>
      </c>
      <c r="G165" s="31">
        <v>293</v>
      </c>
      <c r="H165" s="32">
        <f t="shared" si="87"/>
        <v>5.7761732851985562E-2</v>
      </c>
      <c r="I165" s="101">
        <f>IF(ISNUMBER(G165), $B172 * H165, "")</f>
        <v>5776.1732851985562</v>
      </c>
      <c r="J165" s="15">
        <v>290</v>
      </c>
      <c r="K165" s="32">
        <f t="shared" si="88"/>
        <v>4.6931407942238268E-2</v>
      </c>
      <c r="L165" s="18">
        <f>IF(ISNUMBER(J165), $B172 * K165, "")</f>
        <v>4693.1407942238266</v>
      </c>
      <c r="M165" s="31">
        <v>288</v>
      </c>
      <c r="N165" s="32">
        <f t="shared" si="89"/>
        <v>3.9711191335740074E-2</v>
      </c>
      <c r="O165" s="18">
        <f>IF(ISNUMBER(M165), $B172 * N165, "")</f>
        <v>3971.1191335740073</v>
      </c>
      <c r="Q165" s="233"/>
      <c r="R165" s="233"/>
      <c r="S165" s="233"/>
    </row>
    <row r="166" spans="1:19" ht="17.25" thickBot="1">
      <c r="A166" s="163" t="s">
        <v>182</v>
      </c>
      <c r="B166" s="128">
        <v>266</v>
      </c>
      <c r="C166" s="78">
        <v>-3.9711191299999997E-2</v>
      </c>
      <c r="D166" s="20">
        <v>272</v>
      </c>
      <c r="E166" s="21">
        <f t="shared" si="86"/>
        <v>2.2556390977443608E-2</v>
      </c>
      <c r="F166" s="22">
        <f>IF(ISNUMBER(D166), $B172 * E166, "")</f>
        <v>2255.6390977443607</v>
      </c>
      <c r="G166" s="30">
        <v>275</v>
      </c>
      <c r="H166" s="21">
        <f t="shared" si="87"/>
        <v>3.3834586466165412E-2</v>
      </c>
      <c r="I166" s="105">
        <f>IF(ISNUMBER(G166), $B172 * H166, "")</f>
        <v>3383.458646616541</v>
      </c>
      <c r="J166" s="20">
        <v>274</v>
      </c>
      <c r="K166" s="21">
        <f t="shared" si="88"/>
        <v>3.007518796992481E-2</v>
      </c>
      <c r="L166" s="22">
        <f>IF(ISNUMBER(J166), $B172 * K166, "")</f>
        <v>3007.5187969924809</v>
      </c>
      <c r="M166" s="30">
        <v>274</v>
      </c>
      <c r="N166" s="21">
        <f t="shared" si="89"/>
        <v>3.007518796992481E-2</v>
      </c>
      <c r="O166" s="22">
        <f>IF(ISNUMBER(M166), $B172 * N166, "")</f>
        <v>3007.5187969924809</v>
      </c>
      <c r="Q166" s="233"/>
      <c r="R166" s="233"/>
      <c r="S166" s="233"/>
    </row>
    <row r="167" spans="1:19" ht="17.25" thickBot="1">
      <c r="A167" s="162" t="s">
        <v>170</v>
      </c>
      <c r="B167" s="129">
        <v>261</v>
      </c>
      <c r="C167" s="80">
        <v>-4.0441176500000002E-2</v>
      </c>
      <c r="D167" s="106">
        <v>272</v>
      </c>
      <c r="E167" s="107">
        <f>IF(ISNUMBER(D167), (D167 - $B167) / $B167, "")</f>
        <v>4.2145593869731802E-2</v>
      </c>
      <c r="F167" s="108">
        <f>IF(ISNUMBER(D167), $B172 * E167, "")</f>
        <v>4214.5593869731802</v>
      </c>
      <c r="G167" s="109">
        <v>277</v>
      </c>
      <c r="H167" s="107">
        <f>IF(ISNUMBER(G167), (G167 - $B167) / $B167, "")</f>
        <v>6.1302681992337162E-2</v>
      </c>
      <c r="I167" s="110">
        <f>IF(ISNUMBER(G167), $B172 * H167, "")</f>
        <v>6130.2681992337166</v>
      </c>
      <c r="J167" s="106">
        <v>277</v>
      </c>
      <c r="K167" s="107">
        <f>IF(ISNUMBER(J167), (J167 - $B167) / $B167, "")</f>
        <v>6.1302681992337162E-2</v>
      </c>
      <c r="L167" s="108">
        <f>IF(ISNUMBER(J167), $B172 * K167, "")</f>
        <v>6130.2681992337166</v>
      </c>
      <c r="M167" s="109">
        <v>270</v>
      </c>
      <c r="N167" s="107">
        <f>IF(ISNUMBER(M167), (M167 - $B167) / $B167, "")</f>
        <v>3.4482758620689655E-2</v>
      </c>
      <c r="O167" s="108">
        <f>IF(ISNUMBER(M167), $B172 * N167, "")</f>
        <v>3448.2758620689656</v>
      </c>
      <c r="Q167" s="223"/>
      <c r="R167" s="223"/>
      <c r="S167" s="223"/>
    </row>
    <row r="168" spans="1:19" ht="17.25" thickBot="1">
      <c r="A168" s="162" t="s">
        <v>112</v>
      </c>
      <c r="B168" s="126">
        <v>173</v>
      </c>
      <c r="C168" s="77">
        <v>-4.4198895000000002E-2</v>
      </c>
      <c r="D168" s="15">
        <v>174</v>
      </c>
      <c r="E168" s="32">
        <f t="shared" ref="E168:E171" si="90">IF(ISNUMBER(D168), (D168 - $B168) / $B168, "")</f>
        <v>5.7803468208092483E-3</v>
      </c>
      <c r="F168" s="18">
        <f>IF(ISNUMBER(D168), $B172 * E168, "")</f>
        <v>578.03468208092488</v>
      </c>
      <c r="G168" s="31">
        <v>177</v>
      </c>
      <c r="H168" s="32">
        <f t="shared" ref="H168:H171" si="91">IF(ISNUMBER(G168), (G168 - $B168) / $B168, "")</f>
        <v>2.3121387283236993E-2</v>
      </c>
      <c r="I168" s="101">
        <f>IF(ISNUMBER(G168), $B172 * H168, "")</f>
        <v>2312.1387283236995</v>
      </c>
      <c r="J168" s="15">
        <v>175</v>
      </c>
      <c r="K168" s="32">
        <f t="shared" ref="K168:K171" si="92">IF(ISNUMBER(J168), (J168 - $B168) / $B168, "")</f>
        <v>1.1560693641618497E-2</v>
      </c>
      <c r="L168" s="18">
        <f>IF(ISNUMBER(J168), $B172 * K168, "")</f>
        <v>1156.0693641618498</v>
      </c>
      <c r="M168" s="31">
        <v>175</v>
      </c>
      <c r="N168" s="32">
        <f t="shared" ref="N168:N171" si="93">IF(ISNUMBER(M168), (M168 - $B168) / $B168, "")</f>
        <v>1.1560693641618497E-2</v>
      </c>
      <c r="O168" s="18">
        <f>IF(ISNUMBER(M168), $B172 * N168, "")</f>
        <v>1156.0693641618498</v>
      </c>
      <c r="Q168" s="223"/>
      <c r="R168" s="223"/>
      <c r="S168" s="223"/>
    </row>
    <row r="169" spans="1:19" ht="17.25" thickBot="1">
      <c r="A169" s="162" t="s">
        <v>54</v>
      </c>
      <c r="B169" s="126">
        <v>237</v>
      </c>
      <c r="C169" s="77">
        <v>-4.4354838700000003E-2</v>
      </c>
      <c r="D169" s="15">
        <v>241</v>
      </c>
      <c r="E169" s="32">
        <f t="shared" si="90"/>
        <v>1.6877637130801686E-2</v>
      </c>
      <c r="F169" s="18">
        <f>IF(ISNUMBER(D169), $B172 * E169, "")</f>
        <v>1687.7637130801686</v>
      </c>
      <c r="G169" s="31">
        <v>241</v>
      </c>
      <c r="H169" s="32">
        <f t="shared" si="91"/>
        <v>1.6877637130801686E-2</v>
      </c>
      <c r="I169" s="101">
        <f>IF(ISNUMBER(G169), $B172 * H169, "")</f>
        <v>1687.7637130801686</v>
      </c>
      <c r="J169" s="15">
        <v>240</v>
      </c>
      <c r="K169" s="32">
        <f t="shared" si="92"/>
        <v>1.2658227848101266E-2</v>
      </c>
      <c r="L169" s="18">
        <f>IF(ISNUMBER(J169), $B172 * K169, "")</f>
        <v>1265.8227848101264</v>
      </c>
      <c r="M169" s="31">
        <v>237</v>
      </c>
      <c r="N169" s="32">
        <f t="shared" si="93"/>
        <v>0</v>
      </c>
      <c r="O169" s="18">
        <f>IF(ISNUMBER(M169), $B172 * N169, "")</f>
        <v>0</v>
      </c>
      <c r="Q169" s="223"/>
      <c r="R169" s="223"/>
      <c r="S169" s="223"/>
    </row>
    <row r="170" spans="1:19">
      <c r="A170" s="162" t="s">
        <v>208</v>
      </c>
      <c r="B170" s="126">
        <v>264</v>
      </c>
      <c r="C170" s="77">
        <v>-4.69314079E-2</v>
      </c>
      <c r="D170" s="15">
        <v>282</v>
      </c>
      <c r="E170" s="32">
        <f t="shared" si="90"/>
        <v>6.8181818181818177E-2</v>
      </c>
      <c r="F170" s="18">
        <f>IF(ISNUMBER(D170), $B172 * E170, "")</f>
        <v>6818.181818181818</v>
      </c>
      <c r="G170" s="31">
        <v>284</v>
      </c>
      <c r="H170" s="32">
        <f t="shared" si="91"/>
        <v>7.575757575757576E-2</v>
      </c>
      <c r="I170" s="101">
        <f>IF(ISNUMBER(G170), $B172 * H170, "")</f>
        <v>7575.757575757576</v>
      </c>
      <c r="J170" s="15">
        <v>285</v>
      </c>
      <c r="K170" s="32">
        <f t="shared" si="92"/>
        <v>7.9545454545454544E-2</v>
      </c>
      <c r="L170" s="18">
        <f>IF(ISNUMBER(J170), $B172 * K170, "")</f>
        <v>7954.545454545454</v>
      </c>
      <c r="M170" s="31">
        <v>280</v>
      </c>
      <c r="N170" s="32">
        <f t="shared" si="93"/>
        <v>6.0606060606060608E-2</v>
      </c>
      <c r="O170" s="18">
        <f>IF(ISNUMBER(M170), $B172 * N170, "")</f>
        <v>6060.606060606061</v>
      </c>
      <c r="Q170" s="212"/>
      <c r="R170" s="213"/>
      <c r="S170" s="214"/>
    </row>
    <row r="171" spans="1:19" ht="17.25" thickBot="1">
      <c r="A171" s="130" t="s">
        <v>216</v>
      </c>
      <c r="B171" s="131">
        <v>248</v>
      </c>
      <c r="C171" s="79">
        <v>-4.9808429100000003E-2</v>
      </c>
      <c r="D171" s="24">
        <v>278</v>
      </c>
      <c r="E171" s="25">
        <f t="shared" si="90"/>
        <v>0.12096774193548387</v>
      </c>
      <c r="F171" s="104">
        <f>IF(ISNUMBER(D171), $B172 * E171, "")</f>
        <v>12096.774193548388</v>
      </c>
      <c r="G171" s="102">
        <v>276</v>
      </c>
      <c r="H171" s="25">
        <f t="shared" si="91"/>
        <v>0.11290322580645161</v>
      </c>
      <c r="I171" s="103">
        <f>IF(ISNUMBER(G171), $B172 * H171, "")</f>
        <v>11290.322580645161</v>
      </c>
      <c r="J171" s="24">
        <v>287</v>
      </c>
      <c r="K171" s="25">
        <f t="shared" si="92"/>
        <v>0.15725806451612903</v>
      </c>
      <c r="L171" s="104">
        <f>IF(ISNUMBER(J171), $B172 * K171, "")</f>
        <v>15725.806451612903</v>
      </c>
      <c r="M171" s="102">
        <v>283</v>
      </c>
      <c r="N171" s="25">
        <f t="shared" si="93"/>
        <v>0.14112903225806453</v>
      </c>
      <c r="O171" s="104">
        <f>IF(ISNUMBER(M171), $B172 * N171, "")</f>
        <v>14112.903225806453</v>
      </c>
      <c r="Q171" s="215"/>
      <c r="R171" s="216"/>
      <c r="S171" s="217"/>
    </row>
    <row r="172" spans="1:19" ht="17.25" thickBot="1">
      <c r="A172" s="132" t="s">
        <v>300</v>
      </c>
      <c r="B172" s="276">
        <f>$B$37</f>
        <v>100000</v>
      </c>
      <c r="C172" s="277"/>
      <c r="D172" s="26" t="s">
        <v>301</v>
      </c>
      <c r="E172" s="27">
        <f>IF(COUNT(E152:E171), SUM(E152:E171) / COUNT(E152:E171), 0)</f>
        <v>4.3622259575471792E-2</v>
      </c>
      <c r="F172" s="28">
        <f>SUM(F152:F171)</f>
        <v>87244.519150943554</v>
      </c>
      <c r="G172" s="26" t="s">
        <v>301</v>
      </c>
      <c r="H172" s="27">
        <f>IF(COUNT(H152:H171), SUM(H152:H171) / COUNT(H152:H171), 0)</f>
        <v>6.5370208878370958E-2</v>
      </c>
      <c r="I172" s="28">
        <f>SUM(I152:I171)</f>
        <v>130740.41775674191</v>
      </c>
      <c r="J172" s="26" t="s">
        <v>301</v>
      </c>
      <c r="K172" s="27">
        <f>IF(COUNT(K152:K171), SUM(K152:K171) / COUNT(K152:K171), 0)</f>
        <v>6.4913069888289696E-2</v>
      </c>
      <c r="L172" s="28">
        <f>SUM(L152:L171)</f>
        <v>129826.1397765794</v>
      </c>
      <c r="M172" s="26" t="s">
        <v>301</v>
      </c>
      <c r="N172" s="27">
        <f>IF(COUNT(N152:N171), SUM(N152:N171) / COUNT(N152:N171), 0)</f>
        <v>5.1480495755586123E-2</v>
      </c>
      <c r="O172" s="28">
        <f>SUM(O152:O171)</f>
        <v>102960.99151117225</v>
      </c>
      <c r="Q172" s="218"/>
      <c r="R172" s="219"/>
      <c r="S172" s="220"/>
    </row>
    <row r="174" spans="1:19" ht="17.25" thickBot="1"/>
    <row r="175" spans="1:19" ht="17.25" thickBot="1">
      <c r="A175" s="234" t="s">
        <v>285</v>
      </c>
      <c r="B175" s="235"/>
      <c r="C175" s="235"/>
      <c r="D175" s="235"/>
      <c r="E175" s="235"/>
      <c r="F175" s="235"/>
      <c r="G175" s="235"/>
      <c r="H175" s="235"/>
      <c r="I175" s="235"/>
      <c r="J175" s="235"/>
      <c r="K175" s="235"/>
      <c r="L175" s="235"/>
      <c r="M175" s="235"/>
      <c r="N175" s="235"/>
      <c r="O175" s="236"/>
      <c r="Q175" s="233"/>
      <c r="R175" s="233"/>
      <c r="S175" s="233"/>
    </row>
    <row r="176" spans="1:19" ht="17.25" thickBot="1">
      <c r="A176" s="196" t="s">
        <v>297</v>
      </c>
      <c r="B176" s="234" t="s">
        <v>49</v>
      </c>
      <c r="C176" s="236"/>
      <c r="D176" s="234" t="s">
        <v>58</v>
      </c>
      <c r="E176" s="235"/>
      <c r="F176" s="236"/>
      <c r="G176" s="237">
        <f>_xlfn.IFNA(VLOOKUP(B176, 현재가테이블!$B$2:$D$200, 2, FALSE), "-")</f>
        <v>41418000</v>
      </c>
      <c r="H176" s="238"/>
      <c r="I176" s="239"/>
      <c r="J176" s="234" t="s">
        <v>59</v>
      </c>
      <c r="K176" s="235"/>
      <c r="L176" s="236"/>
      <c r="M176" s="240">
        <f>_xlfn.IFNA(VLOOKUP(B176, 현재가테이블!$B$2:$D$200, 3, FALSE), "-")</f>
        <v>-5.2176301000000001E-2</v>
      </c>
      <c r="N176" s="241"/>
      <c r="O176" s="242"/>
      <c r="Q176" s="233"/>
      <c r="R176" s="233"/>
      <c r="S176" s="233"/>
    </row>
    <row r="177" spans="1:19" ht="17.25" thickBot="1">
      <c r="A177" s="278" t="s">
        <v>55</v>
      </c>
      <c r="B177" s="274" t="str">
        <f>TEXT($G$1, "[$-ko-KR]yyyy-mm-dd(ddd) ") &amp; "오전 00:00"</f>
        <v>2021-06-10(목) 오전 00:00</v>
      </c>
      <c r="C177" s="275"/>
      <c r="D177" s="247" t="str">
        <f>TEXT($G$1, "[$-ko-KR]yyyy-mm-dd(ddd) ") &amp; "오후 14:00"</f>
        <v>2021-06-10(목) 오후 14:00</v>
      </c>
      <c r="E177" s="248"/>
      <c r="F177" s="249"/>
      <c r="G177" s="247" t="str">
        <f>TEXT($G$1, "[$-ko-KR]yyyy-mm-dd(ddd) ") &amp; "오후 19:00"</f>
        <v>2021-06-10(목) 오후 19:00</v>
      </c>
      <c r="H177" s="248"/>
      <c r="I177" s="249"/>
      <c r="J177" s="247" t="str">
        <f>TEXT($G$1, "[$-ko-KR]yyyy-mm-dd(ddd) ") &amp; "오후 21:00"</f>
        <v>2021-06-10(목) 오후 21:00</v>
      </c>
      <c r="K177" s="248"/>
      <c r="L177" s="249"/>
      <c r="M177" s="247" t="str">
        <f>TEXT($G$1+1, "[$-ko-KR]yyyy-mm-dd(ddd) ") &amp; "오전 00:00"</f>
        <v>2021-06-11(금) 오전 00:00</v>
      </c>
      <c r="N177" s="248"/>
      <c r="O177" s="249"/>
      <c r="Q177" s="233"/>
      <c r="R177" s="233"/>
      <c r="S177" s="233"/>
    </row>
    <row r="178" spans="1:19" ht="17.25" thickBot="1">
      <c r="A178" s="279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97" t="s">
        <v>58</v>
      </c>
      <c r="H178" s="198" t="s">
        <v>298</v>
      </c>
      <c r="I178" s="19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3"/>
      <c r="R178" s="223"/>
      <c r="S178" s="223"/>
    </row>
    <row r="179" spans="1:19" ht="17.25" thickBot="1">
      <c r="A179" s="161" t="s">
        <v>170</v>
      </c>
      <c r="B179" s="124">
        <v>261</v>
      </c>
      <c r="C179" s="76">
        <v>-4.0441176500000002E-2</v>
      </c>
      <c r="D179" s="13">
        <v>272</v>
      </c>
      <c r="E179" s="14">
        <f>IF(ISNUMBER(D179), (D179 - $B179) / $B179, "")</f>
        <v>4.2145593869731802E-2</v>
      </c>
      <c r="F179" s="16">
        <f>IF(ISNUMBER(D179), $B199 * E179, "")</f>
        <v>4214.5593869731802</v>
      </c>
      <c r="G179" s="29">
        <v>277</v>
      </c>
      <c r="H179" s="14">
        <f>IF(ISNUMBER(G179), (G179 - $B179) / $B179, "")</f>
        <v>6.1302681992337162E-2</v>
      </c>
      <c r="I179" s="100">
        <f>IF(ISNUMBER(G179), $B199 * H179, "")</f>
        <v>6130.2681992337166</v>
      </c>
      <c r="J179" s="13">
        <v>277</v>
      </c>
      <c r="K179" s="14">
        <f>IF(ISNUMBER(J179), (J179 - $B179) / $B179, "")</f>
        <v>6.1302681992337162E-2</v>
      </c>
      <c r="L179" s="16">
        <f>IF(ISNUMBER(J179), $B199 * K179, "")</f>
        <v>6130.2681992337166</v>
      </c>
      <c r="M179" s="29">
        <v>270</v>
      </c>
      <c r="N179" s="14">
        <f>IF(ISNUMBER(M179), (M179 - $B179) / $B179, "")</f>
        <v>3.4482758620689655E-2</v>
      </c>
      <c r="O179" s="16">
        <f>IF(ISNUMBER(M179), $B199 * N179, "")</f>
        <v>3448.2758620689656</v>
      </c>
      <c r="Q179" s="233"/>
      <c r="R179" s="233"/>
      <c r="S179" s="233"/>
    </row>
    <row r="180" spans="1:19" ht="17.25" thickBot="1">
      <c r="A180" s="162" t="s">
        <v>198</v>
      </c>
      <c r="B180" s="126">
        <v>14</v>
      </c>
      <c r="C180" s="77">
        <v>-4.1095890400000001E-2</v>
      </c>
      <c r="D180" s="15">
        <v>14.7</v>
      </c>
      <c r="E180" s="32">
        <f t="shared" ref="E180:E183" si="94">IF(ISNUMBER(D180), (D180 - $B180) / $B180, "")</f>
        <v>4.9999999999999947E-2</v>
      </c>
      <c r="F180" s="18">
        <f>IF(ISNUMBER(D180), $B199 * E180, "")</f>
        <v>4999.9999999999945</v>
      </c>
      <c r="G180" s="31">
        <v>15.3</v>
      </c>
      <c r="H180" s="32">
        <f t="shared" ref="H180:H183" si="95">IF(ISNUMBER(G180), (G180 - $B180) / $B180, "")</f>
        <v>9.2857142857142902E-2</v>
      </c>
      <c r="I180" s="101">
        <f>IF(ISNUMBER(G180), $B199 * H180, "")</f>
        <v>9285.7142857142899</v>
      </c>
      <c r="J180" s="15">
        <v>15.4</v>
      </c>
      <c r="K180" s="32">
        <f t="shared" ref="K180:K183" si="96">IF(ISNUMBER(J180), (J180 - $B180) / $B180, "")</f>
        <v>0.10000000000000002</v>
      </c>
      <c r="L180" s="18">
        <f>IF(ISNUMBER(J180), $B199 * K180, "")</f>
        <v>10000.000000000002</v>
      </c>
      <c r="M180" s="31">
        <v>15.3</v>
      </c>
      <c r="N180" s="32">
        <f t="shared" ref="N180:N183" si="97">IF(ISNUMBER(M180), (M180 - $B180) / $B180, "")</f>
        <v>9.2857142857142902E-2</v>
      </c>
      <c r="O180" s="18">
        <f>IF(ISNUMBER(M180), $B199 * N180, "")</f>
        <v>9285.7142857142899</v>
      </c>
      <c r="Q180" s="233"/>
      <c r="R180" s="233"/>
      <c r="S180" s="233"/>
    </row>
    <row r="181" spans="1:19" ht="17.25" thickBot="1">
      <c r="A181" s="162" t="s">
        <v>144</v>
      </c>
      <c r="B181" s="126">
        <v>5925</v>
      </c>
      <c r="C181" s="77">
        <v>-4.1262135899999997E-2</v>
      </c>
      <c r="D181" s="15">
        <v>6195</v>
      </c>
      <c r="E181" s="32">
        <f t="shared" si="94"/>
        <v>4.5569620253164557E-2</v>
      </c>
      <c r="F181" s="18">
        <f>IF(ISNUMBER(D181), $B199 * E181, "")</f>
        <v>4556.9620253164558</v>
      </c>
      <c r="G181" s="31">
        <v>6175</v>
      </c>
      <c r="H181" s="32">
        <f t="shared" si="95"/>
        <v>4.2194092827004218E-2</v>
      </c>
      <c r="I181" s="101">
        <f>IF(ISNUMBER(G181), $B199 * H181, "")</f>
        <v>4219.4092827004215</v>
      </c>
      <c r="J181" s="15">
        <v>6160</v>
      </c>
      <c r="K181" s="32">
        <f t="shared" si="96"/>
        <v>3.9662447257383965E-2</v>
      </c>
      <c r="L181" s="18">
        <f>IF(ISNUMBER(J181), $B199 * K181, "")</f>
        <v>3966.2447257383965</v>
      </c>
      <c r="M181" s="31">
        <v>6045</v>
      </c>
      <c r="N181" s="32">
        <f t="shared" si="97"/>
        <v>2.0253164556962026E-2</v>
      </c>
      <c r="O181" s="18">
        <f>IF(ISNUMBER(M181), $B199 * N181, "")</f>
        <v>2025.3164556962026</v>
      </c>
      <c r="Q181" s="223"/>
      <c r="R181" s="223"/>
      <c r="S181" s="223"/>
    </row>
    <row r="182" spans="1:19" ht="17.25" thickBot="1">
      <c r="A182" s="162" t="s">
        <v>268</v>
      </c>
      <c r="B182" s="126">
        <v>44.7</v>
      </c>
      <c r="C182" s="77">
        <v>-4.2826552499999997E-2</v>
      </c>
      <c r="D182" s="15">
        <v>51.8</v>
      </c>
      <c r="E182" s="32">
        <f t="shared" si="94"/>
        <v>0.15883668903803119</v>
      </c>
      <c r="F182" s="18">
        <f>IF(ISNUMBER(D182), $B199 * E182, "")</f>
        <v>15883.66890380312</v>
      </c>
      <c r="G182" s="31">
        <v>53.1</v>
      </c>
      <c r="H182" s="32">
        <f t="shared" si="95"/>
        <v>0.18791946308724827</v>
      </c>
      <c r="I182" s="101">
        <f>IF(ISNUMBER(G182), $B199 * H182, "")</f>
        <v>18791.946308724826</v>
      </c>
      <c r="J182" s="15">
        <v>52.3</v>
      </c>
      <c r="K182" s="32">
        <f t="shared" si="96"/>
        <v>0.17002237136465312</v>
      </c>
      <c r="L182" s="18">
        <f>IF(ISNUMBER(J182), $B199 * K182, "")</f>
        <v>17002.237136465312</v>
      </c>
      <c r="M182" s="31">
        <v>50.3</v>
      </c>
      <c r="N182" s="32">
        <f t="shared" si="97"/>
        <v>0.12527964205816541</v>
      </c>
      <c r="O182" s="18">
        <f>IF(ISNUMBER(M182), $B199 * N182, "")</f>
        <v>12527.964205816541</v>
      </c>
      <c r="Q182" s="223"/>
      <c r="R182" s="223"/>
      <c r="S182" s="223"/>
    </row>
    <row r="183" spans="1:19" ht="17.25" thickBot="1">
      <c r="A183" s="163" t="s">
        <v>122</v>
      </c>
      <c r="B183" s="128">
        <v>55.4</v>
      </c>
      <c r="C183" s="78">
        <v>-4.3177892900000001E-2</v>
      </c>
      <c r="D183" s="20">
        <v>66.5</v>
      </c>
      <c r="E183" s="21">
        <f t="shared" si="94"/>
        <v>0.20036101083032495</v>
      </c>
      <c r="F183" s="22">
        <f>IF(ISNUMBER(D183), $B199 * E183, "")</f>
        <v>20036.101083032496</v>
      </c>
      <c r="G183" s="30">
        <v>76</v>
      </c>
      <c r="H183" s="21">
        <f t="shared" si="95"/>
        <v>0.37184115523465705</v>
      </c>
      <c r="I183" s="105">
        <f>IF(ISNUMBER(G183), $B199 * H183, "")</f>
        <v>37184.115523465705</v>
      </c>
      <c r="J183" s="20">
        <v>74.599999999999994</v>
      </c>
      <c r="K183" s="21">
        <f t="shared" si="96"/>
        <v>0.34657039711191329</v>
      </c>
      <c r="L183" s="22">
        <f>IF(ISNUMBER(J183), $B199 * K183, "")</f>
        <v>34657.039711191326</v>
      </c>
      <c r="M183" s="30">
        <v>70.400000000000006</v>
      </c>
      <c r="N183" s="21">
        <f t="shared" si="97"/>
        <v>0.27075812274368244</v>
      </c>
      <c r="O183" s="22">
        <f>IF(ISNUMBER(M183), $B199 * N183, "")</f>
        <v>27075.812274368243</v>
      </c>
      <c r="Q183" s="223"/>
      <c r="R183" s="223"/>
      <c r="S183" s="223"/>
    </row>
    <row r="184" spans="1:19" ht="17.25" thickBot="1">
      <c r="A184" s="162" t="s">
        <v>112</v>
      </c>
      <c r="B184" s="129">
        <v>173</v>
      </c>
      <c r="C184" s="80">
        <v>-4.4198895000000002E-2</v>
      </c>
      <c r="D184" s="106">
        <v>174</v>
      </c>
      <c r="E184" s="107">
        <f>IF(ISNUMBER(D184), (D184 - $B184) / $B184, "")</f>
        <v>5.7803468208092483E-3</v>
      </c>
      <c r="F184" s="108">
        <f>IF(ISNUMBER(D184), $B199 * E184, "")</f>
        <v>578.03468208092488</v>
      </c>
      <c r="G184" s="109">
        <v>177</v>
      </c>
      <c r="H184" s="107">
        <f>IF(ISNUMBER(G184), (G184 - $B184) / $B184, "")</f>
        <v>2.3121387283236993E-2</v>
      </c>
      <c r="I184" s="110">
        <f>IF(ISNUMBER(G184), $B199 * H184, "")</f>
        <v>2312.1387283236995</v>
      </c>
      <c r="J184" s="106">
        <v>175</v>
      </c>
      <c r="K184" s="107">
        <f>IF(ISNUMBER(J184), (J184 - $B184) / $B184, "")</f>
        <v>1.1560693641618497E-2</v>
      </c>
      <c r="L184" s="108">
        <f>IF(ISNUMBER(J184), $B199 * K184, "")</f>
        <v>1156.0693641618498</v>
      </c>
      <c r="M184" s="109">
        <v>175</v>
      </c>
      <c r="N184" s="107">
        <f>IF(ISNUMBER(M184), (M184 - $B184) / $B184, "")</f>
        <v>1.1560693641618497E-2</v>
      </c>
      <c r="O184" s="108">
        <f>IF(ISNUMBER(M184), $B199 * N184, "")</f>
        <v>1156.0693641618498</v>
      </c>
      <c r="Q184" s="223"/>
      <c r="R184" s="223"/>
      <c r="S184" s="223"/>
    </row>
    <row r="185" spans="1:19" ht="17.25" thickBot="1">
      <c r="A185" s="162" t="s">
        <v>54</v>
      </c>
      <c r="B185" s="126">
        <v>237</v>
      </c>
      <c r="C185" s="77">
        <v>-4.4354838700000003E-2</v>
      </c>
      <c r="D185" s="15">
        <v>241</v>
      </c>
      <c r="E185" s="32">
        <f t="shared" ref="E185:E188" si="98">IF(ISNUMBER(D185), (D185 - $B185) / $B185, "")</f>
        <v>1.6877637130801686E-2</v>
      </c>
      <c r="F185" s="18">
        <f>IF(ISNUMBER(D185), $B199 * E185, "")</f>
        <v>1687.7637130801686</v>
      </c>
      <c r="G185" s="31">
        <v>241</v>
      </c>
      <c r="H185" s="32">
        <f t="shared" ref="H185:H188" si="99">IF(ISNUMBER(G185), (G185 - $B185) / $B185, "")</f>
        <v>1.6877637130801686E-2</v>
      </c>
      <c r="I185" s="101">
        <f>IF(ISNUMBER(G185), $B199 * H185, "")</f>
        <v>1687.7637130801686</v>
      </c>
      <c r="J185" s="15">
        <v>240</v>
      </c>
      <c r="K185" s="32">
        <f t="shared" ref="K185:K188" si="100">IF(ISNUMBER(J185), (J185 - $B185) / $B185, "")</f>
        <v>1.2658227848101266E-2</v>
      </c>
      <c r="L185" s="18">
        <f>IF(ISNUMBER(J185), $B199 * K185, "")</f>
        <v>1265.8227848101264</v>
      </c>
      <c r="M185" s="31">
        <v>237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23"/>
      <c r="R185" s="223"/>
      <c r="S185" s="223"/>
    </row>
    <row r="186" spans="1:19" ht="17.25" thickBot="1">
      <c r="A186" s="162" t="s">
        <v>212</v>
      </c>
      <c r="B186" s="126">
        <v>63.8</v>
      </c>
      <c r="C186" s="77">
        <v>-4.4910179600000003E-2</v>
      </c>
      <c r="D186" s="15">
        <v>67.900000000000006</v>
      </c>
      <c r="E186" s="32">
        <f t="shared" si="98"/>
        <v>6.426332288401268E-2</v>
      </c>
      <c r="F186" s="18">
        <f>IF(ISNUMBER(D186), $B199 * E186, "")</f>
        <v>6426.3322884012678</v>
      </c>
      <c r="G186" s="31">
        <v>72.3</v>
      </c>
      <c r="H186" s="32">
        <f t="shared" si="99"/>
        <v>0.13322884012539185</v>
      </c>
      <c r="I186" s="101">
        <f>IF(ISNUMBER(G186), $B199 * H186, "")</f>
        <v>13322.884012539185</v>
      </c>
      <c r="J186" s="15">
        <v>71.7</v>
      </c>
      <c r="K186" s="32">
        <f t="shared" si="100"/>
        <v>0.1238244514106584</v>
      </c>
      <c r="L186" s="18">
        <f>IF(ISNUMBER(J186), $B199 * K186, "")</f>
        <v>12382.44514106584</v>
      </c>
      <c r="M186" s="31">
        <v>68.900000000000006</v>
      </c>
      <c r="N186" s="32">
        <f t="shared" si="101"/>
        <v>7.9937304075235249E-2</v>
      </c>
      <c r="O186" s="18">
        <f>IF(ISNUMBER(M186), $B199 * N186, "")</f>
        <v>7993.7304075235252</v>
      </c>
      <c r="Q186" s="223"/>
      <c r="R186" s="223"/>
      <c r="S186" s="223"/>
    </row>
    <row r="187" spans="1:19" ht="17.25" thickBot="1">
      <c r="A187" s="162" t="s">
        <v>204</v>
      </c>
      <c r="B187" s="126">
        <v>3305</v>
      </c>
      <c r="C187" s="77">
        <v>-4.6176046200000001E-2</v>
      </c>
      <c r="D187" s="15">
        <v>3580</v>
      </c>
      <c r="E187" s="32">
        <f t="shared" si="98"/>
        <v>8.3207261724659601E-2</v>
      </c>
      <c r="F187" s="18">
        <f>IF(ISNUMBER(D187), $B199 * E187, "")</f>
        <v>8320.7261724659602</v>
      </c>
      <c r="G187" s="31">
        <v>3595</v>
      </c>
      <c r="H187" s="32">
        <f t="shared" si="99"/>
        <v>8.7745839636913764E-2</v>
      </c>
      <c r="I187" s="101">
        <f>IF(ISNUMBER(G187), $B199 * H187, "")</f>
        <v>8774.583963691377</v>
      </c>
      <c r="J187" s="15">
        <v>3565</v>
      </c>
      <c r="K187" s="32">
        <f t="shared" si="100"/>
        <v>7.8668683812405452E-2</v>
      </c>
      <c r="L187" s="18">
        <f>IF(ISNUMBER(J187), $B199 * K187, "")</f>
        <v>7866.8683812405452</v>
      </c>
      <c r="M187" s="31">
        <v>3535</v>
      </c>
      <c r="N187" s="32">
        <f t="shared" si="101"/>
        <v>6.9591527987897125E-2</v>
      </c>
      <c r="O187" s="18">
        <f>IF(ISNUMBER(M187), $B199 * N187, "")</f>
        <v>6959.1527987897125</v>
      </c>
      <c r="Q187" s="33"/>
      <c r="R187" s="33"/>
    </row>
    <row r="188" spans="1:19" ht="17.25" thickBot="1">
      <c r="A188" s="130" t="s">
        <v>208</v>
      </c>
      <c r="B188" s="131">
        <v>264</v>
      </c>
      <c r="C188" s="79">
        <v>-4.69314079E-2</v>
      </c>
      <c r="D188" s="24">
        <v>282</v>
      </c>
      <c r="E188" s="25">
        <f t="shared" si="98"/>
        <v>6.8181818181818177E-2</v>
      </c>
      <c r="F188" s="104">
        <f>IF(ISNUMBER(D188), $B199 * E188, "")</f>
        <v>6818.181818181818</v>
      </c>
      <c r="G188" s="102">
        <v>284</v>
      </c>
      <c r="H188" s="25">
        <f t="shared" si="99"/>
        <v>7.575757575757576E-2</v>
      </c>
      <c r="I188" s="103">
        <f>IF(ISNUMBER(G188), $B199 * H188, "")</f>
        <v>7575.757575757576</v>
      </c>
      <c r="J188" s="24">
        <v>285</v>
      </c>
      <c r="K188" s="25">
        <f t="shared" si="100"/>
        <v>7.9545454545454544E-2</v>
      </c>
      <c r="L188" s="104">
        <f>IF(ISNUMBER(J188), $B199 * K188, "")</f>
        <v>7954.545454545454</v>
      </c>
      <c r="M188" s="102">
        <v>280</v>
      </c>
      <c r="N188" s="25">
        <f t="shared" si="101"/>
        <v>6.0606060606060608E-2</v>
      </c>
      <c r="O188" s="104">
        <f>IF(ISNUMBER(M188), $B199 * N188, "")</f>
        <v>6060.606060606061</v>
      </c>
      <c r="Q188" s="224"/>
      <c r="R188" s="225"/>
      <c r="S188" s="226"/>
    </row>
    <row r="189" spans="1:19">
      <c r="A189" s="161" t="s">
        <v>260</v>
      </c>
      <c r="B189" s="124">
        <v>60.8</v>
      </c>
      <c r="C189" s="76">
        <v>-4.7021943599999998E-2</v>
      </c>
      <c r="D189" s="13">
        <v>65.900000000000006</v>
      </c>
      <c r="E189" s="14">
        <f>IF(ISNUMBER(D189), (D189 - $B189) / $B189, "")</f>
        <v>8.3881578947368571E-2</v>
      </c>
      <c r="F189" s="16">
        <f>IF(ISNUMBER(D189), $B199 * E189, "")</f>
        <v>8388.1578947368562</v>
      </c>
      <c r="G189" s="29">
        <v>69.3</v>
      </c>
      <c r="H189" s="14">
        <f>IF(ISNUMBER(G189), (G189 - $B189) / $B189, "")</f>
        <v>0.13980263157894737</v>
      </c>
      <c r="I189" s="100">
        <f>IF(ISNUMBER(G189), $B199 * H189, "")</f>
        <v>13980.263157894737</v>
      </c>
      <c r="J189" s="13">
        <v>69</v>
      </c>
      <c r="K189" s="14">
        <f>IF(ISNUMBER(J189), (J189 - $B189) / $B189, "")</f>
        <v>0.13486842105263164</v>
      </c>
      <c r="L189" s="16">
        <f>IF(ISNUMBER(J189), $B199 * K189, "")</f>
        <v>13486.842105263164</v>
      </c>
      <c r="M189" s="29">
        <v>66.400000000000006</v>
      </c>
      <c r="N189" s="14">
        <f>IF(ISNUMBER(M189), (M189 - $B189) / $B189, "")</f>
        <v>9.2105263157894884E-2</v>
      </c>
      <c r="O189" s="16">
        <f>IF(ISNUMBER(M189), $B199 * N189, "")</f>
        <v>9210.5263157894879</v>
      </c>
      <c r="Q189" s="227"/>
      <c r="R189" s="228"/>
      <c r="S189" s="229"/>
    </row>
    <row r="190" spans="1:19" ht="17.25" thickBot="1">
      <c r="A190" s="162" t="s">
        <v>216</v>
      </c>
      <c r="B190" s="126">
        <v>248</v>
      </c>
      <c r="C190" s="77">
        <v>-4.9808429100000003E-2</v>
      </c>
      <c r="D190" s="15">
        <v>278</v>
      </c>
      <c r="E190" s="32">
        <f t="shared" ref="E190:E193" si="102">IF(ISNUMBER(D190), (D190 - $B190) / $B190, "")</f>
        <v>0.12096774193548387</v>
      </c>
      <c r="F190" s="18">
        <f>IF(ISNUMBER(D190), $B199 * E190, "")</f>
        <v>12096.774193548388</v>
      </c>
      <c r="G190" s="31">
        <v>276</v>
      </c>
      <c r="H190" s="32">
        <f t="shared" ref="H190:H193" si="103">IF(ISNUMBER(G190), (G190 - $B190) / $B190, "")</f>
        <v>0.11290322580645161</v>
      </c>
      <c r="I190" s="101">
        <f>IF(ISNUMBER(G190), $B199 * H190, "")</f>
        <v>11290.322580645161</v>
      </c>
      <c r="J190" s="15">
        <v>287</v>
      </c>
      <c r="K190" s="32">
        <f t="shared" ref="K190:K193" si="104">IF(ISNUMBER(J190), (J190 - $B190) / $B190, "")</f>
        <v>0.15725806451612903</v>
      </c>
      <c r="L190" s="18">
        <f>IF(ISNUMBER(J190), $B199 * K190, "")</f>
        <v>15725.806451612903</v>
      </c>
      <c r="M190" s="31">
        <v>283</v>
      </c>
      <c r="N190" s="32">
        <f t="shared" ref="N190:N193" si="105">IF(ISNUMBER(M190), (M190 - $B190) / $B190, "")</f>
        <v>0.14112903225806453</v>
      </c>
      <c r="O190" s="18">
        <f>IF(ISNUMBER(M190), $B199 * N190, "")</f>
        <v>14112.903225806453</v>
      </c>
      <c r="Q190" s="230"/>
      <c r="R190" s="231"/>
      <c r="S190" s="232"/>
    </row>
    <row r="191" spans="1:19" ht="17.25" thickBot="1">
      <c r="A191" s="162" t="s">
        <v>186</v>
      </c>
      <c r="B191" s="126">
        <v>15.1</v>
      </c>
      <c r="C191" s="77">
        <v>-5.0314465400000001E-2</v>
      </c>
      <c r="D191" s="15">
        <v>17.899999999999999</v>
      </c>
      <c r="E191" s="32">
        <f t="shared" si="102"/>
        <v>0.18543046357615886</v>
      </c>
      <c r="F191" s="18">
        <f>IF(ISNUMBER(D191), $B199 * E191, "")</f>
        <v>18543.046357615887</v>
      </c>
      <c r="G191" s="31">
        <v>18.600000000000001</v>
      </c>
      <c r="H191" s="32">
        <f t="shared" si="103"/>
        <v>0.2317880794701988</v>
      </c>
      <c r="I191" s="101">
        <f>IF(ISNUMBER(G191), $B199 * H191, "")</f>
        <v>23178.807947019879</v>
      </c>
      <c r="J191" s="15">
        <v>18.399999999999999</v>
      </c>
      <c r="K191" s="32">
        <f t="shared" si="104"/>
        <v>0.21854304635761582</v>
      </c>
      <c r="L191" s="18">
        <f>IF(ISNUMBER(J191), $B199 * K191, "")</f>
        <v>21854.304635761582</v>
      </c>
      <c r="M191" s="31">
        <v>17.7</v>
      </c>
      <c r="N191" s="32">
        <f t="shared" si="105"/>
        <v>0.17218543046357615</v>
      </c>
      <c r="O191" s="18">
        <f>IF(ISNUMBER(M191), $B199 * N191, "")</f>
        <v>17218.543046357616</v>
      </c>
      <c r="Q191" s="223"/>
      <c r="R191" s="223"/>
      <c r="S191" s="223"/>
    </row>
    <row r="192" spans="1:19" ht="17.25" thickBot="1">
      <c r="A192" s="162" t="s">
        <v>236</v>
      </c>
      <c r="B192" s="126">
        <v>51.3</v>
      </c>
      <c r="C192" s="77">
        <v>-5.1756007399999998E-2</v>
      </c>
      <c r="D192" s="15">
        <v>54.2</v>
      </c>
      <c r="E192" s="32">
        <f t="shared" si="102"/>
        <v>5.6530214424951382E-2</v>
      </c>
      <c r="F192" s="18">
        <f>IF(ISNUMBER(D192), $B199 * E192, "")</f>
        <v>5653.0214424951382</v>
      </c>
      <c r="G192" s="31">
        <v>54.6</v>
      </c>
      <c r="H192" s="32">
        <f t="shared" si="103"/>
        <v>6.4327485380117053E-2</v>
      </c>
      <c r="I192" s="101">
        <f>IF(ISNUMBER(G192), $B199 * H192, "")</f>
        <v>6432.748538011705</v>
      </c>
      <c r="J192" s="15">
        <v>54.6</v>
      </c>
      <c r="K192" s="32">
        <f t="shared" si="104"/>
        <v>6.4327485380117053E-2</v>
      </c>
      <c r="L192" s="18">
        <f>IF(ISNUMBER(J192), $B199 * K192, "")</f>
        <v>6432.748538011705</v>
      </c>
      <c r="M192" s="31">
        <v>53.7</v>
      </c>
      <c r="N192" s="32">
        <f t="shared" si="105"/>
        <v>4.6783625730994267E-2</v>
      </c>
      <c r="O192" s="18">
        <f>IF(ISNUMBER(M192), $B199 * N192, "")</f>
        <v>4678.3625730994263</v>
      </c>
      <c r="Q192" s="233"/>
      <c r="R192" s="233"/>
      <c r="S192" s="233"/>
    </row>
    <row r="193" spans="1:19" ht="17.25" thickBot="1">
      <c r="A193" s="163" t="s">
        <v>172</v>
      </c>
      <c r="B193" s="128">
        <v>13.4</v>
      </c>
      <c r="C193" s="78">
        <v>-5.6338028200000001E-2</v>
      </c>
      <c r="D193" s="20">
        <v>13.8</v>
      </c>
      <c r="E193" s="21">
        <f t="shared" si="102"/>
        <v>2.9850746268656744E-2</v>
      </c>
      <c r="F193" s="22">
        <f>IF(ISNUMBER(D193), $B199 * E193, "")</f>
        <v>2985.0746268656744</v>
      </c>
      <c r="G193" s="30">
        <v>14.4</v>
      </c>
      <c r="H193" s="21">
        <f t="shared" si="103"/>
        <v>7.4626865671641784E-2</v>
      </c>
      <c r="I193" s="105">
        <f>IF(ISNUMBER(G193), $B199 * H193, "")</f>
        <v>7462.6865671641781</v>
      </c>
      <c r="J193" s="20">
        <v>14.3</v>
      </c>
      <c r="K193" s="21">
        <f t="shared" si="104"/>
        <v>6.7164179104477639E-2</v>
      </c>
      <c r="L193" s="22">
        <f>IF(ISNUMBER(J193), $B199 * K193, "")</f>
        <v>6716.4179104477644</v>
      </c>
      <c r="M193" s="30">
        <v>14.1</v>
      </c>
      <c r="N193" s="21">
        <f t="shared" si="105"/>
        <v>5.2238805970149196E-2</v>
      </c>
      <c r="O193" s="22">
        <f>IF(ISNUMBER(M193), $B199 * N193, "")</f>
        <v>5223.8805970149197</v>
      </c>
      <c r="Q193" s="233"/>
      <c r="R193" s="233"/>
      <c r="S193" s="233"/>
    </row>
    <row r="194" spans="1:19" ht="17.25" thickBot="1">
      <c r="A194" s="162" t="s">
        <v>194</v>
      </c>
      <c r="B194" s="129">
        <v>7605</v>
      </c>
      <c r="C194" s="80">
        <v>-5.9950556199999998E-2</v>
      </c>
      <c r="D194" s="106">
        <v>7780</v>
      </c>
      <c r="E194" s="107">
        <f>IF(ISNUMBER(D194), (D194 - $B194) / $B194, "")</f>
        <v>2.3011176857330704E-2</v>
      </c>
      <c r="F194" s="108">
        <f>IF(ISNUMBER(D194), $B199 * E194, "")</f>
        <v>2301.1176857330706</v>
      </c>
      <c r="G194" s="109">
        <v>8110</v>
      </c>
      <c r="H194" s="107">
        <f>IF(ISNUMBER(G194), (G194 - $B194) / $B194, "")</f>
        <v>6.640368178829717E-2</v>
      </c>
      <c r="I194" s="110">
        <f>IF(ISNUMBER(G194), $B199 * H194, "")</f>
        <v>6640.3681788297172</v>
      </c>
      <c r="J194" s="106">
        <v>8010</v>
      </c>
      <c r="K194" s="107">
        <f>IF(ISNUMBER(J194), (J194 - $B194) / $B194, "")</f>
        <v>5.3254437869822487E-2</v>
      </c>
      <c r="L194" s="108">
        <f>IF(ISNUMBER(J194), $B199 * K194, "")</f>
        <v>5325.4437869822486</v>
      </c>
      <c r="M194" s="109">
        <v>7910</v>
      </c>
      <c r="N194" s="107">
        <f>IF(ISNUMBER(M194), (M194 - $B194) / $B194, "")</f>
        <v>4.0105193951347796E-2</v>
      </c>
      <c r="O194" s="108">
        <f>IF(ISNUMBER(M194), $B199 * N194, "")</f>
        <v>4010.5193951347796</v>
      </c>
      <c r="Q194" s="223"/>
      <c r="R194" s="223"/>
      <c r="S194" s="223"/>
    </row>
    <row r="195" spans="1:19" ht="17.25" thickBot="1">
      <c r="A195" s="162" t="s">
        <v>274</v>
      </c>
      <c r="B195" s="126">
        <v>8390</v>
      </c>
      <c r="C195" s="77">
        <v>-6.4138315700000004E-2</v>
      </c>
      <c r="D195" s="15">
        <v>8455</v>
      </c>
      <c r="E195" s="32">
        <f t="shared" ref="E195:E198" si="106">IF(ISNUMBER(D195), (D195 - $B195) / $B195, "")</f>
        <v>7.7473182359952325E-3</v>
      </c>
      <c r="F195" s="18">
        <f>IF(ISNUMBER(D195), $B199 * E195, "")</f>
        <v>774.7318235995233</v>
      </c>
      <c r="G195" s="31">
        <v>8505</v>
      </c>
      <c r="H195" s="32">
        <f t="shared" ref="H195:H198" si="107">IF(ISNUMBER(G195), (G195 - $B195) / $B195, "")</f>
        <v>1.3706793802145411E-2</v>
      </c>
      <c r="I195" s="101">
        <f>IF(ISNUMBER(G195), $B199 * H195, "")</f>
        <v>1370.6793802145412</v>
      </c>
      <c r="J195" s="15">
        <v>8485</v>
      </c>
      <c r="K195" s="32">
        <f t="shared" ref="K195:K198" si="108">IF(ISNUMBER(J195), (J195 - $B195) / $B195, "")</f>
        <v>1.132300357568534E-2</v>
      </c>
      <c r="L195" s="18">
        <f>IF(ISNUMBER(J195), $B199 * K195, "")</f>
        <v>1132.3003575685339</v>
      </c>
      <c r="M195" s="31">
        <v>8445</v>
      </c>
      <c r="N195" s="32">
        <f t="shared" ref="N195:N198" si="109">IF(ISNUMBER(M195), (M195 - $B195) / $B195, "")</f>
        <v>6.5554231227651968E-3</v>
      </c>
      <c r="O195" s="18">
        <f>IF(ISNUMBER(M195), $B199 * N195, "")</f>
        <v>655.54231227651962</v>
      </c>
      <c r="Q195" s="223"/>
      <c r="R195" s="223"/>
      <c r="S195" s="223"/>
    </row>
    <row r="196" spans="1:19" ht="17.25" thickBot="1">
      <c r="A196" s="162" t="s">
        <v>180</v>
      </c>
      <c r="B196" s="126">
        <v>2770</v>
      </c>
      <c r="C196" s="77">
        <v>-9.9186991899999993E-2</v>
      </c>
      <c r="D196" s="15">
        <v>2850</v>
      </c>
      <c r="E196" s="32">
        <f t="shared" si="106"/>
        <v>2.8880866425992781E-2</v>
      </c>
      <c r="F196" s="18">
        <f>IF(ISNUMBER(D196), $B199 * E196, "")</f>
        <v>2888.0866425992781</v>
      </c>
      <c r="G196" s="31">
        <v>2945</v>
      </c>
      <c r="H196" s="32">
        <f t="shared" si="107"/>
        <v>6.3176895306859202E-2</v>
      </c>
      <c r="I196" s="101">
        <f>IF(ISNUMBER(G196), $B199 * H196, "")</f>
        <v>6317.6895306859205</v>
      </c>
      <c r="J196" s="15">
        <v>2945</v>
      </c>
      <c r="K196" s="32">
        <f t="shared" si="108"/>
        <v>6.3176895306859202E-2</v>
      </c>
      <c r="L196" s="18">
        <f>IF(ISNUMBER(J196), $B199 * K196, "")</f>
        <v>6317.6895306859205</v>
      </c>
      <c r="M196" s="31">
        <v>2955</v>
      </c>
      <c r="N196" s="32">
        <f t="shared" si="109"/>
        <v>6.6787003610108309E-2</v>
      </c>
      <c r="O196" s="18">
        <f>IF(ISNUMBER(M196), $B199 * N196, "")</f>
        <v>6678.7003610108304</v>
      </c>
      <c r="Q196" s="223"/>
      <c r="R196" s="223"/>
      <c r="S196" s="223"/>
    </row>
    <row r="197" spans="1:19">
      <c r="A197" s="162" t="s">
        <v>190</v>
      </c>
      <c r="B197" s="126">
        <v>60710</v>
      </c>
      <c r="C197" s="77">
        <v>-0.1193791703</v>
      </c>
      <c r="D197" s="15">
        <v>60380</v>
      </c>
      <c r="E197" s="32">
        <f t="shared" si="106"/>
        <v>-5.4356778125514739E-3</v>
      </c>
      <c r="F197" s="18">
        <f>IF(ISNUMBER(D197), $B199 * E197, "")</f>
        <v>-543.56778125514734</v>
      </c>
      <c r="G197" s="31">
        <v>60520</v>
      </c>
      <c r="H197" s="32">
        <f t="shared" si="107"/>
        <v>-3.129632679953879E-3</v>
      </c>
      <c r="I197" s="101">
        <f>IF(ISNUMBER(G197), $B199 * H197, "")</f>
        <v>-312.96326799538792</v>
      </c>
      <c r="J197" s="15">
        <v>60210</v>
      </c>
      <c r="K197" s="32">
        <f t="shared" si="108"/>
        <v>-8.2358754735628401E-3</v>
      </c>
      <c r="L197" s="18">
        <f>IF(ISNUMBER(J197), $B199 * K197, "")</f>
        <v>-823.58754735628406</v>
      </c>
      <c r="M197" s="31">
        <v>60480</v>
      </c>
      <c r="N197" s="32">
        <f t="shared" si="109"/>
        <v>-3.7885027178389064E-3</v>
      </c>
      <c r="O197" s="18">
        <f>IF(ISNUMBER(M197), $B199 * N197, "")</f>
        <v>-378.85027178389066</v>
      </c>
      <c r="Q197" s="212"/>
      <c r="R197" s="213"/>
      <c r="S197" s="214"/>
    </row>
    <row r="198" spans="1:19" ht="17.25" thickBot="1">
      <c r="A198" s="130" t="s">
        <v>276</v>
      </c>
      <c r="B198" s="131">
        <v>3055</v>
      </c>
      <c r="C198" s="79">
        <v>-0.12714285710000001</v>
      </c>
      <c r="D198" s="24">
        <v>3015</v>
      </c>
      <c r="E198" s="25">
        <f t="shared" si="106"/>
        <v>-1.3093289689034371E-2</v>
      </c>
      <c r="F198" s="104">
        <f>IF(ISNUMBER(D198), $B199 * E198, "")</f>
        <v>-1309.328968903437</v>
      </c>
      <c r="G198" s="102">
        <v>3010</v>
      </c>
      <c r="H198" s="25">
        <f t="shared" si="107"/>
        <v>-1.4729950900163666E-2</v>
      </c>
      <c r="I198" s="103">
        <f>IF(ISNUMBER(G198), $B199 * H198, "")</f>
        <v>-1472.9950900163667</v>
      </c>
      <c r="J198" s="24">
        <v>2990</v>
      </c>
      <c r="K198" s="25">
        <f t="shared" si="108"/>
        <v>-2.1276595744680851E-2</v>
      </c>
      <c r="L198" s="104">
        <f>IF(ISNUMBER(J198), $B199 * K198, "")</f>
        <v>-2127.6595744680849</v>
      </c>
      <c r="M198" s="102">
        <v>3015</v>
      </c>
      <c r="N198" s="25">
        <f t="shared" si="109"/>
        <v>-1.3093289689034371E-2</v>
      </c>
      <c r="O198" s="104">
        <f>IF(ISNUMBER(M198), $B199 * N198, "")</f>
        <v>-1309.328968903437</v>
      </c>
      <c r="Q198" s="215"/>
      <c r="R198" s="216"/>
      <c r="S198" s="217"/>
    </row>
    <row r="199" spans="1:19" ht="17.25" thickBot="1">
      <c r="A199" s="132" t="s">
        <v>300</v>
      </c>
      <c r="B199" s="276">
        <f>$B$37</f>
        <v>100000</v>
      </c>
      <c r="C199" s="277"/>
      <c r="D199" s="26" t="s">
        <v>301</v>
      </c>
      <c r="E199" s="27">
        <f>IF(COUNT(E179:E198), SUM(E179:E198) / COUNT(E179:E198), 0)</f>
        <v>6.2649721995185315E-2</v>
      </c>
      <c r="F199" s="28">
        <f>SUM(F179:F198)</f>
        <v>125299.44399037061</v>
      </c>
      <c r="G199" s="26" t="s">
        <v>301</v>
      </c>
      <c r="H199" s="27">
        <f>IF(COUNT(H179:H198), SUM(H179:H198) / COUNT(H179:H198), 0)</f>
        <v>9.2086094557842502E-2</v>
      </c>
      <c r="I199" s="28">
        <f>SUM(I179:I198)</f>
        <v>184172.18911568506</v>
      </c>
      <c r="J199" s="26" t="s">
        <v>301</v>
      </c>
      <c r="K199" s="27">
        <f>IF(COUNT(K179:K198), SUM(K179:K198) / COUNT(K179:K198), 0)</f>
        <v>8.821092354648101E-2</v>
      </c>
      <c r="L199" s="28">
        <f>SUM(L179:L198)</f>
        <v>176421.84709296201</v>
      </c>
      <c r="M199" s="26" t="s">
        <v>301</v>
      </c>
      <c r="N199" s="27">
        <f>IF(COUNT(N179:N198), SUM(N179:N198) / COUNT(N179:N198), 0)</f>
        <v>6.8316720150274055E-2</v>
      </c>
      <c r="O199" s="28">
        <f>SUM(O179:O198)</f>
        <v>136633.4403005481</v>
      </c>
      <c r="Q199" s="218"/>
      <c r="R199" s="219"/>
      <c r="S199" s="22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13" priority="157">
      <formula>AND($N17 &gt; 0, ISNUMBER($N17))</formula>
    </cfRule>
    <cfRule type="expression" dxfId="712" priority="158">
      <formula>AND($N17 = 0 * ISNUMBER($N17))</formula>
    </cfRule>
    <cfRule type="expression" dxfId="711" priority="159">
      <formula>AND($N17 &lt; 0, ISNUMBER($N17))</formula>
    </cfRule>
  </conditionalFormatting>
  <conditionalFormatting sqref="A17:F36">
    <cfRule type="expression" dxfId="710" priority="166">
      <formula>AND($E17 &gt; 0, ISNUMBER($E17))</formula>
    </cfRule>
    <cfRule type="expression" dxfId="709" priority="167">
      <formula>AND($E17 = 0 * ISNUMBER($E17))</formula>
    </cfRule>
    <cfRule type="expression" dxfId="708" priority="168">
      <formula>AND($E17 &lt; 0, ISNUMBER($E17))</formula>
    </cfRule>
  </conditionalFormatting>
  <conditionalFormatting sqref="A17:C36 G17:I36">
    <cfRule type="expression" dxfId="707" priority="163">
      <formula>AND($H17 &gt; 0, ISNUMBER($H17))</formula>
    </cfRule>
    <cfRule type="expression" dxfId="706" priority="164">
      <formula>AND($H17 = 0 * ISNUMBER($H17))</formula>
    </cfRule>
    <cfRule type="expression" dxfId="705" priority="165">
      <formula>AND($H17 &lt; 0, ISNUMBER($H17))</formula>
    </cfRule>
  </conditionalFormatting>
  <conditionalFormatting sqref="A17:C36 J17:L36">
    <cfRule type="expression" dxfId="704" priority="160">
      <formula>AND($K17 &gt; 0, ISNUMBER($K17))</formula>
    </cfRule>
    <cfRule type="expression" dxfId="703" priority="161">
      <formula>AND($K17 = 0 * ISNUMBER($K17))</formula>
    </cfRule>
    <cfRule type="expression" dxfId="702" priority="162">
      <formula>AND($K17 &lt; 0, ISNUMBER($K17))</formula>
    </cfRule>
  </conditionalFormatting>
  <conditionalFormatting sqref="D15:F16 E37:F37">
    <cfRule type="expression" dxfId="701" priority="154">
      <formula>$E$37 &gt; 0</formula>
    </cfRule>
    <cfRule type="expression" dxfId="700" priority="155">
      <formula>$E$37 = 0</formula>
    </cfRule>
    <cfRule type="expression" dxfId="699" priority="156">
      <formula>$E$37 &lt; 0</formula>
    </cfRule>
  </conditionalFormatting>
  <conditionalFormatting sqref="G15:I16 H37:I37">
    <cfRule type="expression" dxfId="698" priority="151">
      <formula>$H$37 &gt; 0</formula>
    </cfRule>
    <cfRule type="expression" dxfId="697" priority="152">
      <formula>$H$37 = 0</formula>
    </cfRule>
    <cfRule type="expression" dxfId="696" priority="153">
      <formula>$H$37 &lt; 0</formula>
    </cfRule>
  </conditionalFormatting>
  <conditionalFormatting sqref="J15:L16 K37:L37">
    <cfRule type="expression" dxfId="695" priority="148">
      <formula>$K$37 &gt; 0</formula>
    </cfRule>
    <cfRule type="expression" dxfId="694" priority="149">
      <formula>$K$37 = 0</formula>
    </cfRule>
    <cfRule type="expression" dxfId="693" priority="150">
      <formula>$K$37 &lt; 0</formula>
    </cfRule>
  </conditionalFormatting>
  <conditionalFormatting sqref="M15:O16 N37:O37">
    <cfRule type="expression" dxfId="692" priority="145">
      <formula>$N$37 &gt; 0</formula>
    </cfRule>
    <cfRule type="expression" dxfId="691" priority="146">
      <formula>$N$37 = 0</formula>
    </cfRule>
    <cfRule type="expression" dxfId="690" priority="147">
      <formula>$N$37 &lt; 0</formula>
    </cfRule>
  </conditionalFormatting>
  <conditionalFormatting sqref="A44:C63 M44:O63">
    <cfRule type="expression" dxfId="689" priority="133">
      <formula>AND($N44 &gt; 0, ISNUMBER($N44))</formula>
    </cfRule>
    <cfRule type="expression" dxfId="688" priority="134">
      <formula>AND($N44 = 0 * ISNUMBER($N44))</formula>
    </cfRule>
    <cfRule type="expression" dxfId="687" priority="135">
      <formula>AND($N44 &lt; 0, ISNUMBER($N44))</formula>
    </cfRule>
  </conditionalFormatting>
  <conditionalFormatting sqref="A44:F63">
    <cfRule type="expression" dxfId="686" priority="142">
      <formula>AND($E44 &gt; 0, ISNUMBER($E44))</formula>
    </cfRule>
    <cfRule type="expression" dxfId="685" priority="143">
      <formula>AND($E44 = 0 * ISNUMBER($E44))</formula>
    </cfRule>
    <cfRule type="expression" dxfId="684" priority="144">
      <formula>AND($E44 &lt; 0, ISNUMBER($E44))</formula>
    </cfRule>
  </conditionalFormatting>
  <conditionalFormatting sqref="A44:C63 G44:I63">
    <cfRule type="expression" dxfId="683" priority="139">
      <formula>AND($H44 &gt; 0, ISNUMBER($H44))</formula>
    </cfRule>
    <cfRule type="expression" dxfId="682" priority="140">
      <formula>AND($H44 = 0 * ISNUMBER($H44))</formula>
    </cfRule>
    <cfRule type="expression" dxfId="681" priority="141">
      <formula>AND($H44 &lt; 0, ISNUMBER($H44))</formula>
    </cfRule>
  </conditionalFormatting>
  <conditionalFormatting sqref="A44:C63 J44:L63">
    <cfRule type="expression" dxfId="680" priority="136">
      <formula>AND($K44 &gt; 0, ISNUMBER($K44))</formula>
    </cfRule>
    <cfRule type="expression" dxfId="679" priority="137">
      <formula>AND($K44 = 0 * ISNUMBER($K44))</formula>
    </cfRule>
    <cfRule type="expression" dxfId="678" priority="138">
      <formula>AND($K44 &lt; 0, ISNUMBER($K44))</formula>
    </cfRule>
  </conditionalFormatting>
  <conditionalFormatting sqref="D42:F43 E64:F64">
    <cfRule type="expression" dxfId="677" priority="130">
      <formula>$E$64 &gt; 0</formula>
    </cfRule>
    <cfRule type="expression" dxfId="676" priority="131">
      <formula>$E$64 = 0</formula>
    </cfRule>
    <cfRule type="expression" dxfId="675" priority="132">
      <formula>$E$64 &lt; 0</formula>
    </cfRule>
  </conditionalFormatting>
  <conditionalFormatting sqref="G42:I43 H64:I64">
    <cfRule type="expression" dxfId="674" priority="127">
      <formula>$H$64 &gt; 0</formula>
    </cfRule>
    <cfRule type="expression" dxfId="673" priority="128">
      <formula>$H$64 = 0</formula>
    </cfRule>
    <cfRule type="expression" dxfId="672" priority="129">
      <formula>$H$64 &lt; 0</formula>
    </cfRule>
  </conditionalFormatting>
  <conditionalFormatting sqref="J42:L43 K64:L64">
    <cfRule type="expression" dxfId="671" priority="124">
      <formula>$K$64 &gt; 0</formula>
    </cfRule>
    <cfRule type="expression" dxfId="670" priority="125">
      <formula>$K$64 = 0</formula>
    </cfRule>
    <cfRule type="expression" dxfId="669" priority="126">
      <formula>$K$64 &lt; 0</formula>
    </cfRule>
  </conditionalFormatting>
  <conditionalFormatting sqref="M42:O43 N64:O64">
    <cfRule type="expression" dxfId="668" priority="121">
      <formula>$N$64 &gt; 0</formula>
    </cfRule>
    <cfRule type="expression" dxfId="667" priority="122">
      <formula>$N$64 = 0</formula>
    </cfRule>
    <cfRule type="expression" dxfId="666" priority="123">
      <formula>$N$64 &lt; 0</formula>
    </cfRule>
  </conditionalFormatting>
  <conditionalFormatting sqref="A71:C90 M71:O90">
    <cfRule type="expression" dxfId="665" priority="109">
      <formula>AND($N71 &gt; 0, ISNUMBER($N71))</formula>
    </cfRule>
    <cfRule type="expression" dxfId="664" priority="110">
      <formula>AND($N71 = 0 * ISNUMBER($N71))</formula>
    </cfRule>
    <cfRule type="expression" dxfId="663" priority="111">
      <formula>AND($N71 &lt; 0, ISNUMBER($N71))</formula>
    </cfRule>
  </conditionalFormatting>
  <conditionalFormatting sqref="A71:F90">
    <cfRule type="expression" dxfId="662" priority="118">
      <formula>AND($E71 &gt; 0, ISNUMBER($E71))</formula>
    </cfRule>
    <cfRule type="expression" dxfId="661" priority="119">
      <formula>AND($E71 = 0 * ISNUMBER($E71))</formula>
    </cfRule>
    <cfRule type="expression" dxfId="660" priority="120">
      <formula>AND($E71 &lt; 0, ISNUMBER($E71))</formula>
    </cfRule>
  </conditionalFormatting>
  <conditionalFormatting sqref="A71:C90 G71:I90">
    <cfRule type="expression" dxfId="659" priority="115">
      <formula>AND($H71 &gt; 0, ISNUMBER($H71))</formula>
    </cfRule>
    <cfRule type="expression" dxfId="658" priority="116">
      <formula>AND($H71 = 0 * ISNUMBER($H71))</formula>
    </cfRule>
    <cfRule type="expression" dxfId="657" priority="117">
      <formula>AND($H71 &lt; 0, ISNUMBER($H71))</formula>
    </cfRule>
  </conditionalFormatting>
  <conditionalFormatting sqref="A71:C90 J71:L90">
    <cfRule type="expression" dxfId="656" priority="112">
      <formula>AND($K71 &gt; 0, ISNUMBER($K71))</formula>
    </cfRule>
    <cfRule type="expression" dxfId="655" priority="113">
      <formula>AND($K71 = 0 * ISNUMBER($K71))</formula>
    </cfRule>
    <cfRule type="expression" dxfId="654" priority="114">
      <formula>AND($K71 &lt; 0, ISNUMBER($K71))</formula>
    </cfRule>
  </conditionalFormatting>
  <conditionalFormatting sqref="D69:F70 E91:F91">
    <cfRule type="expression" dxfId="653" priority="106">
      <formula>$E$91 &gt; 0</formula>
    </cfRule>
    <cfRule type="expression" dxfId="652" priority="107">
      <formula>$E$91 = 0</formula>
    </cfRule>
    <cfRule type="expression" dxfId="651" priority="108">
      <formula>$E$91 &lt; 0</formula>
    </cfRule>
  </conditionalFormatting>
  <conditionalFormatting sqref="G69:I70 H91:I91">
    <cfRule type="expression" dxfId="650" priority="103">
      <formula>$H$91 &gt; 0</formula>
    </cfRule>
    <cfRule type="expression" dxfId="649" priority="104">
      <formula>$H$91 = 0</formula>
    </cfRule>
    <cfRule type="expression" dxfId="648" priority="105">
      <formula>$H$91 &lt; 0</formula>
    </cfRule>
  </conditionalFormatting>
  <conditionalFormatting sqref="J69:L70 K91:L91">
    <cfRule type="expression" dxfId="647" priority="100">
      <formula>$K$91 &gt; 0</formula>
    </cfRule>
    <cfRule type="expression" dxfId="646" priority="101">
      <formula>$K$91 = 0</formula>
    </cfRule>
    <cfRule type="expression" dxfId="645" priority="102">
      <formula>$K$91 &lt; 0</formula>
    </cfRule>
  </conditionalFormatting>
  <conditionalFormatting sqref="M69:O70 N91:O91">
    <cfRule type="expression" dxfId="644" priority="97">
      <formula>$N$91 &gt; 0</formula>
    </cfRule>
    <cfRule type="expression" dxfId="643" priority="98">
      <formula>$N$91 = 0</formula>
    </cfRule>
    <cfRule type="expression" dxfId="642" priority="99">
      <formula>$N$91 &lt; 0</formula>
    </cfRule>
  </conditionalFormatting>
  <conditionalFormatting sqref="A98:C117 M98:O117">
    <cfRule type="expression" dxfId="641" priority="85">
      <formula>AND($N98 &gt; 0, ISNUMBER($N98))</formula>
    </cfRule>
    <cfRule type="expression" dxfId="640" priority="86">
      <formula>AND($N98 = 0 * ISNUMBER($N98))</formula>
    </cfRule>
    <cfRule type="expression" dxfId="639" priority="87">
      <formula>AND($N98 &lt; 0, ISNUMBER($N98))</formula>
    </cfRule>
  </conditionalFormatting>
  <conditionalFormatting sqref="A98:F117">
    <cfRule type="expression" dxfId="638" priority="94">
      <formula>AND($E98 &gt; 0, ISNUMBER($E98))</formula>
    </cfRule>
    <cfRule type="expression" dxfId="637" priority="95">
      <formula>AND($E98 = 0 * ISNUMBER($E98))</formula>
    </cfRule>
    <cfRule type="expression" dxfId="636" priority="96">
      <formula>AND($E98 &lt; 0, ISNUMBER($E98))</formula>
    </cfRule>
  </conditionalFormatting>
  <conditionalFormatting sqref="A98:C117 G98:I117">
    <cfRule type="expression" dxfId="635" priority="91">
      <formula>AND($H98 &gt; 0, ISNUMBER($H98))</formula>
    </cfRule>
    <cfRule type="expression" dxfId="634" priority="92">
      <formula>AND($H98 = 0 * ISNUMBER($H98))</formula>
    </cfRule>
    <cfRule type="expression" dxfId="633" priority="93">
      <formula>AND($H98 &lt; 0, ISNUMBER($H98))</formula>
    </cfRule>
  </conditionalFormatting>
  <conditionalFormatting sqref="A98:C117 J98:L117">
    <cfRule type="expression" dxfId="632" priority="88">
      <formula>AND($K98 &gt; 0, ISNUMBER($K98))</formula>
    </cfRule>
    <cfRule type="expression" dxfId="631" priority="89">
      <formula>AND($K98 = 0 * ISNUMBER($K98))</formula>
    </cfRule>
    <cfRule type="expression" dxfId="630" priority="90">
      <formula>AND($K98 &lt; 0, ISNUMBER($K98))</formula>
    </cfRule>
  </conditionalFormatting>
  <conditionalFormatting sqref="D96:F97 E118:F118">
    <cfRule type="expression" dxfId="629" priority="82">
      <formula>$E$118 &gt; 0</formula>
    </cfRule>
    <cfRule type="expression" dxfId="628" priority="83">
      <formula>$E$118 = 0</formula>
    </cfRule>
    <cfRule type="expression" dxfId="627" priority="84">
      <formula>$E$118 &lt; 0</formula>
    </cfRule>
  </conditionalFormatting>
  <conditionalFormatting sqref="G96:I97 H118:I118">
    <cfRule type="expression" dxfId="626" priority="79">
      <formula>$H$118 &gt; 0</formula>
    </cfRule>
    <cfRule type="expression" dxfId="625" priority="80">
      <formula>$H$118 = 0</formula>
    </cfRule>
    <cfRule type="expression" dxfId="624" priority="81">
      <formula>$H$118 &lt; 0</formula>
    </cfRule>
  </conditionalFormatting>
  <conditionalFormatting sqref="J96:L97 K118:L118">
    <cfRule type="expression" dxfId="623" priority="76">
      <formula>$K$118 &gt; 0</formula>
    </cfRule>
    <cfRule type="expression" dxfId="622" priority="77">
      <formula>$K$118 = 0</formula>
    </cfRule>
    <cfRule type="expression" dxfId="621" priority="78">
      <formula>$K$118 &lt; 0</formula>
    </cfRule>
  </conditionalFormatting>
  <conditionalFormatting sqref="M96:O97 N118:O118">
    <cfRule type="expression" dxfId="620" priority="73">
      <formula>$N$118 &gt; 0</formula>
    </cfRule>
    <cfRule type="expression" dxfId="619" priority="74">
      <formula>$N$118 = 0</formula>
    </cfRule>
    <cfRule type="expression" dxfId="618" priority="75">
      <formula>$N$118 &lt; 0</formula>
    </cfRule>
  </conditionalFormatting>
  <conditionalFormatting sqref="A125:C144 M125:O144">
    <cfRule type="expression" dxfId="617" priority="61">
      <formula>AND($N125 &gt; 0, ISNUMBER($N125))</formula>
    </cfRule>
    <cfRule type="expression" dxfId="616" priority="62">
      <formula>AND($N125 = 0 * ISNUMBER($N125))</formula>
    </cfRule>
    <cfRule type="expression" dxfId="615" priority="63">
      <formula>AND($N125 &lt; 0, ISNUMBER($N125))</formula>
    </cfRule>
  </conditionalFormatting>
  <conditionalFormatting sqref="A125:F144">
    <cfRule type="expression" dxfId="614" priority="70">
      <formula>AND($E125 &gt; 0, ISNUMBER($E125))</formula>
    </cfRule>
    <cfRule type="expression" dxfId="613" priority="71">
      <formula>AND($E125 = 0 * ISNUMBER($E125))</formula>
    </cfRule>
    <cfRule type="expression" dxfId="612" priority="72">
      <formula>AND($E125 &lt; 0, ISNUMBER($E125))</formula>
    </cfRule>
  </conditionalFormatting>
  <conditionalFormatting sqref="A125:C144 G125:I144">
    <cfRule type="expression" dxfId="611" priority="67">
      <formula>AND($H125 &gt; 0, ISNUMBER($H125))</formula>
    </cfRule>
    <cfRule type="expression" dxfId="610" priority="68">
      <formula>AND($H125 = 0 * ISNUMBER($H125))</formula>
    </cfRule>
    <cfRule type="expression" dxfId="609" priority="69">
      <formula>AND($H125 &lt; 0, ISNUMBER($H125))</formula>
    </cfRule>
  </conditionalFormatting>
  <conditionalFormatting sqref="A125:C144 J125:L144">
    <cfRule type="expression" dxfId="608" priority="64">
      <formula>AND($K125 &gt; 0, ISNUMBER($K125))</formula>
    </cfRule>
    <cfRule type="expression" dxfId="607" priority="65">
      <formula>AND($K125 = 0 * ISNUMBER($K125))</formula>
    </cfRule>
    <cfRule type="expression" dxfId="606" priority="66">
      <formula>AND($K125 &lt; 0, ISNUMBER($K125))</formula>
    </cfRule>
  </conditionalFormatting>
  <conditionalFormatting sqref="D123:F124 E145:F145">
    <cfRule type="expression" dxfId="605" priority="58">
      <formula>$E$145 &gt; 0</formula>
    </cfRule>
    <cfRule type="expression" dxfId="604" priority="59">
      <formula>$E$145 = 0</formula>
    </cfRule>
    <cfRule type="expression" dxfId="603" priority="60">
      <formula>$E$145 &lt; 0</formula>
    </cfRule>
  </conditionalFormatting>
  <conditionalFormatting sqref="G123:I124 H145:I145">
    <cfRule type="expression" dxfId="602" priority="55">
      <formula>$H$145 &gt; 0</formula>
    </cfRule>
    <cfRule type="expression" dxfId="601" priority="56">
      <formula>$H$145 = 0</formula>
    </cfRule>
    <cfRule type="expression" dxfId="600" priority="57">
      <formula>$H$145 &lt; 0</formula>
    </cfRule>
  </conditionalFormatting>
  <conditionalFormatting sqref="J123:L124 K145:L145">
    <cfRule type="expression" dxfId="599" priority="52">
      <formula>$K$145 &gt; 0</formula>
    </cfRule>
    <cfRule type="expression" dxfId="598" priority="53">
      <formula>$K$145 = 0</formula>
    </cfRule>
    <cfRule type="expression" dxfId="597" priority="54">
      <formula>$K$145 &lt; 0</formula>
    </cfRule>
  </conditionalFormatting>
  <conditionalFormatting sqref="M123:O124 N145:O145">
    <cfRule type="expression" dxfId="596" priority="49">
      <formula>$N$145 &gt; 0</formula>
    </cfRule>
    <cfRule type="expression" dxfId="595" priority="50">
      <formula>$N$145 = 0</formula>
    </cfRule>
    <cfRule type="expression" dxfId="594" priority="51">
      <formula>$N$145 &lt; 0</formula>
    </cfRule>
  </conditionalFormatting>
  <conditionalFormatting sqref="A152:C171 M152:O171">
    <cfRule type="expression" dxfId="593" priority="37">
      <formula>AND($N152 &gt; 0, ISNUMBER($N152))</formula>
    </cfRule>
    <cfRule type="expression" dxfId="592" priority="38">
      <formula>AND($N152 = 0 * ISNUMBER($N152))</formula>
    </cfRule>
    <cfRule type="expression" dxfId="591" priority="39">
      <formula>AND($N152 &lt; 0, ISNUMBER($N152))</formula>
    </cfRule>
  </conditionalFormatting>
  <conditionalFormatting sqref="A152:F171">
    <cfRule type="expression" dxfId="590" priority="46">
      <formula>AND($E152 &gt; 0, ISNUMBER($E152))</formula>
    </cfRule>
    <cfRule type="expression" dxfId="589" priority="47">
      <formula>AND($E152 = 0 * ISNUMBER($E152))</formula>
    </cfRule>
    <cfRule type="expression" dxfId="588" priority="48">
      <formula>AND($E152 &lt; 0, ISNUMBER($E152))</formula>
    </cfRule>
  </conditionalFormatting>
  <conditionalFormatting sqref="A152:C171 G152:I171">
    <cfRule type="expression" dxfId="587" priority="43">
      <formula>AND($H152 &gt; 0, ISNUMBER($H152))</formula>
    </cfRule>
    <cfRule type="expression" dxfId="586" priority="44">
      <formula>AND($H152 = 0 * ISNUMBER($H152))</formula>
    </cfRule>
    <cfRule type="expression" dxfId="585" priority="45">
      <formula>AND($H152 &lt; 0, ISNUMBER($H152))</formula>
    </cfRule>
  </conditionalFormatting>
  <conditionalFormatting sqref="A152:C171 J152:L171">
    <cfRule type="expression" dxfId="584" priority="40">
      <formula>AND($K152 &gt; 0, ISNUMBER($K152))</formula>
    </cfRule>
    <cfRule type="expression" dxfId="583" priority="41">
      <formula>AND($K152 = 0 * ISNUMBER($K152))</formula>
    </cfRule>
    <cfRule type="expression" dxfId="582" priority="42">
      <formula>AND($K152 &lt; 0, ISNUMBER($K152))</formula>
    </cfRule>
  </conditionalFormatting>
  <conditionalFormatting sqref="D150:F151 E172:F172">
    <cfRule type="expression" dxfId="581" priority="34">
      <formula>$E$172 &gt; 0</formula>
    </cfRule>
    <cfRule type="expression" dxfId="580" priority="35">
      <formula>$E$172 = 0</formula>
    </cfRule>
    <cfRule type="expression" dxfId="579" priority="36">
      <formula>$E$172 &lt; 0</formula>
    </cfRule>
  </conditionalFormatting>
  <conditionalFormatting sqref="G150:I151 H172:I172">
    <cfRule type="expression" dxfId="578" priority="31">
      <formula>$H$172 &gt; 0</formula>
    </cfRule>
    <cfRule type="expression" dxfId="577" priority="32">
      <formula>$H$172 = 0</formula>
    </cfRule>
    <cfRule type="expression" dxfId="576" priority="33">
      <formula>$H$172 &lt; 0</formula>
    </cfRule>
  </conditionalFormatting>
  <conditionalFormatting sqref="J150:L151 K172:L172">
    <cfRule type="expression" dxfId="575" priority="28">
      <formula>$K$172 &gt; 0</formula>
    </cfRule>
    <cfRule type="expression" dxfId="574" priority="29">
      <formula>$K$172 = 0</formula>
    </cfRule>
    <cfRule type="expression" dxfId="573" priority="30">
      <formula>$K$172 &lt; 0</formula>
    </cfRule>
  </conditionalFormatting>
  <conditionalFormatting sqref="M150:O151 N172:O172">
    <cfRule type="expression" dxfId="572" priority="25">
      <formula>$N$172 &gt; 0</formula>
    </cfRule>
    <cfRule type="expression" dxfId="571" priority="26">
      <formula>$N$172 = 0</formula>
    </cfRule>
    <cfRule type="expression" dxfId="570" priority="27">
      <formula>$N$172 &lt; 0</formula>
    </cfRule>
  </conditionalFormatting>
  <conditionalFormatting sqref="A179:C198 M179:O198">
    <cfRule type="expression" dxfId="569" priority="13">
      <formula>AND($N179 &gt; 0, ISNUMBER($N179))</formula>
    </cfRule>
    <cfRule type="expression" dxfId="568" priority="14">
      <formula>AND($N179 = 0 * ISNUMBER($N179))</formula>
    </cfRule>
    <cfRule type="expression" dxfId="567" priority="15">
      <formula>AND($N179 &lt; 0, ISNUMBER($N179))</formula>
    </cfRule>
  </conditionalFormatting>
  <conditionalFormatting sqref="A179:F198">
    <cfRule type="expression" dxfId="566" priority="22">
      <formula>AND($E179 &gt; 0, ISNUMBER($E179))</formula>
    </cfRule>
    <cfRule type="expression" dxfId="565" priority="23">
      <formula>AND($E179 = 0 * ISNUMBER($E179))</formula>
    </cfRule>
    <cfRule type="expression" dxfId="564" priority="24">
      <formula>AND($E179 &lt; 0, ISNUMBER($E179))</formula>
    </cfRule>
  </conditionalFormatting>
  <conditionalFormatting sqref="A179:C198 G179:I198">
    <cfRule type="expression" dxfId="563" priority="19">
      <formula>AND($H179 &gt; 0, ISNUMBER($H179))</formula>
    </cfRule>
    <cfRule type="expression" dxfId="562" priority="20">
      <formula>AND($H179 = 0 * ISNUMBER($H179))</formula>
    </cfRule>
    <cfRule type="expression" dxfId="561" priority="21">
      <formula>AND($H179 &lt; 0, ISNUMBER($H179))</formula>
    </cfRule>
  </conditionalFormatting>
  <conditionalFormatting sqref="A179:C198 J179:L198">
    <cfRule type="expression" dxfId="560" priority="16">
      <formula>AND($K179 &gt; 0, ISNUMBER($K179))</formula>
    </cfRule>
    <cfRule type="expression" dxfId="559" priority="17">
      <formula>AND($K179 = 0 * ISNUMBER($K179))</formula>
    </cfRule>
    <cfRule type="expression" dxfId="558" priority="18">
      <formula>AND($K179 &lt; 0, ISNUMBER($K179))</formula>
    </cfRule>
  </conditionalFormatting>
  <conditionalFormatting sqref="D177:F178 E199:F199">
    <cfRule type="expression" dxfId="557" priority="10">
      <formula>$E$199 &gt; 0</formula>
    </cfRule>
    <cfRule type="expression" dxfId="556" priority="11">
      <formula>$E$199 = 0</formula>
    </cfRule>
    <cfRule type="expression" dxfId="555" priority="12">
      <formula>$E$199 &lt; 0</formula>
    </cfRule>
  </conditionalFormatting>
  <conditionalFormatting sqref="G177:I178 H199:I199">
    <cfRule type="expression" dxfId="554" priority="7">
      <formula>$H$199 &gt; 0</formula>
    </cfRule>
    <cfRule type="expression" dxfId="553" priority="8">
      <formula>$H$199 = 0</formula>
    </cfRule>
    <cfRule type="expression" dxfId="552" priority="9">
      <formula>$H$199 &lt; 0</formula>
    </cfRule>
  </conditionalFormatting>
  <conditionalFormatting sqref="J177:L178 K199:L199">
    <cfRule type="expression" dxfId="551" priority="4">
      <formula>$K$199 &gt; 0</formula>
    </cfRule>
    <cfRule type="expression" dxfId="550" priority="5">
      <formula>$K$199 = 0</formula>
    </cfRule>
    <cfRule type="expression" dxfId="549" priority="6">
      <formula>$K$199 &lt; 0</formula>
    </cfRule>
  </conditionalFormatting>
  <conditionalFormatting sqref="M177:O178 N199:O199">
    <cfRule type="expression" dxfId="548" priority="1">
      <formula>$N$199 &gt; 0</formula>
    </cfRule>
    <cfRule type="expression" dxfId="547" priority="2">
      <formula>$N$199 = 0</formula>
    </cfRule>
    <cfRule type="expression" dxfId="5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9815B-DFBD-4B12-A55A-19266F4A08D4}">
  <sheetPr codeName="Sheet17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4" t="s">
        <v>0</v>
      </c>
      <c r="B1" s="235"/>
      <c r="C1" s="235"/>
      <c r="D1" s="235"/>
      <c r="E1" s="235"/>
      <c r="F1" s="236"/>
      <c r="G1" s="265">
        <v>44358</v>
      </c>
      <c r="H1" s="266"/>
      <c r="I1" s="267"/>
      <c r="J1" s="234" t="s">
        <v>1</v>
      </c>
      <c r="K1" s="235"/>
      <c r="L1" s="235"/>
      <c r="M1" s="235"/>
      <c r="N1" s="235"/>
      <c r="O1" s="236"/>
      <c r="Q1" s="234" t="s">
        <v>2</v>
      </c>
      <c r="R1" s="236"/>
    </row>
    <row r="2" spans="1:19" ht="17.25" customHeight="1">
      <c r="A2" s="117" t="s">
        <v>3</v>
      </c>
      <c r="B2" s="268" t="s">
        <v>8</v>
      </c>
      <c r="C2" s="269"/>
      <c r="D2" s="269"/>
      <c r="E2" s="269"/>
      <c r="F2" s="270"/>
      <c r="G2" s="262" t="s">
        <v>46</v>
      </c>
      <c r="H2" s="263"/>
      <c r="I2" s="264"/>
      <c r="J2" s="1" t="s">
        <v>3</v>
      </c>
      <c r="K2" s="268" t="s">
        <v>350</v>
      </c>
      <c r="L2" s="269"/>
      <c r="M2" s="269"/>
      <c r="N2" s="269"/>
      <c r="O2" s="270"/>
      <c r="Q2" s="2" t="s">
        <v>6</v>
      </c>
      <c r="R2" s="3">
        <v>0.375</v>
      </c>
    </row>
    <row r="3" spans="1:19" ht="17.25" customHeight="1" thickBot="1">
      <c r="A3" s="118" t="s">
        <v>7</v>
      </c>
      <c r="B3" s="259" t="s">
        <v>358</v>
      </c>
      <c r="C3" s="260"/>
      <c r="D3" s="260"/>
      <c r="E3" s="260"/>
      <c r="F3" s="261"/>
      <c r="G3" s="25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-349,865 KRW (-17.49%)</v>
      </c>
      <c r="H3" s="256"/>
      <c r="I3" s="257"/>
      <c r="J3" s="4" t="s">
        <v>7</v>
      </c>
      <c r="K3" s="259" t="s">
        <v>351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9" t="s">
        <v>16</v>
      </c>
      <c r="C4" s="260"/>
      <c r="D4" s="260"/>
      <c r="E4" s="260"/>
      <c r="F4" s="261"/>
      <c r="G4" s="262" t="s">
        <v>44</v>
      </c>
      <c r="H4" s="263"/>
      <c r="I4" s="264"/>
      <c r="J4" s="4" t="s">
        <v>11</v>
      </c>
      <c r="K4" s="259" t="s">
        <v>352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9" t="s">
        <v>349</v>
      </c>
      <c r="C5" s="260"/>
      <c r="D5" s="260"/>
      <c r="E5" s="260"/>
      <c r="F5" s="261"/>
      <c r="G5" s="25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-276,140 KRW (-13.81%)</v>
      </c>
      <c r="H5" s="256"/>
      <c r="I5" s="257"/>
      <c r="J5" s="4" t="s">
        <v>15</v>
      </c>
      <c r="K5" s="259" t="s">
        <v>353</v>
      </c>
      <c r="L5" s="260"/>
      <c r="M5" s="260"/>
      <c r="N5" s="260"/>
      <c r="O5" s="261"/>
    </row>
    <row r="6" spans="1:19">
      <c r="A6" s="118" t="s">
        <v>18</v>
      </c>
      <c r="B6" s="259"/>
      <c r="C6" s="260"/>
      <c r="D6" s="260"/>
      <c r="E6" s="260"/>
      <c r="F6" s="261"/>
      <c r="G6" s="262" t="s">
        <v>45</v>
      </c>
      <c r="H6" s="263"/>
      <c r="I6" s="264"/>
      <c r="J6" s="4" t="s">
        <v>18</v>
      </c>
      <c r="K6" s="259" t="s">
        <v>354</v>
      </c>
      <c r="L6" s="260"/>
      <c r="M6" s="260"/>
      <c r="N6" s="260"/>
      <c r="O6" s="261"/>
    </row>
    <row r="7" spans="1:19" ht="17.25" thickBot="1">
      <c r="A7" s="118" t="s">
        <v>21</v>
      </c>
      <c r="B7" s="259"/>
      <c r="C7" s="260"/>
      <c r="D7" s="260"/>
      <c r="E7" s="260"/>
      <c r="F7" s="261"/>
      <c r="G7" s="25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-309,857 KRW (-15.49%)</v>
      </c>
      <c r="H7" s="256"/>
      <c r="I7" s="257"/>
      <c r="J7" s="4" t="s">
        <v>21</v>
      </c>
      <c r="K7" s="259" t="s">
        <v>355</v>
      </c>
      <c r="L7" s="260"/>
      <c r="M7" s="260"/>
      <c r="N7" s="260"/>
      <c r="O7" s="261"/>
    </row>
    <row r="8" spans="1:19" ht="17.25" thickBot="1">
      <c r="A8" s="118" t="s">
        <v>24</v>
      </c>
      <c r="B8" s="259"/>
      <c r="C8" s="260"/>
      <c r="D8" s="260"/>
      <c r="E8" s="260"/>
      <c r="F8" s="261"/>
      <c r="G8" s="262" t="s">
        <v>285</v>
      </c>
      <c r="H8" s="263"/>
      <c r="I8" s="264"/>
      <c r="J8" s="4" t="s">
        <v>24</v>
      </c>
      <c r="K8" s="259"/>
      <c r="L8" s="260"/>
      <c r="M8" s="260"/>
      <c r="N8" s="260"/>
      <c r="O8" s="261"/>
      <c r="Q8" s="234" t="s">
        <v>27</v>
      </c>
      <c r="R8" s="236"/>
    </row>
    <row r="9" spans="1:19" ht="17.25" thickBot="1">
      <c r="A9" s="118" t="s">
        <v>28</v>
      </c>
      <c r="B9" s="259"/>
      <c r="C9" s="260"/>
      <c r="D9" s="260"/>
      <c r="E9" s="260"/>
      <c r="F9" s="261"/>
      <c r="G9" s="25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-106,490 KRW (-5.32%)</v>
      </c>
      <c r="H9" s="256"/>
      <c r="I9" s="257"/>
      <c r="J9" s="4" t="s">
        <v>28</v>
      </c>
      <c r="K9" s="259"/>
      <c r="L9" s="260"/>
      <c r="M9" s="260"/>
      <c r="N9" s="260"/>
      <c r="O9" s="261"/>
      <c r="Q9" s="2" t="s">
        <v>29</v>
      </c>
      <c r="R9" s="6">
        <v>10</v>
      </c>
    </row>
    <row r="10" spans="1:19">
      <c r="A10" s="118" t="s">
        <v>30</v>
      </c>
      <c r="B10" s="259"/>
      <c r="C10" s="260"/>
      <c r="D10" s="260"/>
      <c r="E10" s="260"/>
      <c r="F10" s="261"/>
      <c r="G10" s="262" t="s">
        <v>47</v>
      </c>
      <c r="H10" s="263"/>
      <c r="I10" s="264"/>
      <c r="J10" s="4" t="s">
        <v>30</v>
      </c>
      <c r="K10" s="259" t="s">
        <v>356</v>
      </c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119" t="s">
        <v>32</v>
      </c>
      <c r="B11" s="252" t="s">
        <v>357</v>
      </c>
      <c r="C11" s="253"/>
      <c r="D11" s="253"/>
      <c r="E11" s="253"/>
      <c r="F11" s="254"/>
      <c r="G11" s="25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-25,342 KRW (-5.07%)</v>
      </c>
      <c r="H11" s="256"/>
      <c r="I11" s="257"/>
      <c r="J11" s="7" t="s">
        <v>32</v>
      </c>
      <c r="K11" s="252" t="s">
        <v>348</v>
      </c>
      <c r="L11" s="253"/>
      <c r="M11" s="253"/>
      <c r="N11" s="253"/>
      <c r="O11" s="254"/>
      <c r="Q11" s="65" t="s">
        <v>33</v>
      </c>
      <c r="R11" s="8">
        <v>1000</v>
      </c>
    </row>
    <row r="12" spans="1:19" ht="17.25" thickBot="1"/>
    <row r="13" spans="1:19" ht="17.25" customHeight="1" thickBot="1">
      <c r="A13" s="234" t="s">
        <v>34</v>
      </c>
      <c r="B13" s="235"/>
      <c r="C13" s="235"/>
      <c r="D13" s="235"/>
      <c r="E13" s="235"/>
      <c r="F13" s="235"/>
      <c r="G13" s="235"/>
      <c r="H13" s="235"/>
      <c r="I13" s="235"/>
      <c r="J13" s="235"/>
      <c r="K13" s="235"/>
      <c r="L13" s="235"/>
      <c r="M13" s="235"/>
      <c r="N13" s="235"/>
      <c r="O13" s="236"/>
      <c r="Q13" s="233"/>
      <c r="R13" s="233"/>
      <c r="S13" s="233"/>
    </row>
    <row r="14" spans="1:19" ht="17.25" customHeight="1" thickBot="1">
      <c r="A14" s="200" t="s">
        <v>35</v>
      </c>
      <c r="B14" s="234" t="s">
        <v>36</v>
      </c>
      <c r="C14" s="236"/>
      <c r="D14" s="234" t="s">
        <v>37</v>
      </c>
      <c r="E14" s="235"/>
      <c r="F14" s="236"/>
      <c r="G14" s="237">
        <f>_xlfn.IFNA(VLOOKUP(B14, 현재가테이블!$B$2:$D$200, 2, FALSE), "-")</f>
        <v>41418000</v>
      </c>
      <c r="H14" s="238"/>
      <c r="I14" s="239"/>
      <c r="J14" s="234" t="s">
        <v>38</v>
      </c>
      <c r="K14" s="235"/>
      <c r="L14" s="236"/>
      <c r="M14" s="240">
        <f>_xlfn.IFNA(VLOOKUP(B14, 현재가테이블!$B$2:$D$200, 3, FALSE), "-")</f>
        <v>-5.2176301000000001E-2</v>
      </c>
      <c r="N14" s="241"/>
      <c r="O14" s="242"/>
      <c r="Q14" s="233"/>
      <c r="R14" s="233"/>
      <c r="S14" s="233"/>
    </row>
    <row r="15" spans="1:19" ht="17.25" customHeight="1" thickBot="1">
      <c r="A15" s="271" t="s">
        <v>39</v>
      </c>
      <c r="B15" s="272" t="str">
        <f>TEXT($G$1, "[$-ko-KR]yyyy-mm-dd(ddd) ") &amp; "오전 00:00"</f>
        <v>2021-06-11(금) 오전 00:00</v>
      </c>
      <c r="C15" s="273"/>
      <c r="D15" s="247" t="str">
        <f>TEXT($G$1, "[$-ko-KR]yyyy-mm-dd(ddd) ") &amp; "오후 14:00"</f>
        <v>2021-06-11(금) 오후 14:00</v>
      </c>
      <c r="E15" s="248"/>
      <c r="F15" s="249"/>
      <c r="G15" s="247" t="str">
        <f>TEXT($G$1, "[$-ko-KR]yyyy-mm-dd(ddd) ") &amp; "오후 19:00"</f>
        <v>2021-06-11(금) 오후 19:00</v>
      </c>
      <c r="H15" s="248"/>
      <c r="I15" s="249"/>
      <c r="J15" s="247" t="str">
        <f>TEXT($G$1, "[$-ko-KR]yyyy-mm-dd(ddd) ") &amp; "오후 21:00"</f>
        <v>2021-06-11(금) 오후 21:00</v>
      </c>
      <c r="K15" s="248"/>
      <c r="L15" s="249"/>
      <c r="M15" s="247" t="str">
        <f>TEXT($G$1+1, "[$-ko-KR]yyyy-mm-dd(ddd) ") &amp; "오전 00:00"</f>
        <v>2021-06-12(토) 오전 00:00</v>
      </c>
      <c r="N15" s="248"/>
      <c r="O15" s="249"/>
      <c r="Q15" s="233"/>
      <c r="R15" s="233"/>
      <c r="S15" s="233"/>
    </row>
    <row r="16" spans="1:19" ht="17.25" customHeight="1" thickBot="1">
      <c r="A16" s="27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1" t="s">
        <v>37</v>
      </c>
      <c r="H16" s="202" t="s">
        <v>40</v>
      </c>
      <c r="I16" s="20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87.1</v>
      </c>
      <c r="C17" s="76">
        <f>IF(NOT(ISBLANK(_xlfn.IFNA(VLOOKUP($A17, $A$40:$O$199, 3, FALSE), ))), _xlfn.IFNA(VLOOKUP($A17, $A$40:$O$199, 3, FALSE), ), "")</f>
        <v>-7.9726650999999999E-3</v>
      </c>
      <c r="D17" s="13">
        <f>IF(NOT(ISBLANK(_xlfn.IFNA(VLOOKUP($A17, $A$40:$O$199, 4, FALSE), ))), _xlfn.IFNA(VLOOKUP($A17, $A$40:$O$199, 4, FALSE), ), "")</f>
        <v>96.5</v>
      </c>
      <c r="E17" s="14">
        <f>IF(NOT(ISBLANK(_xlfn.IFNA(VLOOKUP($A17, $A$40:$O$199, 5, FALSE), ))), _xlfn.IFNA(VLOOKUP($A17, $A$40:$O$199, 5, FALSE), ), "")</f>
        <v>0.10792192881745127</v>
      </c>
      <c r="F17" s="16">
        <f>IF(NOT(ISBLANK(_xlfn.IFNA(VLOOKUP($A17, $A$40:$O$199, 6, FALSE), ))), _xlfn.IFNA(VLOOKUP($A17, $A$40:$O$199, 6, FALSE), ), "")</f>
        <v>10792.192881745128</v>
      </c>
      <c r="G17" s="29">
        <f>IF(NOT(ISBLANK(_xlfn.IFNA(VLOOKUP($A17, $A$40:$O$199, 7, FALSE), ))), _xlfn.IFNA(VLOOKUP($A17, $A$40:$O$199, 7, FALSE), ), "")</f>
        <v>90.1</v>
      </c>
      <c r="H17" s="14">
        <f>IF(NOT(ISBLANK(_xlfn.IFNA(VLOOKUP($A17, $A$40:$O$199, 8, FALSE), ))), _xlfn.IFNA(VLOOKUP($A17, $A$40:$O$199, 8, FALSE), ), "")</f>
        <v>3.4443168771526984E-2</v>
      </c>
      <c r="I17" s="100">
        <f>IF(NOT(ISBLANK(_xlfn.IFNA(VLOOKUP($A17, $A$40:$O$199, 9, FALSE), ))), _xlfn.IFNA(VLOOKUP($A17, $A$40:$O$199, 9, FALSE), ), "")</f>
        <v>3444.3168771526985</v>
      </c>
      <c r="J17" s="13">
        <f>IF(NOT(ISBLANK(_xlfn.IFNA(VLOOKUP($A17, $A$40:$O$199, 10, FALSE), ))), _xlfn.IFNA(VLOOKUP($A17, $A$40:$O$199, 10, FALSE), ), "")</f>
        <v>85.4</v>
      </c>
      <c r="K17" s="14">
        <f>IF(NOT(ISBLANK(_xlfn.IFNA(VLOOKUP($A17, $A$40:$O$199, 11, FALSE), ))), _xlfn.IFNA(VLOOKUP($A17, $A$40:$O$199, 11, FALSE), ), "")</f>
        <v>-1.9517795637198493E-2</v>
      </c>
      <c r="L17" s="16">
        <f>IF(NOT(ISBLANK(_xlfn.IFNA(VLOOKUP($A17, $A$40:$O$199, 12, FALSE), ))), _xlfn.IFNA(VLOOKUP($A17, $A$40:$O$199, 12, FALSE), ), "")</f>
        <v>-1951.7795637198492</v>
      </c>
      <c r="M17" s="29">
        <f>IF(NOT(ISBLANK(_xlfn.IFNA(VLOOKUP($A17, $A$40:$O$199, 13, FALSE), ))), _xlfn.IFNA(VLOOKUP($A17, $A$40:$O$199, 13, FALSE), ), "")</f>
        <v>86.8</v>
      </c>
      <c r="N17" s="14">
        <f>IF(NOT(ISBLANK(_xlfn.IFNA(VLOOKUP($A17, $A$40:$O$199, 14, FALSE), ))), _xlfn.IFNA(VLOOKUP($A17, $A$40:$O$199, 14, FALSE), ), "")</f>
        <v>-3.4443168771526658E-3</v>
      </c>
      <c r="O17" s="16">
        <f>IF(NOT(ISBLANK(_xlfn.IFNA(VLOOKUP($A17, $A$40:$O$199, 15, FALSE), ))), _xlfn.IFNA(VLOOKUP($A17, $A$40:$O$199, 15, FALSE), ), "")</f>
        <v>-344.43168771526661</v>
      </c>
      <c r="Q17" s="233"/>
      <c r="R17" s="233"/>
      <c r="S17" s="23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68.900000000000006</v>
      </c>
      <c r="C18" s="77">
        <f t="shared" ref="C18:C36" si="1">IF(NOT(ISBLANK(_xlfn.IFNA(VLOOKUP($A18, $A$40:$O$199, 3, FALSE), ))), _xlfn.IFNA(VLOOKUP($A18, $A$40:$O$199, 3, FALSE), ), "")</f>
        <v>1.0263929600000001E-2</v>
      </c>
      <c r="D18" s="15">
        <f t="shared" ref="D18:D36" si="2">IF(NOT(ISBLANK(_xlfn.IFNA(VLOOKUP($A18, $A$40:$O$199, 4, FALSE), ))), _xlfn.IFNA(VLOOKUP($A18, $A$40:$O$199, 4, FALSE), ), "")</f>
        <v>75.400000000000006</v>
      </c>
      <c r="E18" s="32">
        <f t="shared" ref="E18:E36" si="3">IF(NOT(ISBLANK(_xlfn.IFNA(VLOOKUP($A18, $A$40:$O$199, 5, FALSE), ))), _xlfn.IFNA(VLOOKUP($A18, $A$40:$O$199, 5, FALSE), ), "")</f>
        <v>9.4339622641509427E-2</v>
      </c>
      <c r="F18" s="18">
        <f t="shared" ref="F18:F36" si="4">IF(NOT(ISBLANK(_xlfn.IFNA(VLOOKUP($A18, $A$40:$O$199, 6, FALSE), ))), _xlfn.IFNA(VLOOKUP($A18, $A$40:$O$199, 6, FALSE), ), "")</f>
        <v>9433.9622641509432</v>
      </c>
      <c r="G18" s="31">
        <f t="shared" ref="G18:G36" si="5">IF(NOT(ISBLANK(_xlfn.IFNA(VLOOKUP($A18, $A$40:$O$199, 7, FALSE), ))), _xlfn.IFNA(VLOOKUP($A18, $A$40:$O$199, 7, FALSE), ), "")</f>
        <v>64.099999999999994</v>
      </c>
      <c r="H18" s="32">
        <f t="shared" ref="H18:H36" si="6">IF(NOT(ISBLANK(_xlfn.IFNA(VLOOKUP($A18, $A$40:$O$199, 8, FALSE), ))), _xlfn.IFNA(VLOOKUP($A18, $A$40:$O$199, 8, FALSE), ), "")</f>
        <v>-6.9666182873730206E-2</v>
      </c>
      <c r="I18" s="101">
        <f t="shared" ref="I18:I36" si="7">IF(NOT(ISBLANK(_xlfn.IFNA(VLOOKUP($A18, $A$40:$O$199, 9, FALSE), ))), _xlfn.IFNA(VLOOKUP($A18, $A$40:$O$199, 9, FALSE), ), "")</f>
        <v>-6966.6182873730204</v>
      </c>
      <c r="J18" s="15">
        <f t="shared" ref="J18:J36" si="8">IF(NOT(ISBLANK(_xlfn.IFNA(VLOOKUP($A18, $A$40:$O$199, 10, FALSE), ))), _xlfn.IFNA(VLOOKUP($A18, $A$40:$O$199, 10, FALSE), ), "")</f>
        <v>63.2</v>
      </c>
      <c r="K18" s="32">
        <f t="shared" ref="K18:K36" si="9">IF(NOT(ISBLANK(_xlfn.IFNA(VLOOKUP($A18, $A$40:$O$199, 11, FALSE), ))), _xlfn.IFNA(VLOOKUP($A18, $A$40:$O$199, 11, FALSE), ), "")</f>
        <v>-8.272859216255446E-2</v>
      </c>
      <c r="L18" s="18">
        <f t="shared" ref="L18:L36" si="10">IF(NOT(ISBLANK(_xlfn.IFNA(VLOOKUP($A18, $A$40:$O$199, 12, FALSE), ))), _xlfn.IFNA(VLOOKUP($A18, $A$40:$O$199, 12, FALSE), ), "")</f>
        <v>-8272.8592162554451</v>
      </c>
      <c r="M18" s="31">
        <f t="shared" ref="M18:M36" si="11">IF(NOT(ISBLANK(_xlfn.IFNA(VLOOKUP($A18, $A$40:$O$199, 13, FALSE), ))), _xlfn.IFNA(VLOOKUP($A18, $A$40:$O$199, 13, FALSE), ), "")</f>
        <v>62.8</v>
      </c>
      <c r="N18" s="32">
        <f t="shared" ref="N18:N36" si="12">IF(NOT(ISBLANK(_xlfn.IFNA(VLOOKUP($A18, $A$40:$O$199, 14, FALSE), ))), _xlfn.IFNA(VLOOKUP($A18, $A$40:$O$199, 14, FALSE), ), "")</f>
        <v>-8.8534107402032047E-2</v>
      </c>
      <c r="O18" s="18">
        <f t="shared" ref="O18:O36" si="13">IF(NOT(ISBLANK(_xlfn.IFNA(VLOOKUP($A18, $A$40:$O$199, 15, FALSE), ))), _xlfn.IFNA(VLOOKUP($A18, $A$40:$O$199, 15, FALSE), ), "")</f>
        <v>-8853.4107402032041</v>
      </c>
      <c r="Q18" s="233"/>
      <c r="R18" s="233"/>
      <c r="S18" s="233"/>
    </row>
    <row r="19" spans="1:19" ht="17.25" customHeight="1" thickBot="1">
      <c r="A19" s="162" t="s">
        <v>202</v>
      </c>
      <c r="B19" s="126">
        <f t="shared" si="0"/>
        <v>112</v>
      </c>
      <c r="C19" s="77">
        <f t="shared" si="1"/>
        <v>0</v>
      </c>
      <c r="D19" s="15">
        <f t="shared" si="2"/>
        <v>121</v>
      </c>
      <c r="E19" s="32">
        <f t="shared" si="3"/>
        <v>8.0357142857142863E-2</v>
      </c>
      <c r="F19" s="18">
        <f t="shared" si="4"/>
        <v>8035.7142857142862</v>
      </c>
      <c r="G19" s="31">
        <f t="shared" si="5"/>
        <v>110</v>
      </c>
      <c r="H19" s="32">
        <f t="shared" si="6"/>
        <v>-1.7857142857142856E-2</v>
      </c>
      <c r="I19" s="101">
        <f t="shared" si="7"/>
        <v>-1785.7142857142856</v>
      </c>
      <c r="J19" s="15">
        <f t="shared" si="8"/>
        <v>107</v>
      </c>
      <c r="K19" s="32">
        <f t="shared" si="9"/>
        <v>-4.4642857142857144E-2</v>
      </c>
      <c r="L19" s="18">
        <f t="shared" si="10"/>
        <v>-4464.2857142857147</v>
      </c>
      <c r="M19" s="31">
        <f t="shared" si="11"/>
        <v>105</v>
      </c>
      <c r="N19" s="32">
        <f t="shared" si="12"/>
        <v>-6.25E-2</v>
      </c>
      <c r="O19" s="18">
        <f t="shared" si="13"/>
        <v>-6250</v>
      </c>
      <c r="Q19" s="223"/>
      <c r="R19" s="223"/>
      <c r="S19" s="223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-2.7972027999999999E-2</v>
      </c>
      <c r="D20" s="15">
        <f t="shared" si="2"/>
        <v>139</v>
      </c>
      <c r="E20" s="32">
        <f t="shared" si="3"/>
        <v>0</v>
      </c>
      <c r="F20" s="18">
        <f t="shared" si="4"/>
        <v>0</v>
      </c>
      <c r="G20" s="31">
        <f t="shared" si="5"/>
        <v>138</v>
      </c>
      <c r="H20" s="32">
        <f t="shared" si="6"/>
        <v>-7.1942446043165471E-3</v>
      </c>
      <c r="I20" s="101">
        <f t="shared" si="7"/>
        <v>-719.42446043165467</v>
      </c>
      <c r="J20" s="15">
        <f t="shared" si="8"/>
        <v>137</v>
      </c>
      <c r="K20" s="32">
        <f t="shared" si="9"/>
        <v>-1.4388489208633094E-2</v>
      </c>
      <c r="L20" s="18">
        <f t="shared" si="10"/>
        <v>-1438.8489208633093</v>
      </c>
      <c r="M20" s="31">
        <f t="shared" si="11"/>
        <v>139</v>
      </c>
      <c r="N20" s="32">
        <f t="shared" si="12"/>
        <v>0</v>
      </c>
      <c r="O20" s="18">
        <f t="shared" si="13"/>
        <v>0</v>
      </c>
      <c r="Q20" s="223"/>
      <c r="R20" s="223"/>
      <c r="S20" s="223"/>
    </row>
    <row r="21" spans="1:19" ht="17.25" customHeight="1" thickBot="1">
      <c r="A21" s="163" t="s">
        <v>246</v>
      </c>
      <c r="B21" s="128">
        <f t="shared" si="0"/>
        <v>283</v>
      </c>
      <c r="C21" s="78">
        <f t="shared" si="1"/>
        <v>-3.5211268000000001E-3</v>
      </c>
      <c r="D21" s="20">
        <f t="shared" si="2"/>
        <v>313</v>
      </c>
      <c r="E21" s="21">
        <f t="shared" si="3"/>
        <v>0.10600706713780919</v>
      </c>
      <c r="F21" s="22">
        <f t="shared" si="4"/>
        <v>10600.706713780919</v>
      </c>
      <c r="G21" s="30">
        <f t="shared" si="5"/>
        <v>283</v>
      </c>
      <c r="H21" s="21">
        <f t="shared" si="6"/>
        <v>0</v>
      </c>
      <c r="I21" s="105">
        <f t="shared" si="7"/>
        <v>0</v>
      </c>
      <c r="J21" s="20">
        <f t="shared" si="8"/>
        <v>264</v>
      </c>
      <c r="K21" s="21">
        <f t="shared" si="9"/>
        <v>-6.7137809187279157E-2</v>
      </c>
      <c r="L21" s="22">
        <f t="shared" si="10"/>
        <v>-6713.7809187279154</v>
      </c>
      <c r="M21" s="30">
        <f t="shared" si="11"/>
        <v>255</v>
      </c>
      <c r="N21" s="21">
        <f t="shared" si="12"/>
        <v>-9.8939929328621903E-2</v>
      </c>
      <c r="O21" s="22">
        <f t="shared" si="13"/>
        <v>-9893.9929328621911</v>
      </c>
      <c r="Q21" s="223"/>
      <c r="R21" s="223"/>
      <c r="S21" s="223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3"/>
      <c r="R22" s="223"/>
      <c r="S22" s="22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3"/>
      <c r="R23" s="223"/>
      <c r="S23" s="22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3"/>
      <c r="R24" s="223"/>
      <c r="S24" s="22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3"/>
      <c r="R29" s="223"/>
      <c r="S29" s="22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3"/>
      <c r="R30" s="233"/>
      <c r="S30" s="23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3"/>
      <c r="R31" s="233"/>
      <c r="S31" s="23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3"/>
      <c r="R32" s="223"/>
      <c r="S32" s="22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2"/>
      <c r="R35" s="213"/>
      <c r="S35" s="2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5"/>
      <c r="R36" s="216"/>
      <c r="S36" s="217"/>
    </row>
    <row r="37" spans="1:19" ht="17.25" customHeight="1" thickBot="1">
      <c r="A37" s="132" t="s">
        <v>42</v>
      </c>
      <c r="B37" s="276">
        <v>100000</v>
      </c>
      <c r="C37" s="277"/>
      <c r="D37" s="26" t="s">
        <v>43</v>
      </c>
      <c r="E37" s="27">
        <f>IF(COUNT(E17:E36), SUM(E17:E36) / COUNT(E17:E36), 0)</f>
        <v>7.7725152290782543E-2</v>
      </c>
      <c r="F37" s="28">
        <f>SUM(F17:F36)</f>
        <v>38862.576145391278</v>
      </c>
      <c r="G37" s="26" t="s">
        <v>43</v>
      </c>
      <c r="H37" s="27">
        <f>IF(COUNT(H17:H36), SUM(H17:H36) / COUNT(H17:H36), 0)</f>
        <v>-1.2054880312732524E-2</v>
      </c>
      <c r="I37" s="28">
        <f>SUM(I17:I36)</f>
        <v>-6027.4401563662623</v>
      </c>
      <c r="J37" s="26" t="s">
        <v>43</v>
      </c>
      <c r="K37" s="27">
        <f>IF(COUNT(K17:K36), SUM(K17:K36) / COUNT(K17:K36), 0)</f>
        <v>-4.5683108667704468E-2</v>
      </c>
      <c r="L37" s="28">
        <f>SUM(L17:L36)</f>
        <v>-22841.554333852233</v>
      </c>
      <c r="M37" s="26" t="s">
        <v>43</v>
      </c>
      <c r="N37" s="27">
        <f>IF(COUNT(N17:N36), SUM(N17:N36) / COUNT(N17:N36), 0)</f>
        <v>-5.0683670721561325E-2</v>
      </c>
      <c r="O37" s="28">
        <f>SUM(O17:O36)</f>
        <v>-25341.835360780664</v>
      </c>
      <c r="Q37" s="218"/>
      <c r="R37" s="219"/>
      <c r="S37" s="220"/>
    </row>
    <row r="38" spans="1:19" ht="17.25" customHeight="1"/>
    <row r="39" spans="1:19" ht="17.25" customHeight="1" thickBot="1"/>
    <row r="40" spans="1:19" ht="17.25" customHeight="1" thickBot="1">
      <c r="A40" s="234" t="s">
        <v>44</v>
      </c>
      <c r="B40" s="235"/>
      <c r="C40" s="235"/>
      <c r="D40" s="235"/>
      <c r="E40" s="235"/>
      <c r="F40" s="235"/>
      <c r="G40" s="235"/>
      <c r="H40" s="235"/>
      <c r="I40" s="235"/>
      <c r="J40" s="235"/>
      <c r="K40" s="235"/>
      <c r="L40" s="235"/>
      <c r="M40" s="235"/>
      <c r="N40" s="235"/>
      <c r="O40" s="236"/>
      <c r="Q40" s="233"/>
      <c r="R40" s="233"/>
      <c r="S40" s="233"/>
    </row>
    <row r="41" spans="1:19" ht="17.25" customHeight="1" thickBot="1">
      <c r="A41" s="200" t="s">
        <v>297</v>
      </c>
      <c r="B41" s="234" t="s">
        <v>49</v>
      </c>
      <c r="C41" s="236"/>
      <c r="D41" s="234" t="s">
        <v>58</v>
      </c>
      <c r="E41" s="235"/>
      <c r="F41" s="236"/>
      <c r="G41" s="237">
        <f>_xlfn.IFNA(VLOOKUP(B41, 현재가테이블!$B$2:$D$200, 2, FALSE), "-")</f>
        <v>41418000</v>
      </c>
      <c r="H41" s="238"/>
      <c r="I41" s="239"/>
      <c r="J41" s="234" t="s">
        <v>59</v>
      </c>
      <c r="K41" s="235"/>
      <c r="L41" s="236"/>
      <c r="M41" s="240">
        <f>_xlfn.IFNA(VLOOKUP(B41, 현재가테이블!$B$2:$D$200, 3, FALSE), "-")</f>
        <v>-5.2176301000000001E-2</v>
      </c>
      <c r="N41" s="241"/>
      <c r="O41" s="242"/>
      <c r="Q41" s="233"/>
      <c r="R41" s="233"/>
      <c r="S41" s="233"/>
    </row>
    <row r="42" spans="1:19" ht="17.25" customHeight="1" thickBot="1">
      <c r="A42" s="278" t="s">
        <v>55</v>
      </c>
      <c r="B42" s="274" t="str">
        <f>TEXT($G$1, "[$-ko-KR]yyyy-mm-dd(ddd) ") &amp; "오전 00:00"</f>
        <v>2021-06-11(금) 오전 00:00</v>
      </c>
      <c r="C42" s="275"/>
      <c r="D42" s="247" t="str">
        <f>TEXT($G$1, "[$-ko-KR]yyyy-mm-dd(ddd) ") &amp; "오후 14:00"</f>
        <v>2021-06-11(금) 오후 14:00</v>
      </c>
      <c r="E42" s="248"/>
      <c r="F42" s="249"/>
      <c r="G42" s="247" t="str">
        <f>TEXT($G$1, "[$-ko-KR]yyyy-mm-dd(ddd) ") &amp; "오후 19:00"</f>
        <v>2021-06-11(금) 오후 19:00</v>
      </c>
      <c r="H42" s="248"/>
      <c r="I42" s="249"/>
      <c r="J42" s="247" t="str">
        <f>TEXT($G$1, "[$-ko-KR]yyyy-mm-dd(ddd) ") &amp; "오후 21:00"</f>
        <v>2021-06-11(금) 오후 21:00</v>
      </c>
      <c r="K42" s="248"/>
      <c r="L42" s="249"/>
      <c r="M42" s="247" t="str">
        <f>TEXT($G$1+1, "[$-ko-KR]yyyy-mm-dd(ddd) ") &amp; "오전 00:00"</f>
        <v>2021-06-12(토) 오전 00:00</v>
      </c>
      <c r="N42" s="248"/>
      <c r="O42" s="249"/>
      <c r="Q42" s="233"/>
      <c r="R42" s="233"/>
      <c r="S42" s="233"/>
    </row>
    <row r="43" spans="1:19" ht="17.25" customHeight="1" thickBot="1">
      <c r="A43" s="279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1" t="s">
        <v>58</v>
      </c>
      <c r="H43" s="202" t="s">
        <v>298</v>
      </c>
      <c r="I43" s="20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3"/>
      <c r="R43" s="223"/>
      <c r="S43" s="223"/>
    </row>
    <row r="44" spans="1:19" ht="17.25" customHeight="1" thickBot="1">
      <c r="A44" s="161" t="s">
        <v>254</v>
      </c>
      <c r="B44" s="124">
        <v>66.3</v>
      </c>
      <c r="C44" s="76">
        <v>0.4413043478</v>
      </c>
      <c r="D44" s="13">
        <v>56.4</v>
      </c>
      <c r="E44" s="14">
        <f>IF(ISNUMBER(D44), (D44 - $B44) / $B44, "")</f>
        <v>-0.14932126696832579</v>
      </c>
      <c r="F44" s="16">
        <f>IF(ISNUMBER(D44), $B64 * E44, "")</f>
        <v>-14932.126696832578</v>
      </c>
      <c r="G44" s="29">
        <v>37.6</v>
      </c>
      <c r="H44" s="14">
        <f>IF(ISNUMBER(G44), (G44 - $B44) / $B44, "")</f>
        <v>-0.43288084464555049</v>
      </c>
      <c r="I44" s="100">
        <f>IF(ISNUMBER(G44), $B64 * H44, "")</f>
        <v>-43288.084464555046</v>
      </c>
      <c r="J44" s="13">
        <v>36.6</v>
      </c>
      <c r="K44" s="14">
        <f>IF(ISNUMBER(J44), (J44 - $B44) / $B44, "")</f>
        <v>-0.44796380090497734</v>
      </c>
      <c r="L44" s="16">
        <f>IF(ISNUMBER(J44), $B64 * K44, "")</f>
        <v>-44796.380090497732</v>
      </c>
      <c r="M44" s="29">
        <v>37</v>
      </c>
      <c r="N44" s="14">
        <f>IF(ISNUMBER(M44), (M44 - $B44) / $B44, "")</f>
        <v>-0.44193061840120662</v>
      </c>
      <c r="O44" s="16">
        <f>IF(ISNUMBER(M44), $B64 * N44, "")</f>
        <v>-44193.061840120659</v>
      </c>
      <c r="Q44" s="233"/>
      <c r="R44" s="233"/>
      <c r="S44" s="233"/>
    </row>
    <row r="45" spans="1:19" ht="17.25" customHeight="1" thickBot="1">
      <c r="A45" s="162" t="s">
        <v>122</v>
      </c>
      <c r="B45" s="126">
        <v>70.400000000000006</v>
      </c>
      <c r="C45" s="77">
        <v>0.2117039587</v>
      </c>
      <c r="D45" s="15">
        <v>62.3</v>
      </c>
      <c r="E45" s="32">
        <f t="shared" ref="E45:E48" si="14">IF(ISNUMBER(D45), (D45 - $B45) / $B45, "")</f>
        <v>-0.11505681818181829</v>
      </c>
      <c r="F45" s="18">
        <f>IF(ISNUMBER(D45), $B64 * E45, "")</f>
        <v>-11505.681818181829</v>
      </c>
      <c r="G45" s="31">
        <v>39.799999999999997</v>
      </c>
      <c r="H45" s="32">
        <f t="shared" ref="H45:H48" si="15">IF(ISNUMBER(G45), (G45 - $B45) / $B45, "")</f>
        <v>-0.43465909090909099</v>
      </c>
      <c r="I45" s="101">
        <f>IF(ISNUMBER(G45), $B64 * H45, "")</f>
        <v>-43465.909090909103</v>
      </c>
      <c r="J45" s="15">
        <v>39.1</v>
      </c>
      <c r="K45" s="32">
        <f t="shared" ref="K45:K48" si="16">IF(ISNUMBER(J45), (J45 - $B45) / $B45, "")</f>
        <v>-0.44460227272727276</v>
      </c>
      <c r="L45" s="18">
        <f>IF(ISNUMBER(J45), $B64 * K45, "")</f>
        <v>-44460.227272727279</v>
      </c>
      <c r="M45" s="31">
        <v>40.200000000000003</v>
      </c>
      <c r="N45" s="32">
        <f t="shared" ref="N45:N48" si="17">IF(ISNUMBER(M45), (M45 - $B45) / $B45, "")</f>
        <v>-0.42897727272727271</v>
      </c>
      <c r="O45" s="18">
        <f>IF(ISNUMBER(M45), $B64 * N45, "")</f>
        <v>-42897.727272727272</v>
      </c>
      <c r="Q45" s="233"/>
      <c r="R45" s="233"/>
      <c r="S45" s="233"/>
    </row>
    <row r="46" spans="1:19" ht="17.25" customHeight="1" thickBot="1">
      <c r="A46" s="162" t="s">
        <v>186</v>
      </c>
      <c r="B46" s="126">
        <v>17.7</v>
      </c>
      <c r="C46" s="77">
        <v>0.10625</v>
      </c>
      <c r="D46" s="15">
        <v>17.2</v>
      </c>
      <c r="E46" s="32">
        <f t="shared" si="14"/>
        <v>-2.8248587570621469E-2</v>
      </c>
      <c r="F46" s="18">
        <f>IF(ISNUMBER(D46), $B64 * E46, "")</f>
        <v>-2824.8587570621471</v>
      </c>
      <c r="G46" s="31">
        <v>15.7</v>
      </c>
      <c r="H46" s="32">
        <f t="shared" si="15"/>
        <v>-0.11299435028248588</v>
      </c>
      <c r="I46" s="101">
        <f>IF(ISNUMBER(G46), $B64 * H46, "")</f>
        <v>-11299.435028248588</v>
      </c>
      <c r="J46" s="15">
        <v>15.4</v>
      </c>
      <c r="K46" s="32">
        <f t="shared" si="16"/>
        <v>-0.1299435028248587</v>
      </c>
      <c r="L46" s="18">
        <f>IF(ISNUMBER(J46), $B64 * K46, "")</f>
        <v>-12994.35028248587</v>
      </c>
      <c r="M46" s="31">
        <v>15.4</v>
      </c>
      <c r="N46" s="32">
        <f t="shared" si="17"/>
        <v>-0.1299435028248587</v>
      </c>
      <c r="O46" s="18">
        <f>IF(ISNUMBER(M46), $B64 * N46, "")</f>
        <v>-12994.35028248587</v>
      </c>
      <c r="Q46" s="223"/>
      <c r="R46" s="223"/>
      <c r="S46" s="223"/>
    </row>
    <row r="47" spans="1:19" ht="17.25" customHeight="1" thickBot="1">
      <c r="A47" s="162" t="s">
        <v>268</v>
      </c>
      <c r="B47" s="126">
        <v>50.3</v>
      </c>
      <c r="C47" s="77">
        <v>6.1181434600000001E-2</v>
      </c>
      <c r="D47" s="15">
        <v>67.5</v>
      </c>
      <c r="E47" s="32">
        <f t="shared" si="14"/>
        <v>0.3419483101391651</v>
      </c>
      <c r="F47" s="18">
        <f>IF(ISNUMBER(D47), $B64 * E47, "")</f>
        <v>34194.831013916511</v>
      </c>
      <c r="G47" s="31">
        <v>37.700000000000003</v>
      </c>
      <c r="H47" s="32">
        <f t="shared" si="15"/>
        <v>-0.25049701789264406</v>
      </c>
      <c r="I47" s="101">
        <f>IF(ISNUMBER(G47), $B64 * H47, "")</f>
        <v>-25049.701789264407</v>
      </c>
      <c r="J47" s="15">
        <v>38.5</v>
      </c>
      <c r="K47" s="32">
        <f t="shared" si="16"/>
        <v>-0.23459244532803178</v>
      </c>
      <c r="L47" s="18">
        <f>IF(ISNUMBER(J47), $B64 * K47, "")</f>
        <v>-23459.244532803179</v>
      </c>
      <c r="M47" s="31">
        <v>40.799999999999997</v>
      </c>
      <c r="N47" s="32">
        <f t="shared" si="17"/>
        <v>-0.1888667992047714</v>
      </c>
      <c r="O47" s="18">
        <f>IF(ISNUMBER(M47), $B64 * N47, "")</f>
        <v>-18886.679920477141</v>
      </c>
      <c r="Q47" s="223"/>
      <c r="R47" s="223"/>
      <c r="S47" s="223"/>
    </row>
    <row r="48" spans="1:19" ht="17.25" customHeight="1" thickBot="1">
      <c r="A48" s="163" t="s">
        <v>220</v>
      </c>
      <c r="B48" s="128">
        <v>12.3</v>
      </c>
      <c r="C48" s="78">
        <v>6.0344827599999998E-2</v>
      </c>
      <c r="D48" s="20">
        <v>12.1</v>
      </c>
      <c r="E48" s="21">
        <f t="shared" si="14"/>
        <v>-1.6260162601626101E-2</v>
      </c>
      <c r="F48" s="22">
        <f>IF(ISNUMBER(D48), $B64 * E48, "")</f>
        <v>-1626.01626016261</v>
      </c>
      <c r="G48" s="30">
        <v>11.1</v>
      </c>
      <c r="H48" s="21">
        <f t="shared" si="15"/>
        <v>-9.7560975609756184E-2</v>
      </c>
      <c r="I48" s="105">
        <f>IF(ISNUMBER(G48), $B64 * H48, "")</f>
        <v>-9756.0975609756188</v>
      </c>
      <c r="J48" s="20">
        <v>11</v>
      </c>
      <c r="K48" s="21">
        <f t="shared" si="16"/>
        <v>-0.10569105691056915</v>
      </c>
      <c r="L48" s="22">
        <f>IF(ISNUMBER(J48), $B64 * K48, "")</f>
        <v>-10569.105691056915</v>
      </c>
      <c r="M48" s="30">
        <v>10.9</v>
      </c>
      <c r="N48" s="21">
        <f t="shared" si="17"/>
        <v>-0.11382113821138214</v>
      </c>
      <c r="O48" s="22">
        <f>IF(ISNUMBER(M48), $B64 * N48, "")</f>
        <v>-11382.113821138213</v>
      </c>
      <c r="Q48" s="223"/>
      <c r="R48" s="223"/>
      <c r="S48" s="223"/>
    </row>
    <row r="49" spans="1:19" ht="17.25" customHeight="1" thickBot="1">
      <c r="A49" s="162" t="s">
        <v>266</v>
      </c>
      <c r="B49" s="129">
        <v>56.4</v>
      </c>
      <c r="C49" s="80">
        <v>5.4205607500000003E-2</v>
      </c>
      <c r="D49" s="106">
        <v>95.3</v>
      </c>
      <c r="E49" s="107">
        <f>IF(ISNUMBER(D49), (D49 - $B49) / $B49, "")</f>
        <v>0.68971631205673756</v>
      </c>
      <c r="F49" s="108">
        <f>IF(ISNUMBER(D49), $B64 * E49, "")</f>
        <v>68971.631205673752</v>
      </c>
      <c r="G49" s="109">
        <v>81.2</v>
      </c>
      <c r="H49" s="107">
        <f>IF(ISNUMBER(G49), (G49 - $B49) / $B49, "")</f>
        <v>0.43971631205673767</v>
      </c>
      <c r="I49" s="110">
        <f>IF(ISNUMBER(G49), $B64 * H49, "")</f>
        <v>43971.631205673766</v>
      </c>
      <c r="J49" s="106">
        <v>77.5</v>
      </c>
      <c r="K49" s="107">
        <f>IF(ISNUMBER(J49), (J49 - $B49) / $B49, "")</f>
        <v>0.37411347517730498</v>
      </c>
      <c r="L49" s="108">
        <f>IF(ISNUMBER(J49), $B64 * K49, "")</f>
        <v>37411.347517730501</v>
      </c>
      <c r="M49" s="109">
        <v>70.8</v>
      </c>
      <c r="N49" s="107">
        <f>IF(ISNUMBER(M49), (M49 - $B49) / $B49, "")</f>
        <v>0.25531914893617019</v>
      </c>
      <c r="O49" s="108">
        <f>IF(ISNUMBER(M49), $B64 * N49, "")</f>
        <v>25531.91489361702</v>
      </c>
      <c r="Q49" s="223"/>
      <c r="R49" s="223"/>
      <c r="S49" s="223"/>
    </row>
    <row r="50" spans="1:19" ht="17.25" customHeight="1" thickBot="1">
      <c r="A50" s="162" t="s">
        <v>154</v>
      </c>
      <c r="B50" s="126">
        <v>10.9</v>
      </c>
      <c r="C50" s="77">
        <v>4.8076923100000002E-2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10.4</v>
      </c>
      <c r="H50" s="32">
        <f t="shared" ref="H50:H53" si="19">IF(ISNUMBER(G50), (G50 - $B50) / $B50, "")</f>
        <v>-4.5871559633027519E-2</v>
      </c>
      <c r="I50" s="101">
        <f>IF(ISNUMBER(G50), $B64 * H50, "")</f>
        <v>-4587.1559633027518</v>
      </c>
      <c r="J50" s="15">
        <v>10.199999999999999</v>
      </c>
      <c r="K50" s="32">
        <f t="shared" ref="K50:K53" si="20">IF(ISNUMBER(J50), (J50 - $B50) / $B50, "")</f>
        <v>-6.4220183486238633E-2</v>
      </c>
      <c r="L50" s="18">
        <f>IF(ISNUMBER(J50), $B64 * K50, "")</f>
        <v>-6422.0183486238629</v>
      </c>
      <c r="M50" s="31">
        <v>10.1</v>
      </c>
      <c r="N50" s="32">
        <f t="shared" ref="N50:N53" si="21">IF(ISNUMBER(M50), (M50 - $B50) / $B50, "")</f>
        <v>-7.3394495412844096E-2</v>
      </c>
      <c r="O50" s="18">
        <f>IF(ISNUMBER(M50), $B64 * N50, "")</f>
        <v>-7339.4495412844099</v>
      </c>
      <c r="Q50" s="223"/>
      <c r="R50" s="223"/>
      <c r="S50" s="223"/>
    </row>
    <row r="51" spans="1:19" ht="17.25" customHeight="1" thickBot="1">
      <c r="A51" s="162" t="s">
        <v>264</v>
      </c>
      <c r="B51" s="126">
        <v>83.4</v>
      </c>
      <c r="C51" s="77">
        <v>4.5112781999999997E-2</v>
      </c>
      <c r="D51" s="15">
        <v>86.8</v>
      </c>
      <c r="E51" s="32">
        <f t="shared" si="18"/>
        <v>4.0767386091126991E-2</v>
      </c>
      <c r="F51" s="18">
        <f>IF(ISNUMBER(D51), $B64 * E51, "")</f>
        <v>4076.7386091126991</v>
      </c>
      <c r="G51" s="31">
        <v>79.400000000000006</v>
      </c>
      <c r="H51" s="32">
        <f t="shared" si="19"/>
        <v>-4.7961630695443645E-2</v>
      </c>
      <c r="I51" s="101">
        <f>IF(ISNUMBER(G51), $B64 * H51, "")</f>
        <v>-4796.1630695443646</v>
      </c>
      <c r="J51" s="15">
        <v>79.599999999999994</v>
      </c>
      <c r="K51" s="32">
        <f t="shared" si="20"/>
        <v>-4.5563549160671596E-2</v>
      </c>
      <c r="L51" s="18">
        <f>IF(ISNUMBER(J51), $B64 * K51, "")</f>
        <v>-4556.3549160671591</v>
      </c>
      <c r="M51" s="31">
        <v>79</v>
      </c>
      <c r="N51" s="32">
        <f t="shared" si="21"/>
        <v>-5.2757793764988077E-2</v>
      </c>
      <c r="O51" s="18">
        <f>IF(ISNUMBER(M51), $B64 * N51, "")</f>
        <v>-5275.7793764988073</v>
      </c>
      <c r="Q51" s="223"/>
      <c r="R51" s="223"/>
      <c r="S51" s="223"/>
    </row>
    <row r="52" spans="1:19" ht="17.25" customHeight="1" thickBot="1">
      <c r="A52" s="162" t="s">
        <v>218</v>
      </c>
      <c r="B52" s="126">
        <v>15.8</v>
      </c>
      <c r="C52" s="77">
        <v>3.9473684199999998E-2</v>
      </c>
      <c r="D52" s="15">
        <v>17.100000000000001</v>
      </c>
      <c r="E52" s="32">
        <f t="shared" si="18"/>
        <v>8.2278481012658264E-2</v>
      </c>
      <c r="F52" s="18">
        <f>IF(ISNUMBER(D52), $B64 * E52, "")</f>
        <v>8227.8481012658267</v>
      </c>
      <c r="G52" s="31">
        <v>8.84</v>
      </c>
      <c r="H52" s="32">
        <f t="shared" si="19"/>
        <v>-0.44050632911392407</v>
      </c>
      <c r="I52" s="101">
        <f>IF(ISNUMBER(G52), $B64 * H52, "")</f>
        <v>-44050.632911392408</v>
      </c>
      <c r="J52" s="15">
        <v>8.61</v>
      </c>
      <c r="K52" s="32">
        <f t="shared" si="20"/>
        <v>-0.45506329113924054</v>
      </c>
      <c r="L52" s="18">
        <f>IF(ISNUMBER(J52), $B64 * K52, "")</f>
        <v>-45506.329113924054</v>
      </c>
      <c r="M52" s="31">
        <v>8.82</v>
      </c>
      <c r="N52" s="32">
        <f t="shared" si="21"/>
        <v>-0.4417721518987342</v>
      </c>
      <c r="O52" s="18">
        <f>IF(ISNUMBER(M52), $B64 * N52, "")</f>
        <v>-44177.215189873423</v>
      </c>
      <c r="Q52" s="33"/>
      <c r="R52" s="33"/>
    </row>
    <row r="53" spans="1:19" ht="17.25" customHeight="1" thickBot="1">
      <c r="A53" s="130" t="s">
        <v>222</v>
      </c>
      <c r="B53" s="131">
        <v>11.3</v>
      </c>
      <c r="C53" s="79">
        <v>3.6697247699999998E-2</v>
      </c>
      <c r="D53" s="24">
        <v>11.7</v>
      </c>
      <c r="E53" s="25">
        <f t="shared" si="18"/>
        <v>3.539823008849545E-2</v>
      </c>
      <c r="F53" s="104">
        <f>IF(ISNUMBER(D53), $B64 * E53, "")</f>
        <v>3539.8230088495452</v>
      </c>
      <c r="G53" s="102">
        <v>10.5</v>
      </c>
      <c r="H53" s="25">
        <f t="shared" si="19"/>
        <v>-7.0796460176991205E-2</v>
      </c>
      <c r="I53" s="103">
        <f>IF(ISNUMBER(G53), $B64 * H53, "")</f>
        <v>-7079.6460176991204</v>
      </c>
      <c r="J53" s="24">
        <v>10</v>
      </c>
      <c r="K53" s="25">
        <f t="shared" si="20"/>
        <v>-0.11504424778761067</v>
      </c>
      <c r="L53" s="104">
        <f>IF(ISNUMBER(J53), $B64 * K53, "")</f>
        <v>-11504.424778761068</v>
      </c>
      <c r="M53" s="102">
        <v>9.9600000000000009</v>
      </c>
      <c r="N53" s="25">
        <f t="shared" si="21"/>
        <v>-0.11858407079646016</v>
      </c>
      <c r="O53" s="104">
        <f>IF(ISNUMBER(M53), $B64 * N53, "")</f>
        <v>-11858.407079646016</v>
      </c>
      <c r="Q53" s="224"/>
      <c r="R53" s="225"/>
      <c r="S53" s="226"/>
    </row>
    <row r="54" spans="1:19" ht="17.25" customHeight="1">
      <c r="A54" s="161" t="s">
        <v>260</v>
      </c>
      <c r="B54" s="124">
        <v>66.400000000000006</v>
      </c>
      <c r="C54" s="76">
        <v>3.4267912800000001E-2</v>
      </c>
      <c r="D54" s="13">
        <v>80.099999999999994</v>
      </c>
      <c r="E54" s="14">
        <f>IF(ISNUMBER(D54), (D54 - $B54) / $B54, "")</f>
        <v>0.20632530120481909</v>
      </c>
      <c r="F54" s="16">
        <f>IF(ISNUMBER(D54), $B64 * E54, "")</f>
        <v>20632.530120481908</v>
      </c>
      <c r="G54" s="29">
        <v>62</v>
      </c>
      <c r="H54" s="14">
        <f>IF(ISNUMBER(G54), (G54 - $B54) / $B54, "")</f>
        <v>-6.626506024096393E-2</v>
      </c>
      <c r="I54" s="100">
        <f>IF(ISNUMBER(G54), $B64 * H54, "")</f>
        <v>-6626.506024096393</v>
      </c>
      <c r="J54" s="13">
        <v>60.4</v>
      </c>
      <c r="K54" s="14">
        <f>IF(ISNUMBER(J54), (J54 - $B54) / $B54, "")</f>
        <v>-9.0361445783132627E-2</v>
      </c>
      <c r="L54" s="16">
        <f>IF(ISNUMBER(J54), $B64 * K54, "")</f>
        <v>-9036.1445783132622</v>
      </c>
      <c r="M54" s="29">
        <v>60.9</v>
      </c>
      <c r="N54" s="14">
        <f>IF(ISNUMBER(M54), (M54 - $B54) / $B54, "")</f>
        <v>-8.2831325301204919E-2</v>
      </c>
      <c r="O54" s="16">
        <f>IF(ISNUMBER(M54), $B64 * N54, "")</f>
        <v>-8283.1325301204924</v>
      </c>
      <c r="Q54" s="227"/>
      <c r="R54" s="228"/>
      <c r="S54" s="229"/>
    </row>
    <row r="55" spans="1:19" ht="17.25" customHeight="1" thickBot="1">
      <c r="A55" s="162" t="s">
        <v>198</v>
      </c>
      <c r="B55" s="126">
        <v>15.3</v>
      </c>
      <c r="C55" s="77">
        <v>2.68456376E-2</v>
      </c>
      <c r="D55" s="15">
        <v>16.100000000000001</v>
      </c>
      <c r="E55" s="32">
        <f t="shared" ref="E55:E58" si="22">IF(ISNUMBER(D55), (D55 - $B55) / $B55, "")</f>
        <v>5.2287581699346448E-2</v>
      </c>
      <c r="F55" s="18">
        <f>IF(ISNUMBER(D55), $B64 * E55, "")</f>
        <v>5228.7581699346447</v>
      </c>
      <c r="G55" s="31">
        <v>14.1</v>
      </c>
      <c r="H55" s="32">
        <f t="shared" ref="H55:H58" si="23">IF(ISNUMBER(G55), (G55 - $B55) / $B55, "")</f>
        <v>-7.8431372549019676E-2</v>
      </c>
      <c r="I55" s="101">
        <f>IF(ISNUMBER(G55), $B64 * H55, "")</f>
        <v>-7843.1372549019679</v>
      </c>
      <c r="J55" s="15">
        <v>13.7</v>
      </c>
      <c r="K55" s="32">
        <f t="shared" ref="K55:K58" si="24">IF(ISNUMBER(J55), (J55 - $B55) / $B55, "")</f>
        <v>-0.1045751633986929</v>
      </c>
      <c r="L55" s="18">
        <f>IF(ISNUMBER(J55), $B64 * K55, "")</f>
        <v>-10457.516339869289</v>
      </c>
      <c r="M55" s="31">
        <v>13.5</v>
      </c>
      <c r="N55" s="32">
        <f t="shared" ref="N55:N58" si="25">IF(ISNUMBER(M55), (M55 - $B55) / $B55, "")</f>
        <v>-0.11764705882352945</v>
      </c>
      <c r="O55" s="18">
        <f>IF(ISNUMBER(M55), $B64 * N55, "")</f>
        <v>-11764.705882352946</v>
      </c>
      <c r="Q55" s="230"/>
      <c r="R55" s="231"/>
      <c r="S55" s="232"/>
    </row>
    <row r="56" spans="1:19" ht="17.25" customHeight="1" thickBot="1">
      <c r="A56" s="162" t="s">
        <v>214</v>
      </c>
      <c r="B56" s="126">
        <v>12.7</v>
      </c>
      <c r="C56" s="77">
        <v>2.4193548400000001E-2</v>
      </c>
      <c r="D56" s="15">
        <v>14</v>
      </c>
      <c r="E56" s="32">
        <f t="shared" si="22"/>
        <v>0.10236220472440952</v>
      </c>
      <c r="F56" s="18">
        <f>IF(ISNUMBER(D56), $B64 * E56, "")</f>
        <v>10236.220472440951</v>
      </c>
      <c r="G56" s="31">
        <v>11.8</v>
      </c>
      <c r="H56" s="32">
        <f t="shared" si="23"/>
        <v>-7.0866141732283353E-2</v>
      </c>
      <c r="I56" s="101">
        <f>IF(ISNUMBER(G56), $B64 * H56, "")</f>
        <v>-7086.6141732283349</v>
      </c>
      <c r="J56" s="15">
        <v>11.2</v>
      </c>
      <c r="K56" s="32">
        <f t="shared" si="24"/>
        <v>-0.11811023622047245</v>
      </c>
      <c r="L56" s="18">
        <f>IF(ISNUMBER(J56), $B64 * K56, "")</f>
        <v>-11811.023622047245</v>
      </c>
      <c r="M56" s="31">
        <v>11.3</v>
      </c>
      <c r="N56" s="32">
        <f t="shared" si="25"/>
        <v>-0.11023622047244083</v>
      </c>
      <c r="O56" s="18">
        <f>IF(ISNUMBER(M56), $B64 * N56, "")</f>
        <v>-11023.622047244084</v>
      </c>
      <c r="Q56" s="223"/>
      <c r="R56" s="223"/>
      <c r="S56" s="223"/>
    </row>
    <row r="57" spans="1:19" ht="17.25" customHeight="1" thickBot="1">
      <c r="A57" s="162" t="s">
        <v>72</v>
      </c>
      <c r="B57" s="126">
        <v>19.7</v>
      </c>
      <c r="C57" s="77">
        <v>2.0725388599999998E-2</v>
      </c>
      <c r="D57" s="15">
        <v>24.3</v>
      </c>
      <c r="E57" s="32">
        <f t="shared" si="22"/>
        <v>0.23350253807106608</v>
      </c>
      <c r="F57" s="18">
        <f>IF(ISNUMBER(D57), $B64 * E57, "")</f>
        <v>23350.253807106608</v>
      </c>
      <c r="G57" s="31">
        <v>21.9</v>
      </c>
      <c r="H57" s="32">
        <f t="shared" si="23"/>
        <v>0.11167512690355327</v>
      </c>
      <c r="I57" s="101">
        <f>IF(ISNUMBER(G57), $B64 * H57, "")</f>
        <v>11167.512690355328</v>
      </c>
      <c r="J57" s="15">
        <v>20.8</v>
      </c>
      <c r="K57" s="32">
        <f t="shared" si="24"/>
        <v>5.5837563451776727E-2</v>
      </c>
      <c r="L57" s="18">
        <f>IF(ISNUMBER(J57), $B64 * K57, "")</f>
        <v>5583.7563451776723</v>
      </c>
      <c r="M57" s="31">
        <v>20</v>
      </c>
      <c r="N57" s="32">
        <f t="shared" si="25"/>
        <v>1.5228426395939123E-2</v>
      </c>
      <c r="O57" s="18">
        <f>IF(ISNUMBER(M57), $B64 * N57, "")</f>
        <v>1522.8426395939123</v>
      </c>
      <c r="Q57" s="233"/>
      <c r="R57" s="233"/>
      <c r="S57" s="233"/>
    </row>
    <row r="58" spans="1:19" ht="17.25" customHeight="1" thickBot="1">
      <c r="A58" s="163" t="s">
        <v>212</v>
      </c>
      <c r="B58" s="128">
        <v>68.900000000000006</v>
      </c>
      <c r="C58" s="78">
        <v>1.0263929600000001E-2</v>
      </c>
      <c r="D58" s="20">
        <v>75.400000000000006</v>
      </c>
      <c r="E58" s="21">
        <f t="shared" si="22"/>
        <v>9.4339622641509427E-2</v>
      </c>
      <c r="F58" s="22">
        <f>IF(ISNUMBER(D58), $B64 * E58, "")</f>
        <v>9433.9622641509432</v>
      </c>
      <c r="G58" s="30">
        <v>64.099999999999994</v>
      </c>
      <c r="H58" s="21">
        <f t="shared" si="23"/>
        <v>-6.9666182873730206E-2</v>
      </c>
      <c r="I58" s="105">
        <f>IF(ISNUMBER(G58), $B64 * H58, "")</f>
        <v>-6966.6182873730204</v>
      </c>
      <c r="J58" s="20">
        <v>63.2</v>
      </c>
      <c r="K58" s="21">
        <f t="shared" si="24"/>
        <v>-8.272859216255446E-2</v>
      </c>
      <c r="L58" s="22">
        <f>IF(ISNUMBER(J58), $B64 * K58, "")</f>
        <v>-8272.8592162554451</v>
      </c>
      <c r="M58" s="30">
        <v>62.8</v>
      </c>
      <c r="N58" s="21">
        <f t="shared" si="25"/>
        <v>-8.8534107402032047E-2</v>
      </c>
      <c r="O58" s="22">
        <f>IF(ISNUMBER(M58), $B64 * N58, "")</f>
        <v>-8853.4107402032041</v>
      </c>
      <c r="Q58" s="233"/>
      <c r="R58" s="233"/>
      <c r="S58" s="233"/>
    </row>
    <row r="59" spans="1:19" ht="17.25" customHeight="1" thickBot="1">
      <c r="A59" s="162" t="s">
        <v>228</v>
      </c>
      <c r="B59" s="129">
        <v>10.1</v>
      </c>
      <c r="C59" s="80">
        <v>0.01</v>
      </c>
      <c r="D59" s="106">
        <v>10.7</v>
      </c>
      <c r="E59" s="107">
        <f>IF(ISNUMBER(D59), (D59 - $B59) / $B59, "")</f>
        <v>5.9405940594059375E-2</v>
      </c>
      <c r="F59" s="108">
        <f>IF(ISNUMBER(D59), $B64 * E59, "")</f>
        <v>5940.5940594059375</v>
      </c>
      <c r="G59" s="109">
        <v>9.52</v>
      </c>
      <c r="H59" s="107">
        <f>IF(ISNUMBER(G59), (G59 - $B59) / $B59, "")</f>
        <v>-5.7425742574257435E-2</v>
      </c>
      <c r="I59" s="110">
        <f>IF(ISNUMBER(G59), $B64 * H59, "")</f>
        <v>-5742.5742574257438</v>
      </c>
      <c r="J59" s="106">
        <v>9.2799999999999994</v>
      </c>
      <c r="K59" s="107">
        <f>IF(ISNUMBER(J59), (J59 - $B59) / $B59, "")</f>
        <v>-8.1188118811881219E-2</v>
      </c>
      <c r="L59" s="108">
        <f>IF(ISNUMBER(J59), $B64 * K59, "")</f>
        <v>-8118.8118811881222</v>
      </c>
      <c r="M59" s="109">
        <v>9.1199999999999992</v>
      </c>
      <c r="N59" s="107">
        <f>IF(ISNUMBER(M59), (M59 - $B59) / $B59, "")</f>
        <v>-9.7029702970297074E-2</v>
      </c>
      <c r="O59" s="108">
        <f>IF(ISNUMBER(M59), $B64 * N59, "")</f>
        <v>-9702.9702970297076</v>
      </c>
      <c r="Q59" s="223"/>
      <c r="R59" s="223"/>
      <c r="S59" s="223"/>
    </row>
    <row r="60" spans="1:19" ht="17.25" customHeight="1" thickBot="1">
      <c r="A60" s="162" t="s">
        <v>196</v>
      </c>
      <c r="B60" s="126">
        <v>11.2</v>
      </c>
      <c r="C60" s="77">
        <v>9.0090090000000001E-3</v>
      </c>
      <c r="D60" s="15">
        <v>12.1</v>
      </c>
      <c r="E60" s="32">
        <f t="shared" ref="E60:E63" si="26">IF(ISNUMBER(D60), (D60 - $B60) / $B60, "")</f>
        <v>8.0357142857142891E-2</v>
      </c>
      <c r="F60" s="18">
        <f>IF(ISNUMBER(D60), $B64 * E60, "")</f>
        <v>8035.714285714289</v>
      </c>
      <c r="G60" s="31">
        <v>10.7</v>
      </c>
      <c r="H60" s="32">
        <f t="shared" ref="H60:H63" si="27">IF(ISNUMBER(G60), (G60 - $B60) / $B60, "")</f>
        <v>-4.4642857142857144E-2</v>
      </c>
      <c r="I60" s="101">
        <f>IF(ISNUMBER(G60), $B64 * H60, "")</f>
        <v>-4464.2857142857147</v>
      </c>
      <c r="J60" s="15">
        <v>10.3</v>
      </c>
      <c r="K60" s="32">
        <f t="shared" ref="K60:K63" si="28">IF(ISNUMBER(J60), (J60 - $B60) / $B60, "")</f>
        <v>-8.0357142857142738E-2</v>
      </c>
      <c r="L60" s="18">
        <f>IF(ISNUMBER(J60), $B64 * K60, "")</f>
        <v>-8035.7142857142735</v>
      </c>
      <c r="M60" s="31">
        <v>10.3</v>
      </c>
      <c r="N60" s="32">
        <f t="shared" ref="N60:N63" si="29">IF(ISNUMBER(M60), (M60 - $B60) / $B60, "")</f>
        <v>-8.0357142857142738E-2</v>
      </c>
      <c r="O60" s="18">
        <f>IF(ISNUMBER(M60), $B64 * N60, "")</f>
        <v>-8035.7142857142735</v>
      </c>
      <c r="Q60" s="223"/>
      <c r="R60" s="223"/>
      <c r="S60" s="223"/>
    </row>
    <row r="61" spans="1:19" ht="17.25" customHeight="1" thickBot="1">
      <c r="A61" s="162" t="s">
        <v>236</v>
      </c>
      <c r="B61" s="126">
        <v>53.7</v>
      </c>
      <c r="C61" s="77">
        <v>3.7383178E-3</v>
      </c>
      <c r="D61" s="15">
        <v>61.9</v>
      </c>
      <c r="E61" s="32">
        <f t="shared" si="26"/>
        <v>0.15270018621973921</v>
      </c>
      <c r="F61" s="18">
        <f>IF(ISNUMBER(D61), $B64 * E61, "")</f>
        <v>15270.018621973921</v>
      </c>
      <c r="G61" s="31">
        <v>31.9</v>
      </c>
      <c r="H61" s="32">
        <f t="shared" si="27"/>
        <v>-0.40595903165735575</v>
      </c>
      <c r="I61" s="101">
        <f>IF(ISNUMBER(G61), $B64 * H61, "")</f>
        <v>-40595.903165735574</v>
      </c>
      <c r="J61" s="15">
        <v>30.6</v>
      </c>
      <c r="K61" s="32">
        <f t="shared" si="28"/>
        <v>-0.43016759776536312</v>
      </c>
      <c r="L61" s="18">
        <f>IF(ISNUMBER(J61), $B64 * K61, "")</f>
        <v>-43016.75977653631</v>
      </c>
      <c r="M61" s="31">
        <v>31.1</v>
      </c>
      <c r="N61" s="32">
        <f t="shared" si="29"/>
        <v>-0.42085661080074488</v>
      </c>
      <c r="O61" s="18">
        <f>IF(ISNUMBER(M61), $B64 * N61, "")</f>
        <v>-42085.661080074489</v>
      </c>
      <c r="Q61" s="223"/>
      <c r="R61" s="223"/>
      <c r="S61" s="223"/>
    </row>
    <row r="62" spans="1:19" ht="17.25" customHeight="1">
      <c r="A62" s="162" t="s">
        <v>126</v>
      </c>
      <c r="B62" s="126">
        <v>27</v>
      </c>
      <c r="C62" s="77">
        <v>3.7174720999999999E-3</v>
      </c>
      <c r="D62" s="15">
        <v>31.4</v>
      </c>
      <c r="E62" s="32">
        <f t="shared" si="26"/>
        <v>0.16296296296296292</v>
      </c>
      <c r="F62" s="18">
        <f>IF(ISNUMBER(D62), $B64 * E62, "")</f>
        <v>16296.296296296292</v>
      </c>
      <c r="G62" s="31">
        <v>28.8</v>
      </c>
      <c r="H62" s="32">
        <f t="shared" si="27"/>
        <v>6.6666666666666693E-2</v>
      </c>
      <c r="I62" s="101">
        <f>IF(ISNUMBER(G62), $B64 * H62, "")</f>
        <v>6666.6666666666697</v>
      </c>
      <c r="J62" s="15">
        <v>28.5</v>
      </c>
      <c r="K62" s="32">
        <f t="shared" si="28"/>
        <v>5.5555555555555552E-2</v>
      </c>
      <c r="L62" s="18">
        <f>IF(ISNUMBER(J62), $B64 * K62, "")</f>
        <v>5555.5555555555557</v>
      </c>
      <c r="M62" s="31">
        <v>27.2</v>
      </c>
      <c r="N62" s="32">
        <f t="shared" si="29"/>
        <v>7.4074074074073808E-3</v>
      </c>
      <c r="O62" s="18">
        <f>IF(ISNUMBER(M62), $B64 * N62, "")</f>
        <v>740.74074074073803</v>
      </c>
      <c r="Q62" s="212"/>
      <c r="R62" s="213"/>
      <c r="S62" s="214"/>
    </row>
    <row r="63" spans="1:19" ht="17.25" customHeight="1" thickBot="1">
      <c r="A63" s="130" t="s">
        <v>152</v>
      </c>
      <c r="B63" s="131">
        <v>19.3</v>
      </c>
      <c r="C63" s="79">
        <v>-5.1546392E-3</v>
      </c>
      <c r="D63" s="24">
        <v>19.399999999999999</v>
      </c>
      <c r="E63" s="25">
        <f t="shared" si="26"/>
        <v>5.1813471502589565E-3</v>
      </c>
      <c r="F63" s="104">
        <f>IF(ISNUMBER(D63), $B64 * E63, "")</f>
        <v>518.13471502589562</v>
      </c>
      <c r="G63" s="102">
        <v>18.8</v>
      </c>
      <c r="H63" s="25">
        <f t="shared" si="27"/>
        <v>-2.5906735751295335E-2</v>
      </c>
      <c r="I63" s="103">
        <f>IF(ISNUMBER(G63), $B64 * H63, "")</f>
        <v>-2590.6735751295337</v>
      </c>
      <c r="J63" s="24">
        <v>18.5</v>
      </c>
      <c r="K63" s="25">
        <f t="shared" si="28"/>
        <v>-4.1450777202072575E-2</v>
      </c>
      <c r="L63" s="104">
        <f>IF(ISNUMBER(J63), $B64 * K63, "")</f>
        <v>-4145.0777202072577</v>
      </c>
      <c r="M63" s="102">
        <v>18.3</v>
      </c>
      <c r="N63" s="25">
        <f t="shared" si="29"/>
        <v>-5.181347150259067E-2</v>
      </c>
      <c r="O63" s="104">
        <f>IF(ISNUMBER(M63), $B64 * N63, "")</f>
        <v>-5181.3471502590673</v>
      </c>
      <c r="Q63" s="215"/>
      <c r="R63" s="216"/>
      <c r="S63" s="217"/>
    </row>
    <row r="64" spans="1:19" ht="17.25" customHeight="1" thickBot="1">
      <c r="A64" s="132" t="s">
        <v>300</v>
      </c>
      <c r="B64" s="276">
        <f>$B$37</f>
        <v>100000</v>
      </c>
      <c r="C64" s="277"/>
      <c r="D64" s="26" t="s">
        <v>301</v>
      </c>
      <c r="E64" s="27">
        <f>IF(COUNT(E44:E63), SUM(E44:E63) / COUNT(E44:E63), 0)</f>
        <v>0.10382591359120666</v>
      </c>
      <c r="F64" s="28">
        <f>SUM(F44:F63)</f>
        <v>207651.82718241334</v>
      </c>
      <c r="G64" s="26" t="s">
        <v>301</v>
      </c>
      <c r="H64" s="27">
        <f>IF(COUNT(H44:H63), SUM(H44:H63) / COUNT(H44:H63), 0)</f>
        <v>-0.10674166389268595</v>
      </c>
      <c r="I64" s="28">
        <f>SUM(I44:I63)</f>
        <v>-213483.32778537189</v>
      </c>
      <c r="J64" s="26" t="s">
        <v>301</v>
      </c>
      <c r="K64" s="27">
        <f>IF(COUNT(K44:K63), SUM(K44:K63) / COUNT(K44:K63), 0)</f>
        <v>-0.1293058415143073</v>
      </c>
      <c r="L64" s="28">
        <f>SUM(L44:L63)</f>
        <v>-258611.68302861459</v>
      </c>
      <c r="M64" s="26" t="s">
        <v>301</v>
      </c>
      <c r="N64" s="27">
        <f>IF(COUNT(N44:N63), SUM(N44:N63) / COUNT(N44:N63), 0)</f>
        <v>-0.13806992503164922</v>
      </c>
      <c r="O64" s="28">
        <f>SUM(O44:O63)</f>
        <v>-276139.85006329842</v>
      </c>
      <c r="Q64" s="218"/>
      <c r="R64" s="219"/>
      <c r="S64" s="220"/>
    </row>
    <row r="65" spans="1:19" ht="17.25" customHeight="1"/>
    <row r="66" spans="1:19" ht="17.25" customHeight="1" thickBot="1"/>
    <row r="67" spans="1:19" ht="17.25" thickBot="1">
      <c r="A67" s="234" t="s">
        <v>45</v>
      </c>
      <c r="B67" s="235"/>
      <c r="C67" s="235"/>
      <c r="D67" s="235"/>
      <c r="E67" s="235"/>
      <c r="F67" s="235"/>
      <c r="G67" s="235"/>
      <c r="H67" s="235"/>
      <c r="I67" s="235"/>
      <c r="J67" s="235"/>
      <c r="K67" s="235"/>
      <c r="L67" s="235"/>
      <c r="M67" s="235"/>
      <c r="N67" s="235"/>
      <c r="O67" s="236"/>
      <c r="Q67" s="233"/>
      <c r="R67" s="233"/>
      <c r="S67" s="233"/>
    </row>
    <row r="68" spans="1:19" ht="17.25" thickBot="1">
      <c r="A68" s="200" t="s">
        <v>297</v>
      </c>
      <c r="B68" s="234" t="s">
        <v>49</v>
      </c>
      <c r="C68" s="236"/>
      <c r="D68" s="234" t="s">
        <v>58</v>
      </c>
      <c r="E68" s="235"/>
      <c r="F68" s="236"/>
      <c r="G68" s="237">
        <f>_xlfn.IFNA(VLOOKUP(B68, 현재가테이블!$B$2:$D$200, 2, FALSE), "-")</f>
        <v>41418000</v>
      </c>
      <c r="H68" s="238"/>
      <c r="I68" s="239"/>
      <c r="J68" s="234" t="s">
        <v>59</v>
      </c>
      <c r="K68" s="235"/>
      <c r="L68" s="236"/>
      <c r="M68" s="240">
        <f>_xlfn.IFNA(VLOOKUP(B68, 현재가테이블!$B$2:$D$200, 3, FALSE), "-")</f>
        <v>-5.2176301000000001E-2</v>
      </c>
      <c r="N68" s="241"/>
      <c r="O68" s="242"/>
      <c r="Q68" s="233"/>
      <c r="R68" s="233"/>
      <c r="S68" s="233"/>
    </row>
    <row r="69" spans="1:19" ht="17.25" thickBot="1">
      <c r="A69" s="278" t="s">
        <v>55</v>
      </c>
      <c r="B69" s="274" t="str">
        <f>TEXT($G$1, "[$-ko-KR]yyyy-mm-dd(ddd) ") &amp; "오전 00:00"</f>
        <v>2021-06-11(금) 오전 00:00</v>
      </c>
      <c r="C69" s="275"/>
      <c r="D69" s="247" t="str">
        <f>TEXT($G$1, "[$-ko-KR]yyyy-mm-dd(ddd) ") &amp; "오후 14:00"</f>
        <v>2021-06-11(금) 오후 14:00</v>
      </c>
      <c r="E69" s="248"/>
      <c r="F69" s="249"/>
      <c r="G69" s="247" t="str">
        <f>TEXT($G$1, "[$-ko-KR]yyyy-mm-dd(ddd) ") &amp; "오후 19:00"</f>
        <v>2021-06-11(금) 오후 19:00</v>
      </c>
      <c r="H69" s="248"/>
      <c r="I69" s="249"/>
      <c r="J69" s="247" t="str">
        <f>TEXT($G$1, "[$-ko-KR]yyyy-mm-dd(ddd) ") &amp; "오후 21:00"</f>
        <v>2021-06-11(금) 오후 21:00</v>
      </c>
      <c r="K69" s="248"/>
      <c r="L69" s="249"/>
      <c r="M69" s="247" t="str">
        <f>TEXT($G$1+1, "[$-ko-KR]yyyy-mm-dd(ddd) ") &amp; "오전 00:00"</f>
        <v>2021-06-12(토) 오전 00:00</v>
      </c>
      <c r="N69" s="248"/>
      <c r="O69" s="249"/>
      <c r="Q69" s="233"/>
      <c r="R69" s="233"/>
      <c r="S69" s="233"/>
    </row>
    <row r="70" spans="1:19" ht="17.25" thickBot="1">
      <c r="A70" s="279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1" t="s">
        <v>58</v>
      </c>
      <c r="H70" s="202" t="s">
        <v>298</v>
      </c>
      <c r="I70" s="20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3"/>
      <c r="R70" s="223"/>
      <c r="S70" s="223"/>
    </row>
    <row r="71" spans="1:19" ht="17.25" thickBot="1">
      <c r="A71" s="161" t="s">
        <v>216</v>
      </c>
      <c r="B71" s="124">
        <v>283</v>
      </c>
      <c r="C71" s="76">
        <v>8.4291187700000006E-2</v>
      </c>
      <c r="D71" s="13">
        <v>270</v>
      </c>
      <c r="E71" s="14">
        <f>IF(ISNUMBER(D71), (D71 - $B71) / $B71, "")</f>
        <v>-4.5936395759717315E-2</v>
      </c>
      <c r="F71" s="16">
        <f>IF(ISNUMBER(D71), $B91 * E71, "")</f>
        <v>-4593.6395759717316</v>
      </c>
      <c r="G71" s="29">
        <v>260</v>
      </c>
      <c r="H71" s="14">
        <f>IF(ISNUMBER(G71), (G71 - $B71) / $B71, "")</f>
        <v>-8.1272084805653705E-2</v>
      </c>
      <c r="I71" s="100">
        <f>IF(ISNUMBER(G71), $B91 * H71, "")</f>
        <v>-8127.2084805653703</v>
      </c>
      <c r="J71" s="13">
        <v>259</v>
      </c>
      <c r="K71" s="14">
        <f>IF(ISNUMBER(J71), (J71 - $B71) / $B71, "")</f>
        <v>-8.4805653710247356E-2</v>
      </c>
      <c r="L71" s="16">
        <f>IF(ISNUMBER(J71), $B91 * K71, "")</f>
        <v>-8480.5653710247352</v>
      </c>
      <c r="M71" s="29">
        <v>256</v>
      </c>
      <c r="N71" s="14">
        <f>IF(ISNUMBER(M71), (M71 - $B71) / $B71, "")</f>
        <v>-9.5406360424028266E-2</v>
      </c>
      <c r="O71" s="16">
        <f>IF(ISNUMBER(M71), $B91 * N71, "")</f>
        <v>-9540.6360424028262</v>
      </c>
      <c r="Q71" s="233"/>
      <c r="R71" s="233"/>
      <c r="S71" s="233"/>
    </row>
    <row r="72" spans="1:19" ht="17.25" thickBot="1">
      <c r="A72" s="162" t="s">
        <v>250</v>
      </c>
      <c r="B72" s="126">
        <v>121</v>
      </c>
      <c r="C72" s="77">
        <v>5.2173913000000002E-2</v>
      </c>
      <c r="D72" s="15">
        <v>121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73</v>
      </c>
      <c r="H72" s="32">
        <f t="shared" ref="H72:H75" si="31">IF(ISNUMBER(G72), (G72 - $B72) / $B72, "")</f>
        <v>-0.39669421487603307</v>
      </c>
      <c r="I72" s="101">
        <f>IF(ISNUMBER(G72), $B91 * H72, "")</f>
        <v>-39669.421487603307</v>
      </c>
      <c r="J72" s="15">
        <v>70.900000000000006</v>
      </c>
      <c r="K72" s="32">
        <f t="shared" ref="K72:K75" si="32">IF(ISNUMBER(J72), (J72 - $B72) / $B72, "")</f>
        <v>-0.41404958677685944</v>
      </c>
      <c r="L72" s="18">
        <f>IF(ISNUMBER(J72), $B91 * K72, "")</f>
        <v>-41404.958677685943</v>
      </c>
      <c r="M72" s="31">
        <v>73.400000000000006</v>
      </c>
      <c r="N72" s="32">
        <f t="shared" ref="N72:N75" si="33">IF(ISNUMBER(M72), (M72 - $B72) / $B72, "")</f>
        <v>-0.39338842975206606</v>
      </c>
      <c r="O72" s="18">
        <f>IF(ISNUMBER(M72), $B91 * N72, "")</f>
        <v>-39338.842975206608</v>
      </c>
      <c r="Q72" s="233"/>
      <c r="R72" s="233"/>
      <c r="S72" s="233"/>
    </row>
    <row r="73" spans="1:19" ht="17.25" thickBot="1">
      <c r="A73" s="162" t="s">
        <v>200</v>
      </c>
      <c r="B73" s="126">
        <v>198</v>
      </c>
      <c r="C73" s="77">
        <v>2.59067358E-2</v>
      </c>
      <c r="D73" s="15">
        <v>206</v>
      </c>
      <c r="E73" s="32">
        <f t="shared" si="30"/>
        <v>4.0404040404040407E-2</v>
      </c>
      <c r="F73" s="18">
        <f>IF(ISNUMBER(D73), $B91 * E73, "")</f>
        <v>4040.4040404040406</v>
      </c>
      <c r="G73" s="31">
        <v>184</v>
      </c>
      <c r="H73" s="32">
        <f t="shared" si="31"/>
        <v>-7.0707070707070704E-2</v>
      </c>
      <c r="I73" s="101">
        <f>IF(ISNUMBER(G73), $B91 * H73, "")</f>
        <v>-7070.7070707070707</v>
      </c>
      <c r="J73" s="15">
        <v>175</v>
      </c>
      <c r="K73" s="32">
        <f t="shared" si="32"/>
        <v>-0.11616161616161616</v>
      </c>
      <c r="L73" s="18">
        <f>IF(ISNUMBER(J73), $B91 * K73, "")</f>
        <v>-11616.161616161617</v>
      </c>
      <c r="M73" s="31">
        <v>173</v>
      </c>
      <c r="N73" s="32">
        <f t="shared" si="33"/>
        <v>-0.12626262626262627</v>
      </c>
      <c r="O73" s="18">
        <f>IF(ISNUMBER(M73), $B91 * N73, "")</f>
        <v>-12626.262626262627</v>
      </c>
      <c r="Q73" s="223"/>
      <c r="R73" s="223"/>
      <c r="S73" s="223"/>
    </row>
    <row r="74" spans="1:19" ht="17.25" thickBot="1">
      <c r="A74" s="162" t="s">
        <v>282</v>
      </c>
      <c r="B74" s="126">
        <v>111</v>
      </c>
      <c r="C74" s="77">
        <v>1.83486239E-2</v>
      </c>
      <c r="D74" s="15">
        <v>118</v>
      </c>
      <c r="E74" s="32">
        <f t="shared" si="30"/>
        <v>6.3063063063063057E-2</v>
      </c>
      <c r="F74" s="18">
        <f>IF(ISNUMBER(D74), $B91 * E74, "")</f>
        <v>6306.3063063063055</v>
      </c>
      <c r="G74" s="31">
        <v>69.3</v>
      </c>
      <c r="H74" s="32">
        <f t="shared" si="31"/>
        <v>-0.37567567567567572</v>
      </c>
      <c r="I74" s="101">
        <f>IF(ISNUMBER(G74), $B91 * H74, "")</f>
        <v>-37567.567567567574</v>
      </c>
      <c r="J74" s="15">
        <v>67.2</v>
      </c>
      <c r="K74" s="32">
        <f t="shared" si="32"/>
        <v>-0.39459459459459456</v>
      </c>
      <c r="L74" s="18">
        <f>IF(ISNUMBER(J74), $B91 * K74, "")</f>
        <v>-39459.459459459453</v>
      </c>
      <c r="M74" s="31">
        <v>72.5</v>
      </c>
      <c r="N74" s="32">
        <f t="shared" si="33"/>
        <v>-0.34684684684684686</v>
      </c>
      <c r="O74" s="18">
        <f>IF(ISNUMBER(M74), $B91 * N74, "")</f>
        <v>-34684.684684684689</v>
      </c>
      <c r="Q74" s="223"/>
      <c r="R74" s="223"/>
      <c r="S74" s="223"/>
    </row>
    <row r="75" spans="1:19" ht="17.25" thickBot="1">
      <c r="A75" s="163" t="s">
        <v>174</v>
      </c>
      <c r="B75" s="128">
        <v>163</v>
      </c>
      <c r="C75" s="78">
        <v>6.1728395E-3</v>
      </c>
      <c r="D75" s="20">
        <v>173</v>
      </c>
      <c r="E75" s="21">
        <f t="shared" si="30"/>
        <v>6.1349693251533742E-2</v>
      </c>
      <c r="F75" s="22">
        <f>IF(ISNUMBER(D75), $B91 * E75, "")</f>
        <v>6134.9693251533745</v>
      </c>
      <c r="G75" s="30">
        <v>151</v>
      </c>
      <c r="H75" s="21">
        <f t="shared" si="31"/>
        <v>-7.3619631901840496E-2</v>
      </c>
      <c r="I75" s="105">
        <f>IF(ISNUMBER(G75), $B91 * H75, "")</f>
        <v>-7361.9631901840494</v>
      </c>
      <c r="J75" s="20">
        <v>140</v>
      </c>
      <c r="K75" s="21">
        <f t="shared" si="32"/>
        <v>-0.1411042944785276</v>
      </c>
      <c r="L75" s="22">
        <f>IF(ISNUMBER(J75), $B91 * K75, "")</f>
        <v>-14110.429447852759</v>
      </c>
      <c r="M75" s="30">
        <v>142</v>
      </c>
      <c r="N75" s="21">
        <f t="shared" si="33"/>
        <v>-0.12883435582822086</v>
      </c>
      <c r="O75" s="22">
        <f>IF(ISNUMBER(M75), $B91 * N75, "")</f>
        <v>-12883.435582822087</v>
      </c>
      <c r="Q75" s="223"/>
      <c r="R75" s="223"/>
      <c r="S75" s="223"/>
    </row>
    <row r="76" spans="1:19" ht="17.25" thickBot="1">
      <c r="A76" s="162" t="s">
        <v>284</v>
      </c>
      <c r="B76" s="129">
        <v>233</v>
      </c>
      <c r="C76" s="80">
        <v>4.3103448000000001E-3</v>
      </c>
      <c r="D76" s="106">
        <v>245</v>
      </c>
      <c r="E76" s="107">
        <f>IF(ISNUMBER(D76), (D76 - $B76) / $B76, "")</f>
        <v>5.1502145922746781E-2</v>
      </c>
      <c r="F76" s="108">
        <f>IF(ISNUMBER(D76), $B91 * E76, "")</f>
        <v>5150.2145922746777</v>
      </c>
      <c r="G76" s="109">
        <v>225</v>
      </c>
      <c r="H76" s="107">
        <f>IF(ISNUMBER(G76), (G76 - $B76) / $B76, "")</f>
        <v>-3.4334763948497854E-2</v>
      </c>
      <c r="I76" s="110">
        <f>IF(ISNUMBER(G76), $B91 * H76, "")</f>
        <v>-3433.4763948497853</v>
      </c>
      <c r="J76" s="106">
        <v>220</v>
      </c>
      <c r="K76" s="107">
        <f>IF(ISNUMBER(J76), (J76 - $B76) / $B76, "")</f>
        <v>-5.5793991416309016E-2</v>
      </c>
      <c r="L76" s="108">
        <f>IF(ISNUMBER(J76), $B91 * K76, "")</f>
        <v>-5579.3991416309018</v>
      </c>
      <c r="M76" s="109">
        <v>217</v>
      </c>
      <c r="N76" s="107">
        <f>IF(ISNUMBER(M76), (M76 - $B76) / $B76, "")</f>
        <v>-6.8669527896995708E-2</v>
      </c>
      <c r="O76" s="108">
        <f>IF(ISNUMBER(M76), $B91 * N76, "")</f>
        <v>-6866.9527896995705</v>
      </c>
      <c r="Q76" s="223"/>
      <c r="R76" s="223"/>
      <c r="S76" s="223"/>
    </row>
    <row r="77" spans="1:19" ht="17.25" thickBot="1">
      <c r="A77" s="162" t="s">
        <v>232</v>
      </c>
      <c r="B77" s="126">
        <v>110</v>
      </c>
      <c r="C77" s="77">
        <v>0</v>
      </c>
      <c r="D77" s="15">
        <v>115</v>
      </c>
      <c r="E77" s="32">
        <f t="shared" ref="E77:E80" si="34">IF(ISNUMBER(D77), (D77 - $B77) / $B77, "")</f>
        <v>4.5454545454545456E-2</v>
      </c>
      <c r="F77" s="18">
        <f>IF(ISNUMBER(D77), $B91 * E77, "")</f>
        <v>4545.454545454546</v>
      </c>
      <c r="G77" s="31">
        <v>106</v>
      </c>
      <c r="H77" s="32">
        <f t="shared" ref="H77:H80" si="35">IF(ISNUMBER(G77), (G77 - $B77) / $B77, "")</f>
        <v>-3.6363636363636362E-2</v>
      </c>
      <c r="I77" s="101">
        <f>IF(ISNUMBER(G77), $B91 * H77, "")</f>
        <v>-3636.363636363636</v>
      </c>
      <c r="J77" s="15">
        <v>104</v>
      </c>
      <c r="K77" s="32">
        <f t="shared" ref="K77:K80" si="36">IF(ISNUMBER(J77), (J77 - $B77) / $B77, "")</f>
        <v>-5.4545454545454543E-2</v>
      </c>
      <c r="L77" s="18">
        <f>IF(ISNUMBER(J77), $B91 * K77, "")</f>
        <v>-5454.545454545454</v>
      </c>
      <c r="M77" s="31">
        <v>102</v>
      </c>
      <c r="N77" s="32">
        <f t="shared" ref="N77:N80" si="37">IF(ISNUMBER(M77), (M77 - $B77) / $B77, "")</f>
        <v>-7.2727272727272724E-2</v>
      </c>
      <c r="O77" s="18">
        <f>IF(ISNUMBER(M77), $B91 * N77, "")</f>
        <v>-7272.7272727272721</v>
      </c>
      <c r="Q77" s="223"/>
      <c r="R77" s="223"/>
      <c r="S77" s="223"/>
    </row>
    <row r="78" spans="1:19" ht="17.25" thickBot="1">
      <c r="A78" s="162" t="s">
        <v>238</v>
      </c>
      <c r="B78" s="126">
        <v>169</v>
      </c>
      <c r="C78" s="77">
        <v>0</v>
      </c>
      <c r="D78" s="15">
        <v>185</v>
      </c>
      <c r="E78" s="32">
        <f t="shared" si="34"/>
        <v>9.4674556213017749E-2</v>
      </c>
      <c r="F78" s="18">
        <f>IF(ISNUMBER(D78), $B91 * E78, "")</f>
        <v>9467.455621301775</v>
      </c>
      <c r="G78" s="31">
        <v>107</v>
      </c>
      <c r="H78" s="32">
        <f t="shared" si="35"/>
        <v>-0.36686390532544377</v>
      </c>
      <c r="I78" s="101">
        <f>IF(ISNUMBER(G78), $B91 * H78, "")</f>
        <v>-36686.390532544377</v>
      </c>
      <c r="J78" s="15">
        <v>106</v>
      </c>
      <c r="K78" s="32">
        <f t="shared" si="36"/>
        <v>-0.37278106508875741</v>
      </c>
      <c r="L78" s="18">
        <f>IF(ISNUMBER(J78), $B91 * K78, "")</f>
        <v>-37278.106508875739</v>
      </c>
      <c r="M78" s="31">
        <v>111</v>
      </c>
      <c r="N78" s="32">
        <f t="shared" si="37"/>
        <v>-0.34319526627218933</v>
      </c>
      <c r="O78" s="18">
        <f>IF(ISNUMBER(M78), $B91 * N78, "")</f>
        <v>-34319.526627218933</v>
      </c>
      <c r="Q78" s="223"/>
      <c r="R78" s="223"/>
      <c r="S78" s="223"/>
    </row>
    <row r="79" spans="1:19" ht="17.25" thickBot="1">
      <c r="A79" s="162" t="s">
        <v>202</v>
      </c>
      <c r="B79" s="126">
        <v>112</v>
      </c>
      <c r="C79" s="77">
        <v>0</v>
      </c>
      <c r="D79" s="15">
        <v>121</v>
      </c>
      <c r="E79" s="32">
        <f t="shared" si="34"/>
        <v>8.0357142857142863E-2</v>
      </c>
      <c r="F79" s="18">
        <f>IF(ISNUMBER(D79), $B91 * E79, "")</f>
        <v>8035.7142857142862</v>
      </c>
      <c r="G79" s="31">
        <v>110</v>
      </c>
      <c r="H79" s="32">
        <f t="shared" si="35"/>
        <v>-1.7857142857142856E-2</v>
      </c>
      <c r="I79" s="101">
        <f>IF(ISNUMBER(G79), $B91 * H79, "")</f>
        <v>-1785.7142857142856</v>
      </c>
      <c r="J79" s="15">
        <v>107</v>
      </c>
      <c r="K79" s="32">
        <f t="shared" si="36"/>
        <v>-4.4642857142857144E-2</v>
      </c>
      <c r="L79" s="18">
        <f>IF(ISNUMBER(J79), $B91 * K79, "")</f>
        <v>-4464.2857142857147</v>
      </c>
      <c r="M79" s="31">
        <v>105</v>
      </c>
      <c r="N79" s="32">
        <f t="shared" si="37"/>
        <v>-6.25E-2</v>
      </c>
      <c r="O79" s="18">
        <f>IF(ISNUMBER(M79), $B91 * N79, "")</f>
        <v>-6250</v>
      </c>
      <c r="Q79" s="33"/>
      <c r="R79" s="33"/>
    </row>
    <row r="80" spans="1:19" ht="17.25" thickBot="1">
      <c r="A80" s="130" t="s">
        <v>210</v>
      </c>
      <c r="B80" s="131">
        <v>120</v>
      </c>
      <c r="C80" s="79">
        <v>0</v>
      </c>
      <c r="D80" s="24">
        <v>128</v>
      </c>
      <c r="E80" s="25">
        <f t="shared" si="34"/>
        <v>6.6666666666666666E-2</v>
      </c>
      <c r="F80" s="104">
        <f>IF(ISNUMBER(D80), $B91 * E80, "")</f>
        <v>6666.666666666667</v>
      </c>
      <c r="G80" s="102">
        <v>111</v>
      </c>
      <c r="H80" s="25">
        <f t="shared" si="35"/>
        <v>-7.4999999999999997E-2</v>
      </c>
      <c r="I80" s="103">
        <f>IF(ISNUMBER(G80), $B91 * H80, "")</f>
        <v>-7500</v>
      </c>
      <c r="J80" s="24">
        <v>106</v>
      </c>
      <c r="K80" s="25">
        <f t="shared" si="36"/>
        <v>-0.11666666666666667</v>
      </c>
      <c r="L80" s="104">
        <f>IF(ISNUMBER(J80), $B91 * K80, "")</f>
        <v>-11666.666666666666</v>
      </c>
      <c r="M80" s="102">
        <v>105</v>
      </c>
      <c r="N80" s="25">
        <f t="shared" si="37"/>
        <v>-0.125</v>
      </c>
      <c r="O80" s="104">
        <f>IF(ISNUMBER(M80), $B91 * N80, "")</f>
        <v>-12500</v>
      </c>
      <c r="Q80" s="224"/>
      <c r="R80" s="225"/>
      <c r="S80" s="226"/>
    </row>
    <row r="81" spans="1:19">
      <c r="A81" s="161" t="s">
        <v>116</v>
      </c>
      <c r="B81" s="124">
        <v>338</v>
      </c>
      <c r="C81" s="76">
        <v>0</v>
      </c>
      <c r="D81" s="13">
        <v>340</v>
      </c>
      <c r="E81" s="14">
        <f>IF(ISNUMBER(D81), (D81 - $B81) / $B81, "")</f>
        <v>5.9171597633136093E-3</v>
      </c>
      <c r="F81" s="16">
        <f>IF(ISNUMBER(D81), $B91 * E81, "")</f>
        <v>591.71597633136093</v>
      </c>
      <c r="G81" s="29">
        <v>376</v>
      </c>
      <c r="H81" s="14">
        <f>IF(ISNUMBER(G81), (G81 - $B81) / $B81, "")</f>
        <v>0.11242603550295859</v>
      </c>
      <c r="I81" s="100">
        <f>IF(ISNUMBER(G81), $B91 * H81, "")</f>
        <v>11242.603550295858</v>
      </c>
      <c r="J81" s="13">
        <v>390</v>
      </c>
      <c r="K81" s="14">
        <f>IF(ISNUMBER(J81), (J81 - $B81) / $B81, "")</f>
        <v>0.15384615384615385</v>
      </c>
      <c r="L81" s="16">
        <f>IF(ISNUMBER(J81), $B91 * K81, "")</f>
        <v>15384.615384615385</v>
      </c>
      <c r="M81" s="29">
        <v>374</v>
      </c>
      <c r="N81" s="14">
        <f>IF(ISNUMBER(M81), (M81 - $B81) / $B81, "")</f>
        <v>0.10650887573964497</v>
      </c>
      <c r="O81" s="16">
        <f>IF(ISNUMBER(M81), $B91 * N81, "")</f>
        <v>10650.887573964497</v>
      </c>
      <c r="Q81" s="227"/>
      <c r="R81" s="228"/>
      <c r="S81" s="229"/>
    </row>
    <row r="82" spans="1:19" ht="17.25" thickBot="1">
      <c r="A82" s="162" t="s">
        <v>230</v>
      </c>
      <c r="B82" s="126">
        <v>111</v>
      </c>
      <c r="C82" s="77">
        <v>0</v>
      </c>
      <c r="D82" s="15">
        <v>120</v>
      </c>
      <c r="E82" s="32">
        <f t="shared" ref="E82:E85" si="38">IF(ISNUMBER(D82), (D82 - $B82) / $B82, "")</f>
        <v>8.1081081081081086E-2</v>
      </c>
      <c r="F82" s="18">
        <f>IF(ISNUMBER(D82), $B91 * E82, "")</f>
        <v>8108.1081081081084</v>
      </c>
      <c r="G82" s="31">
        <v>106</v>
      </c>
      <c r="H82" s="32">
        <f t="shared" ref="H82:H85" si="39">IF(ISNUMBER(G82), (G82 - $B82) / $B82, "")</f>
        <v>-4.5045045045045043E-2</v>
      </c>
      <c r="I82" s="101">
        <f>IF(ISNUMBER(G82), $B91 * H82, "")</f>
        <v>-4504.5045045045044</v>
      </c>
      <c r="J82" s="15">
        <v>103</v>
      </c>
      <c r="K82" s="32">
        <f t="shared" ref="K82:K85" si="40">IF(ISNUMBER(J82), (J82 - $B82) / $B82, "")</f>
        <v>-7.2072072072072071E-2</v>
      </c>
      <c r="L82" s="18">
        <f>IF(ISNUMBER(J82), $B91 * K82, "")</f>
        <v>-7207.2072072072069</v>
      </c>
      <c r="M82" s="31">
        <v>104</v>
      </c>
      <c r="N82" s="32">
        <f t="shared" ref="N82:N85" si="41">IF(ISNUMBER(M82), (M82 - $B82) / $B82, "")</f>
        <v>-6.3063063063063057E-2</v>
      </c>
      <c r="O82" s="18">
        <f>IF(ISNUMBER(M82), $B91 * N82, "")</f>
        <v>-6306.3063063063055</v>
      </c>
      <c r="Q82" s="230"/>
      <c r="R82" s="231"/>
      <c r="S82" s="232"/>
    </row>
    <row r="83" spans="1:19" ht="17.25" thickBot="1">
      <c r="A83" s="162" t="s">
        <v>246</v>
      </c>
      <c r="B83" s="126">
        <v>283</v>
      </c>
      <c r="C83" s="77">
        <v>-3.5211268000000001E-3</v>
      </c>
      <c r="D83" s="15">
        <v>313</v>
      </c>
      <c r="E83" s="32">
        <f t="shared" si="38"/>
        <v>0.10600706713780919</v>
      </c>
      <c r="F83" s="18">
        <f>IF(ISNUMBER(D83), $B91 * E83, "")</f>
        <v>10600.706713780919</v>
      </c>
      <c r="G83" s="31">
        <v>283</v>
      </c>
      <c r="H83" s="32">
        <f t="shared" si="39"/>
        <v>0</v>
      </c>
      <c r="I83" s="101">
        <f>IF(ISNUMBER(G83), $B91 * H83, "")</f>
        <v>0</v>
      </c>
      <c r="J83" s="15">
        <v>264</v>
      </c>
      <c r="K83" s="32">
        <f t="shared" si="40"/>
        <v>-6.7137809187279157E-2</v>
      </c>
      <c r="L83" s="18">
        <f>IF(ISNUMBER(J83), $B91 * K83, "")</f>
        <v>-6713.7809187279154</v>
      </c>
      <c r="M83" s="31">
        <v>255</v>
      </c>
      <c r="N83" s="32">
        <f t="shared" si="41"/>
        <v>-9.8939929328621903E-2</v>
      </c>
      <c r="O83" s="18">
        <f>IF(ISNUMBER(M83), $B91 * N83, "")</f>
        <v>-9893.9929328621911</v>
      </c>
      <c r="Q83" s="223"/>
      <c r="R83" s="223"/>
      <c r="S83" s="223"/>
    </row>
    <row r="84" spans="1:19" ht="17.25" thickBot="1">
      <c r="A84" s="162" t="s">
        <v>208</v>
      </c>
      <c r="B84" s="126">
        <v>280</v>
      </c>
      <c r="C84" s="77">
        <v>-7.0921986000000003E-3</v>
      </c>
      <c r="D84" s="15">
        <v>309</v>
      </c>
      <c r="E84" s="32">
        <f t="shared" si="38"/>
        <v>0.10357142857142858</v>
      </c>
      <c r="F84" s="18">
        <f>IF(ISNUMBER(D84), $B91 * E84, "")</f>
        <v>10357.142857142859</v>
      </c>
      <c r="G84" s="31">
        <v>166</v>
      </c>
      <c r="H84" s="32">
        <f t="shared" si="39"/>
        <v>-0.40714285714285714</v>
      </c>
      <c r="I84" s="101">
        <f>IF(ISNUMBER(G84), $B91 * H84, "")</f>
        <v>-40714.285714285717</v>
      </c>
      <c r="J84" s="15">
        <v>154</v>
      </c>
      <c r="K84" s="32">
        <f t="shared" si="40"/>
        <v>-0.45</v>
      </c>
      <c r="L84" s="18">
        <f>IF(ISNUMBER(J84), $B91 * K84, "")</f>
        <v>-45000</v>
      </c>
      <c r="M84" s="31">
        <v>162</v>
      </c>
      <c r="N84" s="32">
        <f t="shared" si="41"/>
        <v>-0.42142857142857143</v>
      </c>
      <c r="O84" s="18">
        <f>IF(ISNUMBER(M84), $B91 * N84, "")</f>
        <v>-42142.857142857145</v>
      </c>
      <c r="Q84" s="233"/>
      <c r="R84" s="233"/>
      <c r="S84" s="233"/>
    </row>
    <row r="85" spans="1:19" ht="17.25" thickBot="1">
      <c r="A85" s="163" t="s">
        <v>280</v>
      </c>
      <c r="B85" s="128">
        <v>992</v>
      </c>
      <c r="C85" s="78">
        <v>-8.0000000000000002E-3</v>
      </c>
      <c r="D85" s="20">
        <v>1010</v>
      </c>
      <c r="E85" s="21">
        <f t="shared" si="38"/>
        <v>1.8145161290322582E-2</v>
      </c>
      <c r="F85" s="22">
        <f>IF(ISNUMBER(D85), $B91 * E85, "")</f>
        <v>1814.5161290322583</v>
      </c>
      <c r="G85" s="30">
        <v>938</v>
      </c>
      <c r="H85" s="21">
        <f t="shared" si="39"/>
        <v>-5.4435483870967742E-2</v>
      </c>
      <c r="I85" s="105">
        <f>IF(ISNUMBER(G85), $B91 * H85, "")</f>
        <v>-5443.5483870967746</v>
      </c>
      <c r="J85" s="20">
        <v>939</v>
      </c>
      <c r="K85" s="21">
        <f t="shared" si="40"/>
        <v>-5.3427419354838711E-2</v>
      </c>
      <c r="L85" s="22">
        <f>IF(ISNUMBER(J85), $B91 * K85, "")</f>
        <v>-5342.7419354838712</v>
      </c>
      <c r="M85" s="30">
        <v>912</v>
      </c>
      <c r="N85" s="21">
        <f t="shared" si="41"/>
        <v>-8.0645161290322578E-2</v>
      </c>
      <c r="O85" s="22">
        <f>IF(ISNUMBER(M85), $B91 * N85, "")</f>
        <v>-8064.5161290322576</v>
      </c>
      <c r="Q85" s="233"/>
      <c r="R85" s="233"/>
      <c r="S85" s="233"/>
    </row>
    <row r="86" spans="1:19" ht="17.25" thickBot="1">
      <c r="A86" s="162" t="s">
        <v>148</v>
      </c>
      <c r="B86" s="129">
        <v>109</v>
      </c>
      <c r="C86" s="80">
        <v>-9.0909091000000008E-3</v>
      </c>
      <c r="D86" s="106">
        <v>105</v>
      </c>
      <c r="E86" s="107">
        <f>IF(ISNUMBER(D86), (D86 - $B86) / $B86, "")</f>
        <v>-3.669724770642202E-2</v>
      </c>
      <c r="F86" s="108">
        <f>IF(ISNUMBER(D86), $B91 * E86, "")</f>
        <v>-3669.7247706422022</v>
      </c>
      <c r="G86" s="109">
        <v>103</v>
      </c>
      <c r="H86" s="107">
        <f>IF(ISNUMBER(G86), (G86 - $B86) / $B86, "")</f>
        <v>-5.5045871559633031E-2</v>
      </c>
      <c r="I86" s="110">
        <f>IF(ISNUMBER(G86), $B91 * H86, "")</f>
        <v>-5504.5871559633033</v>
      </c>
      <c r="J86" s="106">
        <v>102</v>
      </c>
      <c r="K86" s="107">
        <f>IF(ISNUMBER(J86), (J86 - $B86) / $B86, "")</f>
        <v>-6.4220183486238536E-2</v>
      </c>
      <c r="L86" s="108">
        <f>IF(ISNUMBER(J86), $B91 * K86, "")</f>
        <v>-6422.0183486238539</v>
      </c>
      <c r="M86" s="109">
        <v>102</v>
      </c>
      <c r="N86" s="107">
        <f>IF(ISNUMBER(M86), (M86 - $B86) / $B86, "")</f>
        <v>-6.4220183486238536E-2</v>
      </c>
      <c r="O86" s="108">
        <f>IF(ISNUMBER(M86), $B91 * N86, "")</f>
        <v>-6422.0183486238539</v>
      </c>
      <c r="Q86" s="223"/>
      <c r="R86" s="223"/>
      <c r="S86" s="223"/>
    </row>
    <row r="87" spans="1:19" ht="17.25" thickBot="1">
      <c r="A87" s="162" t="s">
        <v>252</v>
      </c>
      <c r="B87" s="126">
        <v>288</v>
      </c>
      <c r="C87" s="77">
        <v>-1.03092784E-2</v>
      </c>
      <c r="D87" s="15">
        <v>305</v>
      </c>
      <c r="E87" s="32">
        <f t="shared" ref="E87:E90" si="42">IF(ISNUMBER(D87), (D87 - $B87) / $B87, "")</f>
        <v>5.9027777777777776E-2</v>
      </c>
      <c r="F87" s="18">
        <f>IF(ISNUMBER(D87), $B91 * E87, "")</f>
        <v>5902.7777777777774</v>
      </c>
      <c r="G87" s="31">
        <v>173</v>
      </c>
      <c r="H87" s="32">
        <f t="shared" ref="H87:H90" si="43">IF(ISNUMBER(G87), (G87 - $B87) / $B87, "")</f>
        <v>-0.39930555555555558</v>
      </c>
      <c r="I87" s="101">
        <f>IF(ISNUMBER(G87), $B91 * H87, "")</f>
        <v>-39930.555555555555</v>
      </c>
      <c r="J87" s="15">
        <v>167</v>
      </c>
      <c r="K87" s="32">
        <f t="shared" ref="K87:K90" si="44">IF(ISNUMBER(J87), (J87 - $B87) / $B87, "")</f>
        <v>-0.4201388888888889</v>
      </c>
      <c r="L87" s="18">
        <f>IF(ISNUMBER(J87), $B91 * K87, "")</f>
        <v>-42013.888888888891</v>
      </c>
      <c r="M87" s="31">
        <v>168</v>
      </c>
      <c r="N87" s="32">
        <f t="shared" ref="N87:N90" si="45">IF(ISNUMBER(M87), (M87 - $B87) / $B87, "")</f>
        <v>-0.41666666666666669</v>
      </c>
      <c r="O87" s="18">
        <f>IF(ISNUMBER(M87), $B91 * N87, "")</f>
        <v>-41666.666666666672</v>
      </c>
      <c r="Q87" s="223"/>
      <c r="R87" s="223"/>
      <c r="S87" s="223"/>
    </row>
    <row r="88" spans="1:19" ht="17.25" thickBot="1">
      <c r="A88" s="162" t="s">
        <v>182</v>
      </c>
      <c r="B88" s="126">
        <v>274</v>
      </c>
      <c r="C88" s="77">
        <v>-1.08303249E-2</v>
      </c>
      <c r="D88" s="15">
        <v>280</v>
      </c>
      <c r="E88" s="32">
        <f t="shared" si="42"/>
        <v>2.1897810218978103E-2</v>
      </c>
      <c r="F88" s="18">
        <f>IF(ISNUMBER(D88), $B91 * E88, "")</f>
        <v>2189.7810218978102</v>
      </c>
      <c r="G88" s="31">
        <v>268</v>
      </c>
      <c r="H88" s="32">
        <f t="shared" si="43"/>
        <v>-2.1897810218978103E-2</v>
      </c>
      <c r="I88" s="101">
        <f>IF(ISNUMBER(G88), $B91 * H88, "")</f>
        <v>-2189.7810218978102</v>
      </c>
      <c r="J88" s="15">
        <v>260</v>
      </c>
      <c r="K88" s="32">
        <f t="shared" si="44"/>
        <v>-5.1094890510948905E-2</v>
      </c>
      <c r="L88" s="18">
        <f>IF(ISNUMBER(J88), $B91 * K88, "")</f>
        <v>-5109.4890510948908</v>
      </c>
      <c r="M88" s="31">
        <v>259</v>
      </c>
      <c r="N88" s="32">
        <f t="shared" si="45"/>
        <v>-5.4744525547445258E-2</v>
      </c>
      <c r="O88" s="18">
        <f>IF(ISNUMBER(M88), $B91 * N88, "")</f>
        <v>-5474.4525547445255</v>
      </c>
      <c r="Q88" s="223"/>
      <c r="R88" s="223"/>
      <c r="S88" s="223"/>
    </row>
    <row r="89" spans="1:19">
      <c r="A89" s="162" t="s">
        <v>240</v>
      </c>
      <c r="B89" s="126">
        <v>117</v>
      </c>
      <c r="C89" s="77">
        <v>-1.6806722699999999E-2</v>
      </c>
      <c r="D89" s="15">
        <v>124</v>
      </c>
      <c r="E89" s="32">
        <f t="shared" si="42"/>
        <v>5.9829059829059832E-2</v>
      </c>
      <c r="F89" s="18">
        <f>IF(ISNUMBER(D89), $B91 * E89, "")</f>
        <v>5982.9059829059834</v>
      </c>
      <c r="G89" s="31">
        <v>108</v>
      </c>
      <c r="H89" s="32">
        <f t="shared" si="43"/>
        <v>-7.6923076923076927E-2</v>
      </c>
      <c r="I89" s="101">
        <f>IF(ISNUMBER(G89), $B91 * H89, "")</f>
        <v>-7692.3076923076924</v>
      </c>
      <c r="J89" s="15">
        <v>105</v>
      </c>
      <c r="K89" s="32">
        <f t="shared" si="44"/>
        <v>-0.10256410256410256</v>
      </c>
      <c r="L89" s="18">
        <f>IF(ISNUMBER(J89), $B91 * K89, "")</f>
        <v>-10256.410256410256</v>
      </c>
      <c r="M89" s="31">
        <v>104</v>
      </c>
      <c r="N89" s="32">
        <f t="shared" si="45"/>
        <v>-0.1111111111111111</v>
      </c>
      <c r="O89" s="18">
        <f>IF(ISNUMBER(M89), $B91 * N89, "")</f>
        <v>-11111.111111111111</v>
      </c>
      <c r="Q89" s="212"/>
      <c r="R89" s="213"/>
      <c r="S89" s="214"/>
    </row>
    <row r="90" spans="1:19" ht="17.25" thickBot="1">
      <c r="A90" s="130" t="s">
        <v>112</v>
      </c>
      <c r="B90" s="131">
        <v>175</v>
      </c>
      <c r="C90" s="79">
        <v>-1.68539326E-2</v>
      </c>
      <c r="D90" s="24">
        <v>177</v>
      </c>
      <c r="E90" s="25">
        <f t="shared" si="42"/>
        <v>1.1428571428571429E-2</v>
      </c>
      <c r="F90" s="104">
        <f>IF(ISNUMBER(D90), $B91 * E90, "")</f>
        <v>1142.8571428571429</v>
      </c>
      <c r="G90" s="102">
        <v>159</v>
      </c>
      <c r="H90" s="25">
        <f t="shared" si="43"/>
        <v>-9.1428571428571428E-2</v>
      </c>
      <c r="I90" s="103">
        <f>IF(ISNUMBER(G90), $B91 * H90, "")</f>
        <v>-9142.8571428571431</v>
      </c>
      <c r="J90" s="24">
        <v>154</v>
      </c>
      <c r="K90" s="25">
        <f t="shared" si="44"/>
        <v>-0.12</v>
      </c>
      <c r="L90" s="104">
        <f>IF(ISNUMBER(J90), $B91 * K90, "")</f>
        <v>-12000</v>
      </c>
      <c r="M90" s="102">
        <v>152</v>
      </c>
      <c r="N90" s="25">
        <f t="shared" si="45"/>
        <v>-0.13142857142857142</v>
      </c>
      <c r="O90" s="104">
        <f>IF(ISNUMBER(M90), $B91 * N90, "")</f>
        <v>-13142.857142857143</v>
      </c>
      <c r="Q90" s="215"/>
      <c r="R90" s="216"/>
      <c r="S90" s="217"/>
    </row>
    <row r="91" spans="1:19" ht="17.25" thickBot="1">
      <c r="A91" s="132" t="s">
        <v>300</v>
      </c>
      <c r="B91" s="276">
        <f>$B$37</f>
        <v>100000</v>
      </c>
      <c r="C91" s="277"/>
      <c r="D91" s="26" t="s">
        <v>301</v>
      </c>
      <c r="E91" s="27">
        <f>IF(COUNT(E71:E90), SUM(E71:E90) / COUNT(E71:E90), 0)</f>
        <v>4.438716637324798E-2</v>
      </c>
      <c r="F91" s="28">
        <f>SUM(F71:F90)</f>
        <v>88774.332746495958</v>
      </c>
      <c r="G91" s="26" t="s">
        <v>301</v>
      </c>
      <c r="H91" s="27">
        <f>IF(COUNT(H71:H90), SUM(H71:H90) / COUNT(H71:H90), 0)</f>
        <v>-0.12835931813513607</v>
      </c>
      <c r="I91" s="28">
        <f>SUM(I71:I90)</f>
        <v>-256718.63627027205</v>
      </c>
      <c r="J91" s="26" t="s">
        <v>301</v>
      </c>
      <c r="K91" s="27">
        <f>IF(COUNT(K71:K90), SUM(K71:K90) / COUNT(K71:K90), 0)</f>
        <v>-0.15209774964000525</v>
      </c>
      <c r="L91" s="28">
        <f>SUM(L71:L90)</f>
        <v>-304195.49928001052</v>
      </c>
      <c r="M91" s="26" t="s">
        <v>301</v>
      </c>
      <c r="N91" s="27">
        <f>IF(COUNT(N71:N90), SUM(N71:N90) / COUNT(N71:N90), 0)</f>
        <v>-0.15492847968106063</v>
      </c>
      <c r="O91" s="28">
        <f>SUM(O71:O90)</f>
        <v>-309856.95936212136</v>
      </c>
      <c r="Q91" s="218"/>
      <c r="R91" s="219"/>
      <c r="S91" s="220"/>
    </row>
    <row r="93" spans="1:19" ht="17.25" thickBot="1"/>
    <row r="94" spans="1:19" ht="17.25" thickBot="1">
      <c r="A94" s="234" t="s">
        <v>46</v>
      </c>
      <c r="B94" s="235"/>
      <c r="C94" s="235"/>
      <c r="D94" s="235"/>
      <c r="E94" s="235"/>
      <c r="F94" s="235"/>
      <c r="G94" s="235"/>
      <c r="H94" s="235"/>
      <c r="I94" s="235"/>
      <c r="J94" s="235"/>
      <c r="K94" s="235"/>
      <c r="L94" s="235"/>
      <c r="M94" s="235"/>
      <c r="N94" s="235"/>
      <c r="O94" s="236"/>
      <c r="Q94" s="233"/>
      <c r="R94" s="233"/>
      <c r="S94" s="233"/>
    </row>
    <row r="95" spans="1:19" ht="17.25" thickBot="1">
      <c r="A95" s="200" t="s">
        <v>297</v>
      </c>
      <c r="B95" s="234" t="s">
        <v>49</v>
      </c>
      <c r="C95" s="236"/>
      <c r="D95" s="234" t="s">
        <v>58</v>
      </c>
      <c r="E95" s="235"/>
      <c r="F95" s="236"/>
      <c r="G95" s="237">
        <f>_xlfn.IFNA(VLOOKUP(B95, 현재가테이블!$B$2:$D$200, 2, FALSE), "-")</f>
        <v>41418000</v>
      </c>
      <c r="H95" s="238"/>
      <c r="I95" s="239"/>
      <c r="J95" s="234" t="s">
        <v>59</v>
      </c>
      <c r="K95" s="235"/>
      <c r="L95" s="236"/>
      <c r="M95" s="240">
        <f>_xlfn.IFNA(VLOOKUP(B95, 현재가테이블!$B$2:$D$200, 3, FALSE), "-")</f>
        <v>-5.2176301000000001E-2</v>
      </c>
      <c r="N95" s="241"/>
      <c r="O95" s="242"/>
      <c r="Q95" s="233"/>
      <c r="R95" s="233"/>
      <c r="S95" s="233"/>
    </row>
    <row r="96" spans="1:19" ht="17.25" thickBot="1">
      <c r="A96" s="278" t="s">
        <v>55</v>
      </c>
      <c r="B96" s="274" t="str">
        <f>TEXT($G$1, "[$-ko-KR]yyyy-mm-dd(ddd) ") &amp; "오전 00:00"</f>
        <v>2021-06-11(금) 오전 00:00</v>
      </c>
      <c r="C96" s="275"/>
      <c r="D96" s="247" t="str">
        <f>TEXT($G$1, "[$-ko-KR]yyyy-mm-dd(ddd) ") &amp; "오후 14:00"</f>
        <v>2021-06-11(금) 오후 14:00</v>
      </c>
      <c r="E96" s="248"/>
      <c r="F96" s="249"/>
      <c r="G96" s="247" t="str">
        <f>TEXT($G$1, "[$-ko-KR]yyyy-mm-dd(ddd) ") &amp; "오후 19:00"</f>
        <v>2021-06-11(금) 오후 19:00</v>
      </c>
      <c r="H96" s="248"/>
      <c r="I96" s="249"/>
      <c r="J96" s="247" t="str">
        <f>TEXT($G$1, "[$-ko-KR]yyyy-mm-dd(ddd) ") &amp; "오후 21:00"</f>
        <v>2021-06-11(금) 오후 21:00</v>
      </c>
      <c r="K96" s="248"/>
      <c r="L96" s="249"/>
      <c r="M96" s="247" t="str">
        <f>TEXT($G$1+1, "[$-ko-KR]yyyy-mm-dd(ddd) ") &amp; "오전 00:00"</f>
        <v>2021-06-12(토) 오전 00:00</v>
      </c>
      <c r="N96" s="248"/>
      <c r="O96" s="249"/>
      <c r="Q96" s="233"/>
      <c r="R96" s="233"/>
      <c r="S96" s="233"/>
    </row>
    <row r="97" spans="1:19" ht="17.25" thickBot="1">
      <c r="A97" s="279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1" t="s">
        <v>58</v>
      </c>
      <c r="H97" s="202" t="s">
        <v>298</v>
      </c>
      <c r="I97" s="20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3"/>
      <c r="R97" s="223"/>
      <c r="S97" s="223"/>
    </row>
    <row r="98" spans="1:19" ht="17.25" thickBot="1">
      <c r="A98" s="161" t="s">
        <v>254</v>
      </c>
      <c r="B98" s="124">
        <v>66.3</v>
      </c>
      <c r="C98" s="76">
        <v>0.4413043478</v>
      </c>
      <c r="D98" s="13">
        <v>56.4</v>
      </c>
      <c r="E98" s="14">
        <f>IF(ISNUMBER(D98), (D98 - $B98) / $B98, "")</f>
        <v>-0.14932126696832579</v>
      </c>
      <c r="F98" s="16">
        <f>IF(ISNUMBER(D98), $B118 * E98, "")</f>
        <v>-14932.126696832578</v>
      </c>
      <c r="G98" s="29">
        <v>37.6</v>
      </c>
      <c r="H98" s="14">
        <f>IF(ISNUMBER(G98), (G98 - $B98) / $B98, "")</f>
        <v>-0.43288084464555049</v>
      </c>
      <c r="I98" s="100">
        <f>IF(ISNUMBER(G98), $B118 * H98, "")</f>
        <v>-43288.084464555046</v>
      </c>
      <c r="J98" s="13">
        <v>36.6</v>
      </c>
      <c r="K98" s="14">
        <f>IF(ISNUMBER(J98), (J98 - $B98) / $B98, "")</f>
        <v>-0.44796380090497734</v>
      </c>
      <c r="L98" s="16">
        <f>IF(ISNUMBER(J98), $B118 * K98, "")</f>
        <v>-44796.380090497732</v>
      </c>
      <c r="M98" s="29">
        <v>37</v>
      </c>
      <c r="N98" s="14">
        <f>IF(ISNUMBER(M98), (M98 - $B98) / $B98, "")</f>
        <v>-0.44193061840120662</v>
      </c>
      <c r="O98" s="16">
        <f>IF(ISNUMBER(M98), $B118 * N98, "")</f>
        <v>-44193.061840120659</v>
      </c>
      <c r="Q98" s="233"/>
      <c r="R98" s="233"/>
      <c r="S98" s="233"/>
    </row>
    <row r="99" spans="1:19" ht="17.25" thickBot="1">
      <c r="A99" s="162" t="s">
        <v>122</v>
      </c>
      <c r="B99" s="126">
        <v>70.400000000000006</v>
      </c>
      <c r="C99" s="77">
        <v>0.2117039587</v>
      </c>
      <c r="D99" s="15">
        <v>62.3</v>
      </c>
      <c r="E99" s="32">
        <f t="shared" ref="E99:E102" si="46">IF(ISNUMBER(D99), (D99 - $B99) / $B99, "")</f>
        <v>-0.11505681818181829</v>
      </c>
      <c r="F99" s="18">
        <f>IF(ISNUMBER(D99), $B118 * E99, "")</f>
        <v>-11505.681818181829</v>
      </c>
      <c r="G99" s="31">
        <v>39.799999999999997</v>
      </c>
      <c r="H99" s="32">
        <f t="shared" ref="H99:H102" si="47">IF(ISNUMBER(G99), (G99 - $B99) / $B99, "")</f>
        <v>-0.43465909090909099</v>
      </c>
      <c r="I99" s="101">
        <f>IF(ISNUMBER(G99), $B118 * H99, "")</f>
        <v>-43465.909090909103</v>
      </c>
      <c r="J99" s="15">
        <v>39.1</v>
      </c>
      <c r="K99" s="32">
        <f t="shared" ref="K99:K102" si="48">IF(ISNUMBER(J99), (J99 - $B99) / $B99, "")</f>
        <v>-0.44460227272727276</v>
      </c>
      <c r="L99" s="18">
        <f>IF(ISNUMBER(J99), $B118 * K99, "")</f>
        <v>-44460.227272727279</v>
      </c>
      <c r="M99" s="31">
        <v>40.200000000000003</v>
      </c>
      <c r="N99" s="32">
        <f t="shared" ref="N99:N102" si="49">IF(ISNUMBER(M99), (M99 - $B99) / $B99, "")</f>
        <v>-0.42897727272727271</v>
      </c>
      <c r="O99" s="18">
        <f>IF(ISNUMBER(M99), $B118 * N99, "")</f>
        <v>-42897.727272727272</v>
      </c>
      <c r="Q99" s="233"/>
      <c r="R99" s="233"/>
      <c r="S99" s="233"/>
    </row>
    <row r="100" spans="1:19" ht="17.25" thickBot="1">
      <c r="A100" s="162" t="s">
        <v>186</v>
      </c>
      <c r="B100" s="126">
        <v>17.7</v>
      </c>
      <c r="C100" s="77">
        <v>0.10625</v>
      </c>
      <c r="D100" s="15">
        <v>17.2</v>
      </c>
      <c r="E100" s="32">
        <f t="shared" si="46"/>
        <v>-2.8248587570621469E-2</v>
      </c>
      <c r="F100" s="18">
        <f>IF(ISNUMBER(D100), $B118 * E100, "")</f>
        <v>-2824.8587570621471</v>
      </c>
      <c r="G100" s="31">
        <v>15.7</v>
      </c>
      <c r="H100" s="32">
        <f t="shared" si="47"/>
        <v>-0.11299435028248588</v>
      </c>
      <c r="I100" s="101">
        <f>IF(ISNUMBER(G100), $B118 * H100, "")</f>
        <v>-11299.435028248588</v>
      </c>
      <c r="J100" s="15">
        <v>15.4</v>
      </c>
      <c r="K100" s="32">
        <f t="shared" si="48"/>
        <v>-0.1299435028248587</v>
      </c>
      <c r="L100" s="18">
        <f>IF(ISNUMBER(J100), $B118 * K100, "")</f>
        <v>-12994.35028248587</v>
      </c>
      <c r="M100" s="31">
        <v>15.4</v>
      </c>
      <c r="N100" s="32">
        <f t="shared" si="49"/>
        <v>-0.1299435028248587</v>
      </c>
      <c r="O100" s="18">
        <f>IF(ISNUMBER(M100), $B118 * N100, "")</f>
        <v>-12994.35028248587</v>
      </c>
      <c r="Q100" s="223"/>
      <c r="R100" s="223"/>
      <c r="S100" s="223"/>
    </row>
    <row r="101" spans="1:19" ht="17.25" thickBot="1">
      <c r="A101" s="162" t="s">
        <v>216</v>
      </c>
      <c r="B101" s="126">
        <v>283</v>
      </c>
      <c r="C101" s="77">
        <v>8.4291187700000006E-2</v>
      </c>
      <c r="D101" s="15">
        <v>270</v>
      </c>
      <c r="E101" s="32">
        <f t="shared" si="46"/>
        <v>-4.5936395759717315E-2</v>
      </c>
      <c r="F101" s="18">
        <f>IF(ISNUMBER(D101), $B118 * E101, "")</f>
        <v>-4593.6395759717316</v>
      </c>
      <c r="G101" s="31">
        <v>260</v>
      </c>
      <c r="H101" s="32">
        <f t="shared" si="47"/>
        <v>-8.1272084805653705E-2</v>
      </c>
      <c r="I101" s="101">
        <f>IF(ISNUMBER(G101), $B118 * H101, "")</f>
        <v>-8127.2084805653703</v>
      </c>
      <c r="J101" s="15">
        <v>259</v>
      </c>
      <c r="K101" s="32">
        <f t="shared" si="48"/>
        <v>-8.4805653710247356E-2</v>
      </c>
      <c r="L101" s="18">
        <f>IF(ISNUMBER(J101), $B118 * K101, "")</f>
        <v>-8480.5653710247352</v>
      </c>
      <c r="M101" s="31">
        <v>256</v>
      </c>
      <c r="N101" s="32">
        <f t="shared" si="49"/>
        <v>-9.5406360424028266E-2</v>
      </c>
      <c r="O101" s="18">
        <f>IF(ISNUMBER(M101), $B118 * N101, "")</f>
        <v>-9540.6360424028262</v>
      </c>
      <c r="Q101" s="223"/>
      <c r="R101" s="223"/>
      <c r="S101" s="223"/>
    </row>
    <row r="102" spans="1:19" ht="17.25" thickBot="1">
      <c r="A102" s="163" t="s">
        <v>268</v>
      </c>
      <c r="B102" s="128">
        <v>50.3</v>
      </c>
      <c r="C102" s="78">
        <v>6.1181434600000001E-2</v>
      </c>
      <c r="D102" s="20">
        <v>67.5</v>
      </c>
      <c r="E102" s="21">
        <f t="shared" si="46"/>
        <v>0.3419483101391651</v>
      </c>
      <c r="F102" s="22">
        <f>IF(ISNUMBER(D102), $B118 * E102, "")</f>
        <v>34194.831013916511</v>
      </c>
      <c r="G102" s="30">
        <v>37.700000000000003</v>
      </c>
      <c r="H102" s="21">
        <f t="shared" si="47"/>
        <v>-0.25049701789264406</v>
      </c>
      <c r="I102" s="105">
        <f>IF(ISNUMBER(G102), $B118 * H102, "")</f>
        <v>-25049.701789264407</v>
      </c>
      <c r="J102" s="20">
        <v>38.5</v>
      </c>
      <c r="K102" s="21">
        <f t="shared" si="48"/>
        <v>-0.23459244532803178</v>
      </c>
      <c r="L102" s="22">
        <f>IF(ISNUMBER(J102), $B118 * K102, "")</f>
        <v>-23459.244532803179</v>
      </c>
      <c r="M102" s="30">
        <v>40.799999999999997</v>
      </c>
      <c r="N102" s="21">
        <f t="shared" si="49"/>
        <v>-0.1888667992047714</v>
      </c>
      <c r="O102" s="22">
        <f>IF(ISNUMBER(M102), $B118 * N102, "")</f>
        <v>-18886.679920477141</v>
      </c>
      <c r="Q102" s="223"/>
      <c r="R102" s="223"/>
      <c r="S102" s="223"/>
    </row>
    <row r="103" spans="1:19" ht="17.25" thickBot="1">
      <c r="A103" s="162" t="s">
        <v>220</v>
      </c>
      <c r="B103" s="129">
        <v>12.3</v>
      </c>
      <c r="C103" s="80">
        <v>6.0344827599999998E-2</v>
      </c>
      <c r="D103" s="106">
        <v>12.1</v>
      </c>
      <c r="E103" s="107">
        <f>IF(ISNUMBER(D103), (D103 - $B103) / $B103, "")</f>
        <v>-1.6260162601626101E-2</v>
      </c>
      <c r="F103" s="108">
        <f>IF(ISNUMBER(D103), $B118 * E103, "")</f>
        <v>-1626.01626016261</v>
      </c>
      <c r="G103" s="109">
        <v>11.1</v>
      </c>
      <c r="H103" s="107">
        <f>IF(ISNUMBER(G103), (G103 - $B103) / $B103, "")</f>
        <v>-9.7560975609756184E-2</v>
      </c>
      <c r="I103" s="110">
        <f>IF(ISNUMBER(G103), $B118 * H103, "")</f>
        <v>-9756.0975609756188</v>
      </c>
      <c r="J103" s="106">
        <v>11</v>
      </c>
      <c r="K103" s="107">
        <f>IF(ISNUMBER(J103), (J103 - $B103) / $B103, "")</f>
        <v>-0.10569105691056915</v>
      </c>
      <c r="L103" s="108">
        <f>IF(ISNUMBER(J103), $B118 * K103, "")</f>
        <v>-10569.105691056915</v>
      </c>
      <c r="M103" s="109">
        <v>10.9</v>
      </c>
      <c r="N103" s="107">
        <f>IF(ISNUMBER(M103), (M103 - $B103) / $B103, "")</f>
        <v>-0.11382113821138214</v>
      </c>
      <c r="O103" s="108">
        <f>IF(ISNUMBER(M103), $B118 * N103, "")</f>
        <v>-11382.113821138213</v>
      </c>
      <c r="Q103" s="223"/>
      <c r="R103" s="223"/>
      <c r="S103" s="223"/>
    </row>
    <row r="104" spans="1:19" ht="17.25" thickBot="1">
      <c r="A104" s="162" t="s">
        <v>266</v>
      </c>
      <c r="B104" s="126">
        <v>56.4</v>
      </c>
      <c r="C104" s="77">
        <v>5.4205607500000003E-2</v>
      </c>
      <c r="D104" s="15">
        <v>95.3</v>
      </c>
      <c r="E104" s="32">
        <f t="shared" ref="E104:E107" si="50">IF(ISNUMBER(D104), (D104 - $B104) / $B104, "")</f>
        <v>0.68971631205673756</v>
      </c>
      <c r="F104" s="18">
        <f>IF(ISNUMBER(D104), $B118 * E104, "")</f>
        <v>68971.631205673752</v>
      </c>
      <c r="G104" s="31">
        <v>81.2</v>
      </c>
      <c r="H104" s="32">
        <f t="shared" ref="H104:H107" si="51">IF(ISNUMBER(G104), (G104 - $B104) / $B104, "")</f>
        <v>0.43971631205673767</v>
      </c>
      <c r="I104" s="101">
        <f>IF(ISNUMBER(G104), $B118 * H104, "")</f>
        <v>43971.631205673766</v>
      </c>
      <c r="J104" s="15">
        <v>77.5</v>
      </c>
      <c r="K104" s="32">
        <f t="shared" ref="K104:K107" si="52">IF(ISNUMBER(J104), (J104 - $B104) / $B104, "")</f>
        <v>0.37411347517730498</v>
      </c>
      <c r="L104" s="18">
        <f>IF(ISNUMBER(J104), $B118 * K104, "")</f>
        <v>37411.347517730501</v>
      </c>
      <c r="M104" s="31">
        <v>70.8</v>
      </c>
      <c r="N104" s="32">
        <f t="shared" ref="N104:N107" si="53">IF(ISNUMBER(M104), (M104 - $B104) / $B104, "")</f>
        <v>0.25531914893617019</v>
      </c>
      <c r="O104" s="18">
        <f>IF(ISNUMBER(M104), $B118 * N104, "")</f>
        <v>25531.91489361702</v>
      </c>
      <c r="Q104" s="223"/>
      <c r="R104" s="223"/>
      <c r="S104" s="223"/>
    </row>
    <row r="105" spans="1:19" ht="17.25" thickBot="1">
      <c r="A105" s="162" t="s">
        <v>250</v>
      </c>
      <c r="B105" s="126">
        <v>121</v>
      </c>
      <c r="C105" s="77">
        <v>5.2173913000000002E-2</v>
      </c>
      <c r="D105" s="15">
        <v>121</v>
      </c>
      <c r="E105" s="32">
        <f t="shared" si="50"/>
        <v>0</v>
      </c>
      <c r="F105" s="18">
        <f>IF(ISNUMBER(D105), $B118 * E105, "")</f>
        <v>0</v>
      </c>
      <c r="G105" s="31">
        <v>73</v>
      </c>
      <c r="H105" s="32">
        <f t="shared" si="51"/>
        <v>-0.39669421487603307</v>
      </c>
      <c r="I105" s="101">
        <f>IF(ISNUMBER(G105), $B118 * H105, "")</f>
        <v>-39669.421487603307</v>
      </c>
      <c r="J105" s="15">
        <v>70.900000000000006</v>
      </c>
      <c r="K105" s="32">
        <f t="shared" si="52"/>
        <v>-0.41404958677685944</v>
      </c>
      <c r="L105" s="18">
        <f>IF(ISNUMBER(J105), $B118 * K105, "")</f>
        <v>-41404.958677685943</v>
      </c>
      <c r="M105" s="31">
        <v>73.400000000000006</v>
      </c>
      <c r="N105" s="32">
        <f t="shared" si="53"/>
        <v>-0.39338842975206606</v>
      </c>
      <c r="O105" s="18">
        <f>IF(ISNUMBER(M105), $B118 * N105, "")</f>
        <v>-39338.842975206608</v>
      </c>
      <c r="Q105" s="223"/>
      <c r="R105" s="223"/>
      <c r="S105" s="223"/>
    </row>
    <row r="106" spans="1:19" ht="17.25" thickBot="1">
      <c r="A106" s="162" t="s">
        <v>154</v>
      </c>
      <c r="B106" s="126">
        <v>10.9</v>
      </c>
      <c r="C106" s="77">
        <v>4.8076923100000002E-2</v>
      </c>
      <c r="D106" s="15">
        <v>11.4</v>
      </c>
      <c r="E106" s="32">
        <f t="shared" si="50"/>
        <v>4.5871559633027519E-2</v>
      </c>
      <c r="F106" s="18">
        <f>IF(ISNUMBER(D106), $B118 * E106, "")</f>
        <v>4587.1559633027518</v>
      </c>
      <c r="G106" s="31">
        <v>10.4</v>
      </c>
      <c r="H106" s="32">
        <f t="shared" si="51"/>
        <v>-4.5871559633027519E-2</v>
      </c>
      <c r="I106" s="101">
        <f>IF(ISNUMBER(G106), $B118 * H106, "")</f>
        <v>-4587.1559633027518</v>
      </c>
      <c r="J106" s="15">
        <v>10.199999999999999</v>
      </c>
      <c r="K106" s="32">
        <f t="shared" si="52"/>
        <v>-6.4220183486238633E-2</v>
      </c>
      <c r="L106" s="18">
        <f>IF(ISNUMBER(J106), $B118 * K106, "")</f>
        <v>-6422.0183486238629</v>
      </c>
      <c r="M106" s="31">
        <v>10.1</v>
      </c>
      <c r="N106" s="32">
        <f t="shared" si="53"/>
        <v>-7.3394495412844096E-2</v>
      </c>
      <c r="O106" s="18">
        <f>IF(ISNUMBER(M106), $B118 * N106, "")</f>
        <v>-7339.4495412844099</v>
      </c>
      <c r="Q106" s="33"/>
      <c r="R106" s="33"/>
    </row>
    <row r="107" spans="1:19" ht="17.25" thickBot="1">
      <c r="A107" s="130" t="s">
        <v>264</v>
      </c>
      <c r="B107" s="131">
        <v>83.4</v>
      </c>
      <c r="C107" s="79">
        <v>4.5112781999999997E-2</v>
      </c>
      <c r="D107" s="24">
        <v>86.8</v>
      </c>
      <c r="E107" s="25">
        <f t="shared" si="50"/>
        <v>4.0767386091126991E-2</v>
      </c>
      <c r="F107" s="104">
        <f>IF(ISNUMBER(D107), $B118 * E107, "")</f>
        <v>4076.7386091126991</v>
      </c>
      <c r="G107" s="102">
        <v>79.400000000000006</v>
      </c>
      <c r="H107" s="25">
        <f t="shared" si="51"/>
        <v>-4.7961630695443645E-2</v>
      </c>
      <c r="I107" s="103">
        <f>IF(ISNUMBER(G107), $B118 * H107, "")</f>
        <v>-4796.1630695443646</v>
      </c>
      <c r="J107" s="24">
        <v>79.599999999999994</v>
      </c>
      <c r="K107" s="25">
        <f t="shared" si="52"/>
        <v>-4.5563549160671596E-2</v>
      </c>
      <c r="L107" s="104">
        <f>IF(ISNUMBER(J107), $B118 * K107, "")</f>
        <v>-4556.3549160671591</v>
      </c>
      <c r="M107" s="102">
        <v>79</v>
      </c>
      <c r="N107" s="25">
        <f t="shared" si="53"/>
        <v>-5.2757793764988077E-2</v>
      </c>
      <c r="O107" s="104">
        <f>IF(ISNUMBER(M107), $B118 * N107, "")</f>
        <v>-5275.7793764988073</v>
      </c>
      <c r="Q107" s="224"/>
      <c r="R107" s="225"/>
      <c r="S107" s="226"/>
    </row>
    <row r="108" spans="1:19">
      <c r="A108" s="161" t="s">
        <v>218</v>
      </c>
      <c r="B108" s="124">
        <v>15.8</v>
      </c>
      <c r="C108" s="76">
        <v>3.9473684199999998E-2</v>
      </c>
      <c r="D108" s="13">
        <v>17.100000000000001</v>
      </c>
      <c r="E108" s="14">
        <f>IF(ISNUMBER(D108), (D108 - $B108) / $B108, "")</f>
        <v>8.2278481012658264E-2</v>
      </c>
      <c r="F108" s="16">
        <f>IF(ISNUMBER(D108), $B118 * E108, "")</f>
        <v>8227.8481012658267</v>
      </c>
      <c r="G108" s="29">
        <v>8.84</v>
      </c>
      <c r="H108" s="14">
        <f>IF(ISNUMBER(G108), (G108 - $B108) / $B108, "")</f>
        <v>-0.44050632911392407</v>
      </c>
      <c r="I108" s="100">
        <f>IF(ISNUMBER(G108), $B118 * H108, "")</f>
        <v>-44050.632911392408</v>
      </c>
      <c r="J108" s="13">
        <v>8.61</v>
      </c>
      <c r="K108" s="14">
        <f>IF(ISNUMBER(J108), (J108 - $B108) / $B108, "")</f>
        <v>-0.45506329113924054</v>
      </c>
      <c r="L108" s="16">
        <f>IF(ISNUMBER(J108), $B118 * K108, "")</f>
        <v>-45506.329113924054</v>
      </c>
      <c r="M108" s="29">
        <v>8.82</v>
      </c>
      <c r="N108" s="14">
        <f>IF(ISNUMBER(M108), (M108 - $B108) / $B108, "")</f>
        <v>-0.4417721518987342</v>
      </c>
      <c r="O108" s="16">
        <f>IF(ISNUMBER(M108), $B118 * N108, "")</f>
        <v>-44177.215189873423</v>
      </c>
      <c r="Q108" s="227"/>
      <c r="R108" s="228"/>
      <c r="S108" s="229"/>
    </row>
    <row r="109" spans="1:19" ht="17.25" thickBot="1">
      <c r="A109" s="162" t="s">
        <v>222</v>
      </c>
      <c r="B109" s="126">
        <v>11.3</v>
      </c>
      <c r="C109" s="77">
        <v>3.6697247699999998E-2</v>
      </c>
      <c r="D109" s="15">
        <v>11.7</v>
      </c>
      <c r="E109" s="32">
        <f t="shared" ref="E109:E112" si="54">IF(ISNUMBER(D109), (D109 - $B109) / $B109, "")</f>
        <v>3.539823008849545E-2</v>
      </c>
      <c r="F109" s="18">
        <f>IF(ISNUMBER(D109), $B118 * E109, "")</f>
        <v>3539.8230088495452</v>
      </c>
      <c r="G109" s="31">
        <v>10.5</v>
      </c>
      <c r="H109" s="32">
        <f t="shared" ref="H109:H112" si="55">IF(ISNUMBER(G109), (G109 - $B109) / $B109, "")</f>
        <v>-7.0796460176991205E-2</v>
      </c>
      <c r="I109" s="101">
        <f>IF(ISNUMBER(G109), $B118 * H109, "")</f>
        <v>-7079.6460176991204</v>
      </c>
      <c r="J109" s="15">
        <v>10</v>
      </c>
      <c r="K109" s="32">
        <f t="shared" ref="K109:K112" si="56">IF(ISNUMBER(J109), (J109 - $B109) / $B109, "")</f>
        <v>-0.11504424778761067</v>
      </c>
      <c r="L109" s="18">
        <f>IF(ISNUMBER(J109), $B118 * K109, "")</f>
        <v>-11504.424778761068</v>
      </c>
      <c r="M109" s="31">
        <v>9.9600000000000009</v>
      </c>
      <c r="N109" s="32">
        <f t="shared" ref="N109:N112" si="57">IF(ISNUMBER(M109), (M109 - $B109) / $B109, "")</f>
        <v>-0.11858407079646016</v>
      </c>
      <c r="O109" s="18">
        <f>IF(ISNUMBER(M109), $B118 * N109, "")</f>
        <v>-11858.407079646016</v>
      </c>
      <c r="Q109" s="230"/>
      <c r="R109" s="231"/>
      <c r="S109" s="232"/>
    </row>
    <row r="110" spans="1:19" ht="17.25" thickBot="1">
      <c r="A110" s="162" t="s">
        <v>260</v>
      </c>
      <c r="B110" s="126">
        <v>66.400000000000006</v>
      </c>
      <c r="C110" s="77">
        <v>3.4267912800000001E-2</v>
      </c>
      <c r="D110" s="15">
        <v>80.099999999999994</v>
      </c>
      <c r="E110" s="32">
        <f t="shared" si="54"/>
        <v>0.20632530120481909</v>
      </c>
      <c r="F110" s="18">
        <f>IF(ISNUMBER(D110), $B118 * E110, "")</f>
        <v>20632.530120481908</v>
      </c>
      <c r="G110" s="31">
        <v>62</v>
      </c>
      <c r="H110" s="32">
        <f t="shared" si="55"/>
        <v>-6.626506024096393E-2</v>
      </c>
      <c r="I110" s="101">
        <f>IF(ISNUMBER(G110), $B118 * H110, "")</f>
        <v>-6626.506024096393</v>
      </c>
      <c r="J110" s="15">
        <v>60.4</v>
      </c>
      <c r="K110" s="32">
        <f t="shared" si="56"/>
        <v>-9.0361445783132627E-2</v>
      </c>
      <c r="L110" s="18">
        <f>IF(ISNUMBER(J110), $B118 * K110, "")</f>
        <v>-9036.1445783132622</v>
      </c>
      <c r="M110" s="31">
        <v>60.9</v>
      </c>
      <c r="N110" s="32">
        <f t="shared" si="57"/>
        <v>-8.2831325301204919E-2</v>
      </c>
      <c r="O110" s="18">
        <f>IF(ISNUMBER(M110), $B118 * N110, "")</f>
        <v>-8283.1325301204924</v>
      </c>
      <c r="Q110" s="223"/>
      <c r="R110" s="223"/>
      <c r="S110" s="223"/>
    </row>
    <row r="111" spans="1:19" ht="17.25" thickBot="1">
      <c r="A111" s="162" t="s">
        <v>94</v>
      </c>
      <c r="B111" s="126">
        <v>84140</v>
      </c>
      <c r="C111" s="77">
        <v>2.7852431E-2</v>
      </c>
      <c r="D111" s="15">
        <v>76610</v>
      </c>
      <c r="E111" s="32">
        <f t="shared" si="54"/>
        <v>-8.9493700974566201E-2</v>
      </c>
      <c r="F111" s="18">
        <f>IF(ISNUMBER(D111), $B118 * E111, "")</f>
        <v>-8949.37009745662</v>
      </c>
      <c r="G111" s="31">
        <v>74200</v>
      </c>
      <c r="H111" s="32">
        <f t="shared" si="55"/>
        <v>-0.11813643926788686</v>
      </c>
      <c r="I111" s="101">
        <f>IF(ISNUMBER(G111), $B118 * H111, "")</f>
        <v>-11813.643926788685</v>
      </c>
      <c r="J111" s="15">
        <v>72060</v>
      </c>
      <c r="K111" s="32">
        <f t="shared" si="56"/>
        <v>-0.1435702400760637</v>
      </c>
      <c r="L111" s="18">
        <f>IF(ISNUMBER(J111), $B118 * K111, "")</f>
        <v>-14357.024007606369</v>
      </c>
      <c r="M111" s="31">
        <v>72250</v>
      </c>
      <c r="N111" s="32">
        <f t="shared" si="57"/>
        <v>-0.14131209888281435</v>
      </c>
      <c r="O111" s="18">
        <f>IF(ISNUMBER(M111), $B118 * N111, "")</f>
        <v>-14131.209888281435</v>
      </c>
      <c r="Q111" s="233"/>
      <c r="R111" s="233"/>
      <c r="S111" s="233"/>
    </row>
    <row r="112" spans="1:19" ht="17.25" thickBot="1">
      <c r="A112" s="163" t="s">
        <v>198</v>
      </c>
      <c r="B112" s="128">
        <v>15.3</v>
      </c>
      <c r="C112" s="78">
        <v>2.68456376E-2</v>
      </c>
      <c r="D112" s="20">
        <v>16.100000000000001</v>
      </c>
      <c r="E112" s="21">
        <f t="shared" si="54"/>
        <v>5.2287581699346448E-2</v>
      </c>
      <c r="F112" s="22">
        <f>IF(ISNUMBER(D112), $B118 * E112, "")</f>
        <v>5228.7581699346447</v>
      </c>
      <c r="G112" s="30">
        <v>14.1</v>
      </c>
      <c r="H112" s="21">
        <f t="shared" si="55"/>
        <v>-7.8431372549019676E-2</v>
      </c>
      <c r="I112" s="105">
        <f>IF(ISNUMBER(G112), $B118 * H112, "")</f>
        <v>-7843.1372549019679</v>
      </c>
      <c r="J112" s="20">
        <v>13.7</v>
      </c>
      <c r="K112" s="21">
        <f t="shared" si="56"/>
        <v>-0.1045751633986929</v>
      </c>
      <c r="L112" s="22">
        <f>IF(ISNUMBER(J112), $B118 * K112, "")</f>
        <v>-10457.516339869289</v>
      </c>
      <c r="M112" s="30">
        <v>13.5</v>
      </c>
      <c r="N112" s="21">
        <f t="shared" si="57"/>
        <v>-0.11764705882352945</v>
      </c>
      <c r="O112" s="22">
        <f>IF(ISNUMBER(M112), $B118 * N112, "")</f>
        <v>-11764.705882352946</v>
      </c>
      <c r="Q112" s="233"/>
      <c r="R112" s="233"/>
      <c r="S112" s="233"/>
    </row>
    <row r="113" spans="1:19" ht="17.25" thickBot="1">
      <c r="A113" s="162" t="s">
        <v>200</v>
      </c>
      <c r="B113" s="129">
        <v>198</v>
      </c>
      <c r="C113" s="80">
        <v>2.59067358E-2</v>
      </c>
      <c r="D113" s="106">
        <v>206</v>
      </c>
      <c r="E113" s="107">
        <f>IF(ISNUMBER(D113), (D113 - $B113) / $B113, "")</f>
        <v>4.0404040404040407E-2</v>
      </c>
      <c r="F113" s="108">
        <f>IF(ISNUMBER(D113), $B118 * E113, "")</f>
        <v>4040.4040404040406</v>
      </c>
      <c r="G113" s="109">
        <v>184</v>
      </c>
      <c r="H113" s="107">
        <f>IF(ISNUMBER(G113), (G113 - $B113) / $B113, "")</f>
        <v>-7.0707070707070704E-2</v>
      </c>
      <c r="I113" s="110">
        <f>IF(ISNUMBER(G113), $B118 * H113, "")</f>
        <v>-7070.7070707070707</v>
      </c>
      <c r="J113" s="106">
        <v>175</v>
      </c>
      <c r="K113" s="107">
        <f>IF(ISNUMBER(J113), (J113 - $B113) / $B113, "")</f>
        <v>-0.11616161616161616</v>
      </c>
      <c r="L113" s="108">
        <f>IF(ISNUMBER(J113), $B118 * K113, "")</f>
        <v>-11616.161616161617</v>
      </c>
      <c r="M113" s="109">
        <v>173</v>
      </c>
      <c r="N113" s="107">
        <f>IF(ISNUMBER(M113), (M113 - $B113) / $B113, "")</f>
        <v>-0.12626262626262627</v>
      </c>
      <c r="O113" s="108">
        <f>IF(ISNUMBER(M113), $B118 * N113, "")</f>
        <v>-12626.262626262627</v>
      </c>
      <c r="Q113" s="223"/>
      <c r="R113" s="223"/>
      <c r="S113" s="223"/>
    </row>
    <row r="114" spans="1:19" ht="17.25" thickBot="1">
      <c r="A114" s="162" t="s">
        <v>214</v>
      </c>
      <c r="B114" s="126">
        <v>12.7</v>
      </c>
      <c r="C114" s="77">
        <v>2.4193548400000001E-2</v>
      </c>
      <c r="D114" s="15">
        <v>14</v>
      </c>
      <c r="E114" s="32">
        <f t="shared" ref="E114:E117" si="58">IF(ISNUMBER(D114), (D114 - $B114) / $B114, "")</f>
        <v>0.10236220472440952</v>
      </c>
      <c r="F114" s="18">
        <f>IF(ISNUMBER(D114), $B118 * E114, "")</f>
        <v>10236.220472440951</v>
      </c>
      <c r="G114" s="31">
        <v>11.8</v>
      </c>
      <c r="H114" s="32">
        <f t="shared" ref="H114:H117" si="59">IF(ISNUMBER(G114), (G114 - $B114) / $B114, "")</f>
        <v>-7.0866141732283353E-2</v>
      </c>
      <c r="I114" s="101">
        <f>IF(ISNUMBER(G114), $B118 * H114, "")</f>
        <v>-7086.6141732283349</v>
      </c>
      <c r="J114" s="15">
        <v>11.2</v>
      </c>
      <c r="K114" s="32">
        <f t="shared" ref="K114:K117" si="60">IF(ISNUMBER(J114), (J114 - $B114) / $B114, "")</f>
        <v>-0.11811023622047245</v>
      </c>
      <c r="L114" s="18">
        <f>IF(ISNUMBER(J114), $B118 * K114, "")</f>
        <v>-11811.023622047245</v>
      </c>
      <c r="M114" s="31">
        <v>11.3</v>
      </c>
      <c r="N114" s="32">
        <f t="shared" ref="N114:N117" si="61">IF(ISNUMBER(M114), (M114 - $B114) / $B114, "")</f>
        <v>-0.11023622047244083</v>
      </c>
      <c r="O114" s="18">
        <f>IF(ISNUMBER(M114), $B118 * N114, "")</f>
        <v>-11023.622047244084</v>
      </c>
      <c r="Q114" s="223"/>
      <c r="R114" s="223"/>
      <c r="S114" s="223"/>
    </row>
    <row r="115" spans="1:19" ht="17.25" thickBot="1">
      <c r="A115" s="162" t="s">
        <v>72</v>
      </c>
      <c r="B115" s="126">
        <v>19.7</v>
      </c>
      <c r="C115" s="77">
        <v>2.0725388599999998E-2</v>
      </c>
      <c r="D115" s="15">
        <v>24.3</v>
      </c>
      <c r="E115" s="32">
        <f t="shared" si="58"/>
        <v>0.23350253807106608</v>
      </c>
      <c r="F115" s="18">
        <f>IF(ISNUMBER(D115), $B118 * E115, "")</f>
        <v>23350.253807106608</v>
      </c>
      <c r="G115" s="31">
        <v>21.9</v>
      </c>
      <c r="H115" s="32">
        <f t="shared" si="59"/>
        <v>0.11167512690355327</v>
      </c>
      <c r="I115" s="101">
        <f>IF(ISNUMBER(G115), $B118 * H115, "")</f>
        <v>11167.512690355328</v>
      </c>
      <c r="J115" s="15">
        <v>20.8</v>
      </c>
      <c r="K115" s="32">
        <f t="shared" si="60"/>
        <v>5.5837563451776727E-2</v>
      </c>
      <c r="L115" s="18">
        <f>IF(ISNUMBER(J115), $B118 * K115, "")</f>
        <v>5583.7563451776723</v>
      </c>
      <c r="M115" s="31">
        <v>20</v>
      </c>
      <c r="N115" s="32">
        <f t="shared" si="61"/>
        <v>1.5228426395939123E-2</v>
      </c>
      <c r="O115" s="18">
        <f>IF(ISNUMBER(M115), $B118 * N115, "")</f>
        <v>1522.8426395939123</v>
      </c>
      <c r="Q115" s="223"/>
      <c r="R115" s="223"/>
      <c r="S115" s="223"/>
    </row>
    <row r="116" spans="1:19">
      <c r="A116" s="162" t="s">
        <v>282</v>
      </c>
      <c r="B116" s="126">
        <v>111</v>
      </c>
      <c r="C116" s="77">
        <v>1.83486239E-2</v>
      </c>
      <c r="D116" s="15">
        <v>118</v>
      </c>
      <c r="E116" s="32">
        <f t="shared" si="58"/>
        <v>6.3063063063063057E-2</v>
      </c>
      <c r="F116" s="18">
        <f>IF(ISNUMBER(D116), $B118 * E116, "")</f>
        <v>6306.3063063063055</v>
      </c>
      <c r="G116" s="31">
        <v>69.3</v>
      </c>
      <c r="H116" s="32">
        <f t="shared" si="59"/>
        <v>-0.37567567567567572</v>
      </c>
      <c r="I116" s="101">
        <f>IF(ISNUMBER(G116), $B118 * H116, "")</f>
        <v>-37567.567567567574</v>
      </c>
      <c r="J116" s="15">
        <v>67.2</v>
      </c>
      <c r="K116" s="32">
        <f t="shared" si="60"/>
        <v>-0.39459459459459456</v>
      </c>
      <c r="L116" s="18">
        <f>IF(ISNUMBER(J116), $B118 * K116, "")</f>
        <v>-39459.459459459453</v>
      </c>
      <c r="M116" s="31">
        <v>72.5</v>
      </c>
      <c r="N116" s="32">
        <f t="shared" si="61"/>
        <v>-0.34684684684684686</v>
      </c>
      <c r="O116" s="18">
        <f>IF(ISNUMBER(M116), $B118 * N116, "")</f>
        <v>-34684.684684684689</v>
      </c>
      <c r="Q116" s="212"/>
      <c r="R116" s="213"/>
      <c r="S116" s="214"/>
    </row>
    <row r="117" spans="1:19" ht="17.25" thickBot="1">
      <c r="A117" s="130" t="s">
        <v>162</v>
      </c>
      <c r="B117" s="131">
        <v>1150</v>
      </c>
      <c r="C117" s="79">
        <v>1.3215859E-2</v>
      </c>
      <c r="D117" s="24">
        <v>1200</v>
      </c>
      <c r="E117" s="25">
        <f t="shared" si="58"/>
        <v>4.3478260869565216E-2</v>
      </c>
      <c r="F117" s="104">
        <f>IF(ISNUMBER(D117), $B118 * E117, "")</f>
        <v>4347.826086956522</v>
      </c>
      <c r="G117" s="102">
        <v>752</v>
      </c>
      <c r="H117" s="25">
        <f t="shared" si="59"/>
        <v>-0.34608695652173915</v>
      </c>
      <c r="I117" s="103">
        <f>IF(ISNUMBER(G117), $B118 * H117, "")</f>
        <v>-34608.695652173912</v>
      </c>
      <c r="J117" s="24">
        <v>708</v>
      </c>
      <c r="K117" s="25">
        <f t="shared" si="60"/>
        <v>-0.3843478260869565</v>
      </c>
      <c r="L117" s="104">
        <f>IF(ISNUMBER(J117), $B118 * K117, "")</f>
        <v>-38434.782608695648</v>
      </c>
      <c r="M117" s="102">
        <v>730</v>
      </c>
      <c r="N117" s="25">
        <f t="shared" si="61"/>
        <v>-0.36521739130434783</v>
      </c>
      <c r="O117" s="104">
        <f>IF(ISNUMBER(M117), $B118 * N117, "")</f>
        <v>-36521.739130434784</v>
      </c>
      <c r="Q117" s="215"/>
      <c r="R117" s="216"/>
      <c r="S117" s="217"/>
    </row>
    <row r="118" spans="1:19" ht="17.25" thickBot="1">
      <c r="A118" s="132" t="s">
        <v>300</v>
      </c>
      <c r="B118" s="276">
        <f>$B$37</f>
        <v>100000</v>
      </c>
      <c r="C118" s="277"/>
      <c r="D118" s="26" t="s">
        <v>301</v>
      </c>
      <c r="E118" s="27">
        <f>IF(COUNT(E98:E117), SUM(E98:E117) / COUNT(E98:E117), 0)</f>
        <v>7.6654316850042273E-2</v>
      </c>
      <c r="F118" s="28">
        <f>SUM(F98:F117)</f>
        <v>153308.63370008455</v>
      </c>
      <c r="G118" s="26" t="s">
        <v>301</v>
      </c>
      <c r="H118" s="27">
        <f>IF(COUNT(H98:H117), SUM(H98:H117) / COUNT(H98:H117), 0)</f>
        <v>-0.14932359181874741</v>
      </c>
      <c r="I118" s="28">
        <f>SUM(I98:I117)</f>
        <v>-298647.18363749486</v>
      </c>
      <c r="J118" s="26" t="s">
        <v>301</v>
      </c>
      <c r="K118" s="27">
        <f>IF(COUNT(K98:K117), SUM(K98:K117) / COUNT(K98:K117), 0)</f>
        <v>-0.17316548372245127</v>
      </c>
      <c r="L118" s="28">
        <f>SUM(L98:L117)</f>
        <v>-346330.96744490264</v>
      </c>
      <c r="M118" s="26" t="s">
        <v>301</v>
      </c>
      <c r="N118" s="27">
        <f>IF(COUNT(N98:N117), SUM(N98:N117) / COUNT(N98:N117), 0)</f>
        <v>-0.17493243129901567</v>
      </c>
      <c r="O118" s="28">
        <f>SUM(O98:O117)</f>
        <v>-349864.86259803141</v>
      </c>
      <c r="Q118" s="218"/>
      <c r="R118" s="219"/>
      <c r="S118" s="220"/>
    </row>
    <row r="120" spans="1:19" ht="17.25" thickBot="1"/>
    <row r="121" spans="1:19" ht="17.25" thickBot="1">
      <c r="A121" s="234" t="s">
        <v>288</v>
      </c>
      <c r="B121" s="235"/>
      <c r="C121" s="235"/>
      <c r="D121" s="235"/>
      <c r="E121" s="235"/>
      <c r="F121" s="235"/>
      <c r="G121" s="235"/>
      <c r="H121" s="235"/>
      <c r="I121" s="235"/>
      <c r="J121" s="235"/>
      <c r="K121" s="235"/>
      <c r="L121" s="235"/>
      <c r="M121" s="235"/>
      <c r="N121" s="235"/>
      <c r="O121" s="236"/>
      <c r="Q121" s="233"/>
      <c r="R121" s="233"/>
      <c r="S121" s="233"/>
    </row>
    <row r="122" spans="1:19" ht="17.25" thickBot="1">
      <c r="A122" s="200" t="s">
        <v>297</v>
      </c>
      <c r="B122" s="234" t="s">
        <v>49</v>
      </c>
      <c r="C122" s="236"/>
      <c r="D122" s="234" t="s">
        <v>58</v>
      </c>
      <c r="E122" s="235"/>
      <c r="F122" s="236"/>
      <c r="G122" s="237">
        <f>_xlfn.IFNA(VLOOKUP(B122, 현재가테이블!$B$2:$D$200, 2, FALSE), "-")</f>
        <v>41418000</v>
      </c>
      <c r="H122" s="238"/>
      <c r="I122" s="239"/>
      <c r="J122" s="234" t="s">
        <v>59</v>
      </c>
      <c r="K122" s="235"/>
      <c r="L122" s="236"/>
      <c r="M122" s="240">
        <f>_xlfn.IFNA(VLOOKUP(B122, 현재가테이블!$B$2:$D$200, 3, FALSE), "-")</f>
        <v>-5.2176301000000001E-2</v>
      </c>
      <c r="N122" s="241"/>
      <c r="O122" s="242"/>
      <c r="Q122" s="233"/>
      <c r="R122" s="233"/>
      <c r="S122" s="233"/>
    </row>
    <row r="123" spans="1:19" ht="17.25" thickBot="1">
      <c r="A123" s="278" t="s">
        <v>55</v>
      </c>
      <c r="B123" s="274" t="str">
        <f>TEXT($G$1, "[$-ko-KR]yyyy-mm-dd(ddd) ") &amp; "오전 00:00"</f>
        <v>2021-06-11(금) 오전 00:00</v>
      </c>
      <c r="C123" s="275"/>
      <c r="D123" s="247" t="str">
        <f>TEXT($G$1, "[$-ko-KR]yyyy-mm-dd(ddd) ") &amp; "오후 14:00"</f>
        <v>2021-06-11(금) 오후 14:00</v>
      </c>
      <c r="E123" s="248"/>
      <c r="F123" s="249"/>
      <c r="G123" s="247" t="str">
        <f>TEXT($G$1, "[$-ko-KR]yyyy-mm-dd(ddd) ") &amp; "오후 19:00"</f>
        <v>2021-06-11(금) 오후 19:00</v>
      </c>
      <c r="H123" s="248"/>
      <c r="I123" s="249"/>
      <c r="J123" s="247" t="str">
        <f>TEXT($G$1, "[$-ko-KR]yyyy-mm-dd(ddd) ") &amp; "오후 21:00"</f>
        <v>2021-06-11(금) 오후 21:00</v>
      </c>
      <c r="K123" s="248"/>
      <c r="L123" s="249"/>
      <c r="M123" s="247" t="str">
        <f>TEXT($G$1+1, "[$-ko-KR]yyyy-mm-dd(ddd) ") &amp; "오전 00:00"</f>
        <v>2021-06-12(토) 오전 00:00</v>
      </c>
      <c r="N123" s="248"/>
      <c r="O123" s="249"/>
      <c r="Q123" s="233"/>
      <c r="R123" s="233"/>
      <c r="S123" s="233"/>
    </row>
    <row r="124" spans="1:19" ht="17.25" thickBot="1">
      <c r="A124" s="279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1" t="s">
        <v>58</v>
      </c>
      <c r="H124" s="202" t="s">
        <v>298</v>
      </c>
      <c r="I124" s="20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3"/>
      <c r="R124" s="223"/>
      <c r="S124" s="223"/>
    </row>
    <row r="125" spans="1:19" ht="17.25" thickBot="1">
      <c r="A125" s="161" t="s">
        <v>264</v>
      </c>
      <c r="B125" s="124">
        <v>83.4</v>
      </c>
      <c r="C125" s="76">
        <v>4.5112781999999997E-2</v>
      </c>
      <c r="D125" s="13">
        <v>86.8</v>
      </c>
      <c r="E125" s="14">
        <f>IF(ISNUMBER(D125), (D125 - $B125) / $B125, "")</f>
        <v>4.0767386091126991E-2</v>
      </c>
      <c r="F125" s="16">
        <f>IF(ISNUMBER(D125), $B145 * E125, "")</f>
        <v>4076.7386091126991</v>
      </c>
      <c r="G125" s="29">
        <v>79.400000000000006</v>
      </c>
      <c r="H125" s="14">
        <f>IF(ISNUMBER(G125), (G125 - $B125) / $B125, "")</f>
        <v>-4.7961630695443645E-2</v>
      </c>
      <c r="I125" s="100">
        <f>IF(ISNUMBER(G125), $B145 * H125, "")</f>
        <v>-4796.1630695443646</v>
      </c>
      <c r="J125" s="13">
        <v>79.599999999999994</v>
      </c>
      <c r="K125" s="14">
        <f>IF(ISNUMBER(J125), (J125 - $B125) / $B125, "")</f>
        <v>-4.5563549160671596E-2</v>
      </c>
      <c r="L125" s="16">
        <f>IF(ISNUMBER(J125), $B145 * K125, "")</f>
        <v>-4556.3549160671591</v>
      </c>
      <c r="M125" s="29">
        <v>79</v>
      </c>
      <c r="N125" s="14">
        <f>IF(ISNUMBER(M125), (M125 - $B125) / $B125, "")</f>
        <v>-5.2757793764988077E-2</v>
      </c>
      <c r="O125" s="16">
        <f>IF(ISNUMBER(M125), $B145 * N125, "")</f>
        <v>-5275.7793764988073</v>
      </c>
      <c r="Q125" s="233"/>
      <c r="R125" s="233"/>
      <c r="S125" s="233"/>
    </row>
    <row r="126" spans="1:19" ht="17.25" thickBot="1">
      <c r="A126" s="162" t="s">
        <v>218</v>
      </c>
      <c r="B126" s="126">
        <v>15.8</v>
      </c>
      <c r="C126" s="77">
        <v>3.9473684199999998E-2</v>
      </c>
      <c r="D126" s="15">
        <v>17.100000000000001</v>
      </c>
      <c r="E126" s="32">
        <f t="shared" ref="E126:E129" si="62">IF(ISNUMBER(D126), (D126 - $B126) / $B126, "")</f>
        <v>8.2278481012658264E-2</v>
      </c>
      <c r="F126" s="18">
        <f>IF(ISNUMBER(D126), $B145 * E126, "")</f>
        <v>8227.8481012658267</v>
      </c>
      <c r="G126" s="31">
        <v>8.84</v>
      </c>
      <c r="H126" s="32">
        <f t="shared" ref="H126:H129" si="63">IF(ISNUMBER(G126), (G126 - $B126) / $B126, "")</f>
        <v>-0.44050632911392407</v>
      </c>
      <c r="I126" s="101">
        <f>IF(ISNUMBER(G126), $B145 * H126, "")</f>
        <v>-44050.632911392408</v>
      </c>
      <c r="J126" s="15">
        <v>8.61</v>
      </c>
      <c r="K126" s="32">
        <f t="shared" ref="K126:K129" si="64">IF(ISNUMBER(J126), (J126 - $B126) / $B126, "")</f>
        <v>-0.45506329113924054</v>
      </c>
      <c r="L126" s="18">
        <f>IF(ISNUMBER(J126), $B145 * K126, "")</f>
        <v>-45506.329113924054</v>
      </c>
      <c r="M126" s="31">
        <v>8.82</v>
      </c>
      <c r="N126" s="32">
        <f t="shared" ref="N126:N129" si="65">IF(ISNUMBER(M126), (M126 - $B126) / $B126, "")</f>
        <v>-0.4417721518987342</v>
      </c>
      <c r="O126" s="18">
        <f>IF(ISNUMBER(M126), $B145 * N126, "")</f>
        <v>-44177.215189873423</v>
      </c>
      <c r="Q126" s="233"/>
      <c r="R126" s="233"/>
      <c r="S126" s="233"/>
    </row>
    <row r="127" spans="1:19" ht="17.25" thickBot="1">
      <c r="A127" s="162" t="s">
        <v>222</v>
      </c>
      <c r="B127" s="126">
        <v>11.3</v>
      </c>
      <c r="C127" s="77">
        <v>3.6697247699999998E-2</v>
      </c>
      <c r="D127" s="15">
        <v>11.7</v>
      </c>
      <c r="E127" s="32">
        <f t="shared" si="62"/>
        <v>3.539823008849545E-2</v>
      </c>
      <c r="F127" s="18">
        <f>IF(ISNUMBER(D127), $B145 * E127, "")</f>
        <v>3539.8230088495452</v>
      </c>
      <c r="G127" s="31">
        <v>10.5</v>
      </c>
      <c r="H127" s="32">
        <f t="shared" si="63"/>
        <v>-7.0796460176991205E-2</v>
      </c>
      <c r="I127" s="101">
        <f>IF(ISNUMBER(G127), $B145 * H127, "")</f>
        <v>-7079.6460176991204</v>
      </c>
      <c r="J127" s="15">
        <v>10</v>
      </c>
      <c r="K127" s="32">
        <f t="shared" si="64"/>
        <v>-0.11504424778761067</v>
      </c>
      <c r="L127" s="18">
        <f>IF(ISNUMBER(J127), $B145 * K127, "")</f>
        <v>-11504.424778761068</v>
      </c>
      <c r="M127" s="31">
        <v>9.9600000000000009</v>
      </c>
      <c r="N127" s="32">
        <f t="shared" si="65"/>
        <v>-0.11858407079646016</v>
      </c>
      <c r="O127" s="18">
        <f>IF(ISNUMBER(M127), $B145 * N127, "")</f>
        <v>-11858.407079646016</v>
      </c>
      <c r="Q127" s="223"/>
      <c r="R127" s="223"/>
      <c r="S127" s="223"/>
    </row>
    <row r="128" spans="1:19" ht="17.25" thickBot="1">
      <c r="A128" s="162" t="s">
        <v>260</v>
      </c>
      <c r="B128" s="126">
        <v>66.400000000000006</v>
      </c>
      <c r="C128" s="77">
        <v>3.4267912800000001E-2</v>
      </c>
      <c r="D128" s="15">
        <v>80.099999999999994</v>
      </c>
      <c r="E128" s="32">
        <f t="shared" si="62"/>
        <v>0.20632530120481909</v>
      </c>
      <c r="F128" s="18">
        <f>IF(ISNUMBER(D128), $B145 * E128, "")</f>
        <v>20632.530120481908</v>
      </c>
      <c r="G128" s="31">
        <v>62</v>
      </c>
      <c r="H128" s="32">
        <f t="shared" si="63"/>
        <v>-6.626506024096393E-2</v>
      </c>
      <c r="I128" s="101">
        <f>IF(ISNUMBER(G128), $B145 * H128, "")</f>
        <v>-6626.506024096393</v>
      </c>
      <c r="J128" s="15">
        <v>60.4</v>
      </c>
      <c r="K128" s="32">
        <f t="shared" si="64"/>
        <v>-9.0361445783132627E-2</v>
      </c>
      <c r="L128" s="18">
        <f>IF(ISNUMBER(J128), $B145 * K128, "")</f>
        <v>-9036.1445783132622</v>
      </c>
      <c r="M128" s="31">
        <v>60.9</v>
      </c>
      <c r="N128" s="32">
        <f t="shared" si="65"/>
        <v>-8.2831325301204919E-2</v>
      </c>
      <c r="O128" s="18">
        <f>IF(ISNUMBER(M128), $B145 * N128, "")</f>
        <v>-8283.1325301204924</v>
      </c>
      <c r="Q128" s="223"/>
      <c r="R128" s="223"/>
      <c r="S128" s="223"/>
    </row>
    <row r="129" spans="1:19" ht="17.25" thickBot="1">
      <c r="A129" s="163" t="s">
        <v>198</v>
      </c>
      <c r="B129" s="128">
        <v>15.3</v>
      </c>
      <c r="C129" s="78">
        <v>2.68456376E-2</v>
      </c>
      <c r="D129" s="20">
        <v>16.100000000000001</v>
      </c>
      <c r="E129" s="21">
        <f t="shared" si="62"/>
        <v>5.2287581699346448E-2</v>
      </c>
      <c r="F129" s="22">
        <f>IF(ISNUMBER(D129), $B145 * E129, "")</f>
        <v>5228.7581699346447</v>
      </c>
      <c r="G129" s="30">
        <v>14.1</v>
      </c>
      <c r="H129" s="21">
        <f t="shared" si="63"/>
        <v>-7.8431372549019676E-2</v>
      </c>
      <c r="I129" s="105">
        <f>IF(ISNUMBER(G129), $B145 * H129, "")</f>
        <v>-7843.1372549019679</v>
      </c>
      <c r="J129" s="20">
        <v>13.7</v>
      </c>
      <c r="K129" s="21">
        <f t="shared" si="64"/>
        <v>-0.1045751633986929</v>
      </c>
      <c r="L129" s="22">
        <f>IF(ISNUMBER(J129), $B145 * K129, "")</f>
        <v>-10457.516339869289</v>
      </c>
      <c r="M129" s="30">
        <v>13.5</v>
      </c>
      <c r="N129" s="21">
        <f t="shared" si="65"/>
        <v>-0.11764705882352945</v>
      </c>
      <c r="O129" s="22">
        <f>IF(ISNUMBER(M129), $B145 * N129, "")</f>
        <v>-11764.705882352946</v>
      </c>
      <c r="Q129" s="223"/>
      <c r="R129" s="223"/>
      <c r="S129" s="223"/>
    </row>
    <row r="130" spans="1:19" ht="17.25" thickBot="1">
      <c r="A130" s="162" t="s">
        <v>214</v>
      </c>
      <c r="B130" s="129">
        <v>12.7</v>
      </c>
      <c r="C130" s="80">
        <v>2.4193548400000001E-2</v>
      </c>
      <c r="D130" s="106">
        <v>14</v>
      </c>
      <c r="E130" s="107">
        <f>IF(ISNUMBER(D130), (D130 - $B130) / $B130, "")</f>
        <v>0.10236220472440952</v>
      </c>
      <c r="F130" s="108">
        <f>IF(ISNUMBER(D130), $B145 * E130, "")</f>
        <v>10236.220472440951</v>
      </c>
      <c r="G130" s="109">
        <v>11.8</v>
      </c>
      <c r="H130" s="107">
        <f>IF(ISNUMBER(G130), (G130 - $B130) / $B130, "")</f>
        <v>-7.0866141732283353E-2</v>
      </c>
      <c r="I130" s="110">
        <f>IF(ISNUMBER(G130), $B145 * H130, "")</f>
        <v>-7086.6141732283349</v>
      </c>
      <c r="J130" s="106">
        <v>11.2</v>
      </c>
      <c r="K130" s="107">
        <f>IF(ISNUMBER(J130), (J130 - $B130) / $B130, "")</f>
        <v>-0.11811023622047245</v>
      </c>
      <c r="L130" s="108">
        <f>IF(ISNUMBER(J130), $B145 * K130, "")</f>
        <v>-11811.023622047245</v>
      </c>
      <c r="M130" s="109">
        <v>11.3</v>
      </c>
      <c r="N130" s="107">
        <f>IF(ISNUMBER(M130), (M130 - $B130) / $B130, "")</f>
        <v>-0.11023622047244083</v>
      </c>
      <c r="O130" s="108">
        <f>IF(ISNUMBER(M130), $B145 * N130, "")</f>
        <v>-11023.622047244084</v>
      </c>
      <c r="Q130" s="223"/>
      <c r="R130" s="223"/>
      <c r="S130" s="223"/>
    </row>
    <row r="131" spans="1:19" ht="17.25" thickBot="1">
      <c r="A131" s="162" t="s">
        <v>72</v>
      </c>
      <c r="B131" s="126">
        <v>19.7</v>
      </c>
      <c r="C131" s="77">
        <v>2.0725388599999998E-2</v>
      </c>
      <c r="D131" s="15">
        <v>24.3</v>
      </c>
      <c r="E131" s="32">
        <f t="shared" ref="E131:E134" si="66">IF(ISNUMBER(D131), (D131 - $B131) / $B131, "")</f>
        <v>0.23350253807106608</v>
      </c>
      <c r="F131" s="18">
        <f>IF(ISNUMBER(D131), $B145 * E131, "")</f>
        <v>23350.253807106608</v>
      </c>
      <c r="G131" s="31">
        <v>21.9</v>
      </c>
      <c r="H131" s="32">
        <f t="shared" ref="H131:H134" si="67">IF(ISNUMBER(G131), (G131 - $B131) / $B131, "")</f>
        <v>0.11167512690355327</v>
      </c>
      <c r="I131" s="101">
        <f>IF(ISNUMBER(G131), $B145 * H131, "")</f>
        <v>11167.512690355328</v>
      </c>
      <c r="J131" s="15">
        <v>20.8</v>
      </c>
      <c r="K131" s="32">
        <f t="shared" ref="K131:K134" si="68">IF(ISNUMBER(J131), (J131 - $B131) / $B131, "")</f>
        <v>5.5837563451776727E-2</v>
      </c>
      <c r="L131" s="18">
        <f>IF(ISNUMBER(J131), $B145 * K131, "")</f>
        <v>5583.7563451776723</v>
      </c>
      <c r="M131" s="31">
        <v>20</v>
      </c>
      <c r="N131" s="32">
        <f t="shared" ref="N131:N134" si="69">IF(ISNUMBER(M131), (M131 - $B131) / $B131, "")</f>
        <v>1.5228426395939123E-2</v>
      </c>
      <c r="O131" s="18">
        <f>IF(ISNUMBER(M131), $B145 * N131, "")</f>
        <v>1522.8426395939123</v>
      </c>
      <c r="Q131" s="223"/>
      <c r="R131" s="223"/>
      <c r="S131" s="223"/>
    </row>
    <row r="132" spans="1:19" ht="17.25" thickBot="1">
      <c r="A132" s="162" t="s">
        <v>212</v>
      </c>
      <c r="B132" s="126">
        <v>68.900000000000006</v>
      </c>
      <c r="C132" s="77">
        <v>1.0263929600000001E-2</v>
      </c>
      <c r="D132" s="15">
        <v>75.400000000000006</v>
      </c>
      <c r="E132" s="32">
        <f t="shared" si="66"/>
        <v>9.4339622641509427E-2</v>
      </c>
      <c r="F132" s="18">
        <f>IF(ISNUMBER(D132), $B145 * E132, "")</f>
        <v>9433.9622641509432</v>
      </c>
      <c r="G132" s="31">
        <v>64.099999999999994</v>
      </c>
      <c r="H132" s="32">
        <f t="shared" si="67"/>
        <v>-6.9666182873730206E-2</v>
      </c>
      <c r="I132" s="101">
        <f>IF(ISNUMBER(G132), $B145 * H132, "")</f>
        <v>-6966.6182873730204</v>
      </c>
      <c r="J132" s="15">
        <v>63.2</v>
      </c>
      <c r="K132" s="32">
        <f t="shared" si="68"/>
        <v>-8.272859216255446E-2</v>
      </c>
      <c r="L132" s="18">
        <f>IF(ISNUMBER(J132), $B145 * K132, "")</f>
        <v>-8272.8592162554451</v>
      </c>
      <c r="M132" s="31">
        <v>62.8</v>
      </c>
      <c r="N132" s="32">
        <f t="shared" si="69"/>
        <v>-8.8534107402032047E-2</v>
      </c>
      <c r="O132" s="18">
        <f>IF(ISNUMBER(M132), $B145 * N132, "")</f>
        <v>-8853.4107402032041</v>
      </c>
      <c r="Q132" s="223"/>
      <c r="R132" s="223"/>
      <c r="S132" s="223"/>
    </row>
    <row r="133" spans="1:19" ht="17.25" thickBot="1">
      <c r="A133" s="162" t="s">
        <v>228</v>
      </c>
      <c r="B133" s="126">
        <v>10.1</v>
      </c>
      <c r="C133" s="77">
        <v>0.01</v>
      </c>
      <c r="D133" s="15">
        <v>10.7</v>
      </c>
      <c r="E133" s="32">
        <f t="shared" si="66"/>
        <v>5.9405940594059375E-2</v>
      </c>
      <c r="F133" s="18">
        <f>IF(ISNUMBER(D133), $B145 * E133, "")</f>
        <v>5940.5940594059375</v>
      </c>
      <c r="G133" s="31">
        <v>9.52</v>
      </c>
      <c r="H133" s="32">
        <f t="shared" si="67"/>
        <v>-5.7425742574257435E-2</v>
      </c>
      <c r="I133" s="101">
        <f>IF(ISNUMBER(G133), $B145 * H133, "")</f>
        <v>-5742.5742574257438</v>
      </c>
      <c r="J133" s="15">
        <v>9.2799999999999994</v>
      </c>
      <c r="K133" s="32">
        <f t="shared" si="68"/>
        <v>-8.1188118811881219E-2</v>
      </c>
      <c r="L133" s="18">
        <f>IF(ISNUMBER(J133), $B145 * K133, "")</f>
        <v>-8118.8118811881222</v>
      </c>
      <c r="M133" s="31">
        <v>9.1199999999999992</v>
      </c>
      <c r="N133" s="32">
        <f t="shared" si="69"/>
        <v>-9.7029702970297074E-2</v>
      </c>
      <c r="O133" s="18">
        <f>IF(ISNUMBER(M133), $B145 * N133, "")</f>
        <v>-9702.9702970297076</v>
      </c>
      <c r="Q133" s="33"/>
      <c r="R133" s="33"/>
    </row>
    <row r="134" spans="1:19" ht="17.25" thickBot="1">
      <c r="A134" s="130" t="s">
        <v>196</v>
      </c>
      <c r="B134" s="131">
        <v>11.2</v>
      </c>
      <c r="C134" s="79">
        <v>9.0090090000000001E-3</v>
      </c>
      <c r="D134" s="24">
        <v>12.1</v>
      </c>
      <c r="E134" s="25">
        <f t="shared" si="66"/>
        <v>8.0357142857142891E-2</v>
      </c>
      <c r="F134" s="104">
        <f>IF(ISNUMBER(D134), $B145 * E134, "")</f>
        <v>8035.714285714289</v>
      </c>
      <c r="G134" s="102">
        <v>10.7</v>
      </c>
      <c r="H134" s="25">
        <f t="shared" si="67"/>
        <v>-4.4642857142857144E-2</v>
      </c>
      <c r="I134" s="103">
        <f>IF(ISNUMBER(G134), $B145 * H134, "")</f>
        <v>-4464.2857142857147</v>
      </c>
      <c r="J134" s="24">
        <v>10.3</v>
      </c>
      <c r="K134" s="25">
        <f t="shared" si="68"/>
        <v>-8.0357142857142738E-2</v>
      </c>
      <c r="L134" s="104">
        <f>IF(ISNUMBER(J134), $B145 * K134, "")</f>
        <v>-8035.7142857142735</v>
      </c>
      <c r="M134" s="102">
        <v>10.3</v>
      </c>
      <c r="N134" s="25">
        <f t="shared" si="69"/>
        <v>-8.0357142857142738E-2</v>
      </c>
      <c r="O134" s="104">
        <f>IF(ISNUMBER(M134), $B145 * N134, "")</f>
        <v>-8035.7142857142735</v>
      </c>
      <c r="Q134" s="224"/>
      <c r="R134" s="225"/>
      <c r="S134" s="226"/>
    </row>
    <row r="135" spans="1:19">
      <c r="A135" s="161" t="s">
        <v>236</v>
      </c>
      <c r="B135" s="124">
        <v>53.7</v>
      </c>
      <c r="C135" s="76">
        <v>3.7383178E-3</v>
      </c>
      <c r="D135" s="13">
        <v>61.9</v>
      </c>
      <c r="E135" s="14">
        <f>IF(ISNUMBER(D135), (D135 - $B135) / $B135, "")</f>
        <v>0.15270018621973921</v>
      </c>
      <c r="F135" s="16">
        <f>IF(ISNUMBER(D135), $B145 * E135, "")</f>
        <v>15270.018621973921</v>
      </c>
      <c r="G135" s="29">
        <v>31.9</v>
      </c>
      <c r="H135" s="14">
        <f>IF(ISNUMBER(G135), (G135 - $B135) / $B135, "")</f>
        <v>-0.40595903165735575</v>
      </c>
      <c r="I135" s="100">
        <f>IF(ISNUMBER(G135), $B145 * H135, "")</f>
        <v>-40595.903165735574</v>
      </c>
      <c r="J135" s="13">
        <v>30.6</v>
      </c>
      <c r="K135" s="14">
        <f>IF(ISNUMBER(J135), (J135 - $B135) / $B135, "")</f>
        <v>-0.43016759776536312</v>
      </c>
      <c r="L135" s="16">
        <f>IF(ISNUMBER(J135), $B145 * K135, "")</f>
        <v>-43016.75977653631</v>
      </c>
      <c r="M135" s="29">
        <v>31.1</v>
      </c>
      <c r="N135" s="14">
        <f>IF(ISNUMBER(M135), (M135 - $B135) / $B135, "")</f>
        <v>-0.42085661080074488</v>
      </c>
      <c r="O135" s="16">
        <f>IF(ISNUMBER(M135), $B145 * N135, "")</f>
        <v>-42085.661080074489</v>
      </c>
      <c r="Q135" s="227"/>
      <c r="R135" s="228"/>
      <c r="S135" s="229"/>
    </row>
    <row r="136" spans="1:19" ht="17.25" thickBot="1">
      <c r="A136" s="162" t="s">
        <v>126</v>
      </c>
      <c r="B136" s="126">
        <v>27</v>
      </c>
      <c r="C136" s="77">
        <v>3.7174720999999999E-3</v>
      </c>
      <c r="D136" s="15">
        <v>31.4</v>
      </c>
      <c r="E136" s="32">
        <f t="shared" ref="E136:E139" si="70">IF(ISNUMBER(D136), (D136 - $B136) / $B136, "")</f>
        <v>0.16296296296296292</v>
      </c>
      <c r="F136" s="18">
        <f>IF(ISNUMBER(D136), $B145 * E136, "")</f>
        <v>16296.296296296292</v>
      </c>
      <c r="G136" s="31">
        <v>28.8</v>
      </c>
      <c r="H136" s="32">
        <f t="shared" ref="H136:H139" si="71">IF(ISNUMBER(G136), (G136 - $B136) / $B136, "")</f>
        <v>6.6666666666666693E-2</v>
      </c>
      <c r="I136" s="101">
        <f>IF(ISNUMBER(G136), $B145 * H136, "")</f>
        <v>6666.6666666666697</v>
      </c>
      <c r="J136" s="15">
        <v>28.5</v>
      </c>
      <c r="K136" s="32">
        <f t="shared" ref="K136:K139" si="72">IF(ISNUMBER(J136), (J136 - $B136) / $B136, "")</f>
        <v>5.5555555555555552E-2</v>
      </c>
      <c r="L136" s="18">
        <f>IF(ISNUMBER(J136), $B145 * K136, "")</f>
        <v>5555.5555555555557</v>
      </c>
      <c r="M136" s="31">
        <v>27.2</v>
      </c>
      <c r="N136" s="32">
        <f t="shared" ref="N136:N139" si="73">IF(ISNUMBER(M136), (M136 - $B136) / $B136, "")</f>
        <v>7.4074074074073808E-3</v>
      </c>
      <c r="O136" s="18">
        <f>IF(ISNUMBER(M136), $B145 * N136, "")</f>
        <v>740.74074074073803</v>
      </c>
      <c r="Q136" s="230"/>
      <c r="R136" s="231"/>
      <c r="S136" s="232"/>
    </row>
    <row r="137" spans="1:19" ht="17.25" thickBot="1">
      <c r="A137" s="162" t="s">
        <v>152</v>
      </c>
      <c r="B137" s="126">
        <v>19.3</v>
      </c>
      <c r="C137" s="77">
        <v>-5.1546392E-3</v>
      </c>
      <c r="D137" s="15">
        <v>19.399999999999999</v>
      </c>
      <c r="E137" s="32">
        <f t="shared" si="70"/>
        <v>5.1813471502589565E-3</v>
      </c>
      <c r="F137" s="18">
        <f>IF(ISNUMBER(D137), $B145 * E137, "")</f>
        <v>518.13471502589562</v>
      </c>
      <c r="G137" s="31">
        <v>18.8</v>
      </c>
      <c r="H137" s="32">
        <f t="shared" si="71"/>
        <v>-2.5906735751295335E-2</v>
      </c>
      <c r="I137" s="101">
        <f>IF(ISNUMBER(G137), $B145 * H137, "")</f>
        <v>-2590.6735751295337</v>
      </c>
      <c r="J137" s="15">
        <v>18.5</v>
      </c>
      <c r="K137" s="32">
        <f t="shared" si="72"/>
        <v>-4.1450777202072575E-2</v>
      </c>
      <c r="L137" s="18">
        <f>IF(ISNUMBER(J137), $B145 * K137, "")</f>
        <v>-4145.0777202072577</v>
      </c>
      <c r="M137" s="31">
        <v>18.3</v>
      </c>
      <c r="N137" s="32">
        <f t="shared" si="73"/>
        <v>-5.181347150259067E-2</v>
      </c>
      <c r="O137" s="18">
        <f>IF(ISNUMBER(M137), $B145 * N137, "")</f>
        <v>-5181.3471502590673</v>
      </c>
      <c r="Q137" s="223"/>
      <c r="R137" s="223"/>
      <c r="S137" s="223"/>
    </row>
    <row r="138" spans="1:19" ht="17.25" thickBot="1">
      <c r="A138" s="162" t="s">
        <v>172</v>
      </c>
      <c r="B138" s="126">
        <v>14.1</v>
      </c>
      <c r="C138" s="77">
        <v>-7.0422534999999998E-3</v>
      </c>
      <c r="D138" s="15">
        <v>15.2</v>
      </c>
      <c r="E138" s="32">
        <f t="shared" si="70"/>
        <v>7.8014184397163094E-2</v>
      </c>
      <c r="F138" s="18">
        <f>IF(ISNUMBER(D138), $B145 * E138, "")</f>
        <v>7801.4184397163099</v>
      </c>
      <c r="G138" s="31">
        <v>8.33</v>
      </c>
      <c r="H138" s="32">
        <f t="shared" si="71"/>
        <v>-0.40921985815602835</v>
      </c>
      <c r="I138" s="101">
        <f>IF(ISNUMBER(G138), $B145 * H138, "")</f>
        <v>-40921.985815602835</v>
      </c>
      <c r="J138" s="15">
        <v>8.14</v>
      </c>
      <c r="K138" s="32">
        <f t="shared" si="72"/>
        <v>-0.42269503546099285</v>
      </c>
      <c r="L138" s="18">
        <f>IF(ISNUMBER(J138), $B145 * K138, "")</f>
        <v>-42269.503546099288</v>
      </c>
      <c r="M138" s="31">
        <v>8.24</v>
      </c>
      <c r="N138" s="32">
        <f t="shared" si="73"/>
        <v>-0.41560283687943261</v>
      </c>
      <c r="O138" s="18">
        <f>IF(ISNUMBER(M138), $B145 * N138, "")</f>
        <v>-41560.283687943258</v>
      </c>
      <c r="Q138" s="233"/>
      <c r="R138" s="233"/>
      <c r="S138" s="233"/>
    </row>
    <row r="139" spans="1:19" ht="17.25" thickBot="1">
      <c r="A139" s="163" t="s">
        <v>134</v>
      </c>
      <c r="B139" s="128">
        <v>87.1</v>
      </c>
      <c r="C139" s="78">
        <v>-7.9726650999999999E-3</v>
      </c>
      <c r="D139" s="20">
        <v>96.5</v>
      </c>
      <c r="E139" s="21">
        <f t="shared" si="70"/>
        <v>0.10792192881745127</v>
      </c>
      <c r="F139" s="22">
        <f>IF(ISNUMBER(D139), $B145 * E139, "")</f>
        <v>10792.192881745128</v>
      </c>
      <c r="G139" s="30">
        <v>90.1</v>
      </c>
      <c r="H139" s="21">
        <f t="shared" si="71"/>
        <v>3.4443168771526984E-2</v>
      </c>
      <c r="I139" s="105">
        <f>IF(ISNUMBER(G139), $B145 * H139, "")</f>
        <v>3444.3168771526985</v>
      </c>
      <c r="J139" s="20">
        <v>85.4</v>
      </c>
      <c r="K139" s="21">
        <f t="shared" si="72"/>
        <v>-1.9517795637198493E-2</v>
      </c>
      <c r="L139" s="22">
        <f>IF(ISNUMBER(J139), $B145 * K139, "")</f>
        <v>-1951.7795637198492</v>
      </c>
      <c r="M139" s="30">
        <v>86.8</v>
      </c>
      <c r="N139" s="21">
        <f t="shared" si="73"/>
        <v>-3.4443168771526658E-3</v>
      </c>
      <c r="O139" s="22">
        <f>IF(ISNUMBER(M139), $B145 * N139, "")</f>
        <v>-344.43168771526661</v>
      </c>
      <c r="Q139" s="233"/>
      <c r="R139" s="233"/>
      <c r="S139" s="233"/>
    </row>
    <row r="140" spans="1:19" ht="17.25" thickBot="1">
      <c r="A140" s="162" t="s">
        <v>168</v>
      </c>
      <c r="B140" s="129">
        <v>95.8</v>
      </c>
      <c r="C140" s="80">
        <v>-1.7435897400000001E-2</v>
      </c>
      <c r="D140" s="106">
        <v>95.5</v>
      </c>
      <c r="E140" s="107">
        <f>IF(ISNUMBER(D140), (D140 - $B140) / $B140, "")</f>
        <v>-3.1315240083507013E-3</v>
      </c>
      <c r="F140" s="108">
        <f>IF(ISNUMBER(D140), $B145 * E140, "")</f>
        <v>-313.15240083507013</v>
      </c>
      <c r="G140" s="109">
        <v>90.9</v>
      </c>
      <c r="H140" s="107">
        <f>IF(ISNUMBER(G140), (G140 - $B140) / $B140, "")</f>
        <v>-5.1148225469728512E-2</v>
      </c>
      <c r="I140" s="110">
        <f>IF(ISNUMBER(G140), $B145 * H140, "")</f>
        <v>-5114.8225469728513</v>
      </c>
      <c r="J140" s="106">
        <v>90.5</v>
      </c>
      <c r="K140" s="107">
        <f>IF(ISNUMBER(J140), (J140 - $B140) / $B140, "")</f>
        <v>-5.5323590814196216E-2</v>
      </c>
      <c r="L140" s="108">
        <f>IF(ISNUMBER(J140), $B145 * K140, "")</f>
        <v>-5532.3590814196214</v>
      </c>
      <c r="M140" s="109">
        <v>90.5</v>
      </c>
      <c r="N140" s="107">
        <f>IF(ISNUMBER(M140), (M140 - $B140) / $B140, "")</f>
        <v>-5.5323590814196216E-2</v>
      </c>
      <c r="O140" s="108">
        <f>IF(ISNUMBER(M140), $B145 * N140, "")</f>
        <v>-5532.3590814196214</v>
      </c>
      <c r="Q140" s="223"/>
      <c r="R140" s="223"/>
      <c r="S140" s="223"/>
    </row>
    <row r="141" spans="1:19" ht="17.25" thickBot="1">
      <c r="A141" s="162" t="s">
        <v>156</v>
      </c>
      <c r="B141" s="126">
        <v>85.1</v>
      </c>
      <c r="C141" s="77">
        <v>-2.4082568799999999E-2</v>
      </c>
      <c r="D141" s="15">
        <v>84.6</v>
      </c>
      <c r="E141" s="32">
        <f t="shared" ref="E141:E144" si="74">IF(ISNUMBER(D141), (D141 - $B141) / $B141, "")</f>
        <v>-5.8754406580493537E-3</v>
      </c>
      <c r="F141" s="18">
        <f>IF(ISNUMBER(D141), $B145 * E141, "")</f>
        <v>-587.54406580493537</v>
      </c>
      <c r="G141" s="31">
        <v>83.6</v>
      </c>
      <c r="H141" s="32">
        <f t="shared" ref="H141:H144" si="75">IF(ISNUMBER(G141), (G141 - $B141) / $B141, "")</f>
        <v>-1.7626321974148061E-2</v>
      </c>
      <c r="I141" s="101">
        <f>IF(ISNUMBER(G141), $B145 * H141, "")</f>
        <v>-1762.6321974148061</v>
      </c>
      <c r="J141" s="15">
        <v>83.5</v>
      </c>
      <c r="K141" s="32">
        <f t="shared" ref="K141:K144" si="76">IF(ISNUMBER(J141), (J141 - $B141) / $B141, "")</f>
        <v>-1.8801410105757865E-2</v>
      </c>
      <c r="L141" s="18">
        <f>IF(ISNUMBER(J141), $B145 * K141, "")</f>
        <v>-1880.1410105757866</v>
      </c>
      <c r="M141" s="31">
        <v>83.1</v>
      </c>
      <c r="N141" s="32">
        <f t="shared" ref="N141:N144" si="77">IF(ISNUMBER(M141), (M141 - $B141) / $B141, "")</f>
        <v>-2.3501762632197415E-2</v>
      </c>
      <c r="O141" s="18">
        <f>IF(ISNUMBER(M141), $B145 * N141, "")</f>
        <v>-2350.1762632197415</v>
      </c>
      <c r="Q141" s="223"/>
      <c r="R141" s="223"/>
      <c r="S141" s="223"/>
    </row>
    <row r="142" spans="1:19" ht="17.25" thickBot="1">
      <c r="A142" s="162" t="s">
        <v>65</v>
      </c>
      <c r="B142" s="126">
        <v>33.5</v>
      </c>
      <c r="C142" s="77">
        <v>-2.6162790700000001E-2</v>
      </c>
      <c r="D142" s="15">
        <v>34.4</v>
      </c>
      <c r="E142" s="32">
        <f t="shared" si="74"/>
        <v>2.6865671641791003E-2</v>
      </c>
      <c r="F142" s="18">
        <f>IF(ISNUMBER(D142), $B145 * E142, "")</f>
        <v>2686.5671641791005</v>
      </c>
      <c r="G142" s="31">
        <v>33.9</v>
      </c>
      <c r="H142" s="32">
        <f t="shared" si="75"/>
        <v>1.1940298507462643E-2</v>
      </c>
      <c r="I142" s="101">
        <f>IF(ISNUMBER(G142), $B145 * H142, "")</f>
        <v>1194.0298507462644</v>
      </c>
      <c r="J142" s="15">
        <v>34</v>
      </c>
      <c r="K142" s="32">
        <f t="shared" si="76"/>
        <v>1.4925373134328358E-2</v>
      </c>
      <c r="L142" s="18">
        <f>IF(ISNUMBER(J142), $B145 * K142, "")</f>
        <v>1492.5373134328358</v>
      </c>
      <c r="M142" s="31">
        <v>33.5</v>
      </c>
      <c r="N142" s="32">
        <f t="shared" si="77"/>
        <v>0</v>
      </c>
      <c r="O142" s="18">
        <f>IF(ISNUMBER(M142), $B145 * N142, "")</f>
        <v>0</v>
      </c>
      <c r="Q142" s="223"/>
      <c r="R142" s="223"/>
      <c r="S142" s="223"/>
    </row>
    <row r="143" spans="1:19">
      <c r="A143" s="162" t="s">
        <v>100</v>
      </c>
      <c r="B143" s="126">
        <v>4.24</v>
      </c>
      <c r="C143" s="77">
        <v>-3.6363636400000003E-2</v>
      </c>
      <c r="D143" s="15">
        <v>4.22</v>
      </c>
      <c r="E143" s="32">
        <f t="shared" si="74"/>
        <v>-4.7169811320755808E-3</v>
      </c>
      <c r="F143" s="18">
        <f>IF(ISNUMBER(D143), $B145 * E143, "")</f>
        <v>-471.69811320755809</v>
      </c>
      <c r="G143" s="31">
        <v>4.1399999999999997</v>
      </c>
      <c r="H143" s="32">
        <f t="shared" si="75"/>
        <v>-2.3584905660377482E-2</v>
      </c>
      <c r="I143" s="101">
        <f>IF(ISNUMBER(G143), $B145 * H143, "")</f>
        <v>-2358.4905660377481</v>
      </c>
      <c r="J143" s="15">
        <v>4.12</v>
      </c>
      <c r="K143" s="32">
        <f t="shared" si="76"/>
        <v>-2.8301886792452855E-2</v>
      </c>
      <c r="L143" s="18">
        <f>IF(ISNUMBER(J143), $B145 * K143, "")</f>
        <v>-2830.1886792452856</v>
      </c>
      <c r="M143" s="31">
        <v>4.13</v>
      </c>
      <c r="N143" s="32">
        <f t="shared" si="77"/>
        <v>-2.5943396226415168E-2</v>
      </c>
      <c r="O143" s="18">
        <f>IF(ISNUMBER(M143), $B145 * N143, "")</f>
        <v>-2594.3396226415171</v>
      </c>
      <c r="Q143" s="212"/>
      <c r="R143" s="213"/>
      <c r="S143" s="214"/>
    </row>
    <row r="144" spans="1:19" ht="17.25" thickBot="1">
      <c r="A144" s="130" t="s">
        <v>278</v>
      </c>
      <c r="B144" s="131">
        <v>77.599999999999994</v>
      </c>
      <c r="C144" s="79">
        <v>-3.84138786E-2</v>
      </c>
      <c r="D144" s="24">
        <v>78.8</v>
      </c>
      <c r="E144" s="25">
        <f t="shared" si="74"/>
        <v>1.5463917525773233E-2</v>
      </c>
      <c r="F144" s="104">
        <f>IF(ISNUMBER(D144), $B145 * E144, "")</f>
        <v>1546.3917525773234</v>
      </c>
      <c r="G144" s="102">
        <v>76.8</v>
      </c>
      <c r="H144" s="25">
        <f t="shared" si="75"/>
        <v>-1.0309278350515427E-2</v>
      </c>
      <c r="I144" s="103">
        <f>IF(ISNUMBER(G144), $B145 * H144, "")</f>
        <v>-1030.9278350515428</v>
      </c>
      <c r="J144" s="24">
        <v>76.2</v>
      </c>
      <c r="K144" s="25">
        <f t="shared" si="76"/>
        <v>-1.8041237113401953E-2</v>
      </c>
      <c r="L144" s="104">
        <f>IF(ISNUMBER(J144), $B145 * K144, "")</f>
        <v>-1804.1237113401953</v>
      </c>
      <c r="M144" s="102">
        <v>76</v>
      </c>
      <c r="N144" s="25">
        <f t="shared" si="77"/>
        <v>-2.0618556701030855E-2</v>
      </c>
      <c r="O144" s="104">
        <f>IF(ISNUMBER(M144), $B145 * N144, "")</f>
        <v>-2061.8556701030857</v>
      </c>
      <c r="Q144" s="215"/>
      <c r="R144" s="216"/>
      <c r="S144" s="217"/>
    </row>
    <row r="145" spans="1:19" ht="17.25" thickBot="1">
      <c r="A145" s="132" t="s">
        <v>300</v>
      </c>
      <c r="B145" s="276">
        <f>$B$37</f>
        <v>100000</v>
      </c>
      <c r="C145" s="277"/>
      <c r="D145" s="26" t="s">
        <v>301</v>
      </c>
      <c r="E145" s="27">
        <f>IF(COUNT(E125:E144), SUM(E125:E144) / COUNT(E125:E144), 0)</f>
        <v>7.6120534095064876E-2</v>
      </c>
      <c r="F145" s="28">
        <f>SUM(F125:F144)</f>
        <v>152241.06819012979</v>
      </c>
      <c r="G145" s="26" t="s">
        <v>301</v>
      </c>
      <c r="H145" s="27">
        <f>IF(COUNT(H125:H144), SUM(H125:H144) / COUNT(H125:H144), 0)</f>
        <v>-8.3279543663485486E-2</v>
      </c>
      <c r="I145" s="28">
        <f>SUM(I125:I144)</f>
        <v>-166559.087326971</v>
      </c>
      <c r="J145" s="26" t="s">
        <v>301</v>
      </c>
      <c r="K145" s="27">
        <f>IF(COUNT(K125:K144), SUM(K125:K144) / COUNT(K125:K144), 0)</f>
        <v>-0.10404863130355875</v>
      </c>
      <c r="L145" s="28">
        <f>SUM(L125:L144)</f>
        <v>-208097.26260711742</v>
      </c>
      <c r="M145" s="26" t="s">
        <v>301</v>
      </c>
      <c r="N145" s="27">
        <f>IF(COUNT(N125:N144), SUM(N125:N144) / COUNT(N125:N144), 0)</f>
        <v>-0.10921091414586218</v>
      </c>
      <c r="O145" s="28">
        <f>SUM(O125:O144)</f>
        <v>-218421.82829172435</v>
      </c>
      <c r="Q145" s="218"/>
      <c r="R145" s="219"/>
      <c r="S145" s="220"/>
    </row>
    <row r="147" spans="1:19" ht="17.25" thickBot="1"/>
    <row r="148" spans="1:19" ht="17.25" thickBot="1">
      <c r="A148" s="234" t="s">
        <v>289</v>
      </c>
      <c r="B148" s="235"/>
      <c r="C148" s="235"/>
      <c r="D148" s="235"/>
      <c r="E148" s="235"/>
      <c r="F148" s="235"/>
      <c r="G148" s="235"/>
      <c r="H148" s="235"/>
      <c r="I148" s="235"/>
      <c r="J148" s="235"/>
      <c r="K148" s="235"/>
      <c r="L148" s="235"/>
      <c r="M148" s="235"/>
      <c r="N148" s="235"/>
      <c r="O148" s="236"/>
      <c r="Q148" s="233"/>
      <c r="R148" s="233"/>
      <c r="S148" s="233"/>
    </row>
    <row r="149" spans="1:19" ht="17.25" thickBot="1">
      <c r="A149" s="200" t="s">
        <v>297</v>
      </c>
      <c r="B149" s="234" t="s">
        <v>49</v>
      </c>
      <c r="C149" s="236"/>
      <c r="D149" s="234" t="s">
        <v>58</v>
      </c>
      <c r="E149" s="235"/>
      <c r="F149" s="236"/>
      <c r="G149" s="237">
        <f>_xlfn.IFNA(VLOOKUP(B149, 현재가테이블!$B$2:$D$200, 2, FALSE), "-")</f>
        <v>41418000</v>
      </c>
      <c r="H149" s="238"/>
      <c r="I149" s="239"/>
      <c r="J149" s="234" t="s">
        <v>59</v>
      </c>
      <c r="K149" s="235"/>
      <c r="L149" s="236"/>
      <c r="M149" s="240">
        <f>_xlfn.IFNA(VLOOKUP(B149, 현재가테이블!$B$2:$D$200, 3, FALSE), "-")</f>
        <v>-5.2176301000000001E-2</v>
      </c>
      <c r="N149" s="241"/>
      <c r="O149" s="242"/>
      <c r="Q149" s="233"/>
      <c r="R149" s="233"/>
      <c r="S149" s="233"/>
    </row>
    <row r="150" spans="1:19" ht="17.25" thickBot="1">
      <c r="A150" s="278" t="s">
        <v>55</v>
      </c>
      <c r="B150" s="274" t="str">
        <f>TEXT($G$1, "[$-ko-KR]yyyy-mm-dd(ddd) ") &amp; "오전 00:00"</f>
        <v>2021-06-11(금) 오전 00:00</v>
      </c>
      <c r="C150" s="275"/>
      <c r="D150" s="247" t="str">
        <f>TEXT($G$1, "[$-ko-KR]yyyy-mm-dd(ddd) ") &amp; "오후 14:00"</f>
        <v>2021-06-11(금) 오후 14:00</v>
      </c>
      <c r="E150" s="248"/>
      <c r="F150" s="249"/>
      <c r="G150" s="247" t="str">
        <f>TEXT($G$1, "[$-ko-KR]yyyy-mm-dd(ddd) ") &amp; "오후 19:00"</f>
        <v>2021-06-11(금) 오후 19:00</v>
      </c>
      <c r="H150" s="248"/>
      <c r="I150" s="249"/>
      <c r="J150" s="247" t="str">
        <f>TEXT($G$1, "[$-ko-KR]yyyy-mm-dd(ddd) ") &amp; "오후 21:00"</f>
        <v>2021-06-11(금) 오후 21:00</v>
      </c>
      <c r="K150" s="248"/>
      <c r="L150" s="249"/>
      <c r="M150" s="247" t="str">
        <f>TEXT($G$1+1, "[$-ko-KR]yyyy-mm-dd(ddd) ") &amp; "오전 00:00"</f>
        <v>2021-06-12(토) 오전 00:00</v>
      </c>
      <c r="N150" s="248"/>
      <c r="O150" s="249"/>
      <c r="Q150" s="233"/>
      <c r="R150" s="233"/>
      <c r="S150" s="233"/>
    </row>
    <row r="151" spans="1:19" ht="17.25" thickBot="1">
      <c r="A151" s="279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1" t="s">
        <v>58</v>
      </c>
      <c r="H151" s="202" t="s">
        <v>298</v>
      </c>
      <c r="I151" s="20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3"/>
      <c r="R151" s="223"/>
      <c r="S151" s="223"/>
    </row>
    <row r="152" spans="1:19" ht="17.25" thickBot="1">
      <c r="A152" s="161" t="s">
        <v>112</v>
      </c>
      <c r="B152" s="124">
        <v>175</v>
      </c>
      <c r="C152" s="76">
        <v>-1.68539326E-2</v>
      </c>
      <c r="D152" s="13">
        <v>177</v>
      </c>
      <c r="E152" s="14">
        <f>IF(ISNUMBER(D152), (D152 - $B152) / $B152, "")</f>
        <v>1.1428571428571429E-2</v>
      </c>
      <c r="F152" s="16">
        <f>IF(ISNUMBER(D152), $B172 * E152, "")</f>
        <v>1142.8571428571429</v>
      </c>
      <c r="G152" s="29">
        <v>159</v>
      </c>
      <c r="H152" s="14">
        <f>IF(ISNUMBER(G152), (G152 - $B152) / $B152, "")</f>
        <v>-9.1428571428571428E-2</v>
      </c>
      <c r="I152" s="100">
        <f>IF(ISNUMBER(G152), $B172 * H152, "")</f>
        <v>-9142.8571428571431</v>
      </c>
      <c r="J152" s="13">
        <v>154</v>
      </c>
      <c r="K152" s="14">
        <f>IF(ISNUMBER(J152), (J152 - $B152) / $B152, "")</f>
        <v>-0.12</v>
      </c>
      <c r="L152" s="16">
        <f>IF(ISNUMBER(J152), $B172 * K152, "")</f>
        <v>-12000</v>
      </c>
      <c r="M152" s="29">
        <v>152</v>
      </c>
      <c r="N152" s="14">
        <f>IF(ISNUMBER(M152), (M152 - $B152) / $B152, "")</f>
        <v>-0.13142857142857142</v>
      </c>
      <c r="O152" s="16">
        <f>IF(ISNUMBER(M152), $B172 * N152, "")</f>
        <v>-13142.857142857143</v>
      </c>
      <c r="Q152" s="233"/>
      <c r="R152" s="233"/>
      <c r="S152" s="233"/>
    </row>
    <row r="153" spans="1:19" ht="17.25" thickBot="1">
      <c r="A153" s="162" t="s">
        <v>234</v>
      </c>
      <c r="B153" s="126">
        <v>737</v>
      </c>
      <c r="C153" s="77">
        <v>-1.73333333E-2</v>
      </c>
      <c r="D153" s="15">
        <v>780</v>
      </c>
      <c r="E153" s="32">
        <f t="shared" ref="E153:E156" si="78">IF(ISNUMBER(D153), (D153 - $B153) / $B153, "")</f>
        <v>5.8344640434192671E-2</v>
      </c>
      <c r="F153" s="18">
        <f>IF(ISNUMBER(D153), $B172 * E153, "")</f>
        <v>5834.464043419267</v>
      </c>
      <c r="G153" s="31">
        <v>434</v>
      </c>
      <c r="H153" s="32">
        <f t="shared" ref="H153:H156" si="79">IF(ISNUMBER(G153), (G153 - $B153) / $B153, "")</f>
        <v>-0.41112618724559025</v>
      </c>
      <c r="I153" s="101">
        <f>IF(ISNUMBER(G153), $B172 * H153, "")</f>
        <v>-41112.618724559026</v>
      </c>
      <c r="J153" s="15">
        <v>427</v>
      </c>
      <c r="K153" s="32">
        <f t="shared" ref="K153:K156" si="80">IF(ISNUMBER(J153), (J153 - $B153) / $B153, "")</f>
        <v>-0.42062415196743552</v>
      </c>
      <c r="L153" s="18">
        <f>IF(ISNUMBER(J153), $B172 * K153, "")</f>
        <v>-42062.415196743554</v>
      </c>
      <c r="M153" s="31">
        <v>450</v>
      </c>
      <c r="N153" s="32">
        <f t="shared" ref="N153:N156" si="81">IF(ISNUMBER(M153), (M153 - $B153) / $B153, "")</f>
        <v>-0.38941655359565808</v>
      </c>
      <c r="O153" s="18">
        <f>IF(ISNUMBER(M153), $B172 * N153, "")</f>
        <v>-38941.655359565804</v>
      </c>
      <c r="Q153" s="233"/>
      <c r="R153" s="233"/>
      <c r="S153" s="233"/>
    </row>
    <row r="154" spans="1:19" ht="17.25" thickBot="1">
      <c r="A154" s="162" t="s">
        <v>226</v>
      </c>
      <c r="B154" s="126">
        <v>277</v>
      </c>
      <c r="C154" s="77">
        <v>-1.7730496500000002E-2</v>
      </c>
      <c r="D154" s="15">
        <v>286</v>
      </c>
      <c r="E154" s="32">
        <f t="shared" si="78"/>
        <v>3.2490974729241874E-2</v>
      </c>
      <c r="F154" s="18">
        <f>IF(ISNUMBER(D154), $B172 * E154, "")</f>
        <v>3249.0974729241875</v>
      </c>
      <c r="G154" s="31">
        <v>258</v>
      </c>
      <c r="H154" s="32">
        <f t="shared" si="79"/>
        <v>-6.8592057761732855E-2</v>
      </c>
      <c r="I154" s="101">
        <f>IF(ISNUMBER(G154), $B172 * H154, "")</f>
        <v>-6859.2057761732858</v>
      </c>
      <c r="J154" s="15">
        <v>253</v>
      </c>
      <c r="K154" s="32">
        <f t="shared" si="80"/>
        <v>-8.6642599277978335E-2</v>
      </c>
      <c r="L154" s="18">
        <f>IF(ISNUMBER(J154), $B172 * K154, "")</f>
        <v>-8664.2599277978334</v>
      </c>
      <c r="M154" s="31">
        <v>250</v>
      </c>
      <c r="N154" s="32">
        <f t="shared" si="81"/>
        <v>-9.7472924187725629E-2</v>
      </c>
      <c r="O154" s="18">
        <f>IF(ISNUMBER(M154), $B172 * N154, "")</f>
        <v>-9747.2924187725621</v>
      </c>
      <c r="Q154" s="223"/>
      <c r="R154" s="223"/>
      <c r="S154" s="223"/>
    </row>
    <row r="155" spans="1:19" ht="17.25" thickBot="1">
      <c r="A155" s="162" t="s">
        <v>256</v>
      </c>
      <c r="B155" s="126">
        <v>160</v>
      </c>
      <c r="C155" s="77">
        <v>-1.8404908000000001E-2</v>
      </c>
      <c r="D155" s="15">
        <v>165</v>
      </c>
      <c r="E155" s="32">
        <f t="shared" si="78"/>
        <v>3.125E-2</v>
      </c>
      <c r="F155" s="18">
        <f>IF(ISNUMBER(D155), $B172 * E155, "")</f>
        <v>3125</v>
      </c>
      <c r="G155" s="31">
        <v>171</v>
      </c>
      <c r="H155" s="32">
        <f t="shared" si="79"/>
        <v>6.8750000000000006E-2</v>
      </c>
      <c r="I155" s="101">
        <f>IF(ISNUMBER(G155), $B172 * H155, "")</f>
        <v>6875.0000000000009</v>
      </c>
      <c r="J155" s="15">
        <v>171</v>
      </c>
      <c r="K155" s="32">
        <f t="shared" si="80"/>
        <v>6.8750000000000006E-2</v>
      </c>
      <c r="L155" s="18">
        <f>IF(ISNUMBER(J155), $B172 * K155, "")</f>
        <v>6875.0000000000009</v>
      </c>
      <c r="M155" s="31">
        <v>163</v>
      </c>
      <c r="N155" s="32">
        <f t="shared" si="81"/>
        <v>1.8749999999999999E-2</v>
      </c>
      <c r="O155" s="18">
        <f>IF(ISNUMBER(M155), $B172 * N155, "")</f>
        <v>1875</v>
      </c>
      <c r="Q155" s="223"/>
      <c r="R155" s="223"/>
      <c r="S155" s="223"/>
    </row>
    <row r="156" spans="1:19" ht="17.25" thickBot="1">
      <c r="A156" s="163" t="s">
        <v>270</v>
      </c>
      <c r="B156" s="128">
        <v>339</v>
      </c>
      <c r="C156" s="78">
        <v>-2.02312139E-2</v>
      </c>
      <c r="D156" s="20">
        <v>343</v>
      </c>
      <c r="E156" s="21">
        <f t="shared" si="78"/>
        <v>1.1799410029498525E-2</v>
      </c>
      <c r="F156" s="22">
        <f>IF(ISNUMBER(D156), $B172 * E156, "")</f>
        <v>1179.9410029498524</v>
      </c>
      <c r="G156" s="30">
        <v>331</v>
      </c>
      <c r="H156" s="21">
        <f t="shared" si="79"/>
        <v>-2.359882005899705E-2</v>
      </c>
      <c r="I156" s="105">
        <f>IF(ISNUMBER(G156), $B172 * H156, "")</f>
        <v>-2359.8820058997048</v>
      </c>
      <c r="J156" s="20">
        <v>332</v>
      </c>
      <c r="K156" s="21">
        <f t="shared" si="80"/>
        <v>-2.0648967551622419E-2</v>
      </c>
      <c r="L156" s="22">
        <f>IF(ISNUMBER(J156), $B172 * K156, "")</f>
        <v>-2064.8967551622418</v>
      </c>
      <c r="M156" s="30">
        <v>328</v>
      </c>
      <c r="N156" s="21">
        <f t="shared" si="81"/>
        <v>-3.2448377581120944E-2</v>
      </c>
      <c r="O156" s="22">
        <f>IF(ISNUMBER(M156), $B172 * N156, "")</f>
        <v>-3244.8377581120944</v>
      </c>
      <c r="Q156" s="223"/>
      <c r="R156" s="223"/>
      <c r="S156" s="223"/>
    </row>
    <row r="157" spans="1:19" ht="17.25" thickBot="1">
      <c r="A157" s="162" t="s">
        <v>258</v>
      </c>
      <c r="B157" s="129">
        <v>446</v>
      </c>
      <c r="C157" s="80">
        <v>-2.1929824600000002E-2</v>
      </c>
      <c r="D157" s="106">
        <v>452</v>
      </c>
      <c r="E157" s="107">
        <f>IF(ISNUMBER(D157), (D157 - $B157) / $B157, "")</f>
        <v>1.3452914798206279E-2</v>
      </c>
      <c r="F157" s="108">
        <f>IF(ISNUMBER(D157), $B172 * E157, "")</f>
        <v>1345.291479820628</v>
      </c>
      <c r="G157" s="109">
        <v>429</v>
      </c>
      <c r="H157" s="107">
        <f>IF(ISNUMBER(G157), (G157 - $B157) / $B157, "")</f>
        <v>-3.811659192825112E-2</v>
      </c>
      <c r="I157" s="110">
        <f>IF(ISNUMBER(G157), $B172 * H157, "")</f>
        <v>-3811.6591928251119</v>
      </c>
      <c r="J157" s="106">
        <v>418</v>
      </c>
      <c r="K157" s="107">
        <f>IF(ISNUMBER(J157), (J157 - $B157) / $B157, "")</f>
        <v>-6.2780269058295965E-2</v>
      </c>
      <c r="L157" s="108">
        <f>IF(ISNUMBER(J157), $B172 * K157, "")</f>
        <v>-6278.0269058295962</v>
      </c>
      <c r="M157" s="109">
        <v>418</v>
      </c>
      <c r="N157" s="107">
        <f>IF(ISNUMBER(M157), (M157 - $B157) / $B157, "")</f>
        <v>-6.2780269058295965E-2</v>
      </c>
      <c r="O157" s="108">
        <f>IF(ISNUMBER(M157), $B172 * N157, "")</f>
        <v>-6278.0269058295962</v>
      </c>
      <c r="Q157" s="223"/>
      <c r="R157" s="223"/>
      <c r="S157" s="223"/>
    </row>
    <row r="158" spans="1:19" ht="17.25" thickBot="1">
      <c r="A158" s="162" t="s">
        <v>262</v>
      </c>
      <c r="B158" s="126">
        <v>568</v>
      </c>
      <c r="C158" s="77">
        <v>-2.4054982799999999E-2</v>
      </c>
      <c r="D158" s="15">
        <v>591</v>
      </c>
      <c r="E158" s="32">
        <f t="shared" ref="E158:E161" si="82">IF(ISNUMBER(D158), (D158 - $B158) / $B158, "")</f>
        <v>4.0492957746478875E-2</v>
      </c>
      <c r="F158" s="18">
        <f>IF(ISNUMBER(D158), $B172 * E158, "")</f>
        <v>4049.2957746478874</v>
      </c>
      <c r="G158" s="31">
        <v>558</v>
      </c>
      <c r="H158" s="32">
        <f t="shared" ref="H158:H161" si="83">IF(ISNUMBER(G158), (G158 - $B158) / $B158, "")</f>
        <v>-1.7605633802816902E-2</v>
      </c>
      <c r="I158" s="101">
        <f>IF(ISNUMBER(G158), $B172 * H158, "")</f>
        <v>-1760.5633802816901</v>
      </c>
      <c r="J158" s="15">
        <v>544</v>
      </c>
      <c r="K158" s="32">
        <f t="shared" ref="K158:K161" si="84">IF(ISNUMBER(J158), (J158 - $B158) / $B158, "")</f>
        <v>-4.2253521126760563E-2</v>
      </c>
      <c r="L158" s="18">
        <f>IF(ISNUMBER(J158), $B172 * K158, "")</f>
        <v>-4225.3521126760561</v>
      </c>
      <c r="M158" s="31">
        <v>536</v>
      </c>
      <c r="N158" s="32">
        <f t="shared" ref="N158:N161" si="85">IF(ISNUMBER(M158), (M158 - $B158) / $B158, "")</f>
        <v>-5.6338028169014086E-2</v>
      </c>
      <c r="O158" s="18">
        <f>IF(ISNUMBER(M158), $B172 * N158, "")</f>
        <v>-5633.8028169014087</v>
      </c>
      <c r="Q158" s="223"/>
      <c r="R158" s="223"/>
      <c r="S158" s="223"/>
    </row>
    <row r="159" spans="1:19" ht="17.25" thickBot="1">
      <c r="A159" s="162" t="s">
        <v>57</v>
      </c>
      <c r="B159" s="126">
        <v>198</v>
      </c>
      <c r="C159" s="77">
        <v>-2.46305419E-2</v>
      </c>
      <c r="D159" s="15">
        <v>197</v>
      </c>
      <c r="E159" s="32">
        <f t="shared" si="82"/>
        <v>-5.0505050505050509E-3</v>
      </c>
      <c r="F159" s="18">
        <f>IF(ISNUMBER(D159), $B172 * E159, "")</f>
        <v>-505.05050505050508</v>
      </c>
      <c r="G159" s="31">
        <v>198</v>
      </c>
      <c r="H159" s="32">
        <f t="shared" si="83"/>
        <v>0</v>
      </c>
      <c r="I159" s="101">
        <f>IF(ISNUMBER(G159), $B172 * H159, "")</f>
        <v>0</v>
      </c>
      <c r="J159" s="15">
        <v>196</v>
      </c>
      <c r="K159" s="32">
        <f t="shared" si="84"/>
        <v>-1.0101010101010102E-2</v>
      </c>
      <c r="L159" s="18">
        <f>IF(ISNUMBER(J159), $B172 * K159, "")</f>
        <v>-1010.1010101010102</v>
      </c>
      <c r="M159" s="31">
        <v>194</v>
      </c>
      <c r="N159" s="32">
        <f t="shared" si="85"/>
        <v>-2.0202020202020204E-2</v>
      </c>
      <c r="O159" s="18">
        <f>IF(ISNUMBER(M159), $B172 * N159, "")</f>
        <v>-2020.2020202020203</v>
      </c>
      <c r="Q159" s="223"/>
      <c r="R159" s="223"/>
      <c r="S159" s="223"/>
    </row>
    <row r="160" spans="1:19" ht="17.25" thickBot="1">
      <c r="A160" s="162" t="s">
        <v>128</v>
      </c>
      <c r="B160" s="126">
        <v>334</v>
      </c>
      <c r="C160" s="77">
        <v>-2.6239067099999999E-2</v>
      </c>
      <c r="D160" s="15">
        <v>334</v>
      </c>
      <c r="E160" s="32">
        <f t="shared" si="82"/>
        <v>0</v>
      </c>
      <c r="F160" s="18">
        <f>IF(ISNUMBER(D160), $B172 * E160, "")</f>
        <v>0</v>
      </c>
      <c r="G160" s="31">
        <v>332</v>
      </c>
      <c r="H160" s="32">
        <f t="shared" si="83"/>
        <v>-5.9880239520958087E-3</v>
      </c>
      <c r="I160" s="101">
        <f>IF(ISNUMBER(G160), $B172 * H160, "")</f>
        <v>-598.80239520958082</v>
      </c>
      <c r="J160" s="15">
        <v>325</v>
      </c>
      <c r="K160" s="32">
        <f t="shared" si="84"/>
        <v>-2.6946107784431138E-2</v>
      </c>
      <c r="L160" s="18">
        <f>IF(ISNUMBER(J160), $B172 * K160, "")</f>
        <v>-2694.6107784431138</v>
      </c>
      <c r="M160" s="31">
        <v>324</v>
      </c>
      <c r="N160" s="32">
        <f t="shared" si="85"/>
        <v>-2.9940119760479042E-2</v>
      </c>
      <c r="O160" s="18">
        <f>IF(ISNUMBER(M160), $B172 * N160, "")</f>
        <v>-2994.0119760479042</v>
      </c>
      <c r="Q160" s="33"/>
      <c r="R160" s="33"/>
    </row>
    <row r="161" spans="1:19" ht="17.25" thickBot="1">
      <c r="A161" s="130" t="s">
        <v>120</v>
      </c>
      <c r="B161" s="131">
        <v>139</v>
      </c>
      <c r="C161" s="79">
        <v>-2.7972027999999999E-2</v>
      </c>
      <c r="D161" s="24">
        <v>139</v>
      </c>
      <c r="E161" s="25">
        <f t="shared" si="82"/>
        <v>0</v>
      </c>
      <c r="F161" s="104">
        <f>IF(ISNUMBER(D161), $B172 * E161, "")</f>
        <v>0</v>
      </c>
      <c r="G161" s="102">
        <v>138</v>
      </c>
      <c r="H161" s="25">
        <f t="shared" si="83"/>
        <v>-7.1942446043165471E-3</v>
      </c>
      <c r="I161" s="103">
        <f>IF(ISNUMBER(G161), $B172 * H161, "")</f>
        <v>-719.42446043165467</v>
      </c>
      <c r="J161" s="24">
        <v>137</v>
      </c>
      <c r="K161" s="25">
        <f t="shared" si="84"/>
        <v>-1.4388489208633094E-2</v>
      </c>
      <c r="L161" s="104">
        <f>IF(ISNUMBER(J161), $B172 * K161, "")</f>
        <v>-1438.8489208633093</v>
      </c>
      <c r="M161" s="102">
        <v>139</v>
      </c>
      <c r="N161" s="25">
        <f t="shared" si="85"/>
        <v>0</v>
      </c>
      <c r="O161" s="104">
        <f>IF(ISNUMBER(M161), $B172 * N161, "")</f>
        <v>0</v>
      </c>
      <c r="Q161" s="224"/>
      <c r="R161" s="225"/>
      <c r="S161" s="226"/>
    </row>
    <row r="162" spans="1:19">
      <c r="A162" s="161" t="s">
        <v>88</v>
      </c>
      <c r="B162" s="124">
        <v>270</v>
      </c>
      <c r="C162" s="76">
        <v>-3.2258064500000003E-2</v>
      </c>
      <c r="D162" s="13">
        <v>313</v>
      </c>
      <c r="E162" s="14">
        <f>IF(ISNUMBER(D162), (D162 - $B162) / $B162, "")</f>
        <v>0.15925925925925927</v>
      </c>
      <c r="F162" s="16">
        <f>IF(ISNUMBER(D162), $B172 * E162, "")</f>
        <v>15925.925925925927</v>
      </c>
      <c r="G162" s="29">
        <v>381</v>
      </c>
      <c r="H162" s="14">
        <f>IF(ISNUMBER(G162), (G162 - $B162) / $B162, "")</f>
        <v>0.41111111111111109</v>
      </c>
      <c r="I162" s="100">
        <f>IF(ISNUMBER(G162), $B172 * H162, "")</f>
        <v>41111.111111111109</v>
      </c>
      <c r="J162" s="13">
        <v>398</v>
      </c>
      <c r="K162" s="14">
        <f>IF(ISNUMBER(J162), (J162 - $B162) / $B162, "")</f>
        <v>0.47407407407407409</v>
      </c>
      <c r="L162" s="16">
        <f>IF(ISNUMBER(J162), $B172 * K162, "")</f>
        <v>47407.407407407409</v>
      </c>
      <c r="M162" s="29">
        <v>372</v>
      </c>
      <c r="N162" s="14">
        <f>IF(ISNUMBER(M162), (M162 - $B162) / $B162, "")</f>
        <v>0.37777777777777777</v>
      </c>
      <c r="O162" s="16">
        <f>IF(ISNUMBER(M162), $B172 * N162, "")</f>
        <v>37777.777777777774</v>
      </c>
      <c r="Q162" s="227"/>
      <c r="R162" s="228"/>
      <c r="S162" s="229"/>
    </row>
    <row r="163" spans="1:19" ht="17.25" thickBot="1">
      <c r="A163" s="162" t="s">
        <v>296</v>
      </c>
      <c r="B163" s="126">
        <v>383</v>
      </c>
      <c r="C163" s="77">
        <v>-3.52644836E-2</v>
      </c>
      <c r="D163" s="15">
        <v>377</v>
      </c>
      <c r="E163" s="32">
        <f t="shared" ref="E163:E166" si="86">IF(ISNUMBER(D163), (D163 - $B163) / $B163, "")</f>
        <v>-1.5665796344647518E-2</v>
      </c>
      <c r="F163" s="18">
        <f>IF(ISNUMBER(D163), $B172 * E163, "")</f>
        <v>-1566.5796344647517</v>
      </c>
      <c r="G163" s="31">
        <v>374</v>
      </c>
      <c r="H163" s="32">
        <f t="shared" ref="H163:H166" si="87">IF(ISNUMBER(G163), (G163 - $B163) / $B163, "")</f>
        <v>-2.3498694516971279E-2</v>
      </c>
      <c r="I163" s="101">
        <f>IF(ISNUMBER(G163), $B172 * H163, "")</f>
        <v>-2349.8694516971277</v>
      </c>
      <c r="J163" s="15">
        <v>374</v>
      </c>
      <c r="K163" s="32">
        <f t="shared" ref="K163:K166" si="88">IF(ISNUMBER(J163), (J163 - $B163) / $B163, "")</f>
        <v>-2.3498694516971279E-2</v>
      </c>
      <c r="L163" s="18">
        <f>IF(ISNUMBER(J163), $B172 * K163, "")</f>
        <v>-2349.8694516971277</v>
      </c>
      <c r="M163" s="31">
        <v>370</v>
      </c>
      <c r="N163" s="32">
        <f t="shared" ref="N163:N166" si="89">IF(ISNUMBER(M163), (M163 - $B163) / $B163, "")</f>
        <v>-3.3942558746736295E-2</v>
      </c>
      <c r="O163" s="18">
        <f>IF(ISNUMBER(M163), $B172 * N163, "")</f>
        <v>-3394.2558746736295</v>
      </c>
      <c r="Q163" s="230"/>
      <c r="R163" s="231"/>
      <c r="S163" s="232"/>
    </row>
    <row r="164" spans="1:19" ht="17.25" thickBot="1">
      <c r="A164" s="162" t="s">
        <v>170</v>
      </c>
      <c r="B164" s="126">
        <v>270</v>
      </c>
      <c r="C164" s="77">
        <v>-3.5714285700000001E-2</v>
      </c>
      <c r="D164" s="15">
        <v>281</v>
      </c>
      <c r="E164" s="32">
        <f t="shared" si="86"/>
        <v>4.0740740740740744E-2</v>
      </c>
      <c r="F164" s="18">
        <f>IF(ISNUMBER(D164), $B172 * E164, "")</f>
        <v>4074.0740740740744</v>
      </c>
      <c r="G164" s="31">
        <v>267</v>
      </c>
      <c r="H164" s="32">
        <f t="shared" si="87"/>
        <v>-1.1111111111111112E-2</v>
      </c>
      <c r="I164" s="101">
        <f>IF(ISNUMBER(G164), $B172 * H164, "")</f>
        <v>-1111.1111111111111</v>
      </c>
      <c r="J164" s="15">
        <v>264</v>
      </c>
      <c r="K164" s="32">
        <f t="shared" si="88"/>
        <v>-2.2222222222222223E-2</v>
      </c>
      <c r="L164" s="18">
        <f>IF(ISNUMBER(J164), $B172 * K164, "")</f>
        <v>-2222.2222222222222</v>
      </c>
      <c r="M164" s="31">
        <v>265</v>
      </c>
      <c r="N164" s="32">
        <f t="shared" si="89"/>
        <v>-1.8518518518518517E-2</v>
      </c>
      <c r="O164" s="18">
        <f>IF(ISNUMBER(M164), $B172 * N164, "")</f>
        <v>-1851.8518518518517</v>
      </c>
      <c r="Q164" s="223"/>
      <c r="R164" s="223"/>
      <c r="S164" s="223"/>
    </row>
    <row r="165" spans="1:19" ht="17.25" thickBot="1">
      <c r="A165" s="162" t="s">
        <v>136</v>
      </c>
      <c r="B165" s="126">
        <v>127</v>
      </c>
      <c r="C165" s="77">
        <v>-3.7878787900000002E-2</v>
      </c>
      <c r="D165" s="15">
        <v>127</v>
      </c>
      <c r="E165" s="32">
        <f t="shared" si="86"/>
        <v>0</v>
      </c>
      <c r="F165" s="18">
        <f>IF(ISNUMBER(D165), $B172 * E165, "")</f>
        <v>0</v>
      </c>
      <c r="G165" s="31">
        <v>129</v>
      </c>
      <c r="H165" s="32">
        <f t="shared" si="87"/>
        <v>1.5748031496062992E-2</v>
      </c>
      <c r="I165" s="101">
        <f>IF(ISNUMBER(G165), $B172 * H165, "")</f>
        <v>1574.8031496062993</v>
      </c>
      <c r="J165" s="15">
        <v>126</v>
      </c>
      <c r="K165" s="32">
        <f t="shared" si="88"/>
        <v>-7.874015748031496E-3</v>
      </c>
      <c r="L165" s="18">
        <f>IF(ISNUMBER(J165), $B172 * K165, "")</f>
        <v>-787.40157480314963</v>
      </c>
      <c r="M165" s="31">
        <v>129</v>
      </c>
      <c r="N165" s="32">
        <f t="shared" si="89"/>
        <v>1.5748031496062992E-2</v>
      </c>
      <c r="O165" s="18">
        <f>IF(ISNUMBER(M165), $B172 * N165, "")</f>
        <v>1574.8031496062993</v>
      </c>
      <c r="Q165" s="233"/>
      <c r="R165" s="233"/>
      <c r="S165" s="233"/>
    </row>
    <row r="166" spans="1:19" ht="17.25" thickBot="1">
      <c r="A166" s="163" t="s">
        <v>61</v>
      </c>
      <c r="B166" s="128">
        <v>817</v>
      </c>
      <c r="C166" s="78">
        <v>-4.1079812200000003E-2</v>
      </c>
      <c r="D166" s="20">
        <v>803</v>
      </c>
      <c r="E166" s="21">
        <f t="shared" si="86"/>
        <v>-1.7135862913096694E-2</v>
      </c>
      <c r="F166" s="22">
        <f>IF(ISNUMBER(D166), $B172 * E166, "")</f>
        <v>-1713.5862913096694</v>
      </c>
      <c r="G166" s="30">
        <v>885</v>
      </c>
      <c r="H166" s="21">
        <f t="shared" si="87"/>
        <v>8.3231334149326805E-2</v>
      </c>
      <c r="I166" s="105">
        <f>IF(ISNUMBER(G166), $B172 * H166, "")</f>
        <v>8323.1334149326813</v>
      </c>
      <c r="J166" s="20">
        <v>885</v>
      </c>
      <c r="K166" s="21">
        <f t="shared" si="88"/>
        <v>8.3231334149326805E-2</v>
      </c>
      <c r="L166" s="22">
        <f>IF(ISNUMBER(J166), $B172 * K166, "")</f>
        <v>8323.1334149326813</v>
      </c>
      <c r="M166" s="30">
        <v>850</v>
      </c>
      <c r="N166" s="21">
        <f t="shared" si="89"/>
        <v>4.0391676866585069E-2</v>
      </c>
      <c r="O166" s="22">
        <f>IF(ISNUMBER(M166), $B172 * N166, "")</f>
        <v>4039.1676866585067</v>
      </c>
      <c r="Q166" s="233"/>
      <c r="R166" s="233"/>
      <c r="S166" s="233"/>
    </row>
    <row r="167" spans="1:19" ht="17.25" thickBot="1">
      <c r="A167" s="162" t="s">
        <v>132</v>
      </c>
      <c r="B167" s="129">
        <v>132</v>
      </c>
      <c r="C167" s="80">
        <v>-4.3478260900000003E-2</v>
      </c>
      <c r="D167" s="106">
        <v>131</v>
      </c>
      <c r="E167" s="107">
        <f>IF(ISNUMBER(D167), (D167 - $B167) / $B167, "")</f>
        <v>-7.575757575757576E-3</v>
      </c>
      <c r="F167" s="108">
        <f>IF(ISNUMBER(D167), $B172 * E167, "")</f>
        <v>-757.57575757575762</v>
      </c>
      <c r="G167" s="109">
        <v>132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130</v>
      </c>
      <c r="K167" s="107">
        <f>IF(ISNUMBER(J167), (J167 - $B167) / $B167, "")</f>
        <v>-1.5151515151515152E-2</v>
      </c>
      <c r="L167" s="108">
        <f>IF(ISNUMBER(J167), $B172 * K167, "")</f>
        <v>-1515.1515151515152</v>
      </c>
      <c r="M167" s="109">
        <v>129</v>
      </c>
      <c r="N167" s="107">
        <f>IF(ISNUMBER(M167), (M167 - $B167) / $B167, "")</f>
        <v>-2.2727272727272728E-2</v>
      </c>
      <c r="O167" s="108">
        <f>IF(ISNUMBER(M167), $B172 * N167, "")</f>
        <v>-2272.727272727273</v>
      </c>
      <c r="Q167" s="223"/>
      <c r="R167" s="223"/>
      <c r="S167" s="223"/>
    </row>
    <row r="168" spans="1:19" ht="17.25" thickBot="1">
      <c r="A168" s="162" t="s">
        <v>80</v>
      </c>
      <c r="B168" s="126">
        <v>767</v>
      </c>
      <c r="C168" s="77">
        <v>-5.4254007399999998E-2</v>
      </c>
      <c r="D168" s="15">
        <v>764</v>
      </c>
      <c r="E168" s="32">
        <f t="shared" ref="E168:E171" si="90">IF(ISNUMBER(D168), (D168 - $B168) / $B168, "")</f>
        <v>-3.9113428943937422E-3</v>
      </c>
      <c r="F168" s="18">
        <f>IF(ISNUMBER(D168), $B172 * E168, "")</f>
        <v>-391.13428943937424</v>
      </c>
      <c r="G168" s="31">
        <v>784</v>
      </c>
      <c r="H168" s="32">
        <f t="shared" ref="H168:H171" si="91">IF(ISNUMBER(G168), (G168 - $B168) / $B168, "")</f>
        <v>2.2164276401564539E-2</v>
      </c>
      <c r="I168" s="101">
        <f>IF(ISNUMBER(G168), $B172 * H168, "")</f>
        <v>2216.4276401564539</v>
      </c>
      <c r="J168" s="15">
        <v>807</v>
      </c>
      <c r="K168" s="32">
        <f t="shared" ref="K168:K171" si="92">IF(ISNUMBER(J168), (J168 - $B168) / $B168, "")</f>
        <v>5.215123859191656E-2</v>
      </c>
      <c r="L168" s="18">
        <f>IF(ISNUMBER(J168), $B172 * K168, "")</f>
        <v>5215.1238591916563</v>
      </c>
      <c r="M168" s="31">
        <v>805</v>
      </c>
      <c r="N168" s="32">
        <f t="shared" ref="N168:N171" si="93">IF(ISNUMBER(M168), (M168 - $B168) / $B168, "")</f>
        <v>4.9543676662320728E-2</v>
      </c>
      <c r="O168" s="18">
        <f>IF(ISNUMBER(M168), $B172 * N168, "")</f>
        <v>4954.3676662320731</v>
      </c>
      <c r="Q168" s="223"/>
      <c r="R168" s="223"/>
      <c r="S168" s="223"/>
    </row>
    <row r="169" spans="1:19" ht="17.25" thickBot="1">
      <c r="A169" s="162" t="s">
        <v>142</v>
      </c>
      <c r="B169" s="126">
        <v>630</v>
      </c>
      <c r="C169" s="77">
        <v>-5.82959641E-2</v>
      </c>
      <c r="D169" s="15">
        <v>563</v>
      </c>
      <c r="E169" s="32">
        <f t="shared" si="90"/>
        <v>-0.10634920634920635</v>
      </c>
      <c r="F169" s="18">
        <f>IF(ISNUMBER(D169), $B172 * E169, "")</f>
        <v>-10634.920634920634</v>
      </c>
      <c r="G169" s="31">
        <v>566</v>
      </c>
      <c r="H169" s="32">
        <f t="shared" si="91"/>
        <v>-0.10158730158730159</v>
      </c>
      <c r="I169" s="101">
        <f>IF(ISNUMBER(G169), $B172 * H169, "")</f>
        <v>-10158.730158730159</v>
      </c>
      <c r="J169" s="15">
        <v>559</v>
      </c>
      <c r="K169" s="32">
        <f t="shared" si="92"/>
        <v>-0.1126984126984127</v>
      </c>
      <c r="L169" s="18">
        <f>IF(ISNUMBER(J169), $B172 * K169, "")</f>
        <v>-11269.84126984127</v>
      </c>
      <c r="M169" s="31">
        <v>553</v>
      </c>
      <c r="N169" s="32">
        <f t="shared" si="93"/>
        <v>-0.12222222222222222</v>
      </c>
      <c r="O169" s="18">
        <f>IF(ISNUMBER(M169), $B172 * N169, "")</f>
        <v>-12222.222222222223</v>
      </c>
      <c r="Q169" s="223"/>
      <c r="R169" s="223"/>
      <c r="S169" s="223"/>
    </row>
    <row r="170" spans="1:19">
      <c r="A170" s="162" t="s">
        <v>54</v>
      </c>
      <c r="B170" s="126">
        <v>237</v>
      </c>
      <c r="C170" s="77">
        <v>-5.9523809499999997E-2</v>
      </c>
      <c r="D170" s="15">
        <v>242</v>
      </c>
      <c r="E170" s="32">
        <f t="shared" si="90"/>
        <v>2.1097046413502109E-2</v>
      </c>
      <c r="F170" s="18">
        <f>IF(ISNUMBER(D170), $B172 * E170, "")</f>
        <v>2109.7046413502107</v>
      </c>
      <c r="G170" s="31">
        <v>241</v>
      </c>
      <c r="H170" s="32">
        <f t="shared" si="91"/>
        <v>1.6877637130801686E-2</v>
      </c>
      <c r="I170" s="101">
        <f>IF(ISNUMBER(G170), $B172 * H170, "")</f>
        <v>1687.7637130801686</v>
      </c>
      <c r="J170" s="15">
        <v>236</v>
      </c>
      <c r="K170" s="32">
        <f t="shared" si="92"/>
        <v>-4.2194092827004216E-3</v>
      </c>
      <c r="L170" s="18">
        <f>IF(ISNUMBER(J170), $B172 * K170, "")</f>
        <v>-421.94092827004215</v>
      </c>
      <c r="M170" s="31">
        <v>240</v>
      </c>
      <c r="N170" s="32">
        <f t="shared" si="93"/>
        <v>1.2658227848101266E-2</v>
      </c>
      <c r="O170" s="18">
        <f>IF(ISNUMBER(M170), $B172 * N170, "")</f>
        <v>1265.8227848101264</v>
      </c>
      <c r="Q170" s="212"/>
      <c r="R170" s="213"/>
      <c r="S170" s="214"/>
    </row>
    <row r="171" spans="1:19" ht="17.25" thickBot="1">
      <c r="A171" s="130" t="s">
        <v>51</v>
      </c>
      <c r="B171" s="131">
        <v>396</v>
      </c>
      <c r="C171" s="79">
        <v>-6.3829787200000002E-2</v>
      </c>
      <c r="D171" s="24">
        <v>389</v>
      </c>
      <c r="E171" s="25">
        <f t="shared" si="90"/>
        <v>-1.7676767676767676E-2</v>
      </c>
      <c r="F171" s="104">
        <f>IF(ISNUMBER(D171), $B172 * E171, "")</f>
        <v>-1767.6767676767677</v>
      </c>
      <c r="G171" s="102">
        <v>392</v>
      </c>
      <c r="H171" s="25">
        <f t="shared" si="91"/>
        <v>-1.0101010101010102E-2</v>
      </c>
      <c r="I171" s="103">
        <f>IF(ISNUMBER(G171), $B172 * H171, "")</f>
        <v>-1010.1010101010102</v>
      </c>
      <c r="J171" s="24">
        <v>389</v>
      </c>
      <c r="K171" s="25">
        <f t="shared" si="92"/>
        <v>-1.7676767676767676E-2</v>
      </c>
      <c r="L171" s="104">
        <f>IF(ISNUMBER(J171), $B172 * K171, "")</f>
        <v>-1767.6767676767677</v>
      </c>
      <c r="M171" s="102">
        <v>387</v>
      </c>
      <c r="N171" s="25">
        <f t="shared" si="93"/>
        <v>-2.2727272727272728E-2</v>
      </c>
      <c r="O171" s="104">
        <f>IF(ISNUMBER(M171), $B172 * N171, "")</f>
        <v>-2272.727272727273</v>
      </c>
      <c r="Q171" s="215"/>
      <c r="R171" s="216"/>
      <c r="S171" s="217"/>
    </row>
    <row r="172" spans="1:19" ht="17.25" thickBot="1">
      <c r="A172" s="132" t="s">
        <v>300</v>
      </c>
      <c r="B172" s="276">
        <f>$B$37</f>
        <v>100000</v>
      </c>
      <c r="C172" s="277"/>
      <c r="D172" s="26" t="s">
        <v>301</v>
      </c>
      <c r="E172" s="27">
        <f>IF(COUNT(E152:E171), SUM(E152:E171) / COUNT(E152:E171), 0)</f>
        <v>1.2349563838765856E-2</v>
      </c>
      <c r="F172" s="28">
        <f>SUM(F152:F171)</f>
        <v>24699.127677531706</v>
      </c>
      <c r="G172" s="26" t="s">
        <v>301</v>
      </c>
      <c r="H172" s="27">
        <f>IF(COUNT(H152:H171), SUM(H152:H171) / COUNT(H152:H171), 0)</f>
        <v>-9.6032928904949445E-3</v>
      </c>
      <c r="I172" s="28">
        <f>SUM(I152:I171)</f>
        <v>-19206.585780989903</v>
      </c>
      <c r="J172" s="26" t="s">
        <v>301</v>
      </c>
      <c r="K172" s="27">
        <f>IF(COUNT(K152:K171), SUM(K152:K171) / COUNT(K152:K171), 0)</f>
        <v>-1.6475975327873524E-2</v>
      </c>
      <c r="L172" s="28">
        <f>SUM(L152:L171)</f>
        <v>-32951.950655747052</v>
      </c>
      <c r="M172" s="26" t="s">
        <v>301</v>
      </c>
      <c r="N172" s="27">
        <f>IF(COUNT(N152:N171), SUM(N152:N171) / COUNT(N152:N171), 0)</f>
        <v>-2.6264765913703005E-2</v>
      </c>
      <c r="O172" s="28">
        <f>SUM(O152:O171)</f>
        <v>-52529.531827406005</v>
      </c>
      <c r="Q172" s="218"/>
      <c r="R172" s="219"/>
      <c r="S172" s="220"/>
    </row>
    <row r="174" spans="1:19" ht="17.25" thickBot="1"/>
    <row r="175" spans="1:19" ht="17.25" thickBot="1">
      <c r="A175" s="234" t="s">
        <v>285</v>
      </c>
      <c r="B175" s="235"/>
      <c r="C175" s="235"/>
      <c r="D175" s="235"/>
      <c r="E175" s="235"/>
      <c r="F175" s="235"/>
      <c r="G175" s="235"/>
      <c r="H175" s="235"/>
      <c r="I175" s="235"/>
      <c r="J175" s="235"/>
      <c r="K175" s="235"/>
      <c r="L175" s="235"/>
      <c r="M175" s="235"/>
      <c r="N175" s="235"/>
      <c r="O175" s="236"/>
      <c r="Q175" s="233"/>
      <c r="R175" s="233"/>
      <c r="S175" s="233"/>
    </row>
    <row r="176" spans="1:19" ht="17.25" thickBot="1">
      <c r="A176" s="200" t="s">
        <v>297</v>
      </c>
      <c r="B176" s="234" t="s">
        <v>49</v>
      </c>
      <c r="C176" s="236"/>
      <c r="D176" s="234" t="s">
        <v>58</v>
      </c>
      <c r="E176" s="235"/>
      <c r="F176" s="236"/>
      <c r="G176" s="237">
        <f>_xlfn.IFNA(VLOOKUP(B176, 현재가테이블!$B$2:$D$200, 2, FALSE), "-")</f>
        <v>41418000</v>
      </c>
      <c r="H176" s="238"/>
      <c r="I176" s="239"/>
      <c r="J176" s="234" t="s">
        <v>59</v>
      </c>
      <c r="K176" s="235"/>
      <c r="L176" s="236"/>
      <c r="M176" s="240">
        <f>_xlfn.IFNA(VLOOKUP(B176, 현재가테이블!$B$2:$D$200, 3, FALSE), "-")</f>
        <v>-5.2176301000000001E-2</v>
      </c>
      <c r="N176" s="241"/>
      <c r="O176" s="242"/>
      <c r="Q176" s="233"/>
      <c r="R176" s="233"/>
      <c r="S176" s="233"/>
    </row>
    <row r="177" spans="1:19" ht="17.25" thickBot="1">
      <c r="A177" s="278" t="s">
        <v>55</v>
      </c>
      <c r="B177" s="274" t="str">
        <f>TEXT($G$1, "[$-ko-KR]yyyy-mm-dd(ddd) ") &amp; "오전 00:00"</f>
        <v>2021-06-11(금) 오전 00:00</v>
      </c>
      <c r="C177" s="275"/>
      <c r="D177" s="247" t="str">
        <f>TEXT($G$1, "[$-ko-KR]yyyy-mm-dd(ddd) ") &amp; "오후 14:00"</f>
        <v>2021-06-11(금) 오후 14:00</v>
      </c>
      <c r="E177" s="248"/>
      <c r="F177" s="249"/>
      <c r="G177" s="247" t="str">
        <f>TEXT($G$1, "[$-ko-KR]yyyy-mm-dd(ddd) ") &amp; "오후 19:00"</f>
        <v>2021-06-11(금) 오후 19:00</v>
      </c>
      <c r="H177" s="248"/>
      <c r="I177" s="249"/>
      <c r="J177" s="247" t="str">
        <f>TEXT($G$1, "[$-ko-KR]yyyy-mm-dd(ddd) ") &amp; "오후 21:00"</f>
        <v>2021-06-11(금) 오후 21:00</v>
      </c>
      <c r="K177" s="248"/>
      <c r="L177" s="249"/>
      <c r="M177" s="247" t="str">
        <f>TEXT($G$1+1, "[$-ko-KR]yyyy-mm-dd(ddd) ") &amp; "오전 00:00"</f>
        <v>2021-06-12(토) 오전 00:00</v>
      </c>
      <c r="N177" s="248"/>
      <c r="O177" s="249"/>
      <c r="Q177" s="233"/>
      <c r="R177" s="233"/>
      <c r="S177" s="233"/>
    </row>
    <row r="178" spans="1:19" ht="17.25" thickBot="1">
      <c r="A178" s="279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1" t="s">
        <v>58</v>
      </c>
      <c r="H178" s="202" t="s">
        <v>298</v>
      </c>
      <c r="I178" s="20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3"/>
      <c r="R178" s="223"/>
      <c r="S178" s="223"/>
    </row>
    <row r="179" spans="1:19" ht="17.25" thickBot="1">
      <c r="A179" s="161" t="s">
        <v>69</v>
      </c>
      <c r="B179" s="124">
        <v>4960</v>
      </c>
      <c r="C179" s="76">
        <v>-4.7984644899999998E-2</v>
      </c>
      <c r="D179" s="13">
        <v>4915</v>
      </c>
      <c r="E179" s="14">
        <f>IF(ISNUMBER(D179), (D179 - $B179) / $B179, "")</f>
        <v>-9.0725806451612909E-3</v>
      </c>
      <c r="F179" s="16">
        <f>IF(ISNUMBER(D179), $B199 * E179, "")</f>
        <v>-907.25806451612914</v>
      </c>
      <c r="G179" s="29">
        <v>4800</v>
      </c>
      <c r="H179" s="14">
        <f>IF(ISNUMBER(G179), (G179 - $B179) / $B179, "")</f>
        <v>-3.2258064516129031E-2</v>
      </c>
      <c r="I179" s="100">
        <f>IF(ISNUMBER(G179), $B199 * H179, "")</f>
        <v>-3225.8064516129029</v>
      </c>
      <c r="J179" s="13">
        <v>4725</v>
      </c>
      <c r="K179" s="14">
        <f>IF(ISNUMBER(J179), (J179 - $B179) / $B179, "")</f>
        <v>-4.7379032258064516E-2</v>
      </c>
      <c r="L179" s="16">
        <f>IF(ISNUMBER(J179), $B199 * K179, "")</f>
        <v>-4737.9032258064517</v>
      </c>
      <c r="M179" s="29">
        <v>4690</v>
      </c>
      <c r="N179" s="14">
        <f>IF(ISNUMBER(M179), (M179 - $B179) / $B179, "")</f>
        <v>-5.4435483870967742E-2</v>
      </c>
      <c r="O179" s="16">
        <f>IF(ISNUMBER(M179), $B199 * N179, "")</f>
        <v>-5443.5483870967746</v>
      </c>
      <c r="Q179" s="233"/>
      <c r="R179" s="233"/>
      <c r="S179" s="233"/>
    </row>
    <row r="180" spans="1:19" ht="17.25" thickBot="1">
      <c r="A180" s="162" t="s">
        <v>146</v>
      </c>
      <c r="B180" s="126">
        <v>10270</v>
      </c>
      <c r="C180" s="77">
        <v>-4.8192771099999997E-2</v>
      </c>
      <c r="D180" s="15">
        <v>10260</v>
      </c>
      <c r="E180" s="32">
        <f t="shared" ref="E180:E183" si="94">IF(ISNUMBER(D180), (D180 - $B180) / $B180, "")</f>
        <v>-9.7370983446932818E-4</v>
      </c>
      <c r="F180" s="18">
        <f>IF(ISNUMBER(D180), $B199 * E180, "")</f>
        <v>-97.370983446932811</v>
      </c>
      <c r="G180" s="31">
        <v>9900</v>
      </c>
      <c r="H180" s="32">
        <f t="shared" ref="H180:H183" si="95">IF(ISNUMBER(G180), (G180 - $B180) / $B180, "")</f>
        <v>-3.6027263875365138E-2</v>
      </c>
      <c r="I180" s="101">
        <f>IF(ISNUMBER(G180), $B199 * H180, "")</f>
        <v>-3602.7263875365138</v>
      </c>
      <c r="J180" s="15">
        <v>9765</v>
      </c>
      <c r="K180" s="32">
        <f t="shared" ref="K180:K183" si="96">IF(ISNUMBER(J180), (J180 - $B180) / $B180, "")</f>
        <v>-4.9172346640701074E-2</v>
      </c>
      <c r="L180" s="18">
        <f>IF(ISNUMBER(J180), $B199 * K180, "")</f>
        <v>-4917.2346640701071</v>
      </c>
      <c r="M180" s="31">
        <v>9810</v>
      </c>
      <c r="N180" s="32">
        <f t="shared" ref="N180:N183" si="97">IF(ISNUMBER(M180), (M180 - $B180) / $B180, "")</f>
        <v>-4.4790652385589096E-2</v>
      </c>
      <c r="O180" s="18">
        <f>IF(ISNUMBER(M180), $B199 * N180, "")</f>
        <v>-4479.0652385589092</v>
      </c>
      <c r="Q180" s="233"/>
      <c r="R180" s="233"/>
      <c r="S180" s="233"/>
    </row>
    <row r="181" spans="1:19" ht="17.25" thickBot="1">
      <c r="A181" s="162" t="s">
        <v>178</v>
      </c>
      <c r="B181" s="126">
        <v>24990</v>
      </c>
      <c r="C181" s="77">
        <v>-4.8362528600000003E-2</v>
      </c>
      <c r="D181" s="15">
        <v>25580</v>
      </c>
      <c r="E181" s="32">
        <f t="shared" si="94"/>
        <v>2.3609443777511004E-2</v>
      </c>
      <c r="F181" s="18">
        <f>IF(ISNUMBER(D181), $B199 * E181, "")</f>
        <v>2360.9443777511005</v>
      </c>
      <c r="G181" s="31">
        <v>24300</v>
      </c>
      <c r="H181" s="32">
        <f t="shared" si="95"/>
        <v>-2.7611044417767107E-2</v>
      </c>
      <c r="I181" s="101">
        <f>IF(ISNUMBER(G181), $B199 * H181, "")</f>
        <v>-2761.1044417767107</v>
      </c>
      <c r="J181" s="15">
        <v>23700</v>
      </c>
      <c r="K181" s="32">
        <f t="shared" si="96"/>
        <v>-5.1620648259303722E-2</v>
      </c>
      <c r="L181" s="18">
        <f>IF(ISNUMBER(J181), $B199 * K181, "")</f>
        <v>-5162.0648259303725</v>
      </c>
      <c r="M181" s="31">
        <v>23450</v>
      </c>
      <c r="N181" s="32">
        <f t="shared" si="97"/>
        <v>-6.1624649859943981E-2</v>
      </c>
      <c r="O181" s="18">
        <f>IF(ISNUMBER(M181), $B199 * N181, "")</f>
        <v>-6162.4649859943984</v>
      </c>
      <c r="Q181" s="223"/>
      <c r="R181" s="223"/>
      <c r="S181" s="223"/>
    </row>
    <row r="182" spans="1:19" ht="17.25" thickBot="1">
      <c r="A182" s="162" t="s">
        <v>98</v>
      </c>
      <c r="B182" s="126">
        <v>3860</v>
      </c>
      <c r="C182" s="77">
        <v>-4.92610837E-2</v>
      </c>
      <c r="D182" s="15">
        <v>3810</v>
      </c>
      <c r="E182" s="32">
        <f t="shared" si="94"/>
        <v>-1.2953367875647668E-2</v>
      </c>
      <c r="F182" s="18">
        <f>IF(ISNUMBER(D182), $B199 * E182, "")</f>
        <v>-1295.3367875647668</v>
      </c>
      <c r="G182" s="31">
        <v>3815</v>
      </c>
      <c r="H182" s="32">
        <f t="shared" si="95"/>
        <v>-1.1658031088082901E-2</v>
      </c>
      <c r="I182" s="101">
        <f>IF(ISNUMBER(G182), $B199 * H182, "")</f>
        <v>-1165.8031088082901</v>
      </c>
      <c r="J182" s="15">
        <v>3810</v>
      </c>
      <c r="K182" s="32">
        <f t="shared" si="96"/>
        <v>-1.2953367875647668E-2</v>
      </c>
      <c r="L182" s="18">
        <f>IF(ISNUMBER(J182), $B199 * K182, "")</f>
        <v>-1295.3367875647668</v>
      </c>
      <c r="M182" s="31">
        <v>3795</v>
      </c>
      <c r="N182" s="32">
        <f t="shared" si="97"/>
        <v>-1.683937823834197E-2</v>
      </c>
      <c r="O182" s="18">
        <f>IF(ISNUMBER(M182), $B199 * N182, "")</f>
        <v>-1683.9378238341969</v>
      </c>
      <c r="Q182" s="223"/>
      <c r="R182" s="223"/>
      <c r="S182" s="223"/>
    </row>
    <row r="183" spans="1:19" ht="17.25" thickBot="1">
      <c r="A183" s="163" t="s">
        <v>102</v>
      </c>
      <c r="B183" s="128">
        <v>68500</v>
      </c>
      <c r="C183" s="78">
        <v>-4.9930651899999998E-2</v>
      </c>
      <c r="D183" s="20">
        <v>67250</v>
      </c>
      <c r="E183" s="21">
        <f t="shared" si="94"/>
        <v>-1.824817518248175E-2</v>
      </c>
      <c r="F183" s="22">
        <f>IF(ISNUMBER(D183), $B199 * E183, "")</f>
        <v>-1824.817518248175</v>
      </c>
      <c r="G183" s="30">
        <v>69060</v>
      </c>
      <c r="H183" s="21">
        <f t="shared" si="95"/>
        <v>8.1751824817518255E-3</v>
      </c>
      <c r="I183" s="105">
        <f>IF(ISNUMBER(G183), $B199 * H183, "")</f>
        <v>817.51824817518252</v>
      </c>
      <c r="J183" s="20">
        <v>68120</v>
      </c>
      <c r="K183" s="21">
        <f t="shared" si="96"/>
        <v>-5.5474452554744522E-3</v>
      </c>
      <c r="L183" s="22">
        <f>IF(ISNUMBER(J183), $B199 * K183, "")</f>
        <v>-554.74452554744516</v>
      </c>
      <c r="M183" s="30">
        <v>67810</v>
      </c>
      <c r="N183" s="21">
        <f t="shared" si="97"/>
        <v>-1.0072992700729927E-2</v>
      </c>
      <c r="O183" s="22">
        <f>IF(ISNUMBER(M183), $B199 * N183, "")</f>
        <v>-1007.2992700729926</v>
      </c>
      <c r="Q183" s="223"/>
      <c r="R183" s="223"/>
      <c r="S183" s="223"/>
    </row>
    <row r="184" spans="1:19" ht="17.25" thickBot="1">
      <c r="A184" s="162" t="s">
        <v>74</v>
      </c>
      <c r="B184" s="129">
        <v>15290</v>
      </c>
      <c r="C184" s="80">
        <v>-5.0310558999999998E-2</v>
      </c>
      <c r="D184" s="106">
        <v>14950</v>
      </c>
      <c r="E184" s="107">
        <f>IF(ISNUMBER(D184), (D184 - $B184) / $B184, "")</f>
        <v>-2.2236756049705691E-2</v>
      </c>
      <c r="F184" s="108">
        <f>IF(ISNUMBER(D184), $B199 * E184, "")</f>
        <v>-2223.6756049705691</v>
      </c>
      <c r="G184" s="109">
        <v>14550</v>
      </c>
      <c r="H184" s="107">
        <f>IF(ISNUMBER(G184), (G184 - $B184) / $B184, "")</f>
        <v>-4.8397645519947678E-2</v>
      </c>
      <c r="I184" s="110">
        <f>IF(ISNUMBER(G184), $B199 * H184, "")</f>
        <v>-4839.7645519947682</v>
      </c>
      <c r="J184" s="106">
        <v>14580</v>
      </c>
      <c r="K184" s="107">
        <f>IF(ISNUMBER(J184), (J184 - $B184) / $B184, "")</f>
        <v>-4.643557880967953E-2</v>
      </c>
      <c r="L184" s="108">
        <f>IF(ISNUMBER(J184), $B199 * K184, "")</f>
        <v>-4643.5578809679528</v>
      </c>
      <c r="M184" s="109">
        <v>14530</v>
      </c>
      <c r="N184" s="107">
        <f>IF(ISNUMBER(M184), (M184 - $B184) / $B184, "")</f>
        <v>-4.9705689993459777E-2</v>
      </c>
      <c r="O184" s="108">
        <f>IF(ISNUMBER(M184), $B199 * N184, "")</f>
        <v>-4970.5689993459773</v>
      </c>
      <c r="Q184" s="223"/>
      <c r="R184" s="223"/>
      <c r="S184" s="223"/>
    </row>
    <row r="185" spans="1:19" ht="17.25" thickBot="1">
      <c r="A185" s="162" t="s">
        <v>144</v>
      </c>
      <c r="B185" s="126">
        <v>6045</v>
      </c>
      <c r="C185" s="77">
        <v>-5.2507837000000002E-2</v>
      </c>
      <c r="D185" s="15">
        <v>5855</v>
      </c>
      <c r="E185" s="32">
        <f t="shared" ref="E185:E188" si="98">IF(ISNUMBER(D185), (D185 - $B185) / $B185, "")</f>
        <v>-3.1430934656741107E-2</v>
      </c>
      <c r="F185" s="18">
        <f>IF(ISNUMBER(D185), $B199 * E185, "")</f>
        <v>-3143.0934656741106</v>
      </c>
      <c r="G185" s="31">
        <v>5935</v>
      </c>
      <c r="H185" s="32">
        <f t="shared" ref="H185:H188" si="99">IF(ISNUMBER(G185), (G185 - $B185) / $B185, "")</f>
        <v>-1.8196856906534328E-2</v>
      </c>
      <c r="I185" s="101">
        <f>IF(ISNUMBER(G185), $B199 * H185, "")</f>
        <v>-1819.6856906534329</v>
      </c>
      <c r="J185" s="15">
        <v>5910</v>
      </c>
      <c r="K185" s="32">
        <f t="shared" ref="K185:K188" si="100">IF(ISNUMBER(J185), (J185 - $B185) / $B185, "")</f>
        <v>-2.2332506203473945E-2</v>
      </c>
      <c r="L185" s="18">
        <f>IF(ISNUMBER(J185), $B199 * K185, "")</f>
        <v>-2233.2506203473945</v>
      </c>
      <c r="M185" s="31">
        <v>5885</v>
      </c>
      <c r="N185" s="32">
        <f t="shared" ref="N185:N188" si="101">IF(ISNUMBER(M185), (M185 - $B185) / $B185, "")</f>
        <v>-2.6468155500413565E-2</v>
      </c>
      <c r="O185" s="18">
        <f>IF(ISNUMBER(M185), $B199 * N185, "")</f>
        <v>-2646.8155500413563</v>
      </c>
      <c r="Q185" s="223"/>
      <c r="R185" s="223"/>
      <c r="S185" s="223"/>
    </row>
    <row r="186" spans="1:19" ht="17.25" thickBot="1">
      <c r="A186" s="162" t="s">
        <v>248</v>
      </c>
      <c r="B186" s="126">
        <v>1685</v>
      </c>
      <c r="C186" s="77">
        <v>-5.3370786500000003E-2</v>
      </c>
      <c r="D186" s="15">
        <v>1670</v>
      </c>
      <c r="E186" s="32">
        <f t="shared" si="98"/>
        <v>-8.9020771513353119E-3</v>
      </c>
      <c r="F186" s="18">
        <f>IF(ISNUMBER(D186), $B199 * E186, "")</f>
        <v>-890.20771513353122</v>
      </c>
      <c r="G186" s="31">
        <v>1445</v>
      </c>
      <c r="H186" s="32">
        <f t="shared" si="99"/>
        <v>-0.14243323442136499</v>
      </c>
      <c r="I186" s="101">
        <f>IF(ISNUMBER(G186), $B199 * H186, "")</f>
        <v>-14243.3234421365</v>
      </c>
      <c r="J186" s="15">
        <v>1405</v>
      </c>
      <c r="K186" s="32">
        <f t="shared" si="100"/>
        <v>-0.16617210682492581</v>
      </c>
      <c r="L186" s="18">
        <f>IF(ISNUMBER(J186), $B199 * K186, "")</f>
        <v>-16617.21068249258</v>
      </c>
      <c r="M186" s="31">
        <v>1435</v>
      </c>
      <c r="N186" s="32">
        <f t="shared" si="101"/>
        <v>-0.14836795252225518</v>
      </c>
      <c r="O186" s="18">
        <f>IF(ISNUMBER(M186), $B199 * N186, "")</f>
        <v>-14836.795252225518</v>
      </c>
      <c r="Q186" s="223"/>
      <c r="R186" s="223"/>
      <c r="S186" s="223"/>
    </row>
    <row r="187" spans="1:19" ht="17.25" thickBot="1">
      <c r="A187" s="162" t="s">
        <v>108</v>
      </c>
      <c r="B187" s="126">
        <v>32170</v>
      </c>
      <c r="C187" s="77">
        <v>-5.38235294E-2</v>
      </c>
      <c r="D187" s="15">
        <v>31100</v>
      </c>
      <c r="E187" s="32">
        <f t="shared" si="98"/>
        <v>-3.3260801989431148E-2</v>
      </c>
      <c r="F187" s="18">
        <f>IF(ISNUMBER(D187), $B199 * E187, "")</f>
        <v>-3326.0801989431147</v>
      </c>
      <c r="G187" s="31">
        <v>30600</v>
      </c>
      <c r="H187" s="32">
        <f t="shared" si="99"/>
        <v>-4.8803232825613926E-2</v>
      </c>
      <c r="I187" s="101">
        <f>IF(ISNUMBER(G187), $B199 * H187, "")</f>
        <v>-4880.3232825613923</v>
      </c>
      <c r="J187" s="15">
        <v>30320</v>
      </c>
      <c r="K187" s="32">
        <f t="shared" si="100"/>
        <v>-5.7506994093876281E-2</v>
      </c>
      <c r="L187" s="18">
        <f>IF(ISNUMBER(J187), $B199 * K187, "")</f>
        <v>-5750.6994093876283</v>
      </c>
      <c r="M187" s="31">
        <v>30330</v>
      </c>
      <c r="N187" s="32">
        <f t="shared" si="101"/>
        <v>-5.7196145477152627E-2</v>
      </c>
      <c r="O187" s="18">
        <f>IF(ISNUMBER(M187), $B199 * N187, "")</f>
        <v>-5719.6145477152622</v>
      </c>
      <c r="Q187" s="33"/>
      <c r="R187" s="33"/>
    </row>
    <row r="188" spans="1:19" ht="17.25" thickBot="1">
      <c r="A188" s="130" t="s">
        <v>80</v>
      </c>
      <c r="B188" s="131">
        <v>767</v>
      </c>
      <c r="C188" s="79">
        <v>-5.4254007399999998E-2</v>
      </c>
      <c r="D188" s="24">
        <v>764</v>
      </c>
      <c r="E188" s="25">
        <f t="shared" si="98"/>
        <v>-3.9113428943937422E-3</v>
      </c>
      <c r="F188" s="104">
        <f>IF(ISNUMBER(D188), $B199 * E188, "")</f>
        <v>-391.13428943937424</v>
      </c>
      <c r="G188" s="102">
        <v>784</v>
      </c>
      <c r="H188" s="25">
        <f t="shared" si="99"/>
        <v>2.2164276401564539E-2</v>
      </c>
      <c r="I188" s="103">
        <f>IF(ISNUMBER(G188), $B199 * H188, "")</f>
        <v>2216.4276401564539</v>
      </c>
      <c r="J188" s="24">
        <v>807</v>
      </c>
      <c r="K188" s="25">
        <f t="shared" si="100"/>
        <v>5.215123859191656E-2</v>
      </c>
      <c r="L188" s="104">
        <f>IF(ISNUMBER(J188), $B199 * K188, "")</f>
        <v>5215.1238591916563</v>
      </c>
      <c r="M188" s="102">
        <v>805</v>
      </c>
      <c r="N188" s="25">
        <f t="shared" si="101"/>
        <v>4.9543676662320728E-2</v>
      </c>
      <c r="O188" s="104">
        <f>IF(ISNUMBER(M188), $B199 * N188, "")</f>
        <v>4954.3676662320731</v>
      </c>
      <c r="Q188" s="224"/>
      <c r="R188" s="225"/>
      <c r="S188" s="226"/>
    </row>
    <row r="189" spans="1:19">
      <c r="A189" s="161" t="s">
        <v>92</v>
      </c>
      <c r="B189" s="124">
        <v>1005</v>
      </c>
      <c r="C189" s="76">
        <v>-5.6338028200000001E-2</v>
      </c>
      <c r="D189" s="13">
        <v>1005</v>
      </c>
      <c r="E189" s="14">
        <f>IF(ISNUMBER(D189), (D189 - $B189) / $B189, "")</f>
        <v>0</v>
      </c>
      <c r="F189" s="16">
        <f>IF(ISNUMBER(D189), $B199 * E189, "")</f>
        <v>0</v>
      </c>
      <c r="G189" s="29">
        <v>1005</v>
      </c>
      <c r="H189" s="14">
        <f>IF(ISNUMBER(G189), (G189 - $B189) / $B189, "")</f>
        <v>0</v>
      </c>
      <c r="I189" s="100">
        <f>IF(ISNUMBER(G189), $B199 * H189, "")</f>
        <v>0</v>
      </c>
      <c r="J189" s="13">
        <v>1000</v>
      </c>
      <c r="K189" s="14">
        <f>IF(ISNUMBER(J189), (J189 - $B189) / $B189, "")</f>
        <v>-4.9751243781094526E-3</v>
      </c>
      <c r="L189" s="16">
        <f>IF(ISNUMBER(J189), $B199 * K189, "")</f>
        <v>-497.51243781094524</v>
      </c>
      <c r="M189" s="29">
        <v>1000</v>
      </c>
      <c r="N189" s="14">
        <f>IF(ISNUMBER(M189), (M189 - $B189) / $B189, "")</f>
        <v>-4.9751243781094526E-3</v>
      </c>
      <c r="O189" s="16">
        <f>IF(ISNUMBER(M189), $B199 * N189, "")</f>
        <v>-497.51243781094524</v>
      </c>
      <c r="Q189" s="227"/>
      <c r="R189" s="228"/>
      <c r="S189" s="229"/>
    </row>
    <row r="190" spans="1:19" ht="17.25" thickBot="1">
      <c r="A190" s="162" t="s">
        <v>192</v>
      </c>
      <c r="B190" s="126">
        <v>1080</v>
      </c>
      <c r="C190" s="77">
        <v>-5.6768559000000003E-2</v>
      </c>
      <c r="D190" s="15">
        <v>1065</v>
      </c>
      <c r="E190" s="32">
        <f t="shared" ref="E190:E193" si="102">IF(ISNUMBER(D190), (D190 - $B190) / $B190, "")</f>
        <v>-1.3888888888888888E-2</v>
      </c>
      <c r="F190" s="18">
        <f>IF(ISNUMBER(D190), $B199 * E190, "")</f>
        <v>-1388.8888888888889</v>
      </c>
      <c r="G190" s="31">
        <v>1030</v>
      </c>
      <c r="H190" s="32">
        <f t="shared" ref="H190:H193" si="103">IF(ISNUMBER(G190), (G190 - $B190) / $B190, "")</f>
        <v>-4.6296296296296294E-2</v>
      </c>
      <c r="I190" s="101">
        <f>IF(ISNUMBER(G190), $B199 * H190, "")</f>
        <v>-4629.6296296296296</v>
      </c>
      <c r="J190" s="15">
        <v>1010</v>
      </c>
      <c r="K190" s="32">
        <f t="shared" ref="K190:K193" si="104">IF(ISNUMBER(J190), (J190 - $B190) / $B190, "")</f>
        <v>-6.4814814814814811E-2</v>
      </c>
      <c r="L190" s="18">
        <f>IF(ISNUMBER(J190), $B199 * K190, "")</f>
        <v>-6481.4814814814808</v>
      </c>
      <c r="M190" s="31">
        <v>1000</v>
      </c>
      <c r="N190" s="32">
        <f t="shared" ref="N190:N193" si="105">IF(ISNUMBER(M190), (M190 - $B190) / $B190, "")</f>
        <v>-7.407407407407407E-2</v>
      </c>
      <c r="O190" s="18">
        <f>IF(ISNUMBER(M190), $B199 * N190, "")</f>
        <v>-7407.4074074074069</v>
      </c>
      <c r="Q190" s="230"/>
      <c r="R190" s="231"/>
      <c r="S190" s="232"/>
    </row>
    <row r="191" spans="1:19" ht="17.25" thickBot="1">
      <c r="A191" s="162" t="s">
        <v>142</v>
      </c>
      <c r="B191" s="126">
        <v>630</v>
      </c>
      <c r="C191" s="77">
        <v>-5.82959641E-2</v>
      </c>
      <c r="D191" s="15">
        <v>563</v>
      </c>
      <c r="E191" s="32">
        <f t="shared" si="102"/>
        <v>-0.10634920634920635</v>
      </c>
      <c r="F191" s="18">
        <f>IF(ISNUMBER(D191), $B199 * E191, "")</f>
        <v>-10634.920634920634</v>
      </c>
      <c r="G191" s="31">
        <v>566</v>
      </c>
      <c r="H191" s="32">
        <f t="shared" si="103"/>
        <v>-0.10158730158730159</v>
      </c>
      <c r="I191" s="101">
        <f>IF(ISNUMBER(G191), $B199 * H191, "")</f>
        <v>-10158.730158730159</v>
      </c>
      <c r="J191" s="15">
        <v>559</v>
      </c>
      <c r="K191" s="32">
        <f t="shared" si="104"/>
        <v>-0.1126984126984127</v>
      </c>
      <c r="L191" s="18">
        <f>IF(ISNUMBER(J191), $B199 * K191, "")</f>
        <v>-11269.84126984127</v>
      </c>
      <c r="M191" s="31">
        <v>553</v>
      </c>
      <c r="N191" s="32">
        <f t="shared" si="105"/>
        <v>-0.12222222222222222</v>
      </c>
      <c r="O191" s="18">
        <f>IF(ISNUMBER(M191), $B199 * N191, "")</f>
        <v>-12222.222222222223</v>
      </c>
      <c r="Q191" s="223"/>
      <c r="R191" s="223"/>
      <c r="S191" s="223"/>
    </row>
    <row r="192" spans="1:19" ht="17.25" thickBot="1">
      <c r="A192" s="162" t="s">
        <v>54</v>
      </c>
      <c r="B192" s="126">
        <v>237</v>
      </c>
      <c r="C192" s="77">
        <v>-5.9523809499999997E-2</v>
      </c>
      <c r="D192" s="15">
        <v>242</v>
      </c>
      <c r="E192" s="32">
        <f t="shared" si="102"/>
        <v>2.1097046413502109E-2</v>
      </c>
      <c r="F192" s="18">
        <f>IF(ISNUMBER(D192), $B199 * E192, "")</f>
        <v>2109.7046413502107</v>
      </c>
      <c r="G192" s="31">
        <v>241</v>
      </c>
      <c r="H192" s="32">
        <f t="shared" si="103"/>
        <v>1.6877637130801686E-2</v>
      </c>
      <c r="I192" s="101">
        <f>IF(ISNUMBER(G192), $B199 * H192, "")</f>
        <v>1687.7637130801686</v>
      </c>
      <c r="J192" s="15">
        <v>236</v>
      </c>
      <c r="K192" s="32">
        <f t="shared" si="104"/>
        <v>-4.2194092827004216E-3</v>
      </c>
      <c r="L192" s="18">
        <f>IF(ISNUMBER(J192), $B199 * K192, "")</f>
        <v>-421.94092827004215</v>
      </c>
      <c r="M192" s="31">
        <v>240</v>
      </c>
      <c r="N192" s="32">
        <f t="shared" si="105"/>
        <v>1.2658227848101266E-2</v>
      </c>
      <c r="O192" s="18">
        <f>IF(ISNUMBER(M192), $B199 * N192, "")</f>
        <v>1265.8227848101264</v>
      </c>
      <c r="Q192" s="233"/>
      <c r="R192" s="233"/>
      <c r="S192" s="233"/>
    </row>
    <row r="193" spans="1:19" ht="17.25" thickBot="1">
      <c r="A193" s="163" t="s">
        <v>276</v>
      </c>
      <c r="B193" s="128">
        <v>3015</v>
      </c>
      <c r="C193" s="78">
        <v>-6.0747663600000001E-2</v>
      </c>
      <c r="D193" s="20">
        <v>2915</v>
      </c>
      <c r="E193" s="21">
        <f t="shared" si="102"/>
        <v>-3.316749585406302E-2</v>
      </c>
      <c r="F193" s="22">
        <f>IF(ISNUMBER(D193), $B199 * E193, "")</f>
        <v>-3316.7495854063018</v>
      </c>
      <c r="G193" s="30">
        <v>2710</v>
      </c>
      <c r="H193" s="21">
        <f t="shared" si="103"/>
        <v>-0.1011608623548922</v>
      </c>
      <c r="I193" s="105">
        <f>IF(ISNUMBER(G193), $B199 * H193, "")</f>
        <v>-10116.08623548922</v>
      </c>
      <c r="J193" s="20">
        <v>2670</v>
      </c>
      <c r="K193" s="21">
        <f t="shared" si="104"/>
        <v>-0.11442786069651742</v>
      </c>
      <c r="L193" s="22">
        <f>IF(ISNUMBER(J193), $B199 * K193, "")</f>
        <v>-11442.786069651742</v>
      </c>
      <c r="M193" s="30">
        <v>2635</v>
      </c>
      <c r="N193" s="21">
        <f t="shared" si="105"/>
        <v>-0.12603648424543948</v>
      </c>
      <c r="O193" s="22">
        <f>IF(ISNUMBER(M193), $B199 * N193, "")</f>
        <v>-12603.648424543948</v>
      </c>
      <c r="Q193" s="233"/>
      <c r="R193" s="233"/>
      <c r="S193" s="233"/>
    </row>
    <row r="194" spans="1:19" ht="17.25" thickBot="1">
      <c r="A194" s="162" t="s">
        <v>114</v>
      </c>
      <c r="B194" s="129">
        <v>10170</v>
      </c>
      <c r="C194" s="80">
        <v>-6.2672811100000003E-2</v>
      </c>
      <c r="D194" s="106">
        <v>9780</v>
      </c>
      <c r="E194" s="107">
        <f>IF(ISNUMBER(D194), (D194 - $B194) / $B194, "")</f>
        <v>-3.8348082595870206E-2</v>
      </c>
      <c r="F194" s="108">
        <f>IF(ISNUMBER(D194), $B199 * E194, "")</f>
        <v>-3834.8082595870205</v>
      </c>
      <c r="G194" s="109">
        <v>9805</v>
      </c>
      <c r="H194" s="107">
        <f>IF(ISNUMBER(G194), (G194 - $B194) / $B194, "")</f>
        <v>-3.5889872173058016E-2</v>
      </c>
      <c r="I194" s="110">
        <f>IF(ISNUMBER(G194), $B199 * H194, "")</f>
        <v>-3588.9872173058016</v>
      </c>
      <c r="J194" s="106">
        <v>9730</v>
      </c>
      <c r="K194" s="107">
        <f>IF(ISNUMBER(J194), (J194 - $B194) / $B194, "")</f>
        <v>-4.3264503441494594E-2</v>
      </c>
      <c r="L194" s="108">
        <f>IF(ISNUMBER(J194), $B199 * K194, "")</f>
        <v>-4326.4503441494589</v>
      </c>
      <c r="M194" s="109">
        <v>9605</v>
      </c>
      <c r="N194" s="107">
        <f>IF(ISNUMBER(M194), (M194 - $B194) / $B194, "")</f>
        <v>-5.5555555555555552E-2</v>
      </c>
      <c r="O194" s="108">
        <f>IF(ISNUMBER(M194), $B199 * N194, "")</f>
        <v>-5555.5555555555557</v>
      </c>
      <c r="Q194" s="223"/>
      <c r="R194" s="223"/>
      <c r="S194" s="223"/>
    </row>
    <row r="195" spans="1:19" ht="17.25" thickBot="1">
      <c r="A195" s="162" t="s">
        <v>76</v>
      </c>
      <c r="B195" s="126">
        <v>27710</v>
      </c>
      <c r="C195" s="77">
        <v>-6.2901589399999999E-2</v>
      </c>
      <c r="D195" s="15">
        <v>26660</v>
      </c>
      <c r="E195" s="32">
        <f t="shared" ref="E195:E198" si="106">IF(ISNUMBER(D195), (D195 - $B195) / $B195, "")</f>
        <v>-3.7892457596535548E-2</v>
      </c>
      <c r="F195" s="18">
        <f>IF(ISNUMBER(D195), $B199 * E195, "")</f>
        <v>-3789.2457596535546</v>
      </c>
      <c r="G195" s="31">
        <v>26700</v>
      </c>
      <c r="H195" s="32">
        <f t="shared" ref="H195:H198" si="107">IF(ISNUMBER(G195), (G195 - $B195) / $B195, "")</f>
        <v>-3.644893540238181E-2</v>
      </c>
      <c r="I195" s="101">
        <f>IF(ISNUMBER(G195), $B199 * H195, "")</f>
        <v>-3644.8935402381812</v>
      </c>
      <c r="J195" s="15">
        <v>26430</v>
      </c>
      <c r="K195" s="32">
        <f t="shared" ref="K195:K198" si="108">IF(ISNUMBER(J195), (J195 - $B195) / $B195, "")</f>
        <v>-4.619271021291952E-2</v>
      </c>
      <c r="L195" s="18">
        <f>IF(ISNUMBER(J195), $B199 * K195, "")</f>
        <v>-4619.2710212919519</v>
      </c>
      <c r="M195" s="31">
        <v>26360</v>
      </c>
      <c r="N195" s="32">
        <f t="shared" ref="N195:N198" si="109">IF(ISNUMBER(M195), (M195 - $B195) / $B195, "")</f>
        <v>-4.8718874052688557E-2</v>
      </c>
      <c r="O195" s="18">
        <f>IF(ISNUMBER(M195), $B199 * N195, "")</f>
        <v>-4871.8874052688561</v>
      </c>
      <c r="Q195" s="223"/>
      <c r="R195" s="223"/>
      <c r="S195" s="223"/>
    </row>
    <row r="196" spans="1:19" ht="17.25" thickBot="1">
      <c r="A196" s="162" t="s">
        <v>51</v>
      </c>
      <c r="B196" s="126">
        <v>396</v>
      </c>
      <c r="C196" s="77">
        <v>-6.3829787200000002E-2</v>
      </c>
      <c r="D196" s="15">
        <v>389</v>
      </c>
      <c r="E196" s="32">
        <f t="shared" si="106"/>
        <v>-1.7676767676767676E-2</v>
      </c>
      <c r="F196" s="18">
        <f>IF(ISNUMBER(D196), $B199 * E196, "")</f>
        <v>-1767.6767676767677</v>
      </c>
      <c r="G196" s="31">
        <v>392</v>
      </c>
      <c r="H196" s="32">
        <f t="shared" si="107"/>
        <v>-1.0101010101010102E-2</v>
      </c>
      <c r="I196" s="101">
        <f>IF(ISNUMBER(G196), $B199 * H196, "")</f>
        <v>-1010.1010101010102</v>
      </c>
      <c r="J196" s="15">
        <v>389</v>
      </c>
      <c r="K196" s="32">
        <f t="shared" si="108"/>
        <v>-1.7676767676767676E-2</v>
      </c>
      <c r="L196" s="18">
        <f>IF(ISNUMBER(J196), $B199 * K196, "")</f>
        <v>-1767.6767676767677</v>
      </c>
      <c r="M196" s="31">
        <v>387</v>
      </c>
      <c r="N196" s="32">
        <f t="shared" si="109"/>
        <v>-2.2727272727272728E-2</v>
      </c>
      <c r="O196" s="18">
        <f>IF(ISNUMBER(M196), $B199 * N196, "")</f>
        <v>-2272.727272727273</v>
      </c>
      <c r="Q196" s="223"/>
      <c r="R196" s="223"/>
      <c r="S196" s="223"/>
    </row>
    <row r="197" spans="1:19">
      <c r="A197" s="162" t="s">
        <v>140</v>
      </c>
      <c r="B197" s="126">
        <v>2240</v>
      </c>
      <c r="C197" s="77">
        <v>-6.8607068600000001E-2</v>
      </c>
      <c r="D197" s="15">
        <v>2130</v>
      </c>
      <c r="E197" s="32">
        <f t="shared" si="106"/>
        <v>-4.9107142857142856E-2</v>
      </c>
      <c r="F197" s="18">
        <f>IF(ISNUMBER(D197), $B199 * E197, "")</f>
        <v>-4910.7142857142853</v>
      </c>
      <c r="G197" s="31">
        <v>2140</v>
      </c>
      <c r="H197" s="32">
        <f t="shared" si="107"/>
        <v>-4.4642857142857144E-2</v>
      </c>
      <c r="I197" s="101">
        <f>IF(ISNUMBER(G197), $B199 * H197, "")</f>
        <v>-4464.2857142857147</v>
      </c>
      <c r="J197" s="15">
        <v>2180</v>
      </c>
      <c r="K197" s="32">
        <f t="shared" si="108"/>
        <v>-2.6785714285714284E-2</v>
      </c>
      <c r="L197" s="18">
        <f>IF(ISNUMBER(J197), $B199 * K197, "")</f>
        <v>-2678.5714285714284</v>
      </c>
      <c r="M197" s="31">
        <v>2105</v>
      </c>
      <c r="N197" s="32">
        <f t="shared" si="109"/>
        <v>-6.0267857142857144E-2</v>
      </c>
      <c r="O197" s="18">
        <f>IF(ISNUMBER(M197), $B199 * N197, "")</f>
        <v>-6026.7857142857147</v>
      </c>
      <c r="Q197" s="212"/>
      <c r="R197" s="213"/>
      <c r="S197" s="214"/>
    </row>
    <row r="198" spans="1:19" ht="17.25" thickBot="1">
      <c r="A198" s="130" t="s">
        <v>190</v>
      </c>
      <c r="B198" s="131">
        <v>60480</v>
      </c>
      <c r="C198" s="79">
        <v>-7.7204760499999997E-2</v>
      </c>
      <c r="D198" s="24">
        <v>56350</v>
      </c>
      <c r="E198" s="25">
        <f t="shared" si="106"/>
        <v>-6.8287037037037035E-2</v>
      </c>
      <c r="F198" s="104">
        <f>IF(ISNUMBER(D198), $B199 * E198, "")</f>
        <v>-6828.7037037037035</v>
      </c>
      <c r="G198" s="102">
        <v>52710</v>
      </c>
      <c r="H198" s="25">
        <f t="shared" si="107"/>
        <v>-0.12847222222222221</v>
      </c>
      <c r="I198" s="103">
        <f>IF(ISNUMBER(G198), $B199 * H198, "")</f>
        <v>-12847.222222222221</v>
      </c>
      <c r="J198" s="24">
        <v>52100</v>
      </c>
      <c r="K198" s="25">
        <f t="shared" si="108"/>
        <v>-0.13855820105820105</v>
      </c>
      <c r="L198" s="104">
        <f>IF(ISNUMBER(J198), $B199 * K198, "")</f>
        <v>-13855.820105820105</v>
      </c>
      <c r="M198" s="102">
        <v>51830</v>
      </c>
      <c r="N198" s="25">
        <f t="shared" si="109"/>
        <v>-0.14302248677248677</v>
      </c>
      <c r="O198" s="104">
        <f>IF(ISNUMBER(M198), $B199 * N198, "")</f>
        <v>-14302.248677248677</v>
      </c>
      <c r="Q198" s="215"/>
      <c r="R198" s="216"/>
      <c r="S198" s="217"/>
    </row>
    <row r="199" spans="1:19" ht="17.25" thickBot="1">
      <c r="A199" s="132" t="s">
        <v>300</v>
      </c>
      <c r="B199" s="276">
        <f>$B$37</f>
        <v>100000</v>
      </c>
      <c r="C199" s="277"/>
      <c r="D199" s="26" t="s">
        <v>301</v>
      </c>
      <c r="E199" s="27">
        <f>IF(COUNT(E179:E198), SUM(E179:E198) / COUNT(E179:E198), 0)</f>
        <v>-2.3050016747193276E-2</v>
      </c>
      <c r="F199" s="28">
        <f>SUM(F179:F198)</f>
        <v>-46100.033494386545</v>
      </c>
      <c r="G199" s="26" t="s">
        <v>301</v>
      </c>
      <c r="H199" s="27">
        <f>IF(COUNT(H179:H198), SUM(H179:H198) / COUNT(H179:H198), 0)</f>
        <v>-4.1138381741835317E-2</v>
      </c>
      <c r="I199" s="28">
        <f>SUM(I179:I198)</f>
        <v>-82276.763483670642</v>
      </c>
      <c r="J199" s="26" t="s">
        <v>301</v>
      </c>
      <c r="K199" s="27">
        <f>IF(COUNT(K179:K198), SUM(K179:K198) / COUNT(K179:K198), 0)</f>
        <v>-4.9029115308744112E-2</v>
      </c>
      <c r="L199" s="28">
        <f>SUM(L179:L198)</f>
        <v>-98058.23061748824</v>
      </c>
      <c r="M199" s="26" t="s">
        <v>301</v>
      </c>
      <c r="N199" s="27">
        <f>IF(COUNT(N179:N198), SUM(N179:N198) / COUNT(N179:N198), 0)</f>
        <v>-5.3244957360456889E-2</v>
      </c>
      <c r="O199" s="28">
        <f>SUM(O179:O198)</f>
        <v>-106489.9147209138</v>
      </c>
      <c r="Q199" s="218"/>
      <c r="R199" s="219"/>
      <c r="S199" s="22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35" priority="157">
      <formula>AND($N17 &gt; 0, ISNUMBER($N17))</formula>
    </cfRule>
    <cfRule type="expression" dxfId="534" priority="158">
      <formula>AND($N17 = 0 * ISNUMBER($N17))</formula>
    </cfRule>
    <cfRule type="expression" dxfId="533" priority="159">
      <formula>AND($N17 &lt; 0, ISNUMBER($N17))</formula>
    </cfRule>
  </conditionalFormatting>
  <conditionalFormatting sqref="A17:F36">
    <cfRule type="expression" dxfId="532" priority="166">
      <formula>AND($E17 &gt; 0, ISNUMBER($E17))</formula>
    </cfRule>
    <cfRule type="expression" dxfId="531" priority="167">
      <formula>AND($E17 = 0 * ISNUMBER($E17))</formula>
    </cfRule>
    <cfRule type="expression" dxfId="530" priority="168">
      <formula>AND($E17 &lt; 0, ISNUMBER($E17))</formula>
    </cfRule>
  </conditionalFormatting>
  <conditionalFormatting sqref="A17:C36 G17:I36">
    <cfRule type="expression" dxfId="529" priority="163">
      <formula>AND($H17 &gt; 0, ISNUMBER($H17))</formula>
    </cfRule>
    <cfRule type="expression" dxfId="528" priority="164">
      <formula>AND($H17 = 0 * ISNUMBER($H17))</formula>
    </cfRule>
    <cfRule type="expression" dxfId="527" priority="165">
      <formula>AND($H17 &lt; 0, ISNUMBER($H17))</formula>
    </cfRule>
  </conditionalFormatting>
  <conditionalFormatting sqref="A17:C36 J17:L36">
    <cfRule type="expression" dxfId="526" priority="160">
      <formula>AND($K17 &gt; 0, ISNUMBER($K17))</formula>
    </cfRule>
    <cfRule type="expression" dxfId="525" priority="161">
      <formula>AND($K17 = 0 * ISNUMBER($K17))</formula>
    </cfRule>
    <cfRule type="expression" dxfId="524" priority="162">
      <formula>AND($K17 &lt; 0, ISNUMBER($K17))</formula>
    </cfRule>
  </conditionalFormatting>
  <conditionalFormatting sqref="D15:F16 E37:F37">
    <cfRule type="expression" dxfId="523" priority="154">
      <formula>$E$37 &gt; 0</formula>
    </cfRule>
    <cfRule type="expression" dxfId="522" priority="155">
      <formula>$E$37 = 0</formula>
    </cfRule>
    <cfRule type="expression" dxfId="521" priority="156">
      <formula>$E$37 &lt; 0</formula>
    </cfRule>
  </conditionalFormatting>
  <conditionalFormatting sqref="G15:I16 H37:I37">
    <cfRule type="expression" dxfId="520" priority="151">
      <formula>$H$37 &gt; 0</formula>
    </cfRule>
    <cfRule type="expression" dxfId="519" priority="152">
      <formula>$H$37 = 0</formula>
    </cfRule>
    <cfRule type="expression" dxfId="518" priority="153">
      <formula>$H$37 &lt; 0</formula>
    </cfRule>
  </conditionalFormatting>
  <conditionalFormatting sqref="J15:L16 K37:L37">
    <cfRule type="expression" dxfId="517" priority="148">
      <formula>$K$37 &gt; 0</formula>
    </cfRule>
    <cfRule type="expression" dxfId="516" priority="149">
      <formula>$K$37 = 0</formula>
    </cfRule>
    <cfRule type="expression" dxfId="515" priority="150">
      <formula>$K$37 &lt; 0</formula>
    </cfRule>
  </conditionalFormatting>
  <conditionalFormatting sqref="M15:O16 N37:O37">
    <cfRule type="expression" dxfId="514" priority="145">
      <formula>$N$37 &gt; 0</formula>
    </cfRule>
    <cfRule type="expression" dxfId="513" priority="146">
      <formula>$N$37 = 0</formula>
    </cfRule>
    <cfRule type="expression" dxfId="512" priority="147">
      <formula>$N$37 &lt; 0</formula>
    </cfRule>
  </conditionalFormatting>
  <conditionalFormatting sqref="A44:C63 M44:O63">
    <cfRule type="expression" dxfId="511" priority="133">
      <formula>AND($N44 &gt; 0, ISNUMBER($N44))</formula>
    </cfRule>
    <cfRule type="expression" dxfId="510" priority="134">
      <formula>AND($N44 = 0 * ISNUMBER($N44))</formula>
    </cfRule>
    <cfRule type="expression" dxfId="509" priority="135">
      <formula>AND($N44 &lt; 0, ISNUMBER($N44))</formula>
    </cfRule>
  </conditionalFormatting>
  <conditionalFormatting sqref="A44:F63">
    <cfRule type="expression" dxfId="508" priority="142">
      <formula>AND($E44 &gt; 0, ISNUMBER($E44))</formula>
    </cfRule>
    <cfRule type="expression" dxfId="507" priority="143">
      <formula>AND($E44 = 0 * ISNUMBER($E44))</formula>
    </cfRule>
    <cfRule type="expression" dxfId="506" priority="144">
      <formula>AND($E44 &lt; 0, ISNUMBER($E44))</formula>
    </cfRule>
  </conditionalFormatting>
  <conditionalFormatting sqref="A44:C63 G44:I63">
    <cfRule type="expression" dxfId="505" priority="139">
      <formula>AND($H44 &gt; 0, ISNUMBER($H44))</formula>
    </cfRule>
    <cfRule type="expression" dxfId="504" priority="140">
      <formula>AND($H44 = 0 * ISNUMBER($H44))</formula>
    </cfRule>
    <cfRule type="expression" dxfId="503" priority="141">
      <formula>AND($H44 &lt; 0, ISNUMBER($H44))</formula>
    </cfRule>
  </conditionalFormatting>
  <conditionalFormatting sqref="A44:C63 J44:L63">
    <cfRule type="expression" dxfId="502" priority="136">
      <formula>AND($K44 &gt; 0, ISNUMBER($K44))</formula>
    </cfRule>
    <cfRule type="expression" dxfId="501" priority="137">
      <formula>AND($K44 = 0 * ISNUMBER($K44))</formula>
    </cfRule>
    <cfRule type="expression" dxfId="500" priority="138">
      <formula>AND($K44 &lt; 0, ISNUMBER($K44))</formula>
    </cfRule>
  </conditionalFormatting>
  <conditionalFormatting sqref="D42:F43 E64:F64">
    <cfRule type="expression" dxfId="499" priority="130">
      <formula>$E$64 &gt; 0</formula>
    </cfRule>
    <cfRule type="expression" dxfId="498" priority="131">
      <formula>$E$64 = 0</formula>
    </cfRule>
    <cfRule type="expression" dxfId="497" priority="132">
      <formula>$E$64 &lt; 0</formula>
    </cfRule>
  </conditionalFormatting>
  <conditionalFormatting sqref="G42:I43 H64:I64">
    <cfRule type="expression" dxfId="496" priority="127">
      <formula>$H$64 &gt; 0</formula>
    </cfRule>
    <cfRule type="expression" dxfId="495" priority="128">
      <formula>$H$64 = 0</formula>
    </cfRule>
    <cfRule type="expression" dxfId="494" priority="129">
      <formula>$H$64 &lt; 0</formula>
    </cfRule>
  </conditionalFormatting>
  <conditionalFormatting sqref="J42:L43 K64:L64">
    <cfRule type="expression" dxfId="493" priority="124">
      <formula>$K$64 &gt; 0</formula>
    </cfRule>
    <cfRule type="expression" dxfId="492" priority="125">
      <formula>$K$64 = 0</formula>
    </cfRule>
    <cfRule type="expression" dxfId="491" priority="126">
      <formula>$K$64 &lt; 0</formula>
    </cfRule>
  </conditionalFormatting>
  <conditionalFormatting sqref="M42:O43 N64:O64">
    <cfRule type="expression" dxfId="490" priority="121">
      <formula>$N$64 &gt; 0</formula>
    </cfRule>
    <cfRule type="expression" dxfId="489" priority="122">
      <formula>$N$64 = 0</formula>
    </cfRule>
    <cfRule type="expression" dxfId="488" priority="123">
      <formula>$N$64 &lt; 0</formula>
    </cfRule>
  </conditionalFormatting>
  <conditionalFormatting sqref="A71:C90 M71:O90">
    <cfRule type="expression" dxfId="487" priority="109">
      <formula>AND($N71 &gt; 0, ISNUMBER($N71))</formula>
    </cfRule>
    <cfRule type="expression" dxfId="486" priority="110">
      <formula>AND($N71 = 0 * ISNUMBER($N71))</formula>
    </cfRule>
    <cfRule type="expression" dxfId="485" priority="111">
      <formula>AND($N71 &lt; 0, ISNUMBER($N71))</formula>
    </cfRule>
  </conditionalFormatting>
  <conditionalFormatting sqref="A71:F90">
    <cfRule type="expression" dxfId="484" priority="118">
      <formula>AND($E71 &gt; 0, ISNUMBER($E71))</formula>
    </cfRule>
    <cfRule type="expression" dxfId="483" priority="119">
      <formula>AND($E71 = 0 * ISNUMBER($E71))</formula>
    </cfRule>
    <cfRule type="expression" dxfId="482" priority="120">
      <formula>AND($E71 &lt; 0, ISNUMBER($E71))</formula>
    </cfRule>
  </conditionalFormatting>
  <conditionalFormatting sqref="A71:C90 G71:I90">
    <cfRule type="expression" dxfId="481" priority="115">
      <formula>AND($H71 &gt; 0, ISNUMBER($H71))</formula>
    </cfRule>
    <cfRule type="expression" dxfId="480" priority="116">
      <formula>AND($H71 = 0 * ISNUMBER($H71))</formula>
    </cfRule>
    <cfRule type="expression" dxfId="479" priority="117">
      <formula>AND($H71 &lt; 0, ISNUMBER($H71))</formula>
    </cfRule>
  </conditionalFormatting>
  <conditionalFormatting sqref="A71:C90 J71:L90">
    <cfRule type="expression" dxfId="478" priority="112">
      <formula>AND($K71 &gt; 0, ISNUMBER($K71))</formula>
    </cfRule>
    <cfRule type="expression" dxfId="477" priority="113">
      <formula>AND($K71 = 0 * ISNUMBER($K71))</formula>
    </cfRule>
    <cfRule type="expression" dxfId="476" priority="114">
      <formula>AND($K71 &lt; 0, ISNUMBER($K71))</formula>
    </cfRule>
  </conditionalFormatting>
  <conditionalFormatting sqref="D69:F70 E91:F91">
    <cfRule type="expression" dxfId="475" priority="106">
      <formula>$E$91 &gt; 0</formula>
    </cfRule>
    <cfRule type="expression" dxfId="474" priority="107">
      <formula>$E$91 = 0</formula>
    </cfRule>
    <cfRule type="expression" dxfId="473" priority="108">
      <formula>$E$91 &lt; 0</formula>
    </cfRule>
  </conditionalFormatting>
  <conditionalFormatting sqref="G69:I70 H91:I91">
    <cfRule type="expression" dxfId="472" priority="103">
      <formula>$H$91 &gt; 0</formula>
    </cfRule>
    <cfRule type="expression" dxfId="471" priority="104">
      <formula>$H$91 = 0</formula>
    </cfRule>
    <cfRule type="expression" dxfId="470" priority="105">
      <formula>$H$91 &lt; 0</formula>
    </cfRule>
  </conditionalFormatting>
  <conditionalFormatting sqref="J69:L70 K91:L91">
    <cfRule type="expression" dxfId="469" priority="100">
      <formula>$K$91 &gt; 0</formula>
    </cfRule>
    <cfRule type="expression" dxfId="468" priority="101">
      <formula>$K$91 = 0</formula>
    </cfRule>
    <cfRule type="expression" dxfId="467" priority="102">
      <formula>$K$91 &lt; 0</formula>
    </cfRule>
  </conditionalFormatting>
  <conditionalFormatting sqref="M69:O70 N91:O91">
    <cfRule type="expression" dxfId="466" priority="97">
      <formula>$N$91 &gt; 0</formula>
    </cfRule>
    <cfRule type="expression" dxfId="465" priority="98">
      <formula>$N$91 = 0</formula>
    </cfRule>
    <cfRule type="expression" dxfId="464" priority="99">
      <formula>$N$91 &lt; 0</formula>
    </cfRule>
  </conditionalFormatting>
  <conditionalFormatting sqref="A98:C117 M98:O117">
    <cfRule type="expression" dxfId="463" priority="85">
      <formula>AND($N98 &gt; 0, ISNUMBER($N98))</formula>
    </cfRule>
    <cfRule type="expression" dxfId="462" priority="86">
      <formula>AND($N98 = 0 * ISNUMBER($N98))</formula>
    </cfRule>
    <cfRule type="expression" dxfId="461" priority="87">
      <formula>AND($N98 &lt; 0, ISNUMBER($N98))</formula>
    </cfRule>
  </conditionalFormatting>
  <conditionalFormatting sqref="A98:F117">
    <cfRule type="expression" dxfId="460" priority="94">
      <formula>AND($E98 &gt; 0, ISNUMBER($E98))</formula>
    </cfRule>
    <cfRule type="expression" dxfId="459" priority="95">
      <formula>AND($E98 = 0 * ISNUMBER($E98))</formula>
    </cfRule>
    <cfRule type="expression" dxfId="458" priority="96">
      <formula>AND($E98 &lt; 0, ISNUMBER($E98))</formula>
    </cfRule>
  </conditionalFormatting>
  <conditionalFormatting sqref="A98:C117 G98:I117">
    <cfRule type="expression" dxfId="457" priority="91">
      <formula>AND($H98 &gt; 0, ISNUMBER($H98))</formula>
    </cfRule>
    <cfRule type="expression" dxfId="456" priority="92">
      <formula>AND($H98 = 0 * ISNUMBER($H98))</formula>
    </cfRule>
    <cfRule type="expression" dxfId="455" priority="93">
      <formula>AND($H98 &lt; 0, ISNUMBER($H98))</formula>
    </cfRule>
  </conditionalFormatting>
  <conditionalFormatting sqref="A98:C117 J98:L117">
    <cfRule type="expression" dxfId="454" priority="88">
      <formula>AND($K98 &gt; 0, ISNUMBER($K98))</formula>
    </cfRule>
    <cfRule type="expression" dxfId="453" priority="89">
      <formula>AND($K98 = 0 * ISNUMBER($K98))</formula>
    </cfRule>
    <cfRule type="expression" dxfId="452" priority="90">
      <formula>AND($K98 &lt; 0, ISNUMBER($K98))</formula>
    </cfRule>
  </conditionalFormatting>
  <conditionalFormatting sqref="D96:F97 E118:F118">
    <cfRule type="expression" dxfId="451" priority="82">
      <formula>$E$118 &gt; 0</formula>
    </cfRule>
    <cfRule type="expression" dxfId="450" priority="83">
      <formula>$E$118 = 0</formula>
    </cfRule>
    <cfRule type="expression" dxfId="449" priority="84">
      <formula>$E$118 &lt; 0</formula>
    </cfRule>
  </conditionalFormatting>
  <conditionalFormatting sqref="G96:I97 H118:I118">
    <cfRule type="expression" dxfId="448" priority="79">
      <formula>$H$118 &gt; 0</formula>
    </cfRule>
    <cfRule type="expression" dxfId="447" priority="80">
      <formula>$H$118 = 0</formula>
    </cfRule>
    <cfRule type="expression" dxfId="446" priority="81">
      <formula>$H$118 &lt; 0</formula>
    </cfRule>
  </conditionalFormatting>
  <conditionalFormatting sqref="J96:L97 K118:L118">
    <cfRule type="expression" dxfId="445" priority="76">
      <formula>$K$118 &gt; 0</formula>
    </cfRule>
    <cfRule type="expression" dxfId="444" priority="77">
      <formula>$K$118 = 0</formula>
    </cfRule>
    <cfRule type="expression" dxfId="443" priority="78">
      <formula>$K$118 &lt; 0</formula>
    </cfRule>
  </conditionalFormatting>
  <conditionalFormatting sqref="M96:O97 N118:O118">
    <cfRule type="expression" dxfId="442" priority="73">
      <formula>$N$118 &gt; 0</formula>
    </cfRule>
    <cfRule type="expression" dxfId="441" priority="74">
      <formula>$N$118 = 0</formula>
    </cfRule>
    <cfRule type="expression" dxfId="440" priority="75">
      <formula>$N$118 &lt; 0</formula>
    </cfRule>
  </conditionalFormatting>
  <conditionalFormatting sqref="A125:C144 M125:O144">
    <cfRule type="expression" dxfId="439" priority="61">
      <formula>AND($N125 &gt; 0, ISNUMBER($N125))</formula>
    </cfRule>
    <cfRule type="expression" dxfId="438" priority="62">
      <formula>AND($N125 = 0 * ISNUMBER($N125))</formula>
    </cfRule>
    <cfRule type="expression" dxfId="437" priority="63">
      <formula>AND($N125 &lt; 0, ISNUMBER($N125))</formula>
    </cfRule>
  </conditionalFormatting>
  <conditionalFormatting sqref="A125:F144">
    <cfRule type="expression" dxfId="436" priority="70">
      <formula>AND($E125 &gt; 0, ISNUMBER($E125))</formula>
    </cfRule>
    <cfRule type="expression" dxfId="435" priority="71">
      <formula>AND($E125 = 0 * ISNUMBER($E125))</formula>
    </cfRule>
    <cfRule type="expression" dxfId="434" priority="72">
      <formula>AND($E125 &lt; 0, ISNUMBER($E125))</formula>
    </cfRule>
  </conditionalFormatting>
  <conditionalFormatting sqref="A125:C144 G125:I144">
    <cfRule type="expression" dxfId="433" priority="67">
      <formula>AND($H125 &gt; 0, ISNUMBER($H125))</formula>
    </cfRule>
    <cfRule type="expression" dxfId="432" priority="68">
      <formula>AND($H125 = 0 * ISNUMBER($H125))</formula>
    </cfRule>
    <cfRule type="expression" dxfId="431" priority="69">
      <formula>AND($H125 &lt; 0, ISNUMBER($H125))</formula>
    </cfRule>
  </conditionalFormatting>
  <conditionalFormatting sqref="A125:C144 J125:L144">
    <cfRule type="expression" dxfId="430" priority="64">
      <formula>AND($K125 &gt; 0, ISNUMBER($K125))</formula>
    </cfRule>
    <cfRule type="expression" dxfId="429" priority="65">
      <formula>AND($K125 = 0 * ISNUMBER($K125))</formula>
    </cfRule>
    <cfRule type="expression" dxfId="428" priority="66">
      <formula>AND($K125 &lt; 0, ISNUMBER($K125))</formula>
    </cfRule>
  </conditionalFormatting>
  <conditionalFormatting sqref="D123:F124 E145:F145">
    <cfRule type="expression" dxfId="427" priority="58">
      <formula>$E$145 &gt; 0</formula>
    </cfRule>
    <cfRule type="expression" dxfId="426" priority="59">
      <formula>$E$145 = 0</formula>
    </cfRule>
    <cfRule type="expression" dxfId="425" priority="60">
      <formula>$E$145 &lt; 0</formula>
    </cfRule>
  </conditionalFormatting>
  <conditionalFormatting sqref="G123:I124 H145:I145">
    <cfRule type="expression" dxfId="424" priority="55">
      <formula>$H$145 &gt; 0</formula>
    </cfRule>
    <cfRule type="expression" dxfId="423" priority="56">
      <formula>$H$145 = 0</formula>
    </cfRule>
    <cfRule type="expression" dxfId="422" priority="57">
      <formula>$H$145 &lt; 0</formula>
    </cfRule>
  </conditionalFormatting>
  <conditionalFormatting sqref="J123:L124 K145:L145">
    <cfRule type="expression" dxfId="421" priority="52">
      <formula>$K$145 &gt; 0</formula>
    </cfRule>
    <cfRule type="expression" dxfId="420" priority="53">
      <formula>$K$145 = 0</formula>
    </cfRule>
    <cfRule type="expression" dxfId="419" priority="54">
      <formula>$K$145 &lt; 0</formula>
    </cfRule>
  </conditionalFormatting>
  <conditionalFormatting sqref="M123:O124 N145:O145">
    <cfRule type="expression" dxfId="418" priority="49">
      <formula>$N$145 &gt; 0</formula>
    </cfRule>
    <cfRule type="expression" dxfId="417" priority="50">
      <formula>$N$145 = 0</formula>
    </cfRule>
    <cfRule type="expression" dxfId="416" priority="51">
      <formula>$N$145 &lt; 0</formula>
    </cfRule>
  </conditionalFormatting>
  <conditionalFormatting sqref="A152:C171 M152:O171">
    <cfRule type="expression" dxfId="415" priority="37">
      <formula>AND($N152 &gt; 0, ISNUMBER($N152))</formula>
    </cfRule>
    <cfRule type="expression" dxfId="414" priority="38">
      <formula>AND($N152 = 0 * ISNUMBER($N152))</formula>
    </cfRule>
    <cfRule type="expression" dxfId="413" priority="39">
      <formula>AND($N152 &lt; 0, ISNUMBER($N152))</formula>
    </cfRule>
  </conditionalFormatting>
  <conditionalFormatting sqref="A152:F171">
    <cfRule type="expression" dxfId="412" priority="46">
      <formula>AND($E152 &gt; 0, ISNUMBER($E152))</formula>
    </cfRule>
    <cfRule type="expression" dxfId="411" priority="47">
      <formula>AND($E152 = 0 * ISNUMBER($E152))</formula>
    </cfRule>
    <cfRule type="expression" dxfId="410" priority="48">
      <formula>AND($E152 &lt; 0, ISNUMBER($E152))</formula>
    </cfRule>
  </conditionalFormatting>
  <conditionalFormatting sqref="A152:C171 G152:I171">
    <cfRule type="expression" dxfId="409" priority="43">
      <formula>AND($H152 &gt; 0, ISNUMBER($H152))</formula>
    </cfRule>
    <cfRule type="expression" dxfId="408" priority="44">
      <formula>AND($H152 = 0 * ISNUMBER($H152))</formula>
    </cfRule>
    <cfRule type="expression" dxfId="407" priority="45">
      <formula>AND($H152 &lt; 0, ISNUMBER($H152))</formula>
    </cfRule>
  </conditionalFormatting>
  <conditionalFormatting sqref="A152:C171 J152:L171">
    <cfRule type="expression" dxfId="406" priority="40">
      <formula>AND($K152 &gt; 0, ISNUMBER($K152))</formula>
    </cfRule>
    <cfRule type="expression" dxfId="405" priority="41">
      <formula>AND($K152 = 0 * ISNUMBER($K152))</formula>
    </cfRule>
    <cfRule type="expression" dxfId="404" priority="42">
      <formula>AND($K152 &lt; 0, ISNUMBER($K152))</formula>
    </cfRule>
  </conditionalFormatting>
  <conditionalFormatting sqref="D150:F151 E172:F172">
    <cfRule type="expression" dxfId="403" priority="34">
      <formula>$E$172 &gt; 0</formula>
    </cfRule>
    <cfRule type="expression" dxfId="402" priority="35">
      <formula>$E$172 = 0</formula>
    </cfRule>
    <cfRule type="expression" dxfId="401" priority="36">
      <formula>$E$172 &lt; 0</formula>
    </cfRule>
  </conditionalFormatting>
  <conditionalFormatting sqref="G150:I151 H172:I172">
    <cfRule type="expression" dxfId="400" priority="31">
      <formula>$H$172 &gt; 0</formula>
    </cfRule>
    <cfRule type="expression" dxfId="399" priority="32">
      <formula>$H$172 = 0</formula>
    </cfRule>
    <cfRule type="expression" dxfId="398" priority="33">
      <formula>$H$172 &lt; 0</formula>
    </cfRule>
  </conditionalFormatting>
  <conditionalFormatting sqref="J150:L151 K172:L172">
    <cfRule type="expression" dxfId="397" priority="28">
      <formula>$K$172 &gt; 0</formula>
    </cfRule>
    <cfRule type="expression" dxfId="396" priority="29">
      <formula>$K$172 = 0</formula>
    </cfRule>
    <cfRule type="expression" dxfId="395" priority="30">
      <formula>$K$172 &lt; 0</formula>
    </cfRule>
  </conditionalFormatting>
  <conditionalFormatting sqref="M150:O151 N172:O172">
    <cfRule type="expression" dxfId="394" priority="25">
      <formula>$N$172 &gt; 0</formula>
    </cfRule>
    <cfRule type="expression" dxfId="393" priority="26">
      <formula>$N$172 = 0</formula>
    </cfRule>
    <cfRule type="expression" dxfId="392" priority="27">
      <formula>$N$172 &lt; 0</formula>
    </cfRule>
  </conditionalFormatting>
  <conditionalFormatting sqref="A179:C198 M179:O198">
    <cfRule type="expression" dxfId="391" priority="13">
      <formula>AND($N179 &gt; 0, ISNUMBER($N179))</formula>
    </cfRule>
    <cfRule type="expression" dxfId="390" priority="14">
      <formula>AND($N179 = 0 * ISNUMBER($N179))</formula>
    </cfRule>
    <cfRule type="expression" dxfId="389" priority="15">
      <formula>AND($N179 &lt; 0, ISNUMBER($N179))</formula>
    </cfRule>
  </conditionalFormatting>
  <conditionalFormatting sqref="A179:F198">
    <cfRule type="expression" dxfId="388" priority="22">
      <formula>AND($E179 &gt; 0, ISNUMBER($E179))</formula>
    </cfRule>
    <cfRule type="expression" dxfId="387" priority="23">
      <formula>AND($E179 = 0 * ISNUMBER($E179))</formula>
    </cfRule>
    <cfRule type="expression" dxfId="386" priority="24">
      <formula>AND($E179 &lt; 0, ISNUMBER($E179))</formula>
    </cfRule>
  </conditionalFormatting>
  <conditionalFormatting sqref="A179:C198 G179:I198">
    <cfRule type="expression" dxfId="385" priority="19">
      <formula>AND($H179 &gt; 0, ISNUMBER($H179))</formula>
    </cfRule>
    <cfRule type="expression" dxfId="384" priority="20">
      <formula>AND($H179 = 0 * ISNUMBER($H179))</formula>
    </cfRule>
    <cfRule type="expression" dxfId="383" priority="21">
      <formula>AND($H179 &lt; 0, ISNUMBER($H179))</formula>
    </cfRule>
  </conditionalFormatting>
  <conditionalFormatting sqref="A179:C198 J179:L198">
    <cfRule type="expression" dxfId="382" priority="16">
      <formula>AND($K179 &gt; 0, ISNUMBER($K179))</formula>
    </cfRule>
    <cfRule type="expression" dxfId="381" priority="17">
      <formula>AND($K179 = 0 * ISNUMBER($K179))</formula>
    </cfRule>
    <cfRule type="expression" dxfId="380" priority="18">
      <formula>AND($K179 &lt; 0, ISNUMBER($K179))</formula>
    </cfRule>
  </conditionalFormatting>
  <conditionalFormatting sqref="D177:F178 E199:F199">
    <cfRule type="expression" dxfId="379" priority="10">
      <formula>$E$199 &gt; 0</formula>
    </cfRule>
    <cfRule type="expression" dxfId="378" priority="11">
      <formula>$E$199 = 0</formula>
    </cfRule>
    <cfRule type="expression" dxfId="377" priority="12">
      <formula>$E$199 &lt; 0</formula>
    </cfRule>
  </conditionalFormatting>
  <conditionalFormatting sqref="G177:I178 H199:I199">
    <cfRule type="expression" dxfId="376" priority="7">
      <formula>$H$199 &gt; 0</formula>
    </cfRule>
    <cfRule type="expression" dxfId="375" priority="8">
      <formula>$H$199 = 0</formula>
    </cfRule>
    <cfRule type="expression" dxfId="374" priority="9">
      <formula>$H$199 &lt; 0</formula>
    </cfRule>
  </conditionalFormatting>
  <conditionalFormatting sqref="J177:L178 K199:L199">
    <cfRule type="expression" dxfId="373" priority="4">
      <formula>$K$199 &gt; 0</formula>
    </cfRule>
    <cfRule type="expression" dxfId="372" priority="5">
      <formula>$K$199 = 0</formula>
    </cfRule>
    <cfRule type="expression" dxfId="371" priority="6">
      <formula>$K$199 &lt; 0</formula>
    </cfRule>
  </conditionalFormatting>
  <conditionalFormatting sqref="M177:O178 N199:O199">
    <cfRule type="expression" dxfId="370" priority="1">
      <formula>$N$199 &gt; 0</formula>
    </cfRule>
    <cfRule type="expression" dxfId="369" priority="2">
      <formula>$N$199 = 0</formula>
    </cfRule>
    <cfRule type="expression" dxfId="3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28EF8-1CF2-4BC4-A65E-86375D02BE49}">
  <sheetPr codeName="Sheet18"/>
  <dimension ref="A1:S199"/>
  <sheetViews>
    <sheetView topLeftCell="A105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4" t="s">
        <v>0</v>
      </c>
      <c r="B1" s="235"/>
      <c r="C1" s="235"/>
      <c r="D1" s="235"/>
      <c r="E1" s="235"/>
      <c r="F1" s="236"/>
      <c r="G1" s="265">
        <v>44359</v>
      </c>
      <c r="H1" s="266"/>
      <c r="I1" s="267"/>
      <c r="J1" s="234" t="s">
        <v>1</v>
      </c>
      <c r="K1" s="235"/>
      <c r="L1" s="235"/>
      <c r="M1" s="235"/>
      <c r="N1" s="235"/>
      <c r="O1" s="236"/>
      <c r="Q1" s="234" t="s">
        <v>2</v>
      </c>
      <c r="R1" s="236"/>
    </row>
    <row r="2" spans="1:19" ht="17.25" customHeight="1">
      <c r="A2" s="117" t="s">
        <v>3</v>
      </c>
      <c r="B2" s="268" t="s">
        <v>8</v>
      </c>
      <c r="C2" s="269"/>
      <c r="D2" s="269"/>
      <c r="E2" s="269"/>
      <c r="F2" s="270"/>
      <c r="G2" s="262" t="s">
        <v>46</v>
      </c>
      <c r="H2" s="263"/>
      <c r="I2" s="264"/>
      <c r="J2" s="1" t="s">
        <v>3</v>
      </c>
      <c r="K2" s="268" t="s">
        <v>350</v>
      </c>
      <c r="L2" s="269"/>
      <c r="M2" s="269"/>
      <c r="N2" s="269"/>
      <c r="O2" s="270"/>
      <c r="Q2" s="2" t="s">
        <v>6</v>
      </c>
      <c r="R2" s="3">
        <v>0.375</v>
      </c>
    </row>
    <row r="3" spans="1:19" ht="17.25" customHeight="1" thickBot="1">
      <c r="A3" s="118" t="s">
        <v>7</v>
      </c>
      <c r="B3" s="259" t="s">
        <v>358</v>
      </c>
      <c r="C3" s="260"/>
      <c r="D3" s="260"/>
      <c r="E3" s="260"/>
      <c r="F3" s="261"/>
      <c r="G3" s="25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-173,702 KRW (-8.69%)</v>
      </c>
      <c r="H3" s="256"/>
      <c r="I3" s="257"/>
      <c r="J3" s="4" t="s">
        <v>7</v>
      </c>
      <c r="K3" s="259" t="s">
        <v>351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9" t="s">
        <v>16</v>
      </c>
      <c r="C4" s="260"/>
      <c r="D4" s="260"/>
      <c r="E4" s="260"/>
      <c r="F4" s="261"/>
      <c r="G4" s="262" t="s">
        <v>44</v>
      </c>
      <c r="H4" s="263"/>
      <c r="I4" s="264"/>
      <c r="J4" s="4" t="s">
        <v>11</v>
      </c>
      <c r="K4" s="259" t="s">
        <v>352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9" t="s">
        <v>349</v>
      </c>
      <c r="C5" s="260"/>
      <c r="D5" s="260"/>
      <c r="E5" s="260"/>
      <c r="F5" s="261"/>
      <c r="G5" s="25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-218,267 KRW (-10.91%)</v>
      </c>
      <c r="H5" s="256"/>
      <c r="I5" s="257"/>
      <c r="J5" s="4" t="s">
        <v>15</v>
      </c>
      <c r="K5" s="259" t="s">
        <v>353</v>
      </c>
      <c r="L5" s="260"/>
      <c r="M5" s="260"/>
      <c r="N5" s="260"/>
      <c r="O5" s="261"/>
    </row>
    <row r="6" spans="1:19">
      <c r="A6" s="118" t="s">
        <v>18</v>
      </c>
      <c r="B6" s="259"/>
      <c r="C6" s="260"/>
      <c r="D6" s="260"/>
      <c r="E6" s="260"/>
      <c r="F6" s="261"/>
      <c r="G6" s="262" t="s">
        <v>45</v>
      </c>
      <c r="H6" s="263"/>
      <c r="I6" s="264"/>
      <c r="J6" s="4" t="s">
        <v>18</v>
      </c>
      <c r="K6" s="259" t="s">
        <v>354</v>
      </c>
      <c r="L6" s="260"/>
      <c r="M6" s="260"/>
      <c r="N6" s="260"/>
      <c r="O6" s="261"/>
    </row>
    <row r="7" spans="1:19" ht="17.25" thickBot="1">
      <c r="A7" s="118" t="s">
        <v>21</v>
      </c>
      <c r="B7" s="259"/>
      <c r="C7" s="260"/>
      <c r="D7" s="260"/>
      <c r="E7" s="260"/>
      <c r="F7" s="261"/>
      <c r="G7" s="25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-182,346 KRW (-9.12%)</v>
      </c>
      <c r="H7" s="256"/>
      <c r="I7" s="257"/>
      <c r="J7" s="4" t="s">
        <v>21</v>
      </c>
      <c r="K7" s="259" t="s">
        <v>355</v>
      </c>
      <c r="L7" s="260"/>
      <c r="M7" s="260"/>
      <c r="N7" s="260"/>
      <c r="O7" s="261"/>
    </row>
    <row r="8" spans="1:19" ht="17.25" thickBot="1">
      <c r="A8" s="118" t="s">
        <v>24</v>
      </c>
      <c r="B8" s="259"/>
      <c r="C8" s="260"/>
      <c r="D8" s="260"/>
      <c r="E8" s="260"/>
      <c r="F8" s="261"/>
      <c r="G8" s="262" t="s">
        <v>285</v>
      </c>
      <c r="H8" s="263"/>
      <c r="I8" s="264"/>
      <c r="J8" s="4" t="s">
        <v>24</v>
      </c>
      <c r="K8" s="259"/>
      <c r="L8" s="260"/>
      <c r="M8" s="260"/>
      <c r="N8" s="260"/>
      <c r="O8" s="261"/>
      <c r="Q8" s="234" t="s">
        <v>27</v>
      </c>
      <c r="R8" s="236"/>
    </row>
    <row r="9" spans="1:19" ht="17.25" thickBot="1">
      <c r="A9" s="118" t="s">
        <v>28</v>
      </c>
      <c r="B9" s="259"/>
      <c r="C9" s="260"/>
      <c r="D9" s="260"/>
      <c r="E9" s="260"/>
      <c r="F9" s="261"/>
      <c r="G9" s="25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-480,339 KRW (-24.02%)</v>
      </c>
      <c r="H9" s="256"/>
      <c r="I9" s="257"/>
      <c r="J9" s="4" t="s">
        <v>28</v>
      </c>
      <c r="K9" s="259"/>
      <c r="L9" s="260"/>
      <c r="M9" s="260"/>
      <c r="N9" s="260"/>
      <c r="O9" s="261"/>
      <c r="Q9" s="2" t="s">
        <v>29</v>
      </c>
      <c r="R9" s="6">
        <v>10</v>
      </c>
    </row>
    <row r="10" spans="1:19">
      <c r="A10" s="118" t="s">
        <v>30</v>
      </c>
      <c r="B10" s="259"/>
      <c r="C10" s="260"/>
      <c r="D10" s="260"/>
      <c r="E10" s="260"/>
      <c r="F10" s="261"/>
      <c r="G10" s="262" t="s">
        <v>47</v>
      </c>
      <c r="H10" s="263"/>
      <c r="I10" s="264"/>
      <c r="J10" s="4" t="s">
        <v>30</v>
      </c>
      <c r="K10" s="259" t="s">
        <v>356</v>
      </c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119" t="s">
        <v>32</v>
      </c>
      <c r="B11" s="252" t="s">
        <v>357</v>
      </c>
      <c r="C11" s="253"/>
      <c r="D11" s="253"/>
      <c r="E11" s="253"/>
      <c r="F11" s="254"/>
      <c r="G11" s="25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-54,437 KRW (-10.89%)</v>
      </c>
      <c r="H11" s="256"/>
      <c r="I11" s="257"/>
      <c r="J11" s="7" t="s">
        <v>32</v>
      </c>
      <c r="K11" s="252" t="s">
        <v>348</v>
      </c>
      <c r="L11" s="253"/>
      <c r="M11" s="253"/>
      <c r="N11" s="253"/>
      <c r="O11" s="254"/>
      <c r="Q11" s="65" t="s">
        <v>33</v>
      </c>
      <c r="R11" s="8">
        <v>1000</v>
      </c>
    </row>
    <row r="12" spans="1:19" ht="17.25" thickBot="1"/>
    <row r="13" spans="1:19" ht="17.25" customHeight="1" thickBot="1">
      <c r="A13" s="234" t="s">
        <v>34</v>
      </c>
      <c r="B13" s="235"/>
      <c r="C13" s="235"/>
      <c r="D13" s="235"/>
      <c r="E13" s="235"/>
      <c r="F13" s="235"/>
      <c r="G13" s="235"/>
      <c r="H13" s="235"/>
      <c r="I13" s="235"/>
      <c r="J13" s="235"/>
      <c r="K13" s="235"/>
      <c r="L13" s="235"/>
      <c r="M13" s="235"/>
      <c r="N13" s="235"/>
      <c r="O13" s="236"/>
      <c r="Q13" s="233"/>
      <c r="R13" s="233"/>
      <c r="S13" s="233"/>
    </row>
    <row r="14" spans="1:19" ht="17.25" customHeight="1" thickBot="1">
      <c r="A14" s="204" t="s">
        <v>35</v>
      </c>
      <c r="B14" s="234" t="s">
        <v>36</v>
      </c>
      <c r="C14" s="236"/>
      <c r="D14" s="234" t="s">
        <v>37</v>
      </c>
      <c r="E14" s="235"/>
      <c r="F14" s="236"/>
      <c r="G14" s="237">
        <f>_xlfn.IFNA(VLOOKUP(B14, 현재가테이블!$B$2:$D$200, 2, FALSE), "-")</f>
        <v>41418000</v>
      </c>
      <c r="H14" s="238"/>
      <c r="I14" s="239"/>
      <c r="J14" s="234" t="s">
        <v>38</v>
      </c>
      <c r="K14" s="235"/>
      <c r="L14" s="236"/>
      <c r="M14" s="240">
        <f>_xlfn.IFNA(VLOOKUP(B14, 현재가테이블!$B$2:$D$200, 3, FALSE), "-")</f>
        <v>-5.2176301000000001E-2</v>
      </c>
      <c r="N14" s="241"/>
      <c r="O14" s="242"/>
      <c r="Q14" s="233"/>
      <c r="R14" s="233"/>
      <c r="S14" s="233"/>
    </row>
    <row r="15" spans="1:19" ht="17.25" customHeight="1" thickBot="1">
      <c r="A15" s="271" t="s">
        <v>39</v>
      </c>
      <c r="B15" s="272" t="str">
        <f>TEXT($G$1, "[$-ko-KR]yyyy-mm-dd(ddd) ") &amp; "오전 00:00"</f>
        <v>2021-06-12(토) 오전 00:00</v>
      </c>
      <c r="C15" s="273"/>
      <c r="D15" s="247" t="str">
        <f>TEXT($G$1, "[$-ko-KR]yyyy-mm-dd(ddd) ") &amp; "오후 14:00"</f>
        <v>2021-06-12(토) 오후 14:00</v>
      </c>
      <c r="E15" s="248"/>
      <c r="F15" s="249"/>
      <c r="G15" s="247" t="str">
        <f>TEXT($G$1, "[$-ko-KR]yyyy-mm-dd(ddd) ") &amp; "오후 19:00"</f>
        <v>2021-06-12(토) 오후 19:00</v>
      </c>
      <c r="H15" s="248"/>
      <c r="I15" s="249"/>
      <c r="J15" s="247" t="str">
        <f>TEXT($G$1, "[$-ko-KR]yyyy-mm-dd(ddd) ") &amp; "오후 21:00"</f>
        <v>2021-06-12(토) 오후 21:00</v>
      </c>
      <c r="K15" s="248"/>
      <c r="L15" s="249"/>
      <c r="M15" s="247" t="str">
        <f>TEXT($G$1+1, "[$-ko-KR]yyyy-mm-dd(ddd) ") &amp; "오전 00:00"</f>
        <v>2021-06-13(일) 오전 00:00</v>
      </c>
      <c r="N15" s="248"/>
      <c r="O15" s="249"/>
      <c r="Q15" s="233"/>
      <c r="R15" s="233"/>
      <c r="S15" s="233"/>
    </row>
    <row r="16" spans="1:19" ht="17.25" customHeight="1" thickBot="1">
      <c r="A16" s="27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5" t="s">
        <v>37</v>
      </c>
      <c r="H16" s="206" t="s">
        <v>40</v>
      </c>
      <c r="I16" s="20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86.8</v>
      </c>
      <c r="C17" s="76">
        <f>IF(NOT(ISBLANK(_xlfn.IFNA(VLOOKUP($A17, $A$40:$O$199, 3, FALSE), ))), _xlfn.IFNA(VLOOKUP($A17, $A$40:$O$199, 3, FALSE), ), "")</f>
        <v>-3.4482758600000003E-2</v>
      </c>
      <c r="D17" s="13">
        <f>IF(NOT(ISBLANK(_xlfn.IFNA(VLOOKUP($A17, $A$40:$O$199, 4, FALSE), ))), _xlfn.IFNA(VLOOKUP($A17, $A$40:$O$199, 4, FALSE), ), "")</f>
        <v>75.7</v>
      </c>
      <c r="E17" s="14">
        <f>IF(NOT(ISBLANK(_xlfn.IFNA(VLOOKUP($A17, $A$40:$O$199, 5, FALSE), ))), _xlfn.IFNA(VLOOKUP($A17, $A$40:$O$199, 5, FALSE), ), "")</f>
        <v>-0.12788018433179718</v>
      </c>
      <c r="F17" s="16">
        <f>IF(NOT(ISBLANK(_xlfn.IFNA(VLOOKUP($A17, $A$40:$O$199, 6, FALSE), ))), _xlfn.IFNA(VLOOKUP($A17, $A$40:$O$199, 6, FALSE), ), "")</f>
        <v>-12788.018433179717</v>
      </c>
      <c r="G17" s="29">
        <f>IF(NOT(ISBLANK(_xlfn.IFNA(VLOOKUP($A17, $A$40:$O$199, 7, FALSE), ))), _xlfn.IFNA(VLOOKUP($A17, $A$40:$O$199, 7, FALSE), ), "")</f>
        <v>75.8</v>
      </c>
      <c r="H17" s="14">
        <f>IF(NOT(ISBLANK(_xlfn.IFNA(VLOOKUP($A17, $A$40:$O$199, 8, FALSE), ))), _xlfn.IFNA(VLOOKUP($A17, $A$40:$O$199, 8, FALSE), ), "")</f>
        <v>-0.12672811059907835</v>
      </c>
      <c r="I17" s="100">
        <f>IF(NOT(ISBLANK(_xlfn.IFNA(VLOOKUP($A17, $A$40:$O$199, 9, FALSE), ))), _xlfn.IFNA(VLOOKUP($A17, $A$40:$O$199, 9, FALSE), ), "")</f>
        <v>-12672.811059907835</v>
      </c>
      <c r="J17" s="13">
        <f>IF(NOT(ISBLANK(_xlfn.IFNA(VLOOKUP($A17, $A$40:$O$199, 10, FALSE), ))), _xlfn.IFNA(VLOOKUP($A17, $A$40:$O$199, 10, FALSE), ), "")</f>
        <v>76</v>
      </c>
      <c r="K17" s="14">
        <f>IF(NOT(ISBLANK(_xlfn.IFNA(VLOOKUP($A17, $A$40:$O$199, 11, FALSE), ))), _xlfn.IFNA(VLOOKUP($A17, $A$40:$O$199, 11, FALSE), ), "")</f>
        <v>-0.12442396313364053</v>
      </c>
      <c r="L17" s="16">
        <f>IF(NOT(ISBLANK(_xlfn.IFNA(VLOOKUP($A17, $A$40:$O$199, 12, FALSE), ))), _xlfn.IFNA(VLOOKUP($A17, $A$40:$O$199, 12, FALSE), ), "")</f>
        <v>-12442.396313364054</v>
      </c>
      <c r="M17" s="29">
        <f>IF(NOT(ISBLANK(_xlfn.IFNA(VLOOKUP($A17, $A$40:$O$199, 13, FALSE), ))), _xlfn.IFNA(VLOOKUP($A17, $A$40:$O$199, 13, FALSE), ), "")</f>
        <v>77.7</v>
      </c>
      <c r="N17" s="14">
        <f>IF(NOT(ISBLANK(_xlfn.IFNA(VLOOKUP($A17, $A$40:$O$199, 14, FALSE), ))), _xlfn.IFNA(VLOOKUP($A17, $A$40:$O$199, 14, FALSE), ), "")</f>
        <v>-0.10483870967741929</v>
      </c>
      <c r="O17" s="16">
        <f>IF(NOT(ISBLANK(_xlfn.IFNA(VLOOKUP($A17, $A$40:$O$199, 15, FALSE), ))), _xlfn.IFNA(VLOOKUP($A17, $A$40:$O$199, 15, FALSE), ), "")</f>
        <v>-10483.870967741928</v>
      </c>
      <c r="Q17" s="233"/>
      <c r="R17" s="233"/>
      <c r="S17" s="23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62.8</v>
      </c>
      <c r="C18" s="77">
        <f t="shared" ref="C18:C36" si="1">IF(NOT(ISBLANK(_xlfn.IFNA(VLOOKUP($A18, $A$40:$O$199, 3, FALSE), ))), _xlfn.IFNA(VLOOKUP($A18, $A$40:$O$199, 3, FALSE), ), "")</f>
        <v>-0.1104815864</v>
      </c>
      <c r="D18" s="15">
        <f t="shared" ref="D18:D36" si="2">IF(NOT(ISBLANK(_xlfn.IFNA(VLOOKUP($A18, $A$40:$O$199, 4, FALSE), ))), _xlfn.IFNA(VLOOKUP($A18, $A$40:$O$199, 4, FALSE), ), "")</f>
        <v>55.2</v>
      </c>
      <c r="E18" s="32">
        <f t="shared" ref="E18:E36" si="3">IF(NOT(ISBLANK(_xlfn.IFNA(VLOOKUP($A18, $A$40:$O$199, 5, FALSE), ))), _xlfn.IFNA(VLOOKUP($A18, $A$40:$O$199, 5, FALSE), ), "")</f>
        <v>-0.12101910828025469</v>
      </c>
      <c r="F18" s="18">
        <f t="shared" ref="F18:F36" si="4">IF(NOT(ISBLANK(_xlfn.IFNA(VLOOKUP($A18, $A$40:$O$199, 6, FALSE), ))), _xlfn.IFNA(VLOOKUP($A18, $A$40:$O$199, 6, FALSE), ), "")</f>
        <v>-12101.91082802547</v>
      </c>
      <c r="G18" s="31">
        <f t="shared" ref="G18:G36" si="5">IF(NOT(ISBLANK(_xlfn.IFNA(VLOOKUP($A18, $A$40:$O$199, 7, FALSE), ))), _xlfn.IFNA(VLOOKUP($A18, $A$40:$O$199, 7, FALSE), ), "")</f>
        <v>51.4</v>
      </c>
      <c r="H18" s="32">
        <f t="shared" ref="H18:H36" si="6">IF(NOT(ISBLANK(_xlfn.IFNA(VLOOKUP($A18, $A$40:$O$199, 8, FALSE), ))), _xlfn.IFNA(VLOOKUP($A18, $A$40:$O$199, 8, FALSE), ), "")</f>
        <v>-0.18152866242038215</v>
      </c>
      <c r="I18" s="101">
        <f t="shared" ref="I18:I36" si="7">IF(NOT(ISBLANK(_xlfn.IFNA(VLOOKUP($A18, $A$40:$O$199, 9, FALSE), ))), _xlfn.IFNA(VLOOKUP($A18, $A$40:$O$199, 9, FALSE), ), "")</f>
        <v>-18152.866242038217</v>
      </c>
      <c r="J18" s="15">
        <f t="shared" ref="J18:J36" si="8">IF(NOT(ISBLANK(_xlfn.IFNA(VLOOKUP($A18, $A$40:$O$199, 10, FALSE), ))), _xlfn.IFNA(VLOOKUP($A18, $A$40:$O$199, 10, FALSE), ), "")</f>
        <v>52.7</v>
      </c>
      <c r="K18" s="32">
        <f t="shared" ref="K18:K36" si="9">IF(NOT(ISBLANK(_xlfn.IFNA(VLOOKUP($A18, $A$40:$O$199, 11, FALSE), ))), _xlfn.IFNA(VLOOKUP($A18, $A$40:$O$199, 11, FALSE), ), "")</f>
        <v>-0.16082802547770692</v>
      </c>
      <c r="L18" s="18">
        <f t="shared" ref="L18:L36" si="10">IF(NOT(ISBLANK(_xlfn.IFNA(VLOOKUP($A18, $A$40:$O$199, 12, FALSE), ))), _xlfn.IFNA(VLOOKUP($A18, $A$40:$O$199, 12, FALSE), ), "")</f>
        <v>-16082.802547770692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-0.15127388535031847</v>
      </c>
      <c r="O18" s="18">
        <f t="shared" ref="O18:O36" si="13">IF(NOT(ISBLANK(_xlfn.IFNA(VLOOKUP($A18, $A$40:$O$199, 15, FALSE), ))), _xlfn.IFNA(VLOOKUP($A18, $A$40:$O$199, 15, FALSE), ), "")</f>
        <v>-15127.388535031847</v>
      </c>
      <c r="Q18" s="233"/>
      <c r="R18" s="233"/>
      <c r="S18" s="233"/>
    </row>
    <row r="19" spans="1:19" ht="17.25" customHeight="1" thickBot="1">
      <c r="A19" s="162" t="s">
        <v>202</v>
      </c>
      <c r="B19" s="126">
        <f t="shared" si="0"/>
        <v>105</v>
      </c>
      <c r="C19" s="77">
        <f t="shared" si="1"/>
        <v>-9.4827586199999994E-2</v>
      </c>
      <c r="D19" s="15">
        <f t="shared" si="2"/>
        <v>87</v>
      </c>
      <c r="E19" s="32">
        <f t="shared" si="3"/>
        <v>-0.17142857142857143</v>
      </c>
      <c r="F19" s="18">
        <f t="shared" si="4"/>
        <v>-17142.857142857141</v>
      </c>
      <c r="G19" s="31">
        <f t="shared" si="5"/>
        <v>87.4</v>
      </c>
      <c r="H19" s="32">
        <f t="shared" si="6"/>
        <v>-0.16761904761904756</v>
      </c>
      <c r="I19" s="101">
        <f t="shared" si="7"/>
        <v>-16761.904761904756</v>
      </c>
      <c r="J19" s="15">
        <f t="shared" si="8"/>
        <v>88.2</v>
      </c>
      <c r="K19" s="32">
        <f t="shared" si="9"/>
        <v>-0.15999999999999998</v>
      </c>
      <c r="L19" s="18">
        <f t="shared" si="10"/>
        <v>-15999.999999999998</v>
      </c>
      <c r="M19" s="31">
        <f t="shared" si="11"/>
        <v>88.6</v>
      </c>
      <c r="N19" s="32">
        <f t="shared" si="12"/>
        <v>-0.15619047619047624</v>
      </c>
      <c r="O19" s="18">
        <f t="shared" si="13"/>
        <v>-15619.047619047624</v>
      </c>
      <c r="Q19" s="223"/>
      <c r="R19" s="223"/>
      <c r="S19" s="223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131</v>
      </c>
      <c r="E20" s="32">
        <f t="shared" si="3"/>
        <v>-5.7553956834532377E-2</v>
      </c>
      <c r="F20" s="18">
        <f t="shared" si="4"/>
        <v>-5755.3956834532373</v>
      </c>
      <c r="G20" s="31">
        <f t="shared" si="5"/>
        <v>130</v>
      </c>
      <c r="H20" s="32">
        <f t="shared" si="6"/>
        <v>-6.4748201438848921E-2</v>
      </c>
      <c r="I20" s="101">
        <f t="shared" si="7"/>
        <v>-6474.8201438848919</v>
      </c>
      <c r="J20" s="15">
        <f t="shared" si="8"/>
        <v>131</v>
      </c>
      <c r="K20" s="32">
        <f t="shared" si="9"/>
        <v>-5.7553956834532377E-2</v>
      </c>
      <c r="L20" s="18">
        <f t="shared" si="10"/>
        <v>-5755.3956834532373</v>
      </c>
      <c r="M20" s="31">
        <f t="shared" si="11"/>
        <v>131</v>
      </c>
      <c r="N20" s="32">
        <f t="shared" si="12"/>
        <v>-5.7553956834532377E-2</v>
      </c>
      <c r="O20" s="18">
        <f t="shared" si="13"/>
        <v>-5755.3956834532373</v>
      </c>
      <c r="Q20" s="223"/>
      <c r="R20" s="223"/>
      <c r="S20" s="223"/>
    </row>
    <row r="21" spans="1:19" ht="17.25" customHeight="1" thickBot="1">
      <c r="A21" s="163" t="s">
        <v>246</v>
      </c>
      <c r="B21" s="128">
        <f t="shared" si="0"/>
        <v>255</v>
      </c>
      <c r="C21" s="78">
        <f t="shared" si="1"/>
        <v>-0.1414141414</v>
      </c>
      <c r="D21" s="20">
        <f t="shared" si="2"/>
        <v>231</v>
      </c>
      <c r="E21" s="21">
        <f t="shared" si="3"/>
        <v>-9.4117647058823528E-2</v>
      </c>
      <c r="F21" s="22">
        <f t="shared" si="4"/>
        <v>-9411.7647058823532</v>
      </c>
      <c r="G21" s="30">
        <f t="shared" si="5"/>
        <v>230</v>
      </c>
      <c r="H21" s="21">
        <f t="shared" si="6"/>
        <v>-9.8039215686274508E-2</v>
      </c>
      <c r="I21" s="105">
        <f t="shared" si="7"/>
        <v>-9803.9215686274511</v>
      </c>
      <c r="J21" s="20">
        <f t="shared" si="8"/>
        <v>232</v>
      </c>
      <c r="K21" s="21">
        <f t="shared" si="9"/>
        <v>-9.0196078431372548E-2</v>
      </c>
      <c r="L21" s="22">
        <f t="shared" si="10"/>
        <v>-9019.6078431372553</v>
      </c>
      <c r="M21" s="30">
        <f t="shared" si="11"/>
        <v>236</v>
      </c>
      <c r="N21" s="21">
        <f t="shared" si="12"/>
        <v>-7.4509803921568626E-2</v>
      </c>
      <c r="O21" s="22">
        <f t="shared" si="13"/>
        <v>-7450.9803921568628</v>
      </c>
      <c r="Q21" s="223"/>
      <c r="R21" s="223"/>
      <c r="S21" s="223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3"/>
      <c r="R22" s="223"/>
      <c r="S22" s="22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3"/>
      <c r="R23" s="223"/>
      <c r="S23" s="22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3"/>
      <c r="R24" s="223"/>
      <c r="S24" s="22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3"/>
      <c r="R29" s="223"/>
      <c r="S29" s="22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3"/>
      <c r="R30" s="233"/>
      <c r="S30" s="23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3"/>
      <c r="R31" s="233"/>
      <c r="S31" s="23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3"/>
      <c r="R32" s="223"/>
      <c r="S32" s="22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2"/>
      <c r="R35" s="213"/>
      <c r="S35" s="2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5"/>
      <c r="R36" s="216"/>
      <c r="S36" s="217"/>
    </row>
    <row r="37" spans="1:19" ht="17.25" customHeight="1" thickBot="1">
      <c r="A37" s="132" t="s">
        <v>42</v>
      </c>
      <c r="B37" s="276">
        <v>100000</v>
      </c>
      <c r="C37" s="277"/>
      <c r="D37" s="26" t="s">
        <v>43</v>
      </c>
      <c r="E37" s="27">
        <f>IF(COUNT(E17:E36), SUM(E17:E36) / COUNT(E17:E36), 0)</f>
        <v>-0.11439989358679584</v>
      </c>
      <c r="F37" s="28">
        <f>SUM(F17:F36)</f>
        <v>-57199.946793397918</v>
      </c>
      <c r="G37" s="26" t="s">
        <v>43</v>
      </c>
      <c r="H37" s="27">
        <f>IF(COUNT(H17:H36), SUM(H17:H36) / COUNT(H17:H36), 0)</f>
        <v>-0.12773264755272631</v>
      </c>
      <c r="I37" s="28">
        <f>SUM(I17:I36)</f>
        <v>-63866.323776363148</v>
      </c>
      <c r="J37" s="26" t="s">
        <v>43</v>
      </c>
      <c r="K37" s="27">
        <f>IF(COUNT(K17:K36), SUM(K17:K36) / COUNT(K17:K36), 0)</f>
        <v>-0.11860040477545046</v>
      </c>
      <c r="L37" s="28">
        <f>SUM(L17:L36)</f>
        <v>-59300.202387725236</v>
      </c>
      <c r="M37" s="26" t="s">
        <v>43</v>
      </c>
      <c r="N37" s="27">
        <f>IF(COUNT(N17:N36), SUM(N17:N36) / COUNT(N17:N36), 0)</f>
        <v>-0.10887336639486297</v>
      </c>
      <c r="O37" s="28">
        <f>SUM(O17:O36)</f>
        <v>-54436.683197431499</v>
      </c>
      <c r="Q37" s="218"/>
      <c r="R37" s="219"/>
      <c r="S37" s="220"/>
    </row>
    <row r="38" spans="1:19" ht="17.25" customHeight="1"/>
    <row r="39" spans="1:19" ht="17.25" customHeight="1" thickBot="1"/>
    <row r="40" spans="1:19" ht="17.25" customHeight="1" thickBot="1">
      <c r="A40" s="234" t="s">
        <v>44</v>
      </c>
      <c r="B40" s="235"/>
      <c r="C40" s="235"/>
      <c r="D40" s="235"/>
      <c r="E40" s="235"/>
      <c r="F40" s="235"/>
      <c r="G40" s="235"/>
      <c r="H40" s="235"/>
      <c r="I40" s="235"/>
      <c r="J40" s="235"/>
      <c r="K40" s="235"/>
      <c r="L40" s="235"/>
      <c r="M40" s="235"/>
      <c r="N40" s="235"/>
      <c r="O40" s="236"/>
      <c r="Q40" s="233"/>
      <c r="R40" s="233"/>
      <c r="S40" s="233"/>
    </row>
    <row r="41" spans="1:19" ht="17.25" customHeight="1" thickBot="1">
      <c r="A41" s="204" t="s">
        <v>297</v>
      </c>
      <c r="B41" s="234" t="s">
        <v>49</v>
      </c>
      <c r="C41" s="236"/>
      <c r="D41" s="234" t="s">
        <v>58</v>
      </c>
      <c r="E41" s="235"/>
      <c r="F41" s="236"/>
      <c r="G41" s="237">
        <f>_xlfn.IFNA(VLOOKUP(B41, 현재가테이블!$B$2:$D$200, 2, FALSE), "-")</f>
        <v>41418000</v>
      </c>
      <c r="H41" s="238"/>
      <c r="I41" s="239"/>
      <c r="J41" s="234" t="s">
        <v>59</v>
      </c>
      <c r="K41" s="235"/>
      <c r="L41" s="236"/>
      <c r="M41" s="240">
        <f>_xlfn.IFNA(VLOOKUP(B41, 현재가테이블!$B$2:$D$200, 3, FALSE), "-")</f>
        <v>-5.2176301000000001E-2</v>
      </c>
      <c r="N41" s="241"/>
      <c r="O41" s="242"/>
      <c r="Q41" s="233"/>
      <c r="R41" s="233"/>
      <c r="S41" s="233"/>
    </row>
    <row r="42" spans="1:19" ht="17.25" customHeight="1" thickBot="1">
      <c r="A42" s="278" t="s">
        <v>55</v>
      </c>
      <c r="B42" s="274" t="str">
        <f>TEXT($G$1, "[$-ko-KR]yyyy-mm-dd(ddd) ") &amp; "오전 00:00"</f>
        <v>2021-06-12(토) 오전 00:00</v>
      </c>
      <c r="C42" s="275"/>
      <c r="D42" s="247" t="str">
        <f>TEXT($G$1, "[$-ko-KR]yyyy-mm-dd(ddd) ") &amp; "오후 14:00"</f>
        <v>2021-06-12(토) 오후 14:00</v>
      </c>
      <c r="E42" s="248"/>
      <c r="F42" s="249"/>
      <c r="G42" s="247" t="str">
        <f>TEXT($G$1, "[$-ko-KR]yyyy-mm-dd(ddd) ") &amp; "오후 19:00"</f>
        <v>2021-06-12(토) 오후 19:00</v>
      </c>
      <c r="H42" s="248"/>
      <c r="I42" s="249"/>
      <c r="J42" s="247" t="str">
        <f>TEXT($G$1, "[$-ko-KR]yyyy-mm-dd(ddd) ") &amp; "오후 21:00"</f>
        <v>2021-06-12(토) 오후 21:00</v>
      </c>
      <c r="K42" s="248"/>
      <c r="L42" s="249"/>
      <c r="M42" s="247" t="str">
        <f>TEXT($G$1+1, "[$-ko-KR]yyyy-mm-dd(ddd) ") &amp; "오전 00:00"</f>
        <v>2021-06-13(일) 오전 00:00</v>
      </c>
      <c r="N42" s="248"/>
      <c r="O42" s="249"/>
      <c r="Q42" s="233"/>
      <c r="R42" s="233"/>
      <c r="S42" s="233"/>
    </row>
    <row r="43" spans="1:19" ht="17.25" customHeight="1" thickBot="1">
      <c r="A43" s="279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5" t="s">
        <v>58</v>
      </c>
      <c r="H43" s="206" t="s">
        <v>298</v>
      </c>
      <c r="I43" s="20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3"/>
      <c r="R43" s="223"/>
      <c r="S43" s="223"/>
    </row>
    <row r="44" spans="1:19" ht="17.25" customHeight="1" thickBot="1">
      <c r="A44" s="161" t="s">
        <v>266</v>
      </c>
      <c r="B44" s="124">
        <v>70.8</v>
      </c>
      <c r="C44" s="76">
        <v>0.2421052632</v>
      </c>
      <c r="D44" s="13">
        <v>55.8</v>
      </c>
      <c r="E44" s="14">
        <f>IF(ISNUMBER(D44), (D44 - $B44) / $B44, "")</f>
        <v>-0.21186440677966104</v>
      </c>
      <c r="F44" s="16">
        <f>IF(ISNUMBER(D44), $B64 * E44, "")</f>
        <v>-21186.440677966104</v>
      </c>
      <c r="G44" s="29">
        <v>55.5</v>
      </c>
      <c r="H44" s="14">
        <f>IF(ISNUMBER(G44), (G44 - $B44) / $B44, "")</f>
        <v>-0.21610169491525422</v>
      </c>
      <c r="I44" s="100">
        <f>IF(ISNUMBER(G44), $B64 * H44, "")</f>
        <v>-21610.169491525423</v>
      </c>
      <c r="J44" s="13">
        <v>56.3</v>
      </c>
      <c r="K44" s="14">
        <f>IF(ISNUMBER(J44), (J44 - $B44) / $B44, "")</f>
        <v>-0.20480225988700565</v>
      </c>
      <c r="L44" s="16">
        <f>IF(ISNUMBER(J44), $B64 * K44, "")</f>
        <v>-20480.225988700564</v>
      </c>
      <c r="M44" s="29">
        <v>56.6</v>
      </c>
      <c r="N44" s="14">
        <f>IF(ISNUMBER(M44), (M44 - $B44) / $B44, "")</f>
        <v>-0.20056497175141239</v>
      </c>
      <c r="O44" s="16">
        <f>IF(ISNUMBER(M44), $B64 * N44, "")</f>
        <v>-20056.497175141238</v>
      </c>
      <c r="Q44" s="233"/>
      <c r="R44" s="233"/>
      <c r="S44" s="233"/>
    </row>
    <row r="45" spans="1:19" ht="17.25" customHeight="1" thickBot="1">
      <c r="A45" s="162" t="s">
        <v>126</v>
      </c>
      <c r="B45" s="126">
        <v>27.2</v>
      </c>
      <c r="C45" s="77">
        <v>0</v>
      </c>
      <c r="D45" s="15">
        <v>23.5</v>
      </c>
      <c r="E45" s="32">
        <f t="shared" ref="E45:E48" si="14">IF(ISNUMBER(D45), (D45 - $B45) / $B45, "")</f>
        <v>-0.13602941176470587</v>
      </c>
      <c r="F45" s="18">
        <f>IF(ISNUMBER(D45), $B64 * E45, "")</f>
        <v>-13602.941176470587</v>
      </c>
      <c r="G45" s="31">
        <v>23.9</v>
      </c>
      <c r="H45" s="32">
        <f t="shared" ref="H45:H48" si="15">IF(ISNUMBER(G45), (G45 - $B45) / $B45, "")</f>
        <v>-0.12132352941176473</v>
      </c>
      <c r="I45" s="101">
        <f>IF(ISNUMBER(G45), $B64 * H45, "")</f>
        <v>-12132.352941176474</v>
      </c>
      <c r="J45" s="15">
        <v>24.3</v>
      </c>
      <c r="K45" s="32">
        <f t="shared" ref="K45:K48" si="16">IF(ISNUMBER(J45), (J45 - $B45) / $B45, "")</f>
        <v>-0.10661764705882348</v>
      </c>
      <c r="L45" s="18">
        <f>IF(ISNUMBER(J45), $B64 * K45, "")</f>
        <v>-10661.764705882348</v>
      </c>
      <c r="M45" s="31">
        <v>24.2</v>
      </c>
      <c r="N45" s="32">
        <f t="shared" ref="N45:N48" si="17">IF(ISNUMBER(M45), (M45 - $B45) / $B45, "")</f>
        <v>-0.11029411764705882</v>
      </c>
      <c r="O45" s="18">
        <f>IF(ISNUMBER(M45), $B64 * N45, "")</f>
        <v>-11029.411764705883</v>
      </c>
      <c r="Q45" s="233"/>
      <c r="R45" s="233"/>
      <c r="S45" s="233"/>
    </row>
    <row r="46" spans="1:19" ht="17.25" customHeight="1" thickBot="1">
      <c r="A46" s="162" t="s">
        <v>72</v>
      </c>
      <c r="B46" s="126">
        <v>20</v>
      </c>
      <c r="C46" s="77">
        <v>-4.9751244000000002E-3</v>
      </c>
      <c r="D46" s="15">
        <v>18.100000000000001</v>
      </c>
      <c r="E46" s="32">
        <f t="shared" si="14"/>
        <v>-9.4999999999999932E-2</v>
      </c>
      <c r="F46" s="18">
        <f>IF(ISNUMBER(D46), $B64 * E46, "")</f>
        <v>-9499.9999999999927</v>
      </c>
      <c r="G46" s="31">
        <v>17.8</v>
      </c>
      <c r="H46" s="32">
        <f t="shared" si="15"/>
        <v>-0.10999999999999996</v>
      </c>
      <c r="I46" s="101">
        <f>IF(ISNUMBER(G46), $B64 * H46, "")</f>
        <v>-10999.999999999996</v>
      </c>
      <c r="J46" s="15">
        <v>17.899999999999999</v>
      </c>
      <c r="K46" s="32">
        <f t="shared" si="16"/>
        <v>-0.10500000000000007</v>
      </c>
      <c r="L46" s="18">
        <f>IF(ISNUMBER(J46), $B64 * K46, "")</f>
        <v>-10500.000000000007</v>
      </c>
      <c r="M46" s="31">
        <v>18.100000000000001</v>
      </c>
      <c r="N46" s="32">
        <f t="shared" si="17"/>
        <v>-9.4999999999999932E-2</v>
      </c>
      <c r="O46" s="18">
        <f>IF(ISNUMBER(M46), $B64 * N46, "")</f>
        <v>-9499.9999999999927</v>
      </c>
      <c r="Q46" s="223"/>
      <c r="R46" s="223"/>
      <c r="S46" s="223"/>
    </row>
    <row r="47" spans="1:19" ht="17.25" customHeight="1" thickBot="1">
      <c r="A47" s="162" t="s">
        <v>65</v>
      </c>
      <c r="B47" s="126">
        <v>33.5</v>
      </c>
      <c r="C47" s="77">
        <v>-5.9347180999999999E-3</v>
      </c>
      <c r="D47" s="15">
        <v>30.6</v>
      </c>
      <c r="E47" s="32">
        <f t="shared" si="14"/>
        <v>-8.6567164179104442E-2</v>
      </c>
      <c r="F47" s="18">
        <f>IF(ISNUMBER(D47), $B64 * E47, "")</f>
        <v>-8656.7164179104439</v>
      </c>
      <c r="G47" s="31">
        <v>31.1</v>
      </c>
      <c r="H47" s="32">
        <f t="shared" si="15"/>
        <v>-7.1641791044776082E-2</v>
      </c>
      <c r="I47" s="101">
        <f>IF(ISNUMBER(G47), $B64 * H47, "")</f>
        <v>-7164.1791044776082</v>
      </c>
      <c r="J47" s="15">
        <v>31.7</v>
      </c>
      <c r="K47" s="32">
        <f t="shared" si="16"/>
        <v>-5.373134328358211E-2</v>
      </c>
      <c r="L47" s="18">
        <f>IF(ISNUMBER(J47), $B64 * K47, "")</f>
        <v>-5373.134328358211</v>
      </c>
      <c r="M47" s="31">
        <v>31.3</v>
      </c>
      <c r="N47" s="32">
        <f t="shared" si="17"/>
        <v>-6.567164179104476E-2</v>
      </c>
      <c r="O47" s="18">
        <f>IF(ISNUMBER(M47), $B64 * N47, "")</f>
        <v>-6567.1641791044758</v>
      </c>
      <c r="Q47" s="223"/>
      <c r="R47" s="223"/>
      <c r="S47" s="223"/>
    </row>
    <row r="48" spans="1:19" ht="17.25" customHeight="1" thickBot="1">
      <c r="A48" s="163" t="s">
        <v>100</v>
      </c>
      <c r="B48" s="128">
        <v>4.13</v>
      </c>
      <c r="C48" s="78">
        <v>-1.9002375299999999E-2</v>
      </c>
      <c r="D48" s="20">
        <v>3.9</v>
      </c>
      <c r="E48" s="21">
        <f t="shared" si="14"/>
        <v>-5.569007263922518E-2</v>
      </c>
      <c r="F48" s="22">
        <f>IF(ISNUMBER(D48), $B64 * E48, "")</f>
        <v>-5569.0072639225182</v>
      </c>
      <c r="G48" s="30">
        <v>3.92</v>
      </c>
      <c r="H48" s="21">
        <f t="shared" si="15"/>
        <v>-5.0847457627118633E-2</v>
      </c>
      <c r="I48" s="105">
        <f>IF(ISNUMBER(G48), $B64 * H48, "")</f>
        <v>-5084.7457627118638</v>
      </c>
      <c r="J48" s="20">
        <v>3.99</v>
      </c>
      <c r="K48" s="21">
        <f t="shared" si="16"/>
        <v>-3.3898305084745686E-2</v>
      </c>
      <c r="L48" s="22">
        <f>IF(ISNUMBER(J48), $B64 * K48, "")</f>
        <v>-3389.8305084745684</v>
      </c>
      <c r="M48" s="30">
        <v>3.93</v>
      </c>
      <c r="N48" s="21">
        <f t="shared" si="17"/>
        <v>-4.8426150121065312E-2</v>
      </c>
      <c r="O48" s="22">
        <f>IF(ISNUMBER(M48), $B64 * N48, "")</f>
        <v>-4842.6150121065311</v>
      </c>
      <c r="Q48" s="223"/>
      <c r="R48" s="223"/>
      <c r="S48" s="223"/>
    </row>
    <row r="49" spans="1:19" ht="17.25" customHeight="1" thickBot="1">
      <c r="A49" s="162" t="s">
        <v>278</v>
      </c>
      <c r="B49" s="129">
        <v>76</v>
      </c>
      <c r="C49" s="80">
        <v>-2.0618556699999999E-2</v>
      </c>
      <c r="D49" s="106">
        <v>67.2</v>
      </c>
      <c r="E49" s="107">
        <f>IF(ISNUMBER(D49), (D49 - $B49) / $B49, "")</f>
        <v>-0.11578947368421048</v>
      </c>
      <c r="F49" s="108">
        <f>IF(ISNUMBER(D49), $B64 * E49, "")</f>
        <v>-11578.947368421048</v>
      </c>
      <c r="G49" s="109">
        <v>67.8</v>
      </c>
      <c r="H49" s="107">
        <f>IF(ISNUMBER(G49), (G49 - $B49) / $B49, "")</f>
        <v>-0.10789473684210531</v>
      </c>
      <c r="I49" s="110">
        <f>IF(ISNUMBER(G49), $B64 * H49, "")</f>
        <v>-10789.47368421053</v>
      </c>
      <c r="J49" s="106">
        <v>70</v>
      </c>
      <c r="K49" s="107">
        <f>IF(ISNUMBER(J49), (J49 - $B49) / $B49, "")</f>
        <v>-7.8947368421052627E-2</v>
      </c>
      <c r="L49" s="108">
        <f>IF(ISNUMBER(J49), $B64 * K49, "")</f>
        <v>-7894.7368421052624</v>
      </c>
      <c r="M49" s="109">
        <v>69.099999999999994</v>
      </c>
      <c r="N49" s="107">
        <f>IF(ISNUMBER(M49), (M49 - $B49) / $B49, "")</f>
        <v>-9.07894736842106E-2</v>
      </c>
      <c r="O49" s="108">
        <f>IF(ISNUMBER(M49), $B64 * N49, "")</f>
        <v>-9078.9473684210607</v>
      </c>
      <c r="Q49" s="223"/>
      <c r="R49" s="223"/>
      <c r="S49" s="223"/>
    </row>
    <row r="50" spans="1:19" ht="17.25" customHeight="1" thickBot="1">
      <c r="A50" s="162" t="s">
        <v>156</v>
      </c>
      <c r="B50" s="126">
        <v>83.1</v>
      </c>
      <c r="C50" s="77">
        <v>-2.1201413400000001E-2</v>
      </c>
      <c r="D50" s="15">
        <v>77.7</v>
      </c>
      <c r="E50" s="32">
        <f t="shared" ref="E50:E53" si="18">IF(ISNUMBER(D50), (D50 - $B50) / $B50, "")</f>
        <v>-6.4981949458483651E-2</v>
      </c>
      <c r="F50" s="18">
        <f>IF(ISNUMBER(D50), $B64 * E50, "")</f>
        <v>-6498.194945848365</v>
      </c>
      <c r="G50" s="31">
        <v>78.099999999999994</v>
      </c>
      <c r="H50" s="32">
        <f t="shared" ref="H50:H53" si="19">IF(ISNUMBER(G50), (G50 - $B50) / $B50, "")</f>
        <v>-6.0168471720818295E-2</v>
      </c>
      <c r="I50" s="101">
        <f>IF(ISNUMBER(G50), $B64 * H50, "")</f>
        <v>-6016.8471720818297</v>
      </c>
      <c r="J50" s="15">
        <v>79.3</v>
      </c>
      <c r="K50" s="32">
        <f t="shared" ref="K50:K53" si="20">IF(ISNUMBER(J50), (J50 - $B50) / $B50, "")</f>
        <v>-4.5728038507821873E-2</v>
      </c>
      <c r="L50" s="18">
        <f>IF(ISNUMBER(J50), $B64 * K50, "")</f>
        <v>-4572.8038507821875</v>
      </c>
      <c r="M50" s="31">
        <v>79.400000000000006</v>
      </c>
      <c r="N50" s="32">
        <f t="shared" ref="N50:N53" si="21">IF(ISNUMBER(M50), (M50 - $B50) / $B50, "")</f>
        <v>-4.4524669073405403E-2</v>
      </c>
      <c r="O50" s="18">
        <f>IF(ISNUMBER(M50), $B64 * N50, "")</f>
        <v>-4452.4669073405403</v>
      </c>
      <c r="Q50" s="223"/>
      <c r="R50" s="223"/>
      <c r="S50" s="223"/>
    </row>
    <row r="51" spans="1:19" ht="17.25" customHeight="1" thickBot="1">
      <c r="A51" s="162" t="s">
        <v>134</v>
      </c>
      <c r="B51" s="126">
        <v>86.8</v>
      </c>
      <c r="C51" s="77">
        <v>-3.4482758600000003E-2</v>
      </c>
      <c r="D51" s="15">
        <v>75.7</v>
      </c>
      <c r="E51" s="32">
        <f t="shared" si="18"/>
        <v>-0.12788018433179718</v>
      </c>
      <c r="F51" s="18">
        <f>IF(ISNUMBER(D51), $B64 * E51, "")</f>
        <v>-12788.018433179717</v>
      </c>
      <c r="G51" s="31">
        <v>75.8</v>
      </c>
      <c r="H51" s="32">
        <f t="shared" si="19"/>
        <v>-0.12672811059907835</v>
      </c>
      <c r="I51" s="101">
        <f>IF(ISNUMBER(G51), $B64 * H51, "")</f>
        <v>-12672.811059907835</v>
      </c>
      <c r="J51" s="15">
        <v>76</v>
      </c>
      <c r="K51" s="32">
        <f t="shared" si="20"/>
        <v>-0.12442396313364053</v>
      </c>
      <c r="L51" s="18">
        <f>IF(ISNUMBER(J51), $B64 * K51, "")</f>
        <v>-12442.396313364054</v>
      </c>
      <c r="M51" s="31">
        <v>77.7</v>
      </c>
      <c r="N51" s="32">
        <f t="shared" si="21"/>
        <v>-0.10483870967741929</v>
      </c>
      <c r="O51" s="18">
        <f>IF(ISNUMBER(M51), $B64 * N51, "")</f>
        <v>-10483.870967741928</v>
      </c>
      <c r="Q51" s="223"/>
      <c r="R51" s="223"/>
      <c r="S51" s="223"/>
    </row>
    <row r="52" spans="1:19" ht="17.25" customHeight="1" thickBot="1">
      <c r="A52" s="162" t="s">
        <v>264</v>
      </c>
      <c r="B52" s="126">
        <v>79</v>
      </c>
      <c r="C52" s="77">
        <v>-4.9338146800000003E-2</v>
      </c>
      <c r="D52" s="15">
        <v>90.4</v>
      </c>
      <c r="E52" s="32">
        <f t="shared" si="18"/>
        <v>0.14430379746835451</v>
      </c>
      <c r="F52" s="18">
        <f>IF(ISNUMBER(D52), $B64 * E52, "")</f>
        <v>14430.379746835451</v>
      </c>
      <c r="G52" s="31">
        <v>86.6</v>
      </c>
      <c r="H52" s="32">
        <f t="shared" si="19"/>
        <v>9.620253164556955E-2</v>
      </c>
      <c r="I52" s="101">
        <f>IF(ISNUMBER(G52), $B64 * H52, "")</f>
        <v>9620.2531645569543</v>
      </c>
      <c r="J52" s="15">
        <v>85.4</v>
      </c>
      <c r="K52" s="32">
        <f t="shared" si="20"/>
        <v>8.1012658227848172E-2</v>
      </c>
      <c r="L52" s="18">
        <f>IF(ISNUMBER(J52), $B64 * K52, "")</f>
        <v>8101.2658227848169</v>
      </c>
      <c r="M52" s="31">
        <v>83.8</v>
      </c>
      <c r="N52" s="32">
        <f t="shared" si="21"/>
        <v>6.0759493670886039E-2</v>
      </c>
      <c r="O52" s="18">
        <f>IF(ISNUMBER(M52), $B64 * N52, "")</f>
        <v>6075.949367088604</v>
      </c>
      <c r="Q52" s="33"/>
      <c r="R52" s="33"/>
    </row>
    <row r="53" spans="1:19" ht="17.25" customHeight="1" thickBot="1">
      <c r="A53" s="130" t="s">
        <v>168</v>
      </c>
      <c r="B53" s="131">
        <v>90.5</v>
      </c>
      <c r="C53" s="79">
        <v>-5.0367261300000001E-2</v>
      </c>
      <c r="D53" s="24">
        <v>78.8</v>
      </c>
      <c r="E53" s="25">
        <f t="shared" si="18"/>
        <v>-0.12928176795580112</v>
      </c>
      <c r="F53" s="104">
        <f>IF(ISNUMBER(D53), $B64 * E53, "")</f>
        <v>-12928.176795580113</v>
      </c>
      <c r="G53" s="102">
        <v>80</v>
      </c>
      <c r="H53" s="25">
        <f t="shared" si="19"/>
        <v>-0.11602209944751381</v>
      </c>
      <c r="I53" s="103">
        <f>IF(ISNUMBER(G53), $B64 * H53, "")</f>
        <v>-11602.209944751381</v>
      </c>
      <c r="J53" s="24">
        <v>80.900000000000006</v>
      </c>
      <c r="K53" s="25">
        <f t="shared" si="20"/>
        <v>-0.10607734806629827</v>
      </c>
      <c r="L53" s="104">
        <f>IF(ISNUMBER(J53), $B64 * K53, "")</f>
        <v>-10607.734806629827</v>
      </c>
      <c r="M53" s="102">
        <v>80.8</v>
      </c>
      <c r="N53" s="25">
        <f t="shared" si="21"/>
        <v>-0.10718232044198898</v>
      </c>
      <c r="O53" s="104">
        <f>IF(ISNUMBER(M53), $B64 * N53, "")</f>
        <v>-10718.232044198898</v>
      </c>
      <c r="Q53" s="224"/>
      <c r="R53" s="225"/>
      <c r="S53" s="226"/>
    </row>
    <row r="54" spans="1:19" ht="17.25" customHeight="1">
      <c r="A54" s="161" t="s">
        <v>152</v>
      </c>
      <c r="B54" s="124">
        <v>18.3</v>
      </c>
      <c r="C54" s="76">
        <v>-5.18134715E-2</v>
      </c>
      <c r="D54" s="13">
        <v>16.5</v>
      </c>
      <c r="E54" s="14">
        <f>IF(ISNUMBER(D54), (D54 - $B54) / $B54, "")</f>
        <v>-9.8360655737704958E-2</v>
      </c>
      <c r="F54" s="16">
        <f>IF(ISNUMBER(D54), $B64 * E54, "")</f>
        <v>-9836.0655737704965</v>
      </c>
      <c r="G54" s="29">
        <v>16.5</v>
      </c>
      <c r="H54" s="14">
        <f>IF(ISNUMBER(G54), (G54 - $B54) / $B54, "")</f>
        <v>-9.8360655737704958E-2</v>
      </c>
      <c r="I54" s="100">
        <f>IF(ISNUMBER(G54), $B64 * H54, "")</f>
        <v>-9836.0655737704965</v>
      </c>
      <c r="J54" s="13">
        <v>17.399999999999999</v>
      </c>
      <c r="K54" s="14">
        <f>IF(ISNUMBER(J54), (J54 - $B54) / $B54, "")</f>
        <v>-4.9180327868852576E-2</v>
      </c>
      <c r="L54" s="16">
        <f>IF(ISNUMBER(J54), $B64 * K54, "")</f>
        <v>-4918.0327868852573</v>
      </c>
      <c r="M54" s="29">
        <v>17.2</v>
      </c>
      <c r="N54" s="14">
        <f>IF(ISNUMBER(M54), (M54 - $B54) / $B54, "")</f>
        <v>-6.0109289617486412E-2</v>
      </c>
      <c r="O54" s="16">
        <f>IF(ISNUMBER(M54), $B64 * N54, "")</f>
        <v>-6010.9289617486411</v>
      </c>
      <c r="Q54" s="227"/>
      <c r="R54" s="228"/>
      <c r="S54" s="229"/>
    </row>
    <row r="55" spans="1:19" ht="17.25" customHeight="1" thickBot="1">
      <c r="A55" s="162" t="s">
        <v>220</v>
      </c>
      <c r="B55" s="126">
        <v>10.9</v>
      </c>
      <c r="C55" s="77">
        <v>-9.1666666699999996E-2</v>
      </c>
      <c r="D55" s="15">
        <v>9.75</v>
      </c>
      <c r="E55" s="32">
        <f t="shared" ref="E55:E58" si="22">IF(ISNUMBER(D55), (D55 - $B55) / $B55, "")</f>
        <v>-0.10550458715596334</v>
      </c>
      <c r="F55" s="18">
        <f>IF(ISNUMBER(D55), $B64 * E55, "")</f>
        <v>-10550.458715596335</v>
      </c>
      <c r="G55" s="31">
        <v>9.89</v>
      </c>
      <c r="H55" s="32">
        <f t="shared" ref="H55:H58" si="23">IF(ISNUMBER(G55), (G55 - $B55) / $B55, "")</f>
        <v>-9.2660550458715574E-2</v>
      </c>
      <c r="I55" s="101">
        <f>IF(ISNUMBER(G55), $B64 * H55, "")</f>
        <v>-9266.055045871557</v>
      </c>
      <c r="J55" s="15">
        <v>9.94</v>
      </c>
      <c r="K55" s="32">
        <f t="shared" ref="K55:K58" si="24">IF(ISNUMBER(J55), (J55 - $B55) / $B55, "")</f>
        <v>-8.8073394495412918E-2</v>
      </c>
      <c r="L55" s="18">
        <f>IF(ISNUMBER(J55), $B64 * K55, "")</f>
        <v>-8807.3394495412922</v>
      </c>
      <c r="M55" s="31">
        <v>10</v>
      </c>
      <c r="N55" s="32">
        <f t="shared" ref="N55:N58" si="25">IF(ISNUMBER(M55), (M55 - $B55) / $B55, "")</f>
        <v>-8.2568807339449574E-2</v>
      </c>
      <c r="O55" s="18">
        <f>IF(ISNUMBER(M55), $B64 * N55, "")</f>
        <v>-8256.8807339449577</v>
      </c>
      <c r="Q55" s="230"/>
      <c r="R55" s="231"/>
      <c r="S55" s="232"/>
    </row>
    <row r="56" spans="1:19" ht="17.25" customHeight="1" thickBot="1">
      <c r="A56" s="162" t="s">
        <v>260</v>
      </c>
      <c r="B56" s="126">
        <v>60.9</v>
      </c>
      <c r="C56" s="77">
        <v>-9.7777777799999993E-2</v>
      </c>
      <c r="D56" s="15">
        <v>65.7</v>
      </c>
      <c r="E56" s="32">
        <f t="shared" si="22"/>
        <v>7.8817733990147854E-2</v>
      </c>
      <c r="F56" s="18">
        <f>IF(ISNUMBER(D56), $B64 * E56, "")</f>
        <v>7881.7733990147854</v>
      </c>
      <c r="G56" s="31">
        <v>57.5</v>
      </c>
      <c r="H56" s="32">
        <f t="shared" si="23"/>
        <v>-5.5829228243021327E-2</v>
      </c>
      <c r="I56" s="101">
        <f>IF(ISNUMBER(G56), $B64 * H56, "")</f>
        <v>-5582.9228243021325</v>
      </c>
      <c r="J56" s="15">
        <v>57.1</v>
      </c>
      <c r="K56" s="32">
        <f t="shared" si="24"/>
        <v>-6.239737274220028E-2</v>
      </c>
      <c r="L56" s="18">
        <f>IF(ISNUMBER(J56), $B64 * K56, "")</f>
        <v>-6239.7372742200278</v>
      </c>
      <c r="M56" s="31">
        <v>56.4</v>
      </c>
      <c r="N56" s="32">
        <f t="shared" si="25"/>
        <v>-7.3891625615763554E-2</v>
      </c>
      <c r="O56" s="18">
        <f>IF(ISNUMBER(M56), $B64 * N56, "")</f>
        <v>-7389.1625615763551</v>
      </c>
      <c r="Q56" s="223"/>
      <c r="R56" s="223"/>
      <c r="S56" s="223"/>
    </row>
    <row r="57" spans="1:19" ht="17.25" customHeight="1" thickBot="1">
      <c r="A57" s="162" t="s">
        <v>154</v>
      </c>
      <c r="B57" s="126">
        <v>10.1</v>
      </c>
      <c r="C57" s="77">
        <v>-9.8214285700000001E-2</v>
      </c>
      <c r="D57" s="15">
        <v>8.5500000000000007</v>
      </c>
      <c r="E57" s="32">
        <f t="shared" si="22"/>
        <v>-0.15346534653465335</v>
      </c>
      <c r="F57" s="18">
        <f>IF(ISNUMBER(D57), $B64 * E57, "")</f>
        <v>-15346.534653465334</v>
      </c>
      <c r="G57" s="31">
        <v>8.49</v>
      </c>
      <c r="H57" s="32">
        <f t="shared" si="23"/>
        <v>-0.15940594059405935</v>
      </c>
      <c r="I57" s="101">
        <f>IF(ISNUMBER(G57), $B64 * H57, "")</f>
        <v>-15940.594059405936</v>
      </c>
      <c r="J57" s="15">
        <v>8.5</v>
      </c>
      <c r="K57" s="32">
        <f t="shared" si="24"/>
        <v>-0.15841584158415839</v>
      </c>
      <c r="L57" s="18">
        <f>IF(ISNUMBER(J57), $B64 * K57, "")</f>
        <v>-15841.584158415839</v>
      </c>
      <c r="M57" s="31">
        <v>8.5</v>
      </c>
      <c r="N57" s="32">
        <f t="shared" si="25"/>
        <v>-0.15841584158415839</v>
      </c>
      <c r="O57" s="18">
        <f>IF(ISNUMBER(M57), $B64 * N57, "")</f>
        <v>-15841.584158415839</v>
      </c>
      <c r="Q57" s="233"/>
      <c r="R57" s="233"/>
      <c r="S57" s="233"/>
    </row>
    <row r="58" spans="1:19" ht="17.25" customHeight="1" thickBot="1">
      <c r="A58" s="163" t="s">
        <v>196</v>
      </c>
      <c r="B58" s="128">
        <v>10.3</v>
      </c>
      <c r="C58" s="78">
        <v>-0.1043478261</v>
      </c>
      <c r="D58" s="20">
        <v>8.18</v>
      </c>
      <c r="E58" s="21">
        <f t="shared" si="22"/>
        <v>-0.20582524271844668</v>
      </c>
      <c r="F58" s="22">
        <f>IF(ISNUMBER(D58), $B64 * E58, "")</f>
        <v>-20582.524271844668</v>
      </c>
      <c r="G58" s="30">
        <v>8.24</v>
      </c>
      <c r="H58" s="21">
        <f t="shared" si="23"/>
        <v>-0.20000000000000004</v>
      </c>
      <c r="I58" s="105">
        <f>IF(ISNUMBER(G58), $B64 * H58, "")</f>
        <v>-20000.000000000004</v>
      </c>
      <c r="J58" s="20">
        <v>8.3000000000000007</v>
      </c>
      <c r="K58" s="21">
        <f t="shared" si="24"/>
        <v>-0.1941747572815534</v>
      </c>
      <c r="L58" s="22">
        <f>IF(ISNUMBER(J58), $B64 * K58, "")</f>
        <v>-19417.475728155339</v>
      </c>
      <c r="M58" s="30">
        <v>8.3699999999999992</v>
      </c>
      <c r="N58" s="21">
        <f t="shared" si="25"/>
        <v>-0.18737864077669916</v>
      </c>
      <c r="O58" s="22">
        <f>IF(ISNUMBER(M58), $B64 * N58, "")</f>
        <v>-18737.864077669918</v>
      </c>
      <c r="Q58" s="233"/>
      <c r="R58" s="233"/>
      <c r="S58" s="233"/>
    </row>
    <row r="59" spans="1:19" ht="17.25" customHeight="1" thickBot="1">
      <c r="A59" s="162" t="s">
        <v>212</v>
      </c>
      <c r="B59" s="129">
        <v>62.8</v>
      </c>
      <c r="C59" s="80">
        <v>-0.1104815864</v>
      </c>
      <c r="D59" s="106">
        <v>55.2</v>
      </c>
      <c r="E59" s="107">
        <f>IF(ISNUMBER(D59), (D59 - $B59) / $B59, "")</f>
        <v>-0.12101910828025469</v>
      </c>
      <c r="F59" s="108">
        <f>IF(ISNUMBER(D59), $B64 * E59, "")</f>
        <v>-12101.91082802547</v>
      </c>
      <c r="G59" s="109">
        <v>51.4</v>
      </c>
      <c r="H59" s="107">
        <f>IF(ISNUMBER(G59), (G59 - $B59) / $B59, "")</f>
        <v>-0.18152866242038215</v>
      </c>
      <c r="I59" s="110">
        <f>IF(ISNUMBER(G59), $B64 * H59, "")</f>
        <v>-18152.866242038217</v>
      </c>
      <c r="J59" s="106">
        <v>52.7</v>
      </c>
      <c r="K59" s="107">
        <f>IF(ISNUMBER(J59), (J59 - $B59) / $B59, "")</f>
        <v>-0.16082802547770692</v>
      </c>
      <c r="L59" s="108">
        <f>IF(ISNUMBER(J59), $B64 * K59, "")</f>
        <v>-16082.802547770692</v>
      </c>
      <c r="M59" s="109">
        <v>53.3</v>
      </c>
      <c r="N59" s="107">
        <f>IF(ISNUMBER(M59), (M59 - $B59) / $B59, "")</f>
        <v>-0.15127388535031847</v>
      </c>
      <c r="O59" s="108">
        <f>IF(ISNUMBER(M59), $B64 * N59, "")</f>
        <v>-15127.388535031847</v>
      </c>
      <c r="Q59" s="223"/>
      <c r="R59" s="223"/>
      <c r="S59" s="223"/>
    </row>
    <row r="60" spans="1:19" ht="17.25" customHeight="1" thickBot="1">
      <c r="A60" s="162" t="s">
        <v>228</v>
      </c>
      <c r="B60" s="126">
        <v>9.1199999999999992</v>
      </c>
      <c r="C60" s="77">
        <v>-0.11456310679999999</v>
      </c>
      <c r="D60" s="15">
        <v>7.51</v>
      </c>
      <c r="E60" s="32">
        <f t="shared" ref="E60:E63" si="26">IF(ISNUMBER(D60), (D60 - $B60) / $B60, "")</f>
        <v>-0.17653508771929821</v>
      </c>
      <c r="F60" s="18">
        <f>IF(ISNUMBER(D60), $B64 * E60, "")</f>
        <v>-17653.508771929821</v>
      </c>
      <c r="G60" s="31">
        <v>7.54</v>
      </c>
      <c r="H60" s="32">
        <f t="shared" ref="H60:H63" si="27">IF(ISNUMBER(G60), (G60 - $B60) / $B60, "")</f>
        <v>-0.17324561403508765</v>
      </c>
      <c r="I60" s="101">
        <f>IF(ISNUMBER(G60), $B64 * H60, "")</f>
        <v>-17324.561403508764</v>
      </c>
      <c r="J60" s="15">
        <v>7.69</v>
      </c>
      <c r="K60" s="32">
        <f t="shared" ref="K60:K63" si="28">IF(ISNUMBER(J60), (J60 - $B60) / $B60, "")</f>
        <v>-0.15679824561403496</v>
      </c>
      <c r="L60" s="18">
        <f>IF(ISNUMBER(J60), $B64 * K60, "")</f>
        <v>-15679.824561403497</v>
      </c>
      <c r="M60" s="31">
        <v>7.77</v>
      </c>
      <c r="N60" s="32">
        <f t="shared" ref="N60:N63" si="29">IF(ISNUMBER(M60), (M60 - $B60) / $B60, "")</f>
        <v>-0.14802631578947364</v>
      </c>
      <c r="O60" s="18">
        <f>IF(ISNUMBER(M60), $B64 * N60, "")</f>
        <v>-14802.631578947365</v>
      </c>
      <c r="Q60" s="223"/>
      <c r="R60" s="223"/>
      <c r="S60" s="223"/>
    </row>
    <row r="61" spans="1:19" ht="17.25" customHeight="1" thickBot="1">
      <c r="A61" s="162" t="s">
        <v>186</v>
      </c>
      <c r="B61" s="126">
        <v>15.4</v>
      </c>
      <c r="C61" s="77">
        <v>-0.12</v>
      </c>
      <c r="D61" s="15">
        <v>13.1</v>
      </c>
      <c r="E61" s="32">
        <f t="shared" si="26"/>
        <v>-0.1493506493506494</v>
      </c>
      <c r="F61" s="18">
        <f>IF(ISNUMBER(D61), $B64 * E61, "")</f>
        <v>-14935.06493506494</v>
      </c>
      <c r="G61" s="31">
        <v>13</v>
      </c>
      <c r="H61" s="32">
        <f t="shared" si="27"/>
        <v>-0.15584415584415587</v>
      </c>
      <c r="I61" s="101">
        <f>IF(ISNUMBER(G61), $B64 * H61, "")</f>
        <v>-15584.415584415587</v>
      </c>
      <c r="J61" s="15">
        <v>13.1</v>
      </c>
      <c r="K61" s="32">
        <f t="shared" si="28"/>
        <v>-0.1493506493506494</v>
      </c>
      <c r="L61" s="18">
        <f>IF(ISNUMBER(J61), $B64 * K61, "")</f>
        <v>-14935.06493506494</v>
      </c>
      <c r="M61" s="31">
        <v>13.3</v>
      </c>
      <c r="N61" s="32">
        <f t="shared" si="29"/>
        <v>-0.13636363636363633</v>
      </c>
      <c r="O61" s="18">
        <f>IF(ISNUMBER(M61), $B64 * N61, "")</f>
        <v>-13636.363636363632</v>
      </c>
      <c r="Q61" s="223"/>
      <c r="R61" s="223"/>
      <c r="S61" s="223"/>
    </row>
    <row r="62" spans="1:19" ht="17.25" customHeight="1">
      <c r="A62" s="162" t="s">
        <v>198</v>
      </c>
      <c r="B62" s="126">
        <v>13.5</v>
      </c>
      <c r="C62" s="77">
        <v>-0.1233766234</v>
      </c>
      <c r="D62" s="15">
        <v>10.9</v>
      </c>
      <c r="E62" s="32">
        <f t="shared" si="26"/>
        <v>-0.19259259259259257</v>
      </c>
      <c r="F62" s="18">
        <f>IF(ISNUMBER(D62), $B64 * E62, "")</f>
        <v>-19259.259259259255</v>
      </c>
      <c r="G62" s="31">
        <v>10.7</v>
      </c>
      <c r="H62" s="32">
        <f t="shared" si="27"/>
        <v>-0.20740740740740746</v>
      </c>
      <c r="I62" s="101">
        <f>IF(ISNUMBER(G62), $B64 * H62, "")</f>
        <v>-20740.740740740745</v>
      </c>
      <c r="J62" s="15">
        <v>11</v>
      </c>
      <c r="K62" s="32">
        <f t="shared" si="28"/>
        <v>-0.18518518518518517</v>
      </c>
      <c r="L62" s="18">
        <f>IF(ISNUMBER(J62), $B64 * K62, "")</f>
        <v>-18518.518518518518</v>
      </c>
      <c r="M62" s="31">
        <v>11</v>
      </c>
      <c r="N62" s="32">
        <f t="shared" si="29"/>
        <v>-0.18518518518518517</v>
      </c>
      <c r="O62" s="18">
        <f>IF(ISNUMBER(M62), $B64 * N62, "")</f>
        <v>-18518.518518518518</v>
      </c>
      <c r="Q62" s="212"/>
      <c r="R62" s="213"/>
      <c r="S62" s="214"/>
    </row>
    <row r="63" spans="1:19" ht="17.25" customHeight="1" thickBot="1">
      <c r="A63" s="130" t="s">
        <v>214</v>
      </c>
      <c r="B63" s="131">
        <v>11.3</v>
      </c>
      <c r="C63" s="79">
        <v>-0.13740458019999999</v>
      </c>
      <c r="D63" s="24">
        <v>9.06</v>
      </c>
      <c r="E63" s="25">
        <f t="shared" si="26"/>
        <v>-0.19823008849557522</v>
      </c>
      <c r="F63" s="104">
        <f>IF(ISNUMBER(D63), $B64 * E63, "")</f>
        <v>-19823.008849557522</v>
      </c>
      <c r="G63" s="102">
        <v>9.07</v>
      </c>
      <c r="H63" s="25">
        <f t="shared" si="27"/>
        <v>-0.19734513274336285</v>
      </c>
      <c r="I63" s="103">
        <f>IF(ISNUMBER(G63), $B64 * H63, "")</f>
        <v>-19734.513274336285</v>
      </c>
      <c r="J63" s="24">
        <v>9.1</v>
      </c>
      <c r="K63" s="25">
        <f t="shared" si="28"/>
        <v>-0.19469026548672574</v>
      </c>
      <c r="L63" s="104">
        <f>IF(ISNUMBER(J63), $B64 * K63, "")</f>
        <v>-19469.026548672573</v>
      </c>
      <c r="M63" s="102">
        <v>9.1199999999999992</v>
      </c>
      <c r="N63" s="25">
        <f t="shared" si="29"/>
        <v>-0.19292035398230101</v>
      </c>
      <c r="O63" s="104">
        <f>IF(ISNUMBER(M63), $B64 * N63, "")</f>
        <v>-19292.035398230102</v>
      </c>
      <c r="Q63" s="215"/>
      <c r="R63" s="216"/>
      <c r="S63" s="217"/>
    </row>
    <row r="64" spans="1:19" ht="17.25" customHeight="1" thickBot="1">
      <c r="A64" s="132" t="s">
        <v>300</v>
      </c>
      <c r="B64" s="276">
        <f>$B$37</f>
        <v>100000</v>
      </c>
      <c r="C64" s="277"/>
      <c r="D64" s="26" t="s">
        <v>301</v>
      </c>
      <c r="E64" s="27">
        <f>IF(COUNT(E44:E63), SUM(E44:E63) / COUNT(E44:E63), 0)</f>
        <v>-0.11004231289598124</v>
      </c>
      <c r="F64" s="28">
        <f>SUM(F44:F63)</f>
        <v>-220084.62579196252</v>
      </c>
      <c r="G64" s="26" t="s">
        <v>301</v>
      </c>
      <c r="H64" s="27">
        <f>IF(COUNT(H44:H63), SUM(H44:H63) / COUNT(H44:H63), 0)</f>
        <v>-0.12030763537233784</v>
      </c>
      <c r="I64" s="28">
        <f>SUM(I44:I63)</f>
        <v>-240615.27074467571</v>
      </c>
      <c r="J64" s="26" t="s">
        <v>301</v>
      </c>
      <c r="K64" s="27">
        <f>IF(COUNT(K44:K63), SUM(K44:K63) / COUNT(K44:K63), 0)</f>
        <v>-0.10886538401508009</v>
      </c>
      <c r="L64" s="28">
        <f>SUM(L44:L63)</f>
        <v>-217730.76803016019</v>
      </c>
      <c r="M64" s="26" t="s">
        <v>301</v>
      </c>
      <c r="N64" s="27">
        <f>IF(COUNT(N44:N63), SUM(N44:N63) / COUNT(N44:N63), 0)</f>
        <v>-0.10913330710605953</v>
      </c>
      <c r="O64" s="28">
        <f>SUM(O44:O63)</f>
        <v>-218266.61421211908</v>
      </c>
      <c r="Q64" s="218"/>
      <c r="R64" s="219"/>
      <c r="S64" s="220"/>
    </row>
    <row r="65" spans="1:19" ht="17.25" customHeight="1"/>
    <row r="66" spans="1:19" ht="17.25" customHeight="1" thickBot="1"/>
    <row r="67" spans="1:19" ht="17.25" thickBot="1">
      <c r="A67" s="234" t="s">
        <v>45</v>
      </c>
      <c r="B67" s="235"/>
      <c r="C67" s="235"/>
      <c r="D67" s="235"/>
      <c r="E67" s="235"/>
      <c r="F67" s="235"/>
      <c r="G67" s="235"/>
      <c r="H67" s="235"/>
      <c r="I67" s="235"/>
      <c r="J67" s="235"/>
      <c r="K67" s="235"/>
      <c r="L67" s="235"/>
      <c r="M67" s="235"/>
      <c r="N67" s="235"/>
      <c r="O67" s="236"/>
      <c r="Q67" s="233"/>
      <c r="R67" s="233"/>
      <c r="S67" s="233"/>
    </row>
    <row r="68" spans="1:19" ht="17.25" thickBot="1">
      <c r="A68" s="204" t="s">
        <v>297</v>
      </c>
      <c r="B68" s="234" t="s">
        <v>49</v>
      </c>
      <c r="C68" s="236"/>
      <c r="D68" s="234" t="s">
        <v>58</v>
      </c>
      <c r="E68" s="235"/>
      <c r="F68" s="236"/>
      <c r="G68" s="237">
        <f>_xlfn.IFNA(VLOOKUP(B68, 현재가테이블!$B$2:$D$200, 2, FALSE), "-")</f>
        <v>41418000</v>
      </c>
      <c r="H68" s="238"/>
      <c r="I68" s="239"/>
      <c r="J68" s="234" t="s">
        <v>59</v>
      </c>
      <c r="K68" s="235"/>
      <c r="L68" s="236"/>
      <c r="M68" s="240">
        <f>_xlfn.IFNA(VLOOKUP(B68, 현재가테이블!$B$2:$D$200, 3, FALSE), "-")</f>
        <v>-5.2176301000000001E-2</v>
      </c>
      <c r="N68" s="241"/>
      <c r="O68" s="242"/>
      <c r="Q68" s="233"/>
      <c r="R68" s="233"/>
      <c r="S68" s="233"/>
    </row>
    <row r="69" spans="1:19" ht="17.25" thickBot="1">
      <c r="A69" s="278" t="s">
        <v>55</v>
      </c>
      <c r="B69" s="274" t="str">
        <f>TEXT($G$1, "[$-ko-KR]yyyy-mm-dd(ddd) ") &amp; "오전 00:00"</f>
        <v>2021-06-12(토) 오전 00:00</v>
      </c>
      <c r="C69" s="275"/>
      <c r="D69" s="247" t="str">
        <f>TEXT($G$1, "[$-ko-KR]yyyy-mm-dd(ddd) ") &amp; "오후 14:00"</f>
        <v>2021-06-12(토) 오후 14:00</v>
      </c>
      <c r="E69" s="248"/>
      <c r="F69" s="249"/>
      <c r="G69" s="247" t="str">
        <f>TEXT($G$1, "[$-ko-KR]yyyy-mm-dd(ddd) ") &amp; "오후 19:00"</f>
        <v>2021-06-12(토) 오후 19:00</v>
      </c>
      <c r="H69" s="248"/>
      <c r="I69" s="249"/>
      <c r="J69" s="247" t="str">
        <f>TEXT($G$1, "[$-ko-KR]yyyy-mm-dd(ddd) ") &amp; "오후 21:00"</f>
        <v>2021-06-12(토) 오후 21:00</v>
      </c>
      <c r="K69" s="248"/>
      <c r="L69" s="249"/>
      <c r="M69" s="247" t="str">
        <f>TEXT($G$1+1, "[$-ko-KR]yyyy-mm-dd(ddd) ") &amp; "오전 00:00"</f>
        <v>2021-06-13(일) 오전 00:00</v>
      </c>
      <c r="N69" s="248"/>
      <c r="O69" s="249"/>
      <c r="Q69" s="233"/>
      <c r="R69" s="233"/>
      <c r="S69" s="233"/>
    </row>
    <row r="70" spans="1:19" ht="17.25" thickBot="1">
      <c r="A70" s="279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5" t="s">
        <v>58</v>
      </c>
      <c r="H70" s="206" t="s">
        <v>298</v>
      </c>
      <c r="I70" s="20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3"/>
      <c r="R70" s="223"/>
      <c r="S70" s="223"/>
    </row>
    <row r="71" spans="1:19" ht="17.25" thickBot="1">
      <c r="A71" s="161" t="s">
        <v>88</v>
      </c>
      <c r="B71" s="124">
        <v>372</v>
      </c>
      <c r="C71" s="76">
        <v>0.15170278640000001</v>
      </c>
      <c r="D71" s="13">
        <v>346</v>
      </c>
      <c r="E71" s="14">
        <f>IF(ISNUMBER(D71), (D71 - $B71) / $B71, "")</f>
        <v>-6.9892473118279563E-2</v>
      </c>
      <c r="F71" s="16">
        <f>IF(ISNUMBER(D71), $B91 * E71, "")</f>
        <v>-6989.2473118279568</v>
      </c>
      <c r="G71" s="29">
        <v>334</v>
      </c>
      <c r="H71" s="14">
        <f>IF(ISNUMBER(G71), (G71 - $B71) / $B71, "")</f>
        <v>-0.10215053763440861</v>
      </c>
      <c r="I71" s="100">
        <f>IF(ISNUMBER(G71), $B91 * H71, "")</f>
        <v>-10215.053763440861</v>
      </c>
      <c r="J71" s="13">
        <v>335</v>
      </c>
      <c r="K71" s="14">
        <f>IF(ISNUMBER(J71), (J71 - $B71) / $B71, "")</f>
        <v>-9.9462365591397844E-2</v>
      </c>
      <c r="L71" s="16">
        <f>IF(ISNUMBER(J71), $B91 * K71, "")</f>
        <v>-9946.2365591397847</v>
      </c>
      <c r="M71" s="29">
        <v>333</v>
      </c>
      <c r="N71" s="14">
        <f>IF(ISNUMBER(M71), (M71 - $B71) / $B71, "")</f>
        <v>-0.10483870967741936</v>
      </c>
      <c r="O71" s="16">
        <f>IF(ISNUMBER(M71), $B91 * N71, "")</f>
        <v>-10483.870967741936</v>
      </c>
      <c r="Q71" s="233"/>
      <c r="R71" s="233"/>
      <c r="S71" s="233"/>
    </row>
    <row r="72" spans="1:19" ht="17.25" thickBot="1">
      <c r="A72" s="162" t="s">
        <v>116</v>
      </c>
      <c r="B72" s="126">
        <v>374</v>
      </c>
      <c r="C72" s="77">
        <v>6.25E-2</v>
      </c>
      <c r="D72" s="15">
        <v>306</v>
      </c>
      <c r="E72" s="32">
        <f t="shared" ref="E72:E75" si="30">IF(ISNUMBER(D72), (D72 - $B72) / $B72, "")</f>
        <v>-0.18181818181818182</v>
      </c>
      <c r="F72" s="18">
        <f>IF(ISNUMBER(D72), $B91 * E72, "")</f>
        <v>-18181.818181818184</v>
      </c>
      <c r="G72" s="31">
        <v>308</v>
      </c>
      <c r="H72" s="32">
        <f t="shared" ref="H72:H75" si="31">IF(ISNUMBER(G72), (G72 - $B72) / $B72, "")</f>
        <v>-0.17647058823529413</v>
      </c>
      <c r="I72" s="101">
        <f>IF(ISNUMBER(G72), $B91 * H72, "")</f>
        <v>-17647.058823529413</v>
      </c>
      <c r="J72" s="15">
        <v>313</v>
      </c>
      <c r="K72" s="32">
        <f t="shared" ref="K72:K75" si="32">IF(ISNUMBER(J72), (J72 - $B72) / $B72, "")</f>
        <v>-0.16310160427807488</v>
      </c>
      <c r="L72" s="18">
        <f>IF(ISNUMBER(J72), $B91 * K72, "")</f>
        <v>-16310.160427807488</v>
      </c>
      <c r="M72" s="31">
        <v>313</v>
      </c>
      <c r="N72" s="32">
        <f t="shared" ref="N72:N75" si="33">IF(ISNUMBER(M72), (M72 - $B72) / $B72, "")</f>
        <v>-0.16310160427807488</v>
      </c>
      <c r="O72" s="18">
        <f>IF(ISNUMBER(M72), $B91 * N72, "")</f>
        <v>-16310.160427807488</v>
      </c>
      <c r="Q72" s="233"/>
      <c r="R72" s="233"/>
      <c r="S72" s="233"/>
    </row>
    <row r="73" spans="1:19" ht="17.25" thickBot="1">
      <c r="A73" s="162" t="s">
        <v>61</v>
      </c>
      <c r="B73" s="126">
        <v>850</v>
      </c>
      <c r="C73" s="77">
        <v>4.2944785300000003E-2</v>
      </c>
      <c r="D73" s="15">
        <v>748</v>
      </c>
      <c r="E73" s="32">
        <f t="shared" si="30"/>
        <v>-0.12</v>
      </c>
      <c r="F73" s="18">
        <f>IF(ISNUMBER(D73), $B91 * E73, "")</f>
        <v>-12000</v>
      </c>
      <c r="G73" s="31">
        <v>756</v>
      </c>
      <c r="H73" s="32">
        <f t="shared" si="31"/>
        <v>-0.11058823529411765</v>
      </c>
      <c r="I73" s="101">
        <f>IF(ISNUMBER(G73), $B91 * H73, "")</f>
        <v>-11058.823529411766</v>
      </c>
      <c r="J73" s="15">
        <v>774</v>
      </c>
      <c r="K73" s="32">
        <f t="shared" si="32"/>
        <v>-8.9411764705882357E-2</v>
      </c>
      <c r="L73" s="18">
        <f>IF(ISNUMBER(J73), $B91 * K73, "")</f>
        <v>-8941.176470588236</v>
      </c>
      <c r="M73" s="31">
        <v>778</v>
      </c>
      <c r="N73" s="32">
        <f t="shared" si="33"/>
        <v>-8.4705882352941173E-2</v>
      </c>
      <c r="O73" s="18">
        <f>IF(ISNUMBER(M73), $B91 * N73, "")</f>
        <v>-8470.5882352941171</v>
      </c>
      <c r="Q73" s="223"/>
      <c r="R73" s="223"/>
      <c r="S73" s="223"/>
    </row>
    <row r="74" spans="1:19" ht="17.25" thickBot="1">
      <c r="A74" s="162" t="s">
        <v>80</v>
      </c>
      <c r="B74" s="126">
        <v>805</v>
      </c>
      <c r="C74" s="77">
        <v>3.4704370200000001E-2</v>
      </c>
      <c r="D74" s="15">
        <v>702</v>
      </c>
      <c r="E74" s="32">
        <f t="shared" si="30"/>
        <v>-0.12795031055900621</v>
      </c>
      <c r="F74" s="18">
        <f>IF(ISNUMBER(D74), $B91 * E74, "")</f>
        <v>-12795.031055900621</v>
      </c>
      <c r="G74" s="31">
        <v>704</v>
      </c>
      <c r="H74" s="32">
        <f t="shared" si="31"/>
        <v>-0.12546583850931678</v>
      </c>
      <c r="I74" s="101">
        <f>IF(ISNUMBER(G74), $B91 * H74, "")</f>
        <v>-12546.583850931678</v>
      </c>
      <c r="J74" s="15">
        <v>726</v>
      </c>
      <c r="K74" s="32">
        <f t="shared" si="32"/>
        <v>-9.8136645962732916E-2</v>
      </c>
      <c r="L74" s="18">
        <f>IF(ISNUMBER(J74), $B91 * K74, "")</f>
        <v>-9813.664596273291</v>
      </c>
      <c r="M74" s="31">
        <v>731</v>
      </c>
      <c r="N74" s="32">
        <f t="shared" si="33"/>
        <v>-9.1925465838509315E-2</v>
      </c>
      <c r="O74" s="18">
        <f>IF(ISNUMBER(M74), $B91 * N74, "")</f>
        <v>-9192.5465838509317</v>
      </c>
      <c r="Q74" s="223"/>
      <c r="R74" s="223"/>
      <c r="S74" s="223"/>
    </row>
    <row r="75" spans="1:19" ht="17.25" thickBot="1">
      <c r="A75" s="163" t="s">
        <v>136</v>
      </c>
      <c r="B75" s="128">
        <v>129</v>
      </c>
      <c r="C75" s="78">
        <v>1.5748031499999999E-2</v>
      </c>
      <c r="D75" s="20">
        <v>112</v>
      </c>
      <c r="E75" s="21">
        <f t="shared" si="30"/>
        <v>-0.13178294573643412</v>
      </c>
      <c r="F75" s="22">
        <f>IF(ISNUMBER(D75), $B91 * E75, "")</f>
        <v>-13178.294573643412</v>
      </c>
      <c r="G75" s="30">
        <v>110</v>
      </c>
      <c r="H75" s="21">
        <f t="shared" si="31"/>
        <v>-0.14728682170542637</v>
      </c>
      <c r="I75" s="105">
        <f>IF(ISNUMBER(G75), $B91 * H75, "")</f>
        <v>-14728.682170542637</v>
      </c>
      <c r="J75" s="20">
        <v>115</v>
      </c>
      <c r="K75" s="21">
        <f t="shared" si="32"/>
        <v>-0.10852713178294573</v>
      </c>
      <c r="L75" s="22">
        <f>IF(ISNUMBER(J75), $B91 * K75, "")</f>
        <v>-10852.713178294574</v>
      </c>
      <c r="M75" s="30">
        <v>115</v>
      </c>
      <c r="N75" s="21">
        <f t="shared" si="33"/>
        <v>-0.10852713178294573</v>
      </c>
      <c r="O75" s="22">
        <f>IF(ISNUMBER(M75), $B91 * N75, "")</f>
        <v>-10852.713178294574</v>
      </c>
      <c r="Q75" s="223"/>
      <c r="R75" s="223"/>
      <c r="S75" s="223"/>
    </row>
    <row r="76" spans="1:19" ht="17.25" thickBot="1">
      <c r="A76" s="162" t="s">
        <v>120</v>
      </c>
      <c r="B76" s="129">
        <v>139</v>
      </c>
      <c r="C76" s="80">
        <v>7.2463768E-3</v>
      </c>
      <c r="D76" s="106">
        <v>131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130</v>
      </c>
      <c r="H76" s="107">
        <f>IF(ISNUMBER(G76), (G76 - $B76) / $B76, "")</f>
        <v>-6.4748201438848921E-2</v>
      </c>
      <c r="I76" s="110">
        <f>IF(ISNUMBER(G76), $B91 * H76, "")</f>
        <v>-6474.8201438848919</v>
      </c>
      <c r="J76" s="106">
        <v>131</v>
      </c>
      <c r="K76" s="107">
        <f>IF(ISNUMBER(J76), (J76 - $B76) / $B76, "")</f>
        <v>-5.7553956834532377E-2</v>
      </c>
      <c r="L76" s="108">
        <f>IF(ISNUMBER(J76), $B91 * K76, "")</f>
        <v>-5755.3956834532373</v>
      </c>
      <c r="M76" s="109">
        <v>131</v>
      </c>
      <c r="N76" s="107">
        <f>IF(ISNUMBER(M76), (M76 - $B76) / $B76, "")</f>
        <v>-5.7553956834532377E-2</v>
      </c>
      <c r="O76" s="108">
        <f>IF(ISNUMBER(M76), $B91 * N76, "")</f>
        <v>-5755.3956834532373</v>
      </c>
      <c r="Q76" s="223"/>
      <c r="R76" s="223"/>
      <c r="S76" s="223"/>
    </row>
    <row r="77" spans="1:19" ht="17.25" thickBot="1">
      <c r="A77" s="162" t="s">
        <v>54</v>
      </c>
      <c r="B77" s="126">
        <v>240</v>
      </c>
      <c r="C77" s="77">
        <v>0</v>
      </c>
      <c r="D77" s="15">
        <v>210</v>
      </c>
      <c r="E77" s="32">
        <f t="shared" ref="E77:E80" si="34">IF(ISNUMBER(D77), (D77 - $B77) / $B77, "")</f>
        <v>-0.125</v>
      </c>
      <c r="F77" s="18">
        <f>IF(ISNUMBER(D77), $B91 * E77, "")</f>
        <v>-12500</v>
      </c>
      <c r="G77" s="31">
        <v>213</v>
      </c>
      <c r="H77" s="32">
        <f t="shared" ref="H77:H80" si="35">IF(ISNUMBER(G77), (G77 - $B77) / $B77, "")</f>
        <v>-0.1125</v>
      </c>
      <c r="I77" s="101">
        <f>IF(ISNUMBER(G77), $B91 * H77, "")</f>
        <v>-11250</v>
      </c>
      <c r="J77" s="15">
        <v>219</v>
      </c>
      <c r="K77" s="32">
        <f t="shared" ref="K77:K80" si="36">IF(ISNUMBER(J77), (J77 - $B77) / $B77, "")</f>
        <v>-8.7499999999999994E-2</v>
      </c>
      <c r="L77" s="18">
        <f>IF(ISNUMBER(J77), $B91 * K77, "")</f>
        <v>-8750</v>
      </c>
      <c r="M77" s="31">
        <v>216</v>
      </c>
      <c r="N77" s="32">
        <f t="shared" ref="N77:N80" si="37">IF(ISNUMBER(M77), (M77 - $B77) / $B77, "")</f>
        <v>-0.1</v>
      </c>
      <c r="O77" s="18">
        <f>IF(ISNUMBER(M77), $B91 * N77, "")</f>
        <v>-10000</v>
      </c>
      <c r="Q77" s="223"/>
      <c r="R77" s="223"/>
      <c r="S77" s="223"/>
    </row>
    <row r="78" spans="1:19" ht="17.25" thickBot="1">
      <c r="A78" s="162" t="s">
        <v>132</v>
      </c>
      <c r="B78" s="126">
        <v>129</v>
      </c>
      <c r="C78" s="77">
        <v>-1.52671756E-2</v>
      </c>
      <c r="D78" s="15">
        <v>116</v>
      </c>
      <c r="E78" s="32">
        <f t="shared" si="34"/>
        <v>-0.10077519379844961</v>
      </c>
      <c r="F78" s="18">
        <f>IF(ISNUMBER(D78), $B91 * E78, "")</f>
        <v>-10077.519379844962</v>
      </c>
      <c r="G78" s="31">
        <v>117</v>
      </c>
      <c r="H78" s="32">
        <f t="shared" si="35"/>
        <v>-9.3023255813953487E-2</v>
      </c>
      <c r="I78" s="101">
        <f>IF(ISNUMBER(G78), $B91 * H78, "")</f>
        <v>-9302.3255813953492</v>
      </c>
      <c r="J78" s="15">
        <v>122</v>
      </c>
      <c r="K78" s="32">
        <f t="shared" si="36"/>
        <v>-5.4263565891472867E-2</v>
      </c>
      <c r="L78" s="18">
        <f>IF(ISNUMBER(J78), $B91 * K78, "")</f>
        <v>-5426.3565891472872</v>
      </c>
      <c r="M78" s="31">
        <v>121</v>
      </c>
      <c r="N78" s="32">
        <f t="shared" si="37"/>
        <v>-6.2015503875968991E-2</v>
      </c>
      <c r="O78" s="18">
        <f>IF(ISNUMBER(M78), $B91 * N78, "")</f>
        <v>-6201.5503875968989</v>
      </c>
      <c r="Q78" s="223"/>
      <c r="R78" s="223"/>
      <c r="S78" s="223"/>
    </row>
    <row r="79" spans="1:19" ht="17.25" thickBot="1">
      <c r="A79" s="162" t="s">
        <v>256</v>
      </c>
      <c r="B79" s="126">
        <v>163</v>
      </c>
      <c r="C79" s="77">
        <v>-1.8072289200000001E-2</v>
      </c>
      <c r="D79" s="15">
        <v>131</v>
      </c>
      <c r="E79" s="32">
        <f t="shared" si="34"/>
        <v>-0.19631901840490798</v>
      </c>
      <c r="F79" s="18">
        <f>IF(ISNUMBER(D79), $B91 * E79, "")</f>
        <v>-19631.901840490798</v>
      </c>
      <c r="G79" s="31">
        <v>132</v>
      </c>
      <c r="H79" s="32">
        <f t="shared" si="35"/>
        <v>-0.19018404907975461</v>
      </c>
      <c r="I79" s="101">
        <f>IF(ISNUMBER(G79), $B91 * H79, "")</f>
        <v>-19018.404907975462</v>
      </c>
      <c r="J79" s="15">
        <v>135</v>
      </c>
      <c r="K79" s="32">
        <f t="shared" si="36"/>
        <v>-0.17177914110429449</v>
      </c>
      <c r="L79" s="18">
        <f>IF(ISNUMBER(J79), $B91 * K79, "")</f>
        <v>-17177.91411042945</v>
      </c>
      <c r="M79" s="31">
        <v>138</v>
      </c>
      <c r="N79" s="32">
        <f t="shared" si="37"/>
        <v>-0.15337423312883436</v>
      </c>
      <c r="O79" s="18">
        <f>IF(ISNUMBER(M79), $B91 * N79, "")</f>
        <v>-15337.423312883437</v>
      </c>
      <c r="Q79" s="33"/>
      <c r="R79" s="33"/>
    </row>
    <row r="80" spans="1:19" ht="17.25" thickBot="1">
      <c r="A80" s="130" t="s">
        <v>51</v>
      </c>
      <c r="B80" s="131">
        <v>387</v>
      </c>
      <c r="C80" s="79">
        <v>-2.2727272699999999E-2</v>
      </c>
      <c r="D80" s="24">
        <v>357</v>
      </c>
      <c r="E80" s="25">
        <f t="shared" si="34"/>
        <v>-7.7519379844961239E-2</v>
      </c>
      <c r="F80" s="104">
        <f>IF(ISNUMBER(D80), $B91 * E80, "")</f>
        <v>-7751.937984496124</v>
      </c>
      <c r="G80" s="102">
        <v>361</v>
      </c>
      <c r="H80" s="25">
        <f t="shared" si="35"/>
        <v>-6.7183462532299745E-2</v>
      </c>
      <c r="I80" s="103">
        <f>IF(ISNUMBER(G80), $B91 * H80, "")</f>
        <v>-6718.3462532299745</v>
      </c>
      <c r="J80" s="24">
        <v>374</v>
      </c>
      <c r="K80" s="25">
        <f t="shared" si="36"/>
        <v>-3.3591731266149873E-2</v>
      </c>
      <c r="L80" s="104">
        <f>IF(ISNUMBER(J80), $B91 * K80, "")</f>
        <v>-3359.1731266149873</v>
      </c>
      <c r="M80" s="102">
        <v>380</v>
      </c>
      <c r="N80" s="25">
        <f t="shared" si="37"/>
        <v>-1.8087855297157621E-2</v>
      </c>
      <c r="O80" s="104">
        <f>IF(ISNUMBER(M80), $B91 * N80, "")</f>
        <v>-1808.7855297157621</v>
      </c>
      <c r="Q80" s="224"/>
      <c r="R80" s="225"/>
      <c r="S80" s="226"/>
    </row>
    <row r="81" spans="1:19">
      <c r="A81" s="161" t="s">
        <v>57</v>
      </c>
      <c r="B81" s="124">
        <v>194</v>
      </c>
      <c r="C81" s="76">
        <v>-2.5125628099999998E-2</v>
      </c>
      <c r="D81" s="13">
        <v>180</v>
      </c>
      <c r="E81" s="14">
        <f>IF(ISNUMBER(D81), (D81 - $B81) / $B81, "")</f>
        <v>-7.2164948453608241E-2</v>
      </c>
      <c r="F81" s="16">
        <f>IF(ISNUMBER(D81), $B91 * E81, "")</f>
        <v>-7216.494845360824</v>
      </c>
      <c r="G81" s="29">
        <v>181</v>
      </c>
      <c r="H81" s="14">
        <f>IF(ISNUMBER(G81), (G81 - $B81) / $B81, "")</f>
        <v>-6.7010309278350513E-2</v>
      </c>
      <c r="I81" s="100">
        <f>IF(ISNUMBER(G81), $B91 * H81, "")</f>
        <v>-6701.0309278350514</v>
      </c>
      <c r="J81" s="13">
        <v>185</v>
      </c>
      <c r="K81" s="14">
        <f>IF(ISNUMBER(J81), (J81 - $B81) / $B81, "")</f>
        <v>-4.6391752577319589E-2</v>
      </c>
      <c r="L81" s="16">
        <f>IF(ISNUMBER(J81), $B91 * K81, "")</f>
        <v>-4639.1752577319585</v>
      </c>
      <c r="M81" s="29">
        <v>184</v>
      </c>
      <c r="N81" s="14">
        <f>IF(ISNUMBER(M81), (M81 - $B81) / $B81, "")</f>
        <v>-5.1546391752577317E-2</v>
      </c>
      <c r="O81" s="16">
        <f>IF(ISNUMBER(M81), $B91 * N81, "")</f>
        <v>-5154.6391752577319</v>
      </c>
      <c r="Q81" s="227"/>
      <c r="R81" s="228"/>
      <c r="S81" s="229"/>
    </row>
    <row r="82" spans="1:19" ht="17.25" thickBot="1">
      <c r="A82" s="162" t="s">
        <v>148</v>
      </c>
      <c r="B82" s="126">
        <v>102</v>
      </c>
      <c r="C82" s="77">
        <v>-2.85714286E-2</v>
      </c>
      <c r="D82" s="15">
        <v>91</v>
      </c>
      <c r="E82" s="32">
        <f t="shared" ref="E82:E85" si="38">IF(ISNUMBER(D82), (D82 - $B82) / $B82, "")</f>
        <v>-0.10784313725490197</v>
      </c>
      <c r="F82" s="18">
        <f>IF(ISNUMBER(D82), $B91 * E82, "")</f>
        <v>-10784.313725490196</v>
      </c>
      <c r="G82" s="31">
        <v>93.7</v>
      </c>
      <c r="H82" s="32">
        <f t="shared" ref="H82:H85" si="39">IF(ISNUMBER(G82), (G82 - $B82) / $B82, "")</f>
        <v>-8.1372549019607818E-2</v>
      </c>
      <c r="I82" s="101">
        <f>IF(ISNUMBER(G82), $B91 * H82, "")</f>
        <v>-8137.2549019607814</v>
      </c>
      <c r="J82" s="15">
        <v>94.4</v>
      </c>
      <c r="K82" s="32">
        <f t="shared" ref="K82:K85" si="40">IF(ISNUMBER(J82), (J82 - $B82) / $B82, "")</f>
        <v>-7.4509803921568571E-2</v>
      </c>
      <c r="L82" s="18">
        <f>IF(ISNUMBER(J82), $B91 * K82, "")</f>
        <v>-7450.9803921568573</v>
      </c>
      <c r="M82" s="31">
        <v>97.6</v>
      </c>
      <c r="N82" s="32">
        <f t="shared" ref="N82:N85" si="41">IF(ISNUMBER(M82), (M82 - $B82) / $B82, "")</f>
        <v>-4.3137254901960839E-2</v>
      </c>
      <c r="O82" s="18">
        <f>IF(ISNUMBER(M82), $B91 * N82, "")</f>
        <v>-4313.7254901960841</v>
      </c>
      <c r="Q82" s="230"/>
      <c r="R82" s="231"/>
      <c r="S82" s="232"/>
    </row>
    <row r="83" spans="1:19" ht="17.25" thickBot="1">
      <c r="A83" s="162" t="s">
        <v>296</v>
      </c>
      <c r="B83" s="126">
        <v>370</v>
      </c>
      <c r="C83" s="77">
        <v>-2.8871391100000001E-2</v>
      </c>
      <c r="D83" s="15">
        <v>356</v>
      </c>
      <c r="E83" s="32">
        <f t="shared" si="38"/>
        <v>-3.783783783783784E-2</v>
      </c>
      <c r="F83" s="18">
        <f>IF(ISNUMBER(D83), $B91 * E83, "")</f>
        <v>-3783.7837837837842</v>
      </c>
      <c r="G83" s="31">
        <v>357</v>
      </c>
      <c r="H83" s="32">
        <f t="shared" si="39"/>
        <v>-3.5135135135135137E-2</v>
      </c>
      <c r="I83" s="101">
        <f>IF(ISNUMBER(G83), $B91 * H83, "")</f>
        <v>-3513.5135135135138</v>
      </c>
      <c r="J83" s="15">
        <v>361</v>
      </c>
      <c r="K83" s="32">
        <f t="shared" si="40"/>
        <v>-2.4324324324324326E-2</v>
      </c>
      <c r="L83" s="18">
        <f>IF(ISNUMBER(J83), $B91 * K83, "")</f>
        <v>-2432.4324324324325</v>
      </c>
      <c r="M83" s="31">
        <v>363</v>
      </c>
      <c r="N83" s="32">
        <f t="shared" si="41"/>
        <v>-1.891891891891892E-2</v>
      </c>
      <c r="O83" s="18">
        <f>IF(ISNUMBER(M83), $B91 * N83, "")</f>
        <v>-1891.8918918918921</v>
      </c>
      <c r="Q83" s="223"/>
      <c r="R83" s="223"/>
      <c r="S83" s="223"/>
    </row>
    <row r="84" spans="1:19" ht="17.25" thickBot="1">
      <c r="A84" s="162" t="s">
        <v>128</v>
      </c>
      <c r="B84" s="126">
        <v>324</v>
      </c>
      <c r="C84" s="77">
        <v>-5.2631578900000003E-2</v>
      </c>
      <c r="D84" s="15">
        <v>283</v>
      </c>
      <c r="E84" s="32">
        <f t="shared" si="38"/>
        <v>-0.12654320987654322</v>
      </c>
      <c r="F84" s="18">
        <f>IF(ISNUMBER(D84), $B91 * E84, "")</f>
        <v>-12654.320987654322</v>
      </c>
      <c r="G84" s="31">
        <v>292</v>
      </c>
      <c r="H84" s="32">
        <f t="shared" si="39"/>
        <v>-9.8765432098765427E-2</v>
      </c>
      <c r="I84" s="101">
        <f>IF(ISNUMBER(G84), $B91 * H84, "")</f>
        <v>-9876.5432098765432</v>
      </c>
      <c r="J84" s="15">
        <v>296</v>
      </c>
      <c r="K84" s="32">
        <f t="shared" si="40"/>
        <v>-8.6419753086419748E-2</v>
      </c>
      <c r="L84" s="18">
        <f>IF(ISNUMBER(J84), $B91 * K84, "")</f>
        <v>-8641.9753086419751</v>
      </c>
      <c r="M84" s="31">
        <v>298</v>
      </c>
      <c r="N84" s="32">
        <f t="shared" si="41"/>
        <v>-8.0246913580246909E-2</v>
      </c>
      <c r="O84" s="18">
        <f>IF(ISNUMBER(M84), $B91 * N84, "")</f>
        <v>-8024.691358024691</v>
      </c>
      <c r="Q84" s="233"/>
      <c r="R84" s="233"/>
      <c r="S84" s="233"/>
    </row>
    <row r="85" spans="1:19" ht="17.25" thickBot="1">
      <c r="A85" s="163" t="s">
        <v>270</v>
      </c>
      <c r="B85" s="128">
        <v>328</v>
      </c>
      <c r="C85" s="78">
        <v>-6.2857142899999996E-2</v>
      </c>
      <c r="D85" s="20">
        <v>295</v>
      </c>
      <c r="E85" s="21">
        <f t="shared" si="38"/>
        <v>-0.10060975609756098</v>
      </c>
      <c r="F85" s="22">
        <f>IF(ISNUMBER(D85), $B91 * E85, "")</f>
        <v>-10060.975609756098</v>
      </c>
      <c r="G85" s="30">
        <v>298</v>
      </c>
      <c r="H85" s="21">
        <f t="shared" si="39"/>
        <v>-9.1463414634146339E-2</v>
      </c>
      <c r="I85" s="105">
        <f>IF(ISNUMBER(G85), $B91 * H85, "")</f>
        <v>-9146.3414634146338</v>
      </c>
      <c r="J85" s="20">
        <v>300</v>
      </c>
      <c r="K85" s="21">
        <f t="shared" si="40"/>
        <v>-8.5365853658536592E-2</v>
      </c>
      <c r="L85" s="22">
        <f>IF(ISNUMBER(J85), $B91 * K85, "")</f>
        <v>-8536.5853658536598</v>
      </c>
      <c r="M85" s="30">
        <v>301</v>
      </c>
      <c r="N85" s="21">
        <f t="shared" si="41"/>
        <v>-8.2317073170731711E-2</v>
      </c>
      <c r="O85" s="22">
        <f>IF(ISNUMBER(M85), $B91 * N85, "")</f>
        <v>-8231.707317073171</v>
      </c>
      <c r="Q85" s="233"/>
      <c r="R85" s="233"/>
      <c r="S85" s="233"/>
    </row>
    <row r="86" spans="1:19" ht="17.25" thickBot="1">
      <c r="A86" s="162" t="s">
        <v>170</v>
      </c>
      <c r="B86" s="129">
        <v>265</v>
      </c>
      <c r="C86" s="80">
        <v>-7.0175438600000001E-2</v>
      </c>
      <c r="D86" s="106">
        <v>230</v>
      </c>
      <c r="E86" s="107">
        <f>IF(ISNUMBER(D86), (D86 - $B86) / $B86, "")</f>
        <v>-0.13207547169811321</v>
      </c>
      <c r="F86" s="108">
        <f>IF(ISNUMBER(D86), $B91 * E86, "")</f>
        <v>-13207.54716981132</v>
      </c>
      <c r="G86" s="109">
        <v>232</v>
      </c>
      <c r="H86" s="107">
        <f>IF(ISNUMBER(G86), (G86 - $B86) / $B86, "")</f>
        <v>-0.12452830188679245</v>
      </c>
      <c r="I86" s="110">
        <f>IF(ISNUMBER(G86), $B91 * H86, "")</f>
        <v>-12452.830188679245</v>
      </c>
      <c r="J86" s="106">
        <v>235</v>
      </c>
      <c r="K86" s="107">
        <f>IF(ISNUMBER(J86), (J86 - $B86) / $B86, "")</f>
        <v>-0.11320754716981132</v>
      </c>
      <c r="L86" s="108">
        <f>IF(ISNUMBER(J86), $B91 * K86, "")</f>
        <v>-11320.754716981133</v>
      </c>
      <c r="M86" s="109">
        <v>237</v>
      </c>
      <c r="N86" s="107">
        <f>IF(ISNUMBER(M86), (M86 - $B86) / $B86, "")</f>
        <v>-0.10566037735849057</v>
      </c>
      <c r="O86" s="108">
        <f>IF(ISNUMBER(M86), $B91 * N86, "")</f>
        <v>-10566.037735849057</v>
      </c>
      <c r="Q86" s="223"/>
      <c r="R86" s="223"/>
      <c r="S86" s="223"/>
    </row>
    <row r="87" spans="1:19" ht="17.25" thickBot="1">
      <c r="A87" s="162" t="s">
        <v>182</v>
      </c>
      <c r="B87" s="126">
        <v>259</v>
      </c>
      <c r="C87" s="77">
        <v>-7.1684587800000005E-2</v>
      </c>
      <c r="D87" s="15">
        <v>220</v>
      </c>
      <c r="E87" s="32">
        <f t="shared" ref="E87:E90" si="42">IF(ISNUMBER(D87), (D87 - $B87) / $B87, "")</f>
        <v>-0.15057915057915058</v>
      </c>
      <c r="F87" s="18">
        <f>IF(ISNUMBER(D87), $B91 * E87, "")</f>
        <v>-15057.915057915059</v>
      </c>
      <c r="G87" s="31">
        <v>221</v>
      </c>
      <c r="H87" s="32">
        <f t="shared" ref="H87:H90" si="43">IF(ISNUMBER(G87), (G87 - $B87) / $B87, "")</f>
        <v>-0.14671814671814673</v>
      </c>
      <c r="I87" s="101">
        <f>IF(ISNUMBER(G87), $B91 * H87, "")</f>
        <v>-14671.814671814673</v>
      </c>
      <c r="J87" s="15">
        <v>225</v>
      </c>
      <c r="K87" s="32">
        <f t="shared" ref="K87:K90" si="44">IF(ISNUMBER(J87), (J87 - $B87) / $B87, "")</f>
        <v>-0.13127413127413126</v>
      </c>
      <c r="L87" s="18">
        <f>IF(ISNUMBER(J87), $B91 * K87, "")</f>
        <v>-13127.413127413127</v>
      </c>
      <c r="M87" s="31">
        <v>226</v>
      </c>
      <c r="N87" s="32">
        <f t="shared" ref="N87:N90" si="45">IF(ISNUMBER(M87), (M87 - $B87) / $B87, "")</f>
        <v>-0.12741312741312741</v>
      </c>
      <c r="O87" s="18">
        <f>IF(ISNUMBER(M87), $B91 * N87, "")</f>
        <v>-12741.31274131274</v>
      </c>
      <c r="Q87" s="223"/>
      <c r="R87" s="223"/>
      <c r="S87" s="223"/>
    </row>
    <row r="88" spans="1:19" ht="17.25" thickBot="1">
      <c r="A88" s="162" t="s">
        <v>262</v>
      </c>
      <c r="B88" s="126">
        <v>536</v>
      </c>
      <c r="C88" s="77">
        <v>-7.74526678E-2</v>
      </c>
      <c r="D88" s="15">
        <v>462</v>
      </c>
      <c r="E88" s="32">
        <f t="shared" si="42"/>
        <v>-0.13805970149253732</v>
      </c>
      <c r="F88" s="18">
        <f>IF(ISNUMBER(D88), $B91 * E88, "")</f>
        <v>-13805.970149253732</v>
      </c>
      <c r="G88" s="31">
        <v>452</v>
      </c>
      <c r="H88" s="32">
        <f t="shared" si="43"/>
        <v>-0.15671641791044777</v>
      </c>
      <c r="I88" s="101">
        <f>IF(ISNUMBER(G88), $B91 * H88, "")</f>
        <v>-15671.641791044776</v>
      </c>
      <c r="J88" s="15">
        <v>458</v>
      </c>
      <c r="K88" s="32">
        <f t="shared" si="44"/>
        <v>-0.1455223880597015</v>
      </c>
      <c r="L88" s="18">
        <f>IF(ISNUMBER(J88), $B91 * K88, "")</f>
        <v>-14552.23880597015</v>
      </c>
      <c r="M88" s="31">
        <v>458</v>
      </c>
      <c r="N88" s="32">
        <f t="shared" si="45"/>
        <v>-0.1455223880597015</v>
      </c>
      <c r="O88" s="18">
        <f>IF(ISNUMBER(M88), $B91 * N88, "")</f>
        <v>-14552.23880597015</v>
      </c>
      <c r="Q88" s="223"/>
      <c r="R88" s="223"/>
      <c r="S88" s="223"/>
    </row>
    <row r="89" spans="1:19">
      <c r="A89" s="162" t="s">
        <v>230</v>
      </c>
      <c r="B89" s="126">
        <v>104</v>
      </c>
      <c r="C89" s="77">
        <v>-8.7719298200000004E-2</v>
      </c>
      <c r="D89" s="15">
        <v>87.4</v>
      </c>
      <c r="E89" s="32">
        <f t="shared" si="42"/>
        <v>-0.15961538461538455</v>
      </c>
      <c r="F89" s="18">
        <f>IF(ISNUMBER(D89), $B91 * E89, "")</f>
        <v>-15961.538461538456</v>
      </c>
      <c r="G89" s="31">
        <v>87.5</v>
      </c>
      <c r="H89" s="32">
        <f t="shared" si="43"/>
        <v>-0.15865384615384615</v>
      </c>
      <c r="I89" s="101">
        <f>IF(ISNUMBER(G89), $B91 * H89, "")</f>
        <v>-15865.384615384615</v>
      </c>
      <c r="J89" s="15">
        <v>88.1</v>
      </c>
      <c r="K89" s="32">
        <f t="shared" si="44"/>
        <v>-0.15288461538461545</v>
      </c>
      <c r="L89" s="18">
        <f>IF(ISNUMBER(J89), $B91 * K89, "")</f>
        <v>-15288.461538461544</v>
      </c>
      <c r="M89" s="31">
        <v>90.1</v>
      </c>
      <c r="N89" s="32">
        <f t="shared" si="45"/>
        <v>-0.13365384615384621</v>
      </c>
      <c r="O89" s="18">
        <f>IF(ISNUMBER(M89), $B91 * N89, "")</f>
        <v>-13365.384615384621</v>
      </c>
      <c r="Q89" s="212"/>
      <c r="R89" s="213"/>
      <c r="S89" s="214"/>
    </row>
    <row r="90" spans="1:19" ht="17.25" thickBot="1">
      <c r="A90" s="130" t="s">
        <v>258</v>
      </c>
      <c r="B90" s="131">
        <v>418</v>
      </c>
      <c r="C90" s="79">
        <v>-9.1304347800000005E-2</v>
      </c>
      <c r="D90" s="24">
        <v>376</v>
      </c>
      <c r="E90" s="25">
        <f t="shared" si="42"/>
        <v>-0.10047846889952153</v>
      </c>
      <c r="F90" s="104">
        <f>IF(ISNUMBER(D90), $B91 * E90, "")</f>
        <v>-10047.846889952152</v>
      </c>
      <c r="G90" s="102">
        <v>379</v>
      </c>
      <c r="H90" s="25">
        <f t="shared" si="43"/>
        <v>-9.3301435406698566E-2</v>
      </c>
      <c r="I90" s="103">
        <f>IF(ISNUMBER(G90), $B91 * H90, "")</f>
        <v>-9330.1435406698565</v>
      </c>
      <c r="J90" s="24">
        <v>383</v>
      </c>
      <c r="K90" s="25">
        <f t="shared" si="44"/>
        <v>-8.3732057416267949E-2</v>
      </c>
      <c r="L90" s="104">
        <f>IF(ISNUMBER(J90), $B91 * K90, "")</f>
        <v>-8373.2057416267944</v>
      </c>
      <c r="M90" s="102">
        <v>380</v>
      </c>
      <c r="N90" s="25">
        <f t="shared" si="45"/>
        <v>-9.0909090909090912E-2</v>
      </c>
      <c r="O90" s="104">
        <f>IF(ISNUMBER(M90), $B91 * N90, "")</f>
        <v>-9090.9090909090919</v>
      </c>
      <c r="Q90" s="215"/>
      <c r="R90" s="216"/>
      <c r="S90" s="217"/>
    </row>
    <row r="91" spans="1:19" ht="17.25" thickBot="1">
      <c r="A91" s="132" t="s">
        <v>300</v>
      </c>
      <c r="B91" s="276">
        <f>$B$37</f>
        <v>100000</v>
      </c>
      <c r="C91" s="277"/>
      <c r="D91" s="26" t="s">
        <v>301</v>
      </c>
      <c r="E91" s="27">
        <f>IF(COUNT(E71:E90), SUM(E71:E90) / COUNT(E71:E90), 0)</f>
        <v>-0.11572092634599562</v>
      </c>
      <c r="F91" s="28">
        <f>SUM(F71:F90)</f>
        <v>-231441.85269199123</v>
      </c>
      <c r="G91" s="26" t="s">
        <v>301</v>
      </c>
      <c r="H91" s="27">
        <f>IF(COUNT(H71:H90), SUM(H71:H90) / COUNT(H71:H90), 0)</f>
        <v>-0.11216329892426787</v>
      </c>
      <c r="I91" s="28">
        <f>SUM(I71:I90)</f>
        <v>-224326.59784853572</v>
      </c>
      <c r="J91" s="26" t="s">
        <v>301</v>
      </c>
      <c r="K91" s="27">
        <f>IF(COUNT(K71:K90), SUM(K71:K90) / COUNT(K71:K90), 0)</f>
        <v>-9.5348006714508965E-2</v>
      </c>
      <c r="L91" s="28">
        <f>SUM(L71:L90)</f>
        <v>-190696.01342901797</v>
      </c>
      <c r="M91" s="26" t="s">
        <v>301</v>
      </c>
      <c r="N91" s="27">
        <f>IF(COUNT(N71:N90), SUM(N71:N90) / COUNT(N71:N90), 0)</f>
        <v>-9.1172786264253777E-2</v>
      </c>
      <c r="O91" s="28">
        <f>SUM(O71:O90)</f>
        <v>-182345.57252850762</v>
      </c>
      <c r="Q91" s="218"/>
      <c r="R91" s="219"/>
      <c r="S91" s="220"/>
    </row>
    <row r="93" spans="1:19" ht="17.25" thickBot="1"/>
    <row r="94" spans="1:19" ht="17.25" thickBot="1">
      <c r="A94" s="234" t="s">
        <v>46</v>
      </c>
      <c r="B94" s="235"/>
      <c r="C94" s="235"/>
      <c r="D94" s="235"/>
      <c r="E94" s="235"/>
      <c r="F94" s="235"/>
      <c r="G94" s="235"/>
      <c r="H94" s="235"/>
      <c r="I94" s="235"/>
      <c r="J94" s="235"/>
      <c r="K94" s="235"/>
      <c r="L94" s="235"/>
      <c r="M94" s="235"/>
      <c r="N94" s="235"/>
      <c r="O94" s="236"/>
      <c r="Q94" s="233"/>
      <c r="R94" s="233"/>
      <c r="S94" s="233"/>
    </row>
    <row r="95" spans="1:19" ht="17.25" thickBot="1">
      <c r="A95" s="204" t="s">
        <v>297</v>
      </c>
      <c r="B95" s="234" t="s">
        <v>49</v>
      </c>
      <c r="C95" s="236"/>
      <c r="D95" s="234" t="s">
        <v>58</v>
      </c>
      <c r="E95" s="235"/>
      <c r="F95" s="236"/>
      <c r="G95" s="237">
        <f>_xlfn.IFNA(VLOOKUP(B95, 현재가테이블!$B$2:$D$200, 2, FALSE), "-")</f>
        <v>41418000</v>
      </c>
      <c r="H95" s="238"/>
      <c r="I95" s="239"/>
      <c r="J95" s="234" t="s">
        <v>59</v>
      </c>
      <c r="K95" s="235"/>
      <c r="L95" s="236"/>
      <c r="M95" s="240">
        <f>_xlfn.IFNA(VLOOKUP(B95, 현재가테이블!$B$2:$D$200, 3, FALSE), "-")</f>
        <v>-5.2176301000000001E-2</v>
      </c>
      <c r="N95" s="241"/>
      <c r="O95" s="242"/>
      <c r="Q95" s="233"/>
      <c r="R95" s="233"/>
      <c r="S95" s="233"/>
    </row>
    <row r="96" spans="1:19" ht="17.25" thickBot="1">
      <c r="A96" s="278" t="s">
        <v>55</v>
      </c>
      <c r="B96" s="274" t="str">
        <f>TEXT($G$1, "[$-ko-KR]yyyy-mm-dd(ddd) ") &amp; "오전 00:00"</f>
        <v>2021-06-12(토) 오전 00:00</v>
      </c>
      <c r="C96" s="275"/>
      <c r="D96" s="247" t="str">
        <f>TEXT($G$1, "[$-ko-KR]yyyy-mm-dd(ddd) ") &amp; "오후 14:00"</f>
        <v>2021-06-12(토) 오후 14:00</v>
      </c>
      <c r="E96" s="248"/>
      <c r="F96" s="249"/>
      <c r="G96" s="247" t="str">
        <f>TEXT($G$1, "[$-ko-KR]yyyy-mm-dd(ddd) ") &amp; "오후 19:00"</f>
        <v>2021-06-12(토) 오후 19:00</v>
      </c>
      <c r="H96" s="248"/>
      <c r="I96" s="249"/>
      <c r="J96" s="247" t="str">
        <f>TEXT($G$1, "[$-ko-KR]yyyy-mm-dd(ddd) ") &amp; "오후 21:00"</f>
        <v>2021-06-12(토) 오후 21:00</v>
      </c>
      <c r="K96" s="248"/>
      <c r="L96" s="249"/>
      <c r="M96" s="247" t="str">
        <f>TEXT($G$1+1, "[$-ko-KR]yyyy-mm-dd(ddd) ") &amp; "오전 00:00"</f>
        <v>2021-06-13(일) 오전 00:00</v>
      </c>
      <c r="N96" s="248"/>
      <c r="O96" s="249"/>
      <c r="Q96" s="233"/>
      <c r="R96" s="233"/>
      <c r="S96" s="233"/>
    </row>
    <row r="97" spans="1:19" ht="17.25" thickBot="1">
      <c r="A97" s="279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5" t="s">
        <v>58</v>
      </c>
      <c r="H97" s="206" t="s">
        <v>298</v>
      </c>
      <c r="I97" s="20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3"/>
      <c r="R97" s="223"/>
      <c r="S97" s="223"/>
    </row>
    <row r="98" spans="1:19" ht="17.25" thickBot="1">
      <c r="A98" s="161" t="s">
        <v>266</v>
      </c>
      <c r="B98" s="124">
        <v>70.8</v>
      </c>
      <c r="C98" s="76">
        <v>0.2421052632</v>
      </c>
      <c r="D98" s="13">
        <v>55.8</v>
      </c>
      <c r="E98" s="14">
        <f>IF(ISNUMBER(D98), (D98 - $B98) / $B98, "")</f>
        <v>-0.21186440677966104</v>
      </c>
      <c r="F98" s="16">
        <f>IF(ISNUMBER(D98), $B118 * E98, "")</f>
        <v>-21186.440677966104</v>
      </c>
      <c r="G98" s="29">
        <v>55.5</v>
      </c>
      <c r="H98" s="14">
        <f>IF(ISNUMBER(G98), (G98 - $B98) / $B98, "")</f>
        <v>-0.21610169491525422</v>
      </c>
      <c r="I98" s="100">
        <f>IF(ISNUMBER(G98), $B118 * H98, "")</f>
        <v>-21610.169491525423</v>
      </c>
      <c r="J98" s="13">
        <v>56.3</v>
      </c>
      <c r="K98" s="14">
        <f>IF(ISNUMBER(J98), (J98 - $B98) / $B98, "")</f>
        <v>-0.20480225988700565</v>
      </c>
      <c r="L98" s="16">
        <f>IF(ISNUMBER(J98), $B118 * K98, "")</f>
        <v>-20480.225988700564</v>
      </c>
      <c r="M98" s="29">
        <v>56.6</v>
      </c>
      <c r="N98" s="14">
        <f>IF(ISNUMBER(M98), (M98 - $B98) / $B98, "")</f>
        <v>-0.20056497175141239</v>
      </c>
      <c r="O98" s="16">
        <f>IF(ISNUMBER(M98), $B118 * N98, "")</f>
        <v>-20056.497175141238</v>
      </c>
      <c r="Q98" s="233"/>
      <c r="R98" s="233"/>
      <c r="S98" s="233"/>
    </row>
    <row r="99" spans="1:19" ht="17.25" thickBot="1">
      <c r="A99" s="162" t="s">
        <v>88</v>
      </c>
      <c r="B99" s="126">
        <v>372</v>
      </c>
      <c r="C99" s="77">
        <v>0.15170278640000001</v>
      </c>
      <c r="D99" s="15">
        <v>346</v>
      </c>
      <c r="E99" s="32">
        <f t="shared" ref="E99:E102" si="46">IF(ISNUMBER(D99), (D99 - $B99) / $B99, "")</f>
        <v>-6.9892473118279563E-2</v>
      </c>
      <c r="F99" s="18">
        <f>IF(ISNUMBER(D99), $B118 * E99, "")</f>
        <v>-6989.2473118279568</v>
      </c>
      <c r="G99" s="31">
        <v>334</v>
      </c>
      <c r="H99" s="32">
        <f t="shared" ref="H99:H102" si="47">IF(ISNUMBER(G99), (G99 - $B99) / $B99, "")</f>
        <v>-0.10215053763440861</v>
      </c>
      <c r="I99" s="101">
        <f>IF(ISNUMBER(G99), $B118 * H99, "")</f>
        <v>-10215.053763440861</v>
      </c>
      <c r="J99" s="15">
        <v>335</v>
      </c>
      <c r="K99" s="32">
        <f t="shared" ref="K99:K102" si="48">IF(ISNUMBER(J99), (J99 - $B99) / $B99, "")</f>
        <v>-9.9462365591397844E-2</v>
      </c>
      <c r="L99" s="18">
        <f>IF(ISNUMBER(J99), $B118 * K99, "")</f>
        <v>-9946.2365591397847</v>
      </c>
      <c r="M99" s="31">
        <v>333</v>
      </c>
      <c r="N99" s="32">
        <f t="shared" ref="N99:N102" si="49">IF(ISNUMBER(M99), (M99 - $B99) / $B99, "")</f>
        <v>-0.10483870967741936</v>
      </c>
      <c r="O99" s="18">
        <f>IF(ISNUMBER(M99), $B118 * N99, "")</f>
        <v>-10483.870967741936</v>
      </c>
      <c r="Q99" s="233"/>
      <c r="R99" s="233"/>
      <c r="S99" s="233"/>
    </row>
    <row r="100" spans="1:19" ht="17.25" thickBot="1">
      <c r="A100" s="162" t="s">
        <v>158</v>
      </c>
      <c r="B100" s="126">
        <v>5095</v>
      </c>
      <c r="C100" s="77">
        <v>0.1040086674</v>
      </c>
      <c r="D100" s="15">
        <v>4455</v>
      </c>
      <c r="E100" s="32">
        <f t="shared" si="46"/>
        <v>-0.12561334641805691</v>
      </c>
      <c r="F100" s="18">
        <f>IF(ISNUMBER(D100), $B118 * E100, "")</f>
        <v>-12561.334641805692</v>
      </c>
      <c r="G100" s="31">
        <v>4495</v>
      </c>
      <c r="H100" s="32">
        <f t="shared" si="47"/>
        <v>-0.11776251226692837</v>
      </c>
      <c r="I100" s="101">
        <f>IF(ISNUMBER(G100), $B118 * H100, "")</f>
        <v>-11776.251226692837</v>
      </c>
      <c r="J100" s="15">
        <v>4530</v>
      </c>
      <c r="K100" s="32">
        <f t="shared" si="48"/>
        <v>-0.11089303238469088</v>
      </c>
      <c r="L100" s="18">
        <f>IF(ISNUMBER(J100), $B118 * K100, "")</f>
        <v>-11089.303238469089</v>
      </c>
      <c r="M100" s="31">
        <v>4480</v>
      </c>
      <c r="N100" s="32">
        <f t="shared" si="49"/>
        <v>-0.12070657507360157</v>
      </c>
      <c r="O100" s="18">
        <f>IF(ISNUMBER(M100), $B118 * N100, "")</f>
        <v>-12070.657507360156</v>
      </c>
      <c r="Q100" s="223"/>
      <c r="R100" s="223"/>
      <c r="S100" s="223"/>
    </row>
    <row r="101" spans="1:19" ht="17.25" thickBot="1">
      <c r="A101" s="162" t="s">
        <v>160</v>
      </c>
      <c r="B101" s="126">
        <v>1640</v>
      </c>
      <c r="C101" s="77">
        <v>8.2508250800000002E-2</v>
      </c>
      <c r="D101" s="15">
        <v>1370</v>
      </c>
      <c r="E101" s="32">
        <f t="shared" si="46"/>
        <v>-0.16463414634146342</v>
      </c>
      <c r="F101" s="18">
        <f>IF(ISNUMBER(D101), $B118 * E101, "")</f>
        <v>-16463.414634146342</v>
      </c>
      <c r="G101" s="31">
        <v>1395</v>
      </c>
      <c r="H101" s="32">
        <f t="shared" si="47"/>
        <v>-0.14939024390243902</v>
      </c>
      <c r="I101" s="101">
        <f>IF(ISNUMBER(G101), $B118 * H101, "")</f>
        <v>-14939.024390243902</v>
      </c>
      <c r="J101" s="15">
        <v>1440</v>
      </c>
      <c r="K101" s="32">
        <f t="shared" si="48"/>
        <v>-0.12195121951219512</v>
      </c>
      <c r="L101" s="18">
        <f>IF(ISNUMBER(J101), $B118 * K101, "")</f>
        <v>-12195.121951219511</v>
      </c>
      <c r="M101" s="31">
        <v>1440</v>
      </c>
      <c r="N101" s="32">
        <f t="shared" si="49"/>
        <v>-0.12195121951219512</v>
      </c>
      <c r="O101" s="18">
        <f>IF(ISNUMBER(M101), $B118 * N101, "")</f>
        <v>-12195.121951219511</v>
      </c>
      <c r="Q101" s="223"/>
      <c r="R101" s="223"/>
      <c r="S101" s="223"/>
    </row>
    <row r="102" spans="1:19" ht="17.25" thickBot="1">
      <c r="A102" s="163" t="s">
        <v>206</v>
      </c>
      <c r="B102" s="128">
        <v>15770</v>
      </c>
      <c r="C102" s="78">
        <v>7.4250681200000002E-2</v>
      </c>
      <c r="D102" s="20">
        <v>13480</v>
      </c>
      <c r="E102" s="21">
        <f t="shared" si="46"/>
        <v>-0.14521242866201647</v>
      </c>
      <c r="F102" s="22">
        <f>IF(ISNUMBER(D102), $B118 * E102, "")</f>
        <v>-14521.242866201648</v>
      </c>
      <c r="G102" s="30">
        <v>13610</v>
      </c>
      <c r="H102" s="21">
        <f t="shared" si="47"/>
        <v>-0.13696892834495877</v>
      </c>
      <c r="I102" s="105">
        <f>IF(ISNUMBER(G102), $B118 * H102, "")</f>
        <v>-13696.892834495877</v>
      </c>
      <c r="J102" s="20">
        <v>13620</v>
      </c>
      <c r="K102" s="21">
        <f t="shared" si="48"/>
        <v>-0.13633481293595434</v>
      </c>
      <c r="L102" s="22">
        <f>IF(ISNUMBER(J102), $B118 * K102, "")</f>
        <v>-13633.481293595434</v>
      </c>
      <c r="M102" s="30">
        <v>13780</v>
      </c>
      <c r="N102" s="21">
        <f t="shared" si="49"/>
        <v>-0.12618896639188332</v>
      </c>
      <c r="O102" s="22">
        <f>IF(ISNUMBER(M102), $B118 * N102, "")</f>
        <v>-12618.896639188331</v>
      </c>
      <c r="Q102" s="223"/>
      <c r="R102" s="223"/>
      <c r="S102" s="223"/>
    </row>
    <row r="103" spans="1:19" ht="17.25" thickBot="1">
      <c r="A103" s="162" t="s">
        <v>116</v>
      </c>
      <c r="B103" s="129">
        <v>374</v>
      </c>
      <c r="C103" s="80">
        <v>6.25E-2</v>
      </c>
      <c r="D103" s="106">
        <v>306</v>
      </c>
      <c r="E103" s="107">
        <f>IF(ISNUMBER(D103), (D103 - $B103) / $B103, "")</f>
        <v>-0.18181818181818182</v>
      </c>
      <c r="F103" s="108">
        <f>IF(ISNUMBER(D103), $B118 * E103, "")</f>
        <v>-18181.818181818184</v>
      </c>
      <c r="G103" s="109">
        <v>308</v>
      </c>
      <c r="H103" s="107">
        <f>IF(ISNUMBER(G103), (G103 - $B103) / $B103, "")</f>
        <v>-0.17647058823529413</v>
      </c>
      <c r="I103" s="110">
        <f>IF(ISNUMBER(G103), $B118 * H103, "")</f>
        <v>-17647.058823529413</v>
      </c>
      <c r="J103" s="106">
        <v>313</v>
      </c>
      <c r="K103" s="107">
        <f>IF(ISNUMBER(J103), (J103 - $B103) / $B103, "")</f>
        <v>-0.16310160427807488</v>
      </c>
      <c r="L103" s="108">
        <f>IF(ISNUMBER(J103), $B118 * K103, "")</f>
        <v>-16310.160427807488</v>
      </c>
      <c r="M103" s="109">
        <v>313</v>
      </c>
      <c r="N103" s="107">
        <f>IF(ISNUMBER(M103), (M103 - $B103) / $B103, "")</f>
        <v>-0.16310160427807488</v>
      </c>
      <c r="O103" s="108">
        <f>IF(ISNUMBER(M103), $B118 * N103, "")</f>
        <v>-16310.160427807488</v>
      </c>
      <c r="Q103" s="223"/>
      <c r="R103" s="223"/>
      <c r="S103" s="223"/>
    </row>
    <row r="104" spans="1:19" ht="17.25" thickBot="1">
      <c r="A104" s="162" t="s">
        <v>61</v>
      </c>
      <c r="B104" s="126">
        <v>850</v>
      </c>
      <c r="C104" s="77">
        <v>4.2944785300000003E-2</v>
      </c>
      <c r="D104" s="15">
        <v>748</v>
      </c>
      <c r="E104" s="32">
        <f t="shared" ref="E104:E107" si="50">IF(ISNUMBER(D104), (D104 - $B104) / $B104, "")</f>
        <v>-0.12</v>
      </c>
      <c r="F104" s="18">
        <f>IF(ISNUMBER(D104), $B118 * E104, "")</f>
        <v>-12000</v>
      </c>
      <c r="G104" s="31">
        <v>756</v>
      </c>
      <c r="H104" s="32">
        <f t="shared" ref="H104:H107" si="51">IF(ISNUMBER(G104), (G104 - $B104) / $B104, "")</f>
        <v>-0.11058823529411765</v>
      </c>
      <c r="I104" s="101">
        <f>IF(ISNUMBER(G104), $B118 * H104, "")</f>
        <v>-11058.823529411766</v>
      </c>
      <c r="J104" s="15">
        <v>774</v>
      </c>
      <c r="K104" s="32">
        <f t="shared" ref="K104:K107" si="52">IF(ISNUMBER(J104), (J104 - $B104) / $B104, "")</f>
        <v>-8.9411764705882357E-2</v>
      </c>
      <c r="L104" s="18">
        <f>IF(ISNUMBER(J104), $B118 * K104, "")</f>
        <v>-8941.176470588236</v>
      </c>
      <c r="M104" s="31">
        <v>778</v>
      </c>
      <c r="N104" s="32">
        <f t="shared" ref="N104:N107" si="53">IF(ISNUMBER(M104), (M104 - $B104) / $B104, "")</f>
        <v>-8.4705882352941173E-2</v>
      </c>
      <c r="O104" s="18">
        <f>IF(ISNUMBER(M104), $B118 * N104, "")</f>
        <v>-8470.5882352941171</v>
      </c>
      <c r="Q104" s="223"/>
      <c r="R104" s="223"/>
      <c r="S104" s="223"/>
    </row>
    <row r="105" spans="1:19" ht="17.25" thickBot="1">
      <c r="A105" s="162" t="s">
        <v>80</v>
      </c>
      <c r="B105" s="126">
        <v>805</v>
      </c>
      <c r="C105" s="77">
        <v>3.4704370200000001E-2</v>
      </c>
      <c r="D105" s="15">
        <v>702</v>
      </c>
      <c r="E105" s="32">
        <f t="shared" si="50"/>
        <v>-0.12795031055900621</v>
      </c>
      <c r="F105" s="18">
        <f>IF(ISNUMBER(D105), $B118 * E105, "")</f>
        <v>-12795.031055900621</v>
      </c>
      <c r="G105" s="31">
        <v>704</v>
      </c>
      <c r="H105" s="32">
        <f t="shared" si="51"/>
        <v>-0.12546583850931678</v>
      </c>
      <c r="I105" s="101">
        <f>IF(ISNUMBER(G105), $B118 * H105, "")</f>
        <v>-12546.583850931678</v>
      </c>
      <c r="J105" s="15">
        <v>726</v>
      </c>
      <c r="K105" s="32">
        <f t="shared" si="52"/>
        <v>-9.8136645962732916E-2</v>
      </c>
      <c r="L105" s="18">
        <f>IF(ISNUMBER(J105), $B118 * K105, "")</f>
        <v>-9813.664596273291</v>
      </c>
      <c r="M105" s="31">
        <v>731</v>
      </c>
      <c r="N105" s="32">
        <f t="shared" si="53"/>
        <v>-9.1925465838509315E-2</v>
      </c>
      <c r="O105" s="18">
        <f>IF(ISNUMBER(M105), $B118 * N105, "")</f>
        <v>-9192.5465838509317</v>
      </c>
      <c r="Q105" s="223"/>
      <c r="R105" s="223"/>
      <c r="S105" s="223"/>
    </row>
    <row r="106" spans="1:19" ht="17.25" thickBot="1">
      <c r="A106" s="162" t="s">
        <v>136</v>
      </c>
      <c r="B106" s="126">
        <v>129</v>
      </c>
      <c r="C106" s="77">
        <v>1.5748031499999999E-2</v>
      </c>
      <c r="D106" s="15">
        <v>112</v>
      </c>
      <c r="E106" s="32">
        <f t="shared" si="50"/>
        <v>-0.13178294573643412</v>
      </c>
      <c r="F106" s="18">
        <f>IF(ISNUMBER(D106), $B118 * E106, "")</f>
        <v>-13178.294573643412</v>
      </c>
      <c r="G106" s="31">
        <v>110</v>
      </c>
      <c r="H106" s="32">
        <f t="shared" si="51"/>
        <v>-0.14728682170542637</v>
      </c>
      <c r="I106" s="101">
        <f>IF(ISNUMBER(G106), $B118 * H106, "")</f>
        <v>-14728.682170542637</v>
      </c>
      <c r="J106" s="15">
        <v>115</v>
      </c>
      <c r="K106" s="32">
        <f t="shared" si="52"/>
        <v>-0.10852713178294573</v>
      </c>
      <c r="L106" s="18">
        <f>IF(ISNUMBER(J106), $B118 * K106, "")</f>
        <v>-10852.713178294574</v>
      </c>
      <c r="M106" s="31">
        <v>115</v>
      </c>
      <c r="N106" s="32">
        <f t="shared" si="53"/>
        <v>-0.10852713178294573</v>
      </c>
      <c r="O106" s="18">
        <f>IF(ISNUMBER(M106), $B118 * N106, "")</f>
        <v>-10852.713178294574</v>
      </c>
      <c r="Q106" s="33"/>
      <c r="R106" s="33"/>
    </row>
    <row r="107" spans="1:19" ht="17.25" thickBot="1">
      <c r="A107" s="130" t="s">
        <v>90</v>
      </c>
      <c r="B107" s="131">
        <v>195600</v>
      </c>
      <c r="C107" s="79">
        <v>1.50492994E-2</v>
      </c>
      <c r="D107" s="24">
        <v>186300</v>
      </c>
      <c r="E107" s="25">
        <f t="shared" si="50"/>
        <v>-4.7546012269938653E-2</v>
      </c>
      <c r="F107" s="104">
        <f>IF(ISNUMBER(D107), $B118 * E107, "")</f>
        <v>-4754.6012269938656</v>
      </c>
      <c r="G107" s="102">
        <v>185300</v>
      </c>
      <c r="H107" s="25">
        <f t="shared" si="51"/>
        <v>-5.2658486707566461E-2</v>
      </c>
      <c r="I107" s="103">
        <f>IF(ISNUMBER(G107), $B118 * H107, "")</f>
        <v>-5265.8486707566462</v>
      </c>
      <c r="J107" s="24">
        <v>189300</v>
      </c>
      <c r="K107" s="25">
        <f t="shared" si="52"/>
        <v>-3.2208588957055216E-2</v>
      </c>
      <c r="L107" s="104">
        <f>IF(ISNUMBER(J107), $B118 * K107, "")</f>
        <v>-3220.8588957055217</v>
      </c>
      <c r="M107" s="102">
        <v>188350</v>
      </c>
      <c r="N107" s="25">
        <f t="shared" si="53"/>
        <v>-3.7065439672801639E-2</v>
      </c>
      <c r="O107" s="104">
        <f>IF(ISNUMBER(M107), $B118 * N107, "")</f>
        <v>-3706.543967280164</v>
      </c>
      <c r="Q107" s="224"/>
      <c r="R107" s="225"/>
      <c r="S107" s="226"/>
    </row>
    <row r="108" spans="1:19">
      <c r="A108" s="161" t="s">
        <v>164</v>
      </c>
      <c r="B108" s="124">
        <v>16660</v>
      </c>
      <c r="C108" s="76">
        <v>1.39987827E-2</v>
      </c>
      <c r="D108" s="13">
        <v>15710</v>
      </c>
      <c r="E108" s="14">
        <f>IF(ISNUMBER(D108), (D108 - $B108) / $B108, "")</f>
        <v>-5.7022809123649459E-2</v>
      </c>
      <c r="F108" s="16">
        <f>IF(ISNUMBER(D108), $B118 * E108, "")</f>
        <v>-5702.2809123649458</v>
      </c>
      <c r="G108" s="29">
        <v>16550</v>
      </c>
      <c r="H108" s="14">
        <f>IF(ISNUMBER(G108), (G108 - $B108) / $B108, "")</f>
        <v>-6.6026410564225691E-3</v>
      </c>
      <c r="I108" s="100">
        <f>IF(ISNUMBER(G108), $B118 * H108, "")</f>
        <v>-660.26410564225694</v>
      </c>
      <c r="J108" s="13">
        <v>16880</v>
      </c>
      <c r="K108" s="14">
        <f>IF(ISNUMBER(J108), (J108 - $B108) / $B108, "")</f>
        <v>1.3205282112845138E-2</v>
      </c>
      <c r="L108" s="16">
        <f>IF(ISNUMBER(J108), $B118 * K108, "")</f>
        <v>1320.5282112845139</v>
      </c>
      <c r="M108" s="29">
        <v>17420</v>
      </c>
      <c r="N108" s="14">
        <f>IF(ISNUMBER(M108), (M108 - $B108) / $B108, "")</f>
        <v>4.561824729891957E-2</v>
      </c>
      <c r="O108" s="16">
        <f>IF(ISNUMBER(M108), $B118 * N108, "")</f>
        <v>4561.8247298919568</v>
      </c>
      <c r="Q108" s="227"/>
      <c r="R108" s="228"/>
      <c r="S108" s="229"/>
    </row>
    <row r="109" spans="1:19" ht="17.25" thickBot="1">
      <c r="A109" s="162" t="s">
        <v>166</v>
      </c>
      <c r="B109" s="126">
        <v>1170</v>
      </c>
      <c r="C109" s="77">
        <v>1.2987013E-2</v>
      </c>
      <c r="D109" s="15">
        <v>1015</v>
      </c>
      <c r="E109" s="32">
        <f t="shared" ref="E109:E112" si="54">IF(ISNUMBER(D109), (D109 - $B109) / $B109, "")</f>
        <v>-0.13247863247863248</v>
      </c>
      <c r="F109" s="18">
        <f>IF(ISNUMBER(D109), $B118 * E109, "")</f>
        <v>-13247.863247863248</v>
      </c>
      <c r="G109" s="31">
        <v>1035</v>
      </c>
      <c r="H109" s="32">
        <f t="shared" ref="H109:H112" si="55">IF(ISNUMBER(G109), (G109 - $B109) / $B109, "")</f>
        <v>-0.11538461538461539</v>
      </c>
      <c r="I109" s="101">
        <f>IF(ISNUMBER(G109), $B118 * H109, "")</f>
        <v>-11538.461538461539</v>
      </c>
      <c r="J109" s="15">
        <v>1050</v>
      </c>
      <c r="K109" s="32">
        <f t="shared" ref="K109:K112" si="56">IF(ISNUMBER(J109), (J109 - $B109) / $B109, "")</f>
        <v>-0.10256410256410256</v>
      </c>
      <c r="L109" s="18">
        <f>IF(ISNUMBER(J109), $B118 * K109, "")</f>
        <v>-10256.410256410256</v>
      </c>
      <c r="M109" s="31">
        <v>1060</v>
      </c>
      <c r="N109" s="32">
        <f t="shared" ref="N109:N112" si="57">IF(ISNUMBER(M109), (M109 - $B109) / $B109, "")</f>
        <v>-9.4017094017094016E-2</v>
      </c>
      <c r="O109" s="18">
        <f>IF(ISNUMBER(M109), $B118 * N109, "")</f>
        <v>-9401.7094017094023</v>
      </c>
      <c r="Q109" s="230"/>
      <c r="R109" s="231"/>
      <c r="S109" s="232"/>
    </row>
    <row r="110" spans="1:19" ht="17.25" thickBot="1">
      <c r="A110" s="162" t="s">
        <v>49</v>
      </c>
      <c r="B110" s="126">
        <v>43170000</v>
      </c>
      <c r="C110" s="77">
        <v>7.7971799000000003E-3</v>
      </c>
      <c r="D110" s="15">
        <v>41164000</v>
      </c>
      <c r="E110" s="32">
        <f t="shared" si="54"/>
        <v>-4.6467454250637016E-2</v>
      </c>
      <c r="F110" s="18">
        <f>IF(ISNUMBER(D110), $B118 * E110, "")</f>
        <v>-4646.745425063702</v>
      </c>
      <c r="G110" s="31">
        <v>41199000</v>
      </c>
      <c r="H110" s="32">
        <f t="shared" si="55"/>
        <v>-4.5656706045865185E-2</v>
      </c>
      <c r="I110" s="101">
        <f>IF(ISNUMBER(G110), $B118 * H110, "")</f>
        <v>-4565.6706045865185</v>
      </c>
      <c r="J110" s="15">
        <v>41639000</v>
      </c>
      <c r="K110" s="32">
        <f t="shared" si="56"/>
        <v>-3.5464442900162152E-2</v>
      </c>
      <c r="L110" s="18">
        <f>IF(ISNUMBER(J110), $B118 * K110, "")</f>
        <v>-3546.4442900162153</v>
      </c>
      <c r="M110" s="31">
        <v>41418000</v>
      </c>
      <c r="N110" s="32">
        <f t="shared" si="57"/>
        <v>-4.0583738707435722E-2</v>
      </c>
      <c r="O110" s="18">
        <f>IF(ISNUMBER(M110), $B118 * N110, "")</f>
        <v>-4058.3738707435723</v>
      </c>
      <c r="Q110" s="223"/>
      <c r="R110" s="223"/>
      <c r="S110" s="223"/>
    </row>
    <row r="111" spans="1:19" ht="17.25" thickBot="1">
      <c r="A111" s="162" t="s">
        <v>120</v>
      </c>
      <c r="B111" s="126">
        <v>139</v>
      </c>
      <c r="C111" s="77">
        <v>7.2463768E-3</v>
      </c>
      <c r="D111" s="15">
        <v>131</v>
      </c>
      <c r="E111" s="32">
        <f t="shared" si="54"/>
        <v>-5.7553956834532377E-2</v>
      </c>
      <c r="F111" s="18">
        <f>IF(ISNUMBER(D111), $B118 * E111, "")</f>
        <v>-5755.3956834532373</v>
      </c>
      <c r="G111" s="31">
        <v>130</v>
      </c>
      <c r="H111" s="32">
        <f t="shared" si="55"/>
        <v>-6.4748201438848921E-2</v>
      </c>
      <c r="I111" s="101">
        <f>IF(ISNUMBER(G111), $B118 * H111, "")</f>
        <v>-6474.8201438848919</v>
      </c>
      <c r="J111" s="15">
        <v>131</v>
      </c>
      <c r="K111" s="32">
        <f t="shared" si="56"/>
        <v>-5.7553956834532377E-2</v>
      </c>
      <c r="L111" s="18">
        <f>IF(ISNUMBER(J111), $B118 * K111, "")</f>
        <v>-5755.3956834532373</v>
      </c>
      <c r="M111" s="31">
        <v>131</v>
      </c>
      <c r="N111" s="32">
        <f t="shared" si="57"/>
        <v>-5.7553956834532377E-2</v>
      </c>
      <c r="O111" s="18">
        <f>IF(ISNUMBER(M111), $B118 * N111, "")</f>
        <v>-5755.3956834532373</v>
      </c>
      <c r="Q111" s="233"/>
      <c r="R111" s="233"/>
      <c r="S111" s="233"/>
    </row>
    <row r="112" spans="1:19" ht="17.25" thickBot="1">
      <c r="A112" s="163" t="s">
        <v>86</v>
      </c>
      <c r="B112" s="128">
        <v>5950</v>
      </c>
      <c r="C112" s="78">
        <v>8.4104290000000005E-4</v>
      </c>
      <c r="D112" s="20">
        <v>5460</v>
      </c>
      <c r="E112" s="21">
        <f t="shared" si="54"/>
        <v>-8.2352941176470587E-2</v>
      </c>
      <c r="F112" s="22">
        <f>IF(ISNUMBER(D112), $B118 * E112, "")</f>
        <v>-8235.2941176470595</v>
      </c>
      <c r="G112" s="30">
        <v>5500</v>
      </c>
      <c r="H112" s="21">
        <f t="shared" si="55"/>
        <v>-7.5630252100840331E-2</v>
      </c>
      <c r="I112" s="105">
        <f>IF(ISNUMBER(G112), $B118 * H112, "")</f>
        <v>-7563.0252100840335</v>
      </c>
      <c r="J112" s="20">
        <v>5625</v>
      </c>
      <c r="K112" s="21">
        <f t="shared" si="56"/>
        <v>-5.4621848739495799E-2</v>
      </c>
      <c r="L112" s="22">
        <f>IF(ISNUMBER(J112), $B118 * K112, "")</f>
        <v>-5462.1848739495799</v>
      </c>
      <c r="M112" s="30">
        <v>5620</v>
      </c>
      <c r="N112" s="21">
        <f t="shared" si="57"/>
        <v>-5.5462184873949577E-2</v>
      </c>
      <c r="O112" s="22">
        <f>IF(ISNUMBER(M112), $B118 * N112, "")</f>
        <v>-5546.2184873949573</v>
      </c>
      <c r="Q112" s="233"/>
      <c r="R112" s="233"/>
      <c r="S112" s="233"/>
    </row>
    <row r="113" spans="1:19" ht="17.25" thickBot="1">
      <c r="A113" s="162" t="s">
        <v>54</v>
      </c>
      <c r="B113" s="129">
        <v>240</v>
      </c>
      <c r="C113" s="80">
        <v>0</v>
      </c>
      <c r="D113" s="106">
        <v>210</v>
      </c>
      <c r="E113" s="107">
        <f>IF(ISNUMBER(D113), (D113 - $B113) / $B113, "")</f>
        <v>-0.125</v>
      </c>
      <c r="F113" s="108">
        <f>IF(ISNUMBER(D113), $B118 * E113, "")</f>
        <v>-12500</v>
      </c>
      <c r="G113" s="109">
        <v>213</v>
      </c>
      <c r="H113" s="107">
        <f>IF(ISNUMBER(G113), (G113 - $B113) / $B113, "")</f>
        <v>-0.1125</v>
      </c>
      <c r="I113" s="110">
        <f>IF(ISNUMBER(G113), $B118 * H113, "")</f>
        <v>-11250</v>
      </c>
      <c r="J113" s="106">
        <v>219</v>
      </c>
      <c r="K113" s="107">
        <f>IF(ISNUMBER(J113), (J113 - $B113) / $B113, "")</f>
        <v>-8.7499999999999994E-2</v>
      </c>
      <c r="L113" s="108">
        <f>IF(ISNUMBER(J113), $B118 * K113, "")</f>
        <v>-8750</v>
      </c>
      <c r="M113" s="109">
        <v>216</v>
      </c>
      <c r="N113" s="107">
        <f>IF(ISNUMBER(M113), (M113 - $B113) / $B113, "")</f>
        <v>-0.1</v>
      </c>
      <c r="O113" s="108">
        <f>IF(ISNUMBER(M113), $B118 * N113, "")</f>
        <v>-10000</v>
      </c>
      <c r="Q113" s="223"/>
      <c r="R113" s="223"/>
      <c r="S113" s="223"/>
    </row>
    <row r="114" spans="1:19" ht="17.25" thickBot="1">
      <c r="A114" s="162" t="s">
        <v>126</v>
      </c>
      <c r="B114" s="126">
        <v>27.2</v>
      </c>
      <c r="C114" s="77">
        <v>0</v>
      </c>
      <c r="D114" s="15">
        <v>23.5</v>
      </c>
      <c r="E114" s="32">
        <f t="shared" ref="E114:E117" si="58">IF(ISNUMBER(D114), (D114 - $B114) / $B114, "")</f>
        <v>-0.13602941176470587</v>
      </c>
      <c r="F114" s="18">
        <f>IF(ISNUMBER(D114), $B118 * E114, "")</f>
        <v>-13602.941176470587</v>
      </c>
      <c r="G114" s="31">
        <v>23.9</v>
      </c>
      <c r="H114" s="32">
        <f t="shared" ref="H114:H117" si="59">IF(ISNUMBER(G114), (G114 - $B114) / $B114, "")</f>
        <v>-0.12132352941176473</v>
      </c>
      <c r="I114" s="101">
        <f>IF(ISNUMBER(G114), $B118 * H114, "")</f>
        <v>-12132.352941176474</v>
      </c>
      <c r="J114" s="15">
        <v>24.3</v>
      </c>
      <c r="K114" s="32">
        <f t="shared" ref="K114:K117" si="60">IF(ISNUMBER(J114), (J114 - $B114) / $B114, "")</f>
        <v>-0.10661764705882348</v>
      </c>
      <c r="L114" s="18">
        <f>IF(ISNUMBER(J114), $B118 * K114, "")</f>
        <v>-10661.764705882348</v>
      </c>
      <c r="M114" s="31">
        <v>24.2</v>
      </c>
      <c r="N114" s="32">
        <f t="shared" ref="N114:N117" si="61">IF(ISNUMBER(M114), (M114 - $B114) / $B114, "")</f>
        <v>-0.11029411764705882</v>
      </c>
      <c r="O114" s="18">
        <f>IF(ISNUMBER(M114), $B118 * N114, "")</f>
        <v>-11029.411764705883</v>
      </c>
      <c r="Q114" s="223"/>
      <c r="R114" s="223"/>
      <c r="S114" s="223"/>
    </row>
    <row r="115" spans="1:19" ht="17.25" thickBot="1">
      <c r="A115" s="162" t="s">
        <v>102</v>
      </c>
      <c r="B115" s="126">
        <v>67810</v>
      </c>
      <c r="C115" s="77">
        <v>-3.6732294999999998E-3</v>
      </c>
      <c r="D115" s="15">
        <v>62770</v>
      </c>
      <c r="E115" s="32">
        <f t="shared" si="58"/>
        <v>-7.4325320749152046E-2</v>
      </c>
      <c r="F115" s="18">
        <f>IF(ISNUMBER(D115), $B118 * E115, "")</f>
        <v>-7432.5320749152042</v>
      </c>
      <c r="G115" s="31">
        <v>62970</v>
      </c>
      <c r="H115" s="32">
        <f t="shared" si="59"/>
        <v>-7.1375903259106324E-2</v>
      </c>
      <c r="I115" s="101">
        <f>IF(ISNUMBER(G115), $B118 * H115, "")</f>
        <v>-7137.5903259106326</v>
      </c>
      <c r="J115" s="15">
        <v>64660</v>
      </c>
      <c r="K115" s="32">
        <f t="shared" si="60"/>
        <v>-4.6453325468220029E-2</v>
      </c>
      <c r="L115" s="18">
        <f>IF(ISNUMBER(J115), $B118 * K115, "")</f>
        <v>-4645.3325468220028</v>
      </c>
      <c r="M115" s="31">
        <v>64440</v>
      </c>
      <c r="N115" s="32">
        <f t="shared" si="61"/>
        <v>-4.9697684707270311E-2</v>
      </c>
      <c r="O115" s="18">
        <f>IF(ISNUMBER(M115), $B118 * N115, "")</f>
        <v>-4969.7684707270309</v>
      </c>
      <c r="Q115" s="223"/>
      <c r="R115" s="223"/>
      <c r="S115" s="223"/>
    </row>
    <row r="116" spans="1:19">
      <c r="A116" s="162" t="s">
        <v>104</v>
      </c>
      <c r="B116" s="126">
        <v>1130</v>
      </c>
      <c r="C116" s="77">
        <v>-4.4052863000000001E-3</v>
      </c>
      <c r="D116" s="15">
        <v>1010</v>
      </c>
      <c r="E116" s="32">
        <f t="shared" si="58"/>
        <v>-0.10619469026548672</v>
      </c>
      <c r="F116" s="18">
        <f>IF(ISNUMBER(D116), $B118 * E116, "")</f>
        <v>-10619.469026548672</v>
      </c>
      <c r="G116" s="31">
        <v>1025</v>
      </c>
      <c r="H116" s="32">
        <f t="shared" si="59"/>
        <v>-9.2920353982300891E-2</v>
      </c>
      <c r="I116" s="101">
        <f>IF(ISNUMBER(G116), $B118 * H116, "")</f>
        <v>-9292.0353982300894</v>
      </c>
      <c r="J116" s="15">
        <v>1040</v>
      </c>
      <c r="K116" s="32">
        <f t="shared" si="60"/>
        <v>-7.9646017699115043E-2</v>
      </c>
      <c r="L116" s="18">
        <f>IF(ISNUMBER(J116), $B118 * K116, "")</f>
        <v>-7964.6017699115046</v>
      </c>
      <c r="M116" s="31">
        <v>1040</v>
      </c>
      <c r="N116" s="32">
        <f t="shared" si="61"/>
        <v>-7.9646017699115043E-2</v>
      </c>
      <c r="O116" s="18">
        <f>IF(ISNUMBER(M116), $B118 * N116, "")</f>
        <v>-7964.6017699115046</v>
      </c>
      <c r="Q116" s="212"/>
      <c r="R116" s="213"/>
      <c r="S116" s="214"/>
    </row>
    <row r="117" spans="1:19" ht="17.25" thickBot="1">
      <c r="A117" s="130" t="s">
        <v>130</v>
      </c>
      <c r="B117" s="131">
        <v>195500</v>
      </c>
      <c r="C117" s="79">
        <v>-4.5824847000000002E-3</v>
      </c>
      <c r="D117" s="24">
        <v>182000</v>
      </c>
      <c r="E117" s="25">
        <f t="shared" si="58"/>
        <v>-6.9053708439897693E-2</v>
      </c>
      <c r="F117" s="104">
        <f>IF(ISNUMBER(D117), $B118 * E117, "")</f>
        <v>-6905.3708439897691</v>
      </c>
      <c r="G117" s="102">
        <v>183550</v>
      </c>
      <c r="H117" s="25">
        <f t="shared" si="59"/>
        <v>-6.1125319693094628E-2</v>
      </c>
      <c r="I117" s="103">
        <f>IF(ISNUMBER(G117), $B118 * H117, "")</f>
        <v>-6112.5319693094625</v>
      </c>
      <c r="J117" s="24">
        <v>187000</v>
      </c>
      <c r="K117" s="25">
        <f t="shared" si="60"/>
        <v>-4.3478260869565216E-2</v>
      </c>
      <c r="L117" s="104">
        <f>IF(ISNUMBER(J117), $B118 * K117, "")</f>
        <v>-4347.826086956522</v>
      </c>
      <c r="M117" s="102">
        <v>188500</v>
      </c>
      <c r="N117" s="25">
        <f t="shared" si="61"/>
        <v>-3.5805626598465472E-2</v>
      </c>
      <c r="O117" s="104">
        <f>IF(ISNUMBER(M117), $B118 * N117, "")</f>
        <v>-3580.5626598465474</v>
      </c>
      <c r="Q117" s="215"/>
      <c r="R117" s="216"/>
      <c r="S117" s="217"/>
    </row>
    <row r="118" spans="1:19" ht="17.25" thickBot="1">
      <c r="A118" s="132" t="s">
        <v>300</v>
      </c>
      <c r="B118" s="276">
        <f>$B$37</f>
        <v>100000</v>
      </c>
      <c r="C118" s="277"/>
      <c r="D118" s="26" t="s">
        <v>301</v>
      </c>
      <c r="E118" s="27">
        <f>IF(COUNT(E98:E117), SUM(E98:E117) / COUNT(E98:E117), 0)</f>
        <v>-0.11063965883931012</v>
      </c>
      <c r="F118" s="28">
        <f>SUM(F98:F117)</f>
        <v>-221279.31767862025</v>
      </c>
      <c r="G118" s="26" t="s">
        <v>301</v>
      </c>
      <c r="H118" s="27">
        <f>IF(COUNT(H98:H117), SUM(H98:H117) / COUNT(H98:H117), 0)</f>
        <v>-0.10510557049442848</v>
      </c>
      <c r="I118" s="28">
        <f>SUM(I98:I117)</f>
        <v>-210211.14098885693</v>
      </c>
      <c r="J118" s="26" t="s">
        <v>301</v>
      </c>
      <c r="K118" s="27">
        <f>IF(COUNT(K98:K117), SUM(K98:K117) / COUNT(K98:K117), 0)</f>
        <v>-8.8276187300955308E-2</v>
      </c>
      <c r="L118" s="28">
        <f>SUM(L98:L117)</f>
        <v>-176552.37460191065</v>
      </c>
      <c r="M118" s="26" t="s">
        <v>301</v>
      </c>
      <c r="N118" s="27">
        <f>IF(COUNT(N98:N117), SUM(N98:N117) / COUNT(N98:N117), 0)</f>
        <v>-8.6850907005889322E-2</v>
      </c>
      <c r="O118" s="28">
        <f>SUM(O98:O117)</f>
        <v>-173701.81401177862</v>
      </c>
      <c r="Q118" s="218"/>
      <c r="R118" s="219"/>
      <c r="S118" s="220"/>
    </row>
    <row r="120" spans="1:19" ht="17.25" thickBot="1"/>
    <row r="121" spans="1:19" ht="17.25" thickBot="1">
      <c r="A121" s="234" t="s">
        <v>288</v>
      </c>
      <c r="B121" s="235"/>
      <c r="C121" s="235"/>
      <c r="D121" s="235"/>
      <c r="E121" s="235"/>
      <c r="F121" s="235"/>
      <c r="G121" s="235"/>
      <c r="H121" s="235"/>
      <c r="I121" s="235"/>
      <c r="J121" s="235"/>
      <c r="K121" s="235"/>
      <c r="L121" s="235"/>
      <c r="M121" s="235"/>
      <c r="N121" s="235"/>
      <c r="O121" s="236"/>
      <c r="Q121" s="233"/>
      <c r="R121" s="233"/>
      <c r="S121" s="233"/>
    </row>
    <row r="122" spans="1:19" ht="17.25" thickBot="1">
      <c r="A122" s="204" t="s">
        <v>297</v>
      </c>
      <c r="B122" s="234" t="s">
        <v>49</v>
      </c>
      <c r="C122" s="236"/>
      <c r="D122" s="234" t="s">
        <v>58</v>
      </c>
      <c r="E122" s="235"/>
      <c r="F122" s="236"/>
      <c r="G122" s="237">
        <f>_xlfn.IFNA(VLOOKUP(B122, 현재가테이블!$B$2:$D$200, 2, FALSE), "-")</f>
        <v>41418000</v>
      </c>
      <c r="H122" s="238"/>
      <c r="I122" s="239"/>
      <c r="J122" s="234" t="s">
        <v>59</v>
      </c>
      <c r="K122" s="235"/>
      <c r="L122" s="236"/>
      <c r="M122" s="240">
        <f>_xlfn.IFNA(VLOOKUP(B122, 현재가테이블!$B$2:$D$200, 3, FALSE), "-")</f>
        <v>-5.2176301000000001E-2</v>
      </c>
      <c r="N122" s="241"/>
      <c r="O122" s="242"/>
      <c r="Q122" s="233"/>
      <c r="R122" s="233"/>
      <c r="S122" s="233"/>
    </row>
    <row r="123" spans="1:19" ht="17.25" thickBot="1">
      <c r="A123" s="278" t="s">
        <v>55</v>
      </c>
      <c r="B123" s="274" t="str">
        <f>TEXT($G$1, "[$-ko-KR]yyyy-mm-dd(ddd) ") &amp; "오전 00:00"</f>
        <v>2021-06-12(토) 오전 00:00</v>
      </c>
      <c r="C123" s="275"/>
      <c r="D123" s="247" t="str">
        <f>TEXT($G$1, "[$-ko-KR]yyyy-mm-dd(ddd) ") &amp; "오후 14:00"</f>
        <v>2021-06-12(토) 오후 14:00</v>
      </c>
      <c r="E123" s="248"/>
      <c r="F123" s="249"/>
      <c r="G123" s="247" t="str">
        <f>TEXT($G$1, "[$-ko-KR]yyyy-mm-dd(ddd) ") &amp; "오후 19:00"</f>
        <v>2021-06-12(토) 오후 19:00</v>
      </c>
      <c r="H123" s="248"/>
      <c r="I123" s="249"/>
      <c r="J123" s="247" t="str">
        <f>TEXT($G$1, "[$-ko-KR]yyyy-mm-dd(ddd) ") &amp; "오후 21:00"</f>
        <v>2021-06-12(토) 오후 21:00</v>
      </c>
      <c r="K123" s="248"/>
      <c r="L123" s="249"/>
      <c r="M123" s="247" t="str">
        <f>TEXT($G$1+1, "[$-ko-KR]yyyy-mm-dd(ddd) ") &amp; "오전 00:00"</f>
        <v>2021-06-13(일) 오전 00:00</v>
      </c>
      <c r="N123" s="248"/>
      <c r="O123" s="249"/>
      <c r="Q123" s="233"/>
      <c r="R123" s="233"/>
      <c r="S123" s="233"/>
    </row>
    <row r="124" spans="1:19" ht="17.25" thickBot="1">
      <c r="A124" s="279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5" t="s">
        <v>58</v>
      </c>
      <c r="H124" s="206" t="s">
        <v>298</v>
      </c>
      <c r="I124" s="20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3"/>
      <c r="R124" s="223"/>
      <c r="S124" s="223"/>
    </row>
    <row r="125" spans="1:19" ht="17.25" thickBot="1">
      <c r="A125" s="161" t="s">
        <v>168</v>
      </c>
      <c r="B125" s="124">
        <v>90.5</v>
      </c>
      <c r="C125" s="76">
        <v>-5.0367261300000001E-2</v>
      </c>
      <c r="D125" s="13">
        <v>78.8</v>
      </c>
      <c r="E125" s="14">
        <f>IF(ISNUMBER(D125), (D125 - $B125) / $B125, "")</f>
        <v>-0.12928176795580112</v>
      </c>
      <c r="F125" s="16">
        <f>IF(ISNUMBER(D125), $B145 * E125, "")</f>
        <v>-12928.176795580113</v>
      </c>
      <c r="G125" s="29">
        <v>80</v>
      </c>
      <c r="H125" s="14">
        <f>IF(ISNUMBER(G125), (G125 - $B125) / $B125, "")</f>
        <v>-0.11602209944751381</v>
      </c>
      <c r="I125" s="100">
        <f>IF(ISNUMBER(G125), $B145 * H125, "")</f>
        <v>-11602.209944751381</v>
      </c>
      <c r="J125" s="13">
        <v>80.900000000000006</v>
      </c>
      <c r="K125" s="14">
        <f>IF(ISNUMBER(J125), (J125 - $B125) / $B125, "")</f>
        <v>-0.10607734806629827</v>
      </c>
      <c r="L125" s="16">
        <f>IF(ISNUMBER(J125), $B145 * K125, "")</f>
        <v>-10607.734806629827</v>
      </c>
      <c r="M125" s="29">
        <v>80.8</v>
      </c>
      <c r="N125" s="14">
        <f>IF(ISNUMBER(M125), (M125 - $B125) / $B125, "")</f>
        <v>-0.10718232044198898</v>
      </c>
      <c r="O125" s="16">
        <f>IF(ISNUMBER(M125), $B145 * N125, "")</f>
        <v>-10718.232044198898</v>
      </c>
      <c r="Q125" s="233"/>
      <c r="R125" s="233"/>
      <c r="S125" s="233"/>
    </row>
    <row r="126" spans="1:19" ht="17.25" thickBot="1">
      <c r="A126" s="162" t="s">
        <v>152</v>
      </c>
      <c r="B126" s="126">
        <v>18.3</v>
      </c>
      <c r="C126" s="77">
        <v>-5.18134715E-2</v>
      </c>
      <c r="D126" s="15">
        <v>16.5</v>
      </c>
      <c r="E126" s="32">
        <f t="shared" ref="E126:E129" si="62">IF(ISNUMBER(D126), (D126 - $B126) / $B126, "")</f>
        <v>-9.8360655737704958E-2</v>
      </c>
      <c r="F126" s="18">
        <f>IF(ISNUMBER(D126), $B145 * E126, "")</f>
        <v>-9836.0655737704965</v>
      </c>
      <c r="G126" s="31">
        <v>16.5</v>
      </c>
      <c r="H126" s="32">
        <f t="shared" ref="H126:H129" si="63">IF(ISNUMBER(G126), (G126 - $B126) / $B126, "")</f>
        <v>-9.8360655737704958E-2</v>
      </c>
      <c r="I126" s="101">
        <f>IF(ISNUMBER(G126), $B145 * H126, "")</f>
        <v>-9836.0655737704965</v>
      </c>
      <c r="J126" s="15">
        <v>17.399999999999999</v>
      </c>
      <c r="K126" s="32">
        <f t="shared" ref="K126:K129" si="64">IF(ISNUMBER(J126), (J126 - $B126) / $B126, "")</f>
        <v>-4.9180327868852576E-2</v>
      </c>
      <c r="L126" s="18">
        <f>IF(ISNUMBER(J126), $B145 * K126, "")</f>
        <v>-4918.0327868852573</v>
      </c>
      <c r="M126" s="31">
        <v>17.2</v>
      </c>
      <c r="N126" s="32">
        <f t="shared" ref="N126:N129" si="65">IF(ISNUMBER(M126), (M126 - $B126) / $B126, "")</f>
        <v>-6.0109289617486412E-2</v>
      </c>
      <c r="O126" s="18">
        <f>IF(ISNUMBER(M126), $B145 * N126, "")</f>
        <v>-6010.9289617486411</v>
      </c>
      <c r="Q126" s="233"/>
      <c r="R126" s="233"/>
      <c r="S126" s="233"/>
    </row>
    <row r="127" spans="1:19" ht="17.25" thickBot="1">
      <c r="A127" s="162" t="s">
        <v>220</v>
      </c>
      <c r="B127" s="126">
        <v>10.9</v>
      </c>
      <c r="C127" s="77">
        <v>-9.1666666699999996E-2</v>
      </c>
      <c r="D127" s="15">
        <v>9.75</v>
      </c>
      <c r="E127" s="32">
        <f t="shared" si="62"/>
        <v>-0.10550458715596334</v>
      </c>
      <c r="F127" s="18">
        <f>IF(ISNUMBER(D127), $B145 * E127, "")</f>
        <v>-10550.458715596335</v>
      </c>
      <c r="G127" s="31">
        <v>9.89</v>
      </c>
      <c r="H127" s="32">
        <f t="shared" si="63"/>
        <v>-9.2660550458715574E-2</v>
      </c>
      <c r="I127" s="101">
        <f>IF(ISNUMBER(G127), $B145 * H127, "")</f>
        <v>-9266.055045871557</v>
      </c>
      <c r="J127" s="15">
        <v>9.94</v>
      </c>
      <c r="K127" s="32">
        <f t="shared" si="64"/>
        <v>-8.8073394495412918E-2</v>
      </c>
      <c r="L127" s="18">
        <f>IF(ISNUMBER(J127), $B145 * K127, "")</f>
        <v>-8807.3394495412922</v>
      </c>
      <c r="M127" s="31">
        <v>10</v>
      </c>
      <c r="N127" s="32">
        <f t="shared" si="65"/>
        <v>-8.2568807339449574E-2</v>
      </c>
      <c r="O127" s="18">
        <f>IF(ISNUMBER(M127), $B145 * N127, "")</f>
        <v>-8256.8807339449577</v>
      </c>
      <c r="Q127" s="223"/>
      <c r="R127" s="223"/>
      <c r="S127" s="223"/>
    </row>
    <row r="128" spans="1:19" ht="17.25" thickBot="1">
      <c r="A128" s="162" t="s">
        <v>260</v>
      </c>
      <c r="B128" s="126">
        <v>60.9</v>
      </c>
      <c r="C128" s="77">
        <v>-9.7777777799999993E-2</v>
      </c>
      <c r="D128" s="15">
        <v>65.7</v>
      </c>
      <c r="E128" s="32">
        <f t="shared" si="62"/>
        <v>7.8817733990147854E-2</v>
      </c>
      <c r="F128" s="18">
        <f>IF(ISNUMBER(D128), $B145 * E128, "")</f>
        <v>7881.7733990147854</v>
      </c>
      <c r="G128" s="31">
        <v>57.5</v>
      </c>
      <c r="H128" s="32">
        <f t="shared" si="63"/>
        <v>-5.5829228243021327E-2</v>
      </c>
      <c r="I128" s="101">
        <f>IF(ISNUMBER(G128), $B145 * H128, "")</f>
        <v>-5582.9228243021325</v>
      </c>
      <c r="J128" s="15">
        <v>57.1</v>
      </c>
      <c r="K128" s="32">
        <f t="shared" si="64"/>
        <v>-6.239737274220028E-2</v>
      </c>
      <c r="L128" s="18">
        <f>IF(ISNUMBER(J128), $B145 * K128, "")</f>
        <v>-6239.7372742200278</v>
      </c>
      <c r="M128" s="31">
        <v>56.4</v>
      </c>
      <c r="N128" s="32">
        <f t="shared" si="65"/>
        <v>-7.3891625615763554E-2</v>
      </c>
      <c r="O128" s="18">
        <f>IF(ISNUMBER(M128), $B145 * N128, "")</f>
        <v>-7389.1625615763551</v>
      </c>
      <c r="Q128" s="223"/>
      <c r="R128" s="223"/>
      <c r="S128" s="223"/>
    </row>
    <row r="129" spans="1:19" ht="17.25" thickBot="1">
      <c r="A129" s="163" t="s">
        <v>154</v>
      </c>
      <c r="B129" s="128">
        <v>10.1</v>
      </c>
      <c r="C129" s="78">
        <v>-9.8214285700000001E-2</v>
      </c>
      <c r="D129" s="20">
        <v>8.5500000000000007</v>
      </c>
      <c r="E129" s="21">
        <f t="shared" si="62"/>
        <v>-0.15346534653465335</v>
      </c>
      <c r="F129" s="22">
        <f>IF(ISNUMBER(D129), $B145 * E129, "")</f>
        <v>-15346.534653465334</v>
      </c>
      <c r="G129" s="30">
        <v>8.49</v>
      </c>
      <c r="H129" s="21">
        <f t="shared" si="63"/>
        <v>-0.15940594059405935</v>
      </c>
      <c r="I129" s="105">
        <f>IF(ISNUMBER(G129), $B145 * H129, "")</f>
        <v>-15940.594059405936</v>
      </c>
      <c r="J129" s="20">
        <v>8.5</v>
      </c>
      <c r="K129" s="21">
        <f t="shared" si="64"/>
        <v>-0.15841584158415839</v>
      </c>
      <c r="L129" s="22">
        <f>IF(ISNUMBER(J129), $B145 * K129, "")</f>
        <v>-15841.584158415839</v>
      </c>
      <c r="M129" s="30">
        <v>8.5</v>
      </c>
      <c r="N129" s="21">
        <f t="shared" si="65"/>
        <v>-0.15841584158415839</v>
      </c>
      <c r="O129" s="22">
        <f>IF(ISNUMBER(M129), $B145 * N129, "")</f>
        <v>-15841.584158415839</v>
      </c>
      <c r="Q129" s="223"/>
      <c r="R129" s="223"/>
      <c r="S129" s="223"/>
    </row>
    <row r="130" spans="1:19" ht="17.25" thickBot="1">
      <c r="A130" s="162" t="s">
        <v>196</v>
      </c>
      <c r="B130" s="129">
        <v>10.3</v>
      </c>
      <c r="C130" s="80">
        <v>-0.1043478261</v>
      </c>
      <c r="D130" s="106">
        <v>8.18</v>
      </c>
      <c r="E130" s="107">
        <f>IF(ISNUMBER(D130), (D130 - $B130) / $B130, "")</f>
        <v>-0.20582524271844668</v>
      </c>
      <c r="F130" s="108">
        <f>IF(ISNUMBER(D130), $B145 * E130, "")</f>
        <v>-20582.524271844668</v>
      </c>
      <c r="G130" s="109">
        <v>8.24</v>
      </c>
      <c r="H130" s="107">
        <f>IF(ISNUMBER(G130), (G130 - $B130) / $B130, "")</f>
        <v>-0.20000000000000004</v>
      </c>
      <c r="I130" s="110">
        <f>IF(ISNUMBER(G130), $B145 * H130, "")</f>
        <v>-20000.000000000004</v>
      </c>
      <c r="J130" s="106">
        <v>8.3000000000000007</v>
      </c>
      <c r="K130" s="107">
        <f>IF(ISNUMBER(J130), (J130 - $B130) / $B130, "")</f>
        <v>-0.1941747572815534</v>
      </c>
      <c r="L130" s="108">
        <f>IF(ISNUMBER(J130), $B145 * K130, "")</f>
        <v>-19417.475728155339</v>
      </c>
      <c r="M130" s="109">
        <v>8.3699999999999992</v>
      </c>
      <c r="N130" s="107">
        <f>IF(ISNUMBER(M130), (M130 - $B130) / $B130, "")</f>
        <v>-0.18737864077669916</v>
      </c>
      <c r="O130" s="108">
        <f>IF(ISNUMBER(M130), $B145 * N130, "")</f>
        <v>-18737.864077669918</v>
      </c>
      <c r="Q130" s="223"/>
      <c r="R130" s="223"/>
      <c r="S130" s="223"/>
    </row>
    <row r="131" spans="1:19" ht="17.25" thickBot="1">
      <c r="A131" s="162" t="s">
        <v>212</v>
      </c>
      <c r="B131" s="126">
        <v>62.8</v>
      </c>
      <c r="C131" s="77">
        <v>-0.1104815864</v>
      </c>
      <c r="D131" s="15">
        <v>55.2</v>
      </c>
      <c r="E131" s="32">
        <f t="shared" ref="E131:E134" si="66">IF(ISNUMBER(D131), (D131 - $B131) / $B131, "")</f>
        <v>-0.12101910828025469</v>
      </c>
      <c r="F131" s="18">
        <f>IF(ISNUMBER(D131), $B145 * E131, "")</f>
        <v>-12101.91082802547</v>
      </c>
      <c r="G131" s="31">
        <v>51.4</v>
      </c>
      <c r="H131" s="32">
        <f t="shared" ref="H131:H134" si="67">IF(ISNUMBER(G131), (G131 - $B131) / $B131, "")</f>
        <v>-0.18152866242038215</v>
      </c>
      <c r="I131" s="101">
        <f>IF(ISNUMBER(G131), $B145 * H131, "")</f>
        <v>-18152.866242038217</v>
      </c>
      <c r="J131" s="15">
        <v>52.7</v>
      </c>
      <c r="K131" s="32">
        <f t="shared" ref="K131:K134" si="68">IF(ISNUMBER(J131), (J131 - $B131) / $B131, "")</f>
        <v>-0.16082802547770692</v>
      </c>
      <c r="L131" s="18">
        <f>IF(ISNUMBER(J131), $B145 * K131, "")</f>
        <v>-16082.802547770692</v>
      </c>
      <c r="M131" s="31">
        <v>53.3</v>
      </c>
      <c r="N131" s="32">
        <f t="shared" ref="N131:N134" si="69">IF(ISNUMBER(M131), (M131 - $B131) / $B131, "")</f>
        <v>-0.15127388535031847</v>
      </c>
      <c r="O131" s="18">
        <f>IF(ISNUMBER(M131), $B145 * N131, "")</f>
        <v>-15127.388535031847</v>
      </c>
      <c r="Q131" s="223"/>
      <c r="R131" s="223"/>
      <c r="S131" s="223"/>
    </row>
    <row r="132" spans="1:19" ht="17.25" thickBot="1">
      <c r="A132" s="162" t="s">
        <v>228</v>
      </c>
      <c r="B132" s="126">
        <v>9.1199999999999992</v>
      </c>
      <c r="C132" s="77">
        <v>-0.11456310679999999</v>
      </c>
      <c r="D132" s="15">
        <v>7.51</v>
      </c>
      <c r="E132" s="32">
        <f t="shared" si="66"/>
        <v>-0.17653508771929821</v>
      </c>
      <c r="F132" s="18">
        <f>IF(ISNUMBER(D132), $B145 * E132, "")</f>
        <v>-17653.508771929821</v>
      </c>
      <c r="G132" s="31">
        <v>7.54</v>
      </c>
      <c r="H132" s="32">
        <f t="shared" si="67"/>
        <v>-0.17324561403508765</v>
      </c>
      <c r="I132" s="101">
        <f>IF(ISNUMBER(G132), $B145 * H132, "")</f>
        <v>-17324.561403508764</v>
      </c>
      <c r="J132" s="15">
        <v>7.69</v>
      </c>
      <c r="K132" s="32">
        <f t="shared" si="68"/>
        <v>-0.15679824561403496</v>
      </c>
      <c r="L132" s="18">
        <f>IF(ISNUMBER(J132), $B145 * K132, "")</f>
        <v>-15679.824561403497</v>
      </c>
      <c r="M132" s="31">
        <v>7.77</v>
      </c>
      <c r="N132" s="32">
        <f t="shared" si="69"/>
        <v>-0.14802631578947364</v>
      </c>
      <c r="O132" s="18">
        <f>IF(ISNUMBER(M132), $B145 * N132, "")</f>
        <v>-14802.631578947365</v>
      </c>
      <c r="Q132" s="223"/>
      <c r="R132" s="223"/>
      <c r="S132" s="223"/>
    </row>
    <row r="133" spans="1:19" ht="17.25" thickBot="1">
      <c r="A133" s="162" t="s">
        <v>186</v>
      </c>
      <c r="B133" s="126">
        <v>15.4</v>
      </c>
      <c r="C133" s="77">
        <v>-0.12</v>
      </c>
      <c r="D133" s="15">
        <v>13.1</v>
      </c>
      <c r="E133" s="32">
        <f t="shared" si="66"/>
        <v>-0.1493506493506494</v>
      </c>
      <c r="F133" s="18">
        <f>IF(ISNUMBER(D133), $B145 * E133, "")</f>
        <v>-14935.06493506494</v>
      </c>
      <c r="G133" s="31">
        <v>13</v>
      </c>
      <c r="H133" s="32">
        <f t="shared" si="67"/>
        <v>-0.15584415584415587</v>
      </c>
      <c r="I133" s="101">
        <f>IF(ISNUMBER(G133), $B145 * H133, "")</f>
        <v>-15584.415584415587</v>
      </c>
      <c r="J133" s="15">
        <v>13.1</v>
      </c>
      <c r="K133" s="32">
        <f t="shared" si="68"/>
        <v>-0.1493506493506494</v>
      </c>
      <c r="L133" s="18">
        <f>IF(ISNUMBER(J133), $B145 * K133, "")</f>
        <v>-14935.06493506494</v>
      </c>
      <c r="M133" s="31">
        <v>13.3</v>
      </c>
      <c r="N133" s="32">
        <f t="shared" si="69"/>
        <v>-0.13636363636363633</v>
      </c>
      <c r="O133" s="18">
        <f>IF(ISNUMBER(M133), $B145 * N133, "")</f>
        <v>-13636.363636363632</v>
      </c>
      <c r="Q133" s="33"/>
      <c r="R133" s="33"/>
    </row>
    <row r="134" spans="1:19" ht="17.25" thickBot="1">
      <c r="A134" s="130" t="s">
        <v>198</v>
      </c>
      <c r="B134" s="131">
        <v>13.5</v>
      </c>
      <c r="C134" s="79">
        <v>-0.1233766234</v>
      </c>
      <c r="D134" s="24">
        <v>10.9</v>
      </c>
      <c r="E134" s="25">
        <f t="shared" si="66"/>
        <v>-0.19259259259259257</v>
      </c>
      <c r="F134" s="104">
        <f>IF(ISNUMBER(D134), $B145 * E134, "")</f>
        <v>-19259.259259259255</v>
      </c>
      <c r="G134" s="102">
        <v>10.7</v>
      </c>
      <c r="H134" s="25">
        <f t="shared" si="67"/>
        <v>-0.20740740740740746</v>
      </c>
      <c r="I134" s="103">
        <f>IF(ISNUMBER(G134), $B145 * H134, "")</f>
        <v>-20740.740740740745</v>
      </c>
      <c r="J134" s="24">
        <v>11</v>
      </c>
      <c r="K134" s="25">
        <f t="shared" si="68"/>
        <v>-0.18518518518518517</v>
      </c>
      <c r="L134" s="104">
        <f>IF(ISNUMBER(J134), $B145 * K134, "")</f>
        <v>-18518.518518518518</v>
      </c>
      <c r="M134" s="102">
        <v>11</v>
      </c>
      <c r="N134" s="25">
        <f t="shared" si="69"/>
        <v>-0.18518518518518517</v>
      </c>
      <c r="O134" s="104">
        <f>IF(ISNUMBER(M134), $B145 * N134, "")</f>
        <v>-18518.518518518518</v>
      </c>
      <c r="Q134" s="224"/>
      <c r="R134" s="225"/>
      <c r="S134" s="226"/>
    </row>
    <row r="135" spans="1:19">
      <c r="A135" s="161" t="s">
        <v>214</v>
      </c>
      <c r="B135" s="124">
        <v>11.3</v>
      </c>
      <c r="C135" s="76">
        <v>-0.13740458019999999</v>
      </c>
      <c r="D135" s="13">
        <v>9.06</v>
      </c>
      <c r="E135" s="14">
        <f>IF(ISNUMBER(D135), (D135 - $B135) / $B135, "")</f>
        <v>-0.19823008849557522</v>
      </c>
      <c r="F135" s="16">
        <f>IF(ISNUMBER(D135), $B145 * E135, "")</f>
        <v>-19823.008849557522</v>
      </c>
      <c r="G135" s="29">
        <v>9.07</v>
      </c>
      <c r="H135" s="14">
        <f>IF(ISNUMBER(G135), (G135 - $B135) / $B135, "")</f>
        <v>-0.19734513274336285</v>
      </c>
      <c r="I135" s="100">
        <f>IF(ISNUMBER(G135), $B145 * H135, "")</f>
        <v>-19734.513274336285</v>
      </c>
      <c r="J135" s="13">
        <v>9.1</v>
      </c>
      <c r="K135" s="14">
        <f>IF(ISNUMBER(J135), (J135 - $B135) / $B135, "")</f>
        <v>-0.19469026548672574</v>
      </c>
      <c r="L135" s="16">
        <f>IF(ISNUMBER(J135), $B145 * K135, "")</f>
        <v>-19469.026548672573</v>
      </c>
      <c r="M135" s="29">
        <v>9.1199999999999992</v>
      </c>
      <c r="N135" s="14">
        <f>IF(ISNUMBER(M135), (M135 - $B135) / $B135, "")</f>
        <v>-0.19292035398230101</v>
      </c>
      <c r="O135" s="16">
        <f>IF(ISNUMBER(M135), $B145 * N135, "")</f>
        <v>-19292.035398230102</v>
      </c>
      <c r="Q135" s="227"/>
      <c r="R135" s="228"/>
      <c r="S135" s="229"/>
    </row>
    <row r="136" spans="1:19" ht="17.25" thickBot="1">
      <c r="A136" s="162" t="s">
        <v>222</v>
      </c>
      <c r="B136" s="126">
        <v>9.9600000000000009</v>
      </c>
      <c r="C136" s="77">
        <v>-0.14137931030000001</v>
      </c>
      <c r="D136" s="15">
        <v>7.99</v>
      </c>
      <c r="E136" s="32">
        <f t="shared" ref="E136:E139" si="70">IF(ISNUMBER(D136), (D136 - $B136) / $B136, "")</f>
        <v>-0.19779116465863458</v>
      </c>
      <c r="F136" s="18">
        <f>IF(ISNUMBER(D136), $B145 * E136, "")</f>
        <v>-19779.116465863459</v>
      </c>
      <c r="G136" s="31">
        <v>8.0500000000000007</v>
      </c>
      <c r="H136" s="32">
        <f t="shared" ref="H136:H139" si="71">IF(ISNUMBER(G136), (G136 - $B136) / $B136, "")</f>
        <v>-0.19176706827309237</v>
      </c>
      <c r="I136" s="101">
        <f>IF(ISNUMBER(G136), $B145 * H136, "")</f>
        <v>-19176.706827309237</v>
      </c>
      <c r="J136" s="15">
        <v>8.17</v>
      </c>
      <c r="K136" s="32">
        <f t="shared" ref="K136:K139" si="72">IF(ISNUMBER(J136), (J136 - $B136) / $B136, "")</f>
        <v>-0.1797188755020081</v>
      </c>
      <c r="L136" s="18">
        <f>IF(ISNUMBER(J136), $B145 * K136, "")</f>
        <v>-17971.887550200809</v>
      </c>
      <c r="M136" s="31">
        <v>8.2100000000000009</v>
      </c>
      <c r="N136" s="32">
        <f t="shared" ref="N136:N139" si="73">IF(ISNUMBER(M136), (M136 - $B136) / $B136, "")</f>
        <v>-0.17570281124497991</v>
      </c>
      <c r="O136" s="18">
        <f>IF(ISNUMBER(M136), $B145 * N136, "")</f>
        <v>-17570.281124497989</v>
      </c>
      <c r="Q136" s="230"/>
      <c r="R136" s="231"/>
      <c r="S136" s="232"/>
    </row>
    <row r="137" spans="1:19" ht="17.25" thickBot="1">
      <c r="A137" s="162" t="s">
        <v>268</v>
      </c>
      <c r="B137" s="126">
        <v>40.799999999999997</v>
      </c>
      <c r="C137" s="77">
        <v>-0.187250996</v>
      </c>
      <c r="D137" s="15">
        <v>33.1</v>
      </c>
      <c r="E137" s="32">
        <f t="shared" si="70"/>
        <v>-0.18872549019607834</v>
      </c>
      <c r="F137" s="18">
        <f>IF(ISNUMBER(D137), $B145 * E137, "")</f>
        <v>-18872.549019607835</v>
      </c>
      <c r="G137" s="31">
        <v>32.299999999999997</v>
      </c>
      <c r="H137" s="32">
        <f t="shared" si="71"/>
        <v>-0.20833333333333334</v>
      </c>
      <c r="I137" s="101">
        <f>IF(ISNUMBER(G137), $B145 * H137, "")</f>
        <v>-20833.333333333336</v>
      </c>
      <c r="J137" s="15">
        <v>32</v>
      </c>
      <c r="K137" s="32">
        <f t="shared" si="72"/>
        <v>-0.21568627450980388</v>
      </c>
      <c r="L137" s="18">
        <f>IF(ISNUMBER(J137), $B145 * K137, "")</f>
        <v>-21568.627450980388</v>
      </c>
      <c r="M137" s="31">
        <v>31.9</v>
      </c>
      <c r="N137" s="32">
        <f t="shared" si="73"/>
        <v>-0.21813725490196076</v>
      </c>
      <c r="O137" s="18">
        <f>IF(ISNUMBER(M137), $B145 * N137, "")</f>
        <v>-21813.725490196077</v>
      </c>
      <c r="Q137" s="223"/>
      <c r="R137" s="223"/>
      <c r="S137" s="223"/>
    </row>
    <row r="138" spans="1:19" ht="17.25" thickBot="1">
      <c r="A138" s="162" t="s">
        <v>282</v>
      </c>
      <c r="B138" s="126">
        <v>72.5</v>
      </c>
      <c r="C138" s="77">
        <v>-0.36403508769999998</v>
      </c>
      <c r="D138" s="15">
        <v>56.9</v>
      </c>
      <c r="E138" s="32">
        <f t="shared" si="70"/>
        <v>-0.21517241379310348</v>
      </c>
      <c r="F138" s="18">
        <f>IF(ISNUMBER(D138), $B145 * E138, "")</f>
        <v>-21517.241379310348</v>
      </c>
      <c r="G138" s="31">
        <v>56.1</v>
      </c>
      <c r="H138" s="32">
        <f t="shared" si="71"/>
        <v>-0.22620689655172413</v>
      </c>
      <c r="I138" s="101">
        <f>IF(ISNUMBER(G138), $B145 * H138, "")</f>
        <v>-22620.689655172413</v>
      </c>
      <c r="J138" s="15">
        <v>55</v>
      </c>
      <c r="K138" s="32">
        <f t="shared" si="72"/>
        <v>-0.2413793103448276</v>
      </c>
      <c r="L138" s="18">
        <f>IF(ISNUMBER(J138), $B145 * K138, "")</f>
        <v>-24137.931034482761</v>
      </c>
      <c r="M138" s="31">
        <v>55.9</v>
      </c>
      <c r="N138" s="32">
        <f t="shared" si="73"/>
        <v>-0.22896551724137934</v>
      </c>
      <c r="O138" s="18">
        <f>IF(ISNUMBER(M138), $B145 * N138, "")</f>
        <v>-22896.551724137935</v>
      </c>
      <c r="Q138" s="233"/>
      <c r="R138" s="233"/>
      <c r="S138" s="233"/>
    </row>
    <row r="139" spans="1:19" ht="17.25" thickBot="1">
      <c r="A139" s="163" t="s">
        <v>250</v>
      </c>
      <c r="B139" s="128">
        <v>73.400000000000006</v>
      </c>
      <c r="C139" s="78">
        <v>-0.40325203250000002</v>
      </c>
      <c r="D139" s="20">
        <v>55.4</v>
      </c>
      <c r="E139" s="21">
        <f t="shared" si="70"/>
        <v>-0.24523160762942786</v>
      </c>
      <c r="F139" s="22">
        <f>IF(ISNUMBER(D139), $B145 * E139, "")</f>
        <v>-24523.160762942785</v>
      </c>
      <c r="G139" s="30">
        <v>56.6</v>
      </c>
      <c r="H139" s="21">
        <f t="shared" si="71"/>
        <v>-0.22888283378746599</v>
      </c>
      <c r="I139" s="105">
        <f>IF(ISNUMBER(G139), $B145 * H139, "")</f>
        <v>-22888.283378746601</v>
      </c>
      <c r="J139" s="20">
        <v>55.6</v>
      </c>
      <c r="K139" s="21">
        <f t="shared" si="72"/>
        <v>-0.24250681198910085</v>
      </c>
      <c r="L139" s="22">
        <f>IF(ISNUMBER(J139), $B145 * K139, "")</f>
        <v>-24250.681198910086</v>
      </c>
      <c r="M139" s="30">
        <v>58.8</v>
      </c>
      <c r="N139" s="21">
        <f t="shared" si="73"/>
        <v>-0.19891008174386932</v>
      </c>
      <c r="O139" s="22">
        <f>IF(ISNUMBER(M139), $B145 * N139, "")</f>
        <v>-19891.00817438693</v>
      </c>
      <c r="Q139" s="233"/>
      <c r="R139" s="233"/>
      <c r="S139" s="233"/>
    </row>
    <row r="140" spans="1:19" ht="17.25" thickBot="1">
      <c r="A140" s="162" t="s">
        <v>236</v>
      </c>
      <c r="B140" s="129">
        <v>31.1</v>
      </c>
      <c r="C140" s="80">
        <v>-0.43454545449999998</v>
      </c>
      <c r="D140" s="106">
        <v>23</v>
      </c>
      <c r="E140" s="107">
        <f>IF(ISNUMBER(D140), (D140 - $B140) / $B140, "")</f>
        <v>-0.26045016077170419</v>
      </c>
      <c r="F140" s="108">
        <f>IF(ISNUMBER(D140), $B145 * E140, "")</f>
        <v>-26045.016077170418</v>
      </c>
      <c r="G140" s="109">
        <v>22.6</v>
      </c>
      <c r="H140" s="107">
        <f>IF(ISNUMBER(G140), (G140 - $B140) / $B140, "")</f>
        <v>-0.27331189710610931</v>
      </c>
      <c r="I140" s="110">
        <f>IF(ISNUMBER(G140), $B145 * H140, "")</f>
        <v>-27331.189710610932</v>
      </c>
      <c r="J140" s="106">
        <v>22.1</v>
      </c>
      <c r="K140" s="107">
        <f>IF(ISNUMBER(J140), (J140 - $B140) / $B140, "")</f>
        <v>-0.28938906752411575</v>
      </c>
      <c r="L140" s="108">
        <f>IF(ISNUMBER(J140), $B145 * K140, "")</f>
        <v>-28938.906752411574</v>
      </c>
      <c r="M140" s="109">
        <v>21.8</v>
      </c>
      <c r="N140" s="107">
        <f>IF(ISNUMBER(M140), (M140 - $B140) / $B140, "")</f>
        <v>-0.29903536977491962</v>
      </c>
      <c r="O140" s="108">
        <f>IF(ISNUMBER(M140), $B145 * N140, "")</f>
        <v>-29903.536977491964</v>
      </c>
      <c r="Q140" s="223"/>
      <c r="R140" s="223"/>
      <c r="S140" s="223"/>
    </row>
    <row r="141" spans="1:19" ht="17.25" thickBot="1">
      <c r="A141" s="162" t="s">
        <v>122</v>
      </c>
      <c r="B141" s="126">
        <v>40.200000000000003</v>
      </c>
      <c r="C141" s="77">
        <v>-0.43776223780000001</v>
      </c>
      <c r="D141" s="15">
        <v>28</v>
      </c>
      <c r="E141" s="32">
        <f t="shared" ref="E141:E144" si="74">IF(ISNUMBER(D141), (D141 - $B141) / $B141, "")</f>
        <v>-0.30348258706467668</v>
      </c>
      <c r="F141" s="18">
        <f>IF(ISNUMBER(D141), $B145 * E141, "")</f>
        <v>-30348.258706467666</v>
      </c>
      <c r="G141" s="31">
        <v>27.6</v>
      </c>
      <c r="H141" s="32">
        <f t="shared" ref="H141:H144" si="75">IF(ISNUMBER(G141), (G141 - $B141) / $B141, "")</f>
        <v>-0.31343283582089554</v>
      </c>
      <c r="I141" s="101">
        <f>IF(ISNUMBER(G141), $B145 * H141, "")</f>
        <v>-31343.283582089553</v>
      </c>
      <c r="J141" s="15">
        <v>27</v>
      </c>
      <c r="K141" s="32">
        <f t="shared" ref="K141:K144" si="76">IF(ISNUMBER(J141), (J141 - $B141) / $B141, "")</f>
        <v>-0.32835820895522394</v>
      </c>
      <c r="L141" s="18">
        <f>IF(ISNUMBER(J141), $B145 * K141, "")</f>
        <v>-32835.820895522396</v>
      </c>
      <c r="M141" s="31">
        <v>27</v>
      </c>
      <c r="N141" s="32">
        <f t="shared" ref="N141:N144" si="77">IF(ISNUMBER(M141), (M141 - $B141) / $B141, "")</f>
        <v>-0.32835820895522394</v>
      </c>
      <c r="O141" s="18">
        <f>IF(ISNUMBER(M141), $B145 * N141, "")</f>
        <v>-32835.820895522396</v>
      </c>
      <c r="Q141" s="223"/>
      <c r="R141" s="223"/>
      <c r="S141" s="223"/>
    </row>
    <row r="142" spans="1:19" ht="17.25" thickBot="1">
      <c r="A142" s="162" t="s">
        <v>218</v>
      </c>
      <c r="B142" s="126">
        <v>8.82</v>
      </c>
      <c r="C142" s="77">
        <v>-0.43821656050000002</v>
      </c>
      <c r="D142" s="15">
        <v>5.97</v>
      </c>
      <c r="E142" s="32">
        <f t="shared" si="74"/>
        <v>-0.3231292517006803</v>
      </c>
      <c r="F142" s="18">
        <f>IF(ISNUMBER(D142), $B145 * E142, "")</f>
        <v>-32312.925170068029</v>
      </c>
      <c r="G142" s="31">
        <v>5.85</v>
      </c>
      <c r="H142" s="32">
        <f t="shared" si="75"/>
        <v>-0.33673469387755106</v>
      </c>
      <c r="I142" s="101">
        <f>IF(ISNUMBER(G142), $B145 * H142, "")</f>
        <v>-33673.469387755104</v>
      </c>
      <c r="J142" s="15">
        <v>5.72</v>
      </c>
      <c r="K142" s="32">
        <f t="shared" si="76"/>
        <v>-0.35147392290249441</v>
      </c>
      <c r="L142" s="18">
        <f>IF(ISNUMBER(J142), $B145 * K142, "")</f>
        <v>-35147.392290249438</v>
      </c>
      <c r="M142" s="31">
        <v>5.68</v>
      </c>
      <c r="N142" s="32">
        <f t="shared" si="77"/>
        <v>-0.35600907029478462</v>
      </c>
      <c r="O142" s="18">
        <f>IF(ISNUMBER(M142), $B145 * N142, "")</f>
        <v>-35600.907029478461</v>
      </c>
      <c r="Q142" s="223"/>
      <c r="R142" s="223"/>
      <c r="S142" s="223"/>
    </row>
    <row r="143" spans="1:19">
      <c r="A143" s="162" t="s">
        <v>172</v>
      </c>
      <c r="B143" s="126">
        <v>8.24</v>
      </c>
      <c r="C143" s="77">
        <v>-0.43945578229999999</v>
      </c>
      <c r="D143" s="15">
        <v>5.59</v>
      </c>
      <c r="E143" s="32">
        <f t="shared" si="74"/>
        <v>-0.32160194174757284</v>
      </c>
      <c r="F143" s="18">
        <f>IF(ISNUMBER(D143), $B145 * E143, "")</f>
        <v>-32160.194174757286</v>
      </c>
      <c r="G143" s="31">
        <v>5.48</v>
      </c>
      <c r="H143" s="32">
        <f t="shared" si="75"/>
        <v>-0.33495145631067957</v>
      </c>
      <c r="I143" s="101">
        <f>IF(ISNUMBER(G143), $B145 * H143, "")</f>
        <v>-33495.145631067957</v>
      </c>
      <c r="J143" s="15">
        <v>5.44</v>
      </c>
      <c r="K143" s="32">
        <f t="shared" si="76"/>
        <v>-0.33980582524271841</v>
      </c>
      <c r="L143" s="18">
        <f>IF(ISNUMBER(J143), $B145 * K143, "")</f>
        <v>-33980.582524271842</v>
      </c>
      <c r="M143" s="31">
        <v>5.4</v>
      </c>
      <c r="N143" s="32">
        <f t="shared" si="77"/>
        <v>-0.34466019417475724</v>
      </c>
      <c r="O143" s="18">
        <f>IF(ISNUMBER(M143), $B145 * N143, "")</f>
        <v>-34466.019417475727</v>
      </c>
      <c r="Q143" s="212"/>
      <c r="R143" s="213"/>
      <c r="S143" s="214"/>
    </row>
    <row r="144" spans="1:19" ht="17.25" thickBot="1">
      <c r="A144" s="130" t="s">
        <v>254</v>
      </c>
      <c r="B144" s="131">
        <v>37</v>
      </c>
      <c r="C144" s="79">
        <v>-0.45266272190000001</v>
      </c>
      <c r="D144" s="24">
        <v>23.9</v>
      </c>
      <c r="E144" s="25">
        <f t="shared" si="74"/>
        <v>-0.3540540540540541</v>
      </c>
      <c r="F144" s="104">
        <f>IF(ISNUMBER(D144), $B145 * E144, "")</f>
        <v>-35405.405405405407</v>
      </c>
      <c r="G144" s="102">
        <v>22.8</v>
      </c>
      <c r="H144" s="25">
        <f t="shared" si="75"/>
        <v>-0.38378378378378375</v>
      </c>
      <c r="I144" s="103">
        <f>IF(ISNUMBER(G144), $B145 * H144, "")</f>
        <v>-38378.378378378373</v>
      </c>
      <c r="J144" s="24">
        <v>22.8</v>
      </c>
      <c r="K144" s="25">
        <f t="shared" si="76"/>
        <v>-0.38378378378378375</v>
      </c>
      <c r="L144" s="104">
        <f>IF(ISNUMBER(J144), $B145 * K144, "")</f>
        <v>-38378.378378378373</v>
      </c>
      <c r="M144" s="102">
        <v>22.5</v>
      </c>
      <c r="N144" s="25">
        <f t="shared" si="77"/>
        <v>-0.39189189189189189</v>
      </c>
      <c r="O144" s="104">
        <f>IF(ISNUMBER(M144), $B145 * N144, "")</f>
        <v>-39189.189189189186</v>
      </c>
      <c r="Q144" s="215"/>
      <c r="R144" s="216"/>
      <c r="S144" s="217"/>
    </row>
    <row r="145" spans="1:19" ht="17.25" thickBot="1">
      <c r="A145" s="132" t="s">
        <v>300</v>
      </c>
      <c r="B145" s="276">
        <f>$B$37</f>
        <v>100000</v>
      </c>
      <c r="C145" s="277"/>
      <c r="D145" s="26" t="s">
        <v>301</v>
      </c>
      <c r="E145" s="27">
        <f>IF(COUNT(E125:E144), SUM(E125:E144) / COUNT(E125:E144), 0)</f>
        <v>-0.19304930320833619</v>
      </c>
      <c r="F145" s="28">
        <f>SUM(F125:F144)</f>
        <v>-386098.60641667241</v>
      </c>
      <c r="G145" s="26" t="s">
        <v>301</v>
      </c>
      <c r="H145" s="27">
        <f>IF(COUNT(H125:H144), SUM(H125:H144) / COUNT(H125:H144), 0)</f>
        <v>-0.20675271228880229</v>
      </c>
      <c r="I145" s="28">
        <f>SUM(I125:I144)</f>
        <v>-413505.42457760463</v>
      </c>
      <c r="J145" s="26" t="s">
        <v>301</v>
      </c>
      <c r="K145" s="27">
        <f>IF(COUNT(K125:K144), SUM(K125:K144) / COUNT(K125:K144), 0)</f>
        <v>-0.20386367469534275</v>
      </c>
      <c r="L145" s="28">
        <f>SUM(L125:L144)</f>
        <v>-407727.34939068556</v>
      </c>
      <c r="M145" s="26" t="s">
        <v>301</v>
      </c>
      <c r="N145" s="27">
        <f>IF(COUNT(N125:N144), SUM(N125:N144) / COUNT(N125:N144), 0)</f>
        <v>-0.20124931511351135</v>
      </c>
      <c r="O145" s="28">
        <f>SUM(O125:O144)</f>
        <v>-402498.63022702275</v>
      </c>
      <c r="Q145" s="218"/>
      <c r="R145" s="219"/>
      <c r="S145" s="220"/>
    </row>
    <row r="147" spans="1:19" ht="17.25" thickBot="1"/>
    <row r="148" spans="1:19" ht="17.25" thickBot="1">
      <c r="A148" s="234" t="s">
        <v>289</v>
      </c>
      <c r="B148" s="235"/>
      <c r="C148" s="235"/>
      <c r="D148" s="235"/>
      <c r="E148" s="235"/>
      <c r="F148" s="235"/>
      <c r="G148" s="235"/>
      <c r="H148" s="235"/>
      <c r="I148" s="235"/>
      <c r="J148" s="235"/>
      <c r="K148" s="235"/>
      <c r="L148" s="235"/>
      <c r="M148" s="235"/>
      <c r="N148" s="235"/>
      <c r="O148" s="236"/>
      <c r="Q148" s="233"/>
      <c r="R148" s="233"/>
      <c r="S148" s="233"/>
    </row>
    <row r="149" spans="1:19" ht="17.25" thickBot="1">
      <c r="A149" s="204" t="s">
        <v>297</v>
      </c>
      <c r="B149" s="234" t="s">
        <v>49</v>
      </c>
      <c r="C149" s="236"/>
      <c r="D149" s="234" t="s">
        <v>58</v>
      </c>
      <c r="E149" s="235"/>
      <c r="F149" s="236"/>
      <c r="G149" s="237">
        <f>_xlfn.IFNA(VLOOKUP(B149, 현재가테이블!$B$2:$D$200, 2, FALSE), "-")</f>
        <v>41418000</v>
      </c>
      <c r="H149" s="238"/>
      <c r="I149" s="239"/>
      <c r="J149" s="234" t="s">
        <v>59</v>
      </c>
      <c r="K149" s="235"/>
      <c r="L149" s="236"/>
      <c r="M149" s="240">
        <f>_xlfn.IFNA(VLOOKUP(B149, 현재가테이블!$B$2:$D$200, 3, FALSE), "-")</f>
        <v>-5.2176301000000001E-2</v>
      </c>
      <c r="N149" s="241"/>
      <c r="O149" s="242"/>
      <c r="Q149" s="233"/>
      <c r="R149" s="233"/>
      <c r="S149" s="233"/>
    </row>
    <row r="150" spans="1:19" ht="17.25" thickBot="1">
      <c r="A150" s="278" t="s">
        <v>55</v>
      </c>
      <c r="B150" s="274" t="str">
        <f>TEXT($G$1, "[$-ko-KR]yyyy-mm-dd(ddd) ") &amp; "오전 00:00"</f>
        <v>2021-06-12(토) 오전 00:00</v>
      </c>
      <c r="C150" s="275"/>
      <c r="D150" s="247" t="str">
        <f>TEXT($G$1, "[$-ko-KR]yyyy-mm-dd(ddd) ") &amp; "오후 14:00"</f>
        <v>2021-06-12(토) 오후 14:00</v>
      </c>
      <c r="E150" s="248"/>
      <c r="F150" s="249"/>
      <c r="G150" s="247" t="str">
        <f>TEXT($G$1, "[$-ko-KR]yyyy-mm-dd(ddd) ") &amp; "오후 19:00"</f>
        <v>2021-06-12(토) 오후 19:00</v>
      </c>
      <c r="H150" s="248"/>
      <c r="I150" s="249"/>
      <c r="J150" s="247" t="str">
        <f>TEXT($G$1, "[$-ko-KR]yyyy-mm-dd(ddd) ") &amp; "오후 21:00"</f>
        <v>2021-06-12(토) 오후 21:00</v>
      </c>
      <c r="K150" s="248"/>
      <c r="L150" s="249"/>
      <c r="M150" s="247" t="str">
        <f>TEXT($G$1+1, "[$-ko-KR]yyyy-mm-dd(ddd) ") &amp; "오전 00:00"</f>
        <v>2021-06-13(일) 오전 00:00</v>
      </c>
      <c r="N150" s="248"/>
      <c r="O150" s="249"/>
      <c r="Q150" s="233"/>
      <c r="R150" s="233"/>
      <c r="S150" s="233"/>
    </row>
    <row r="151" spans="1:19" ht="17.25" thickBot="1">
      <c r="A151" s="279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5" t="s">
        <v>58</v>
      </c>
      <c r="H151" s="206" t="s">
        <v>298</v>
      </c>
      <c r="I151" s="20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3"/>
      <c r="R151" s="223"/>
      <c r="S151" s="223"/>
    </row>
    <row r="152" spans="1:19" ht="17.25" thickBot="1">
      <c r="A152" s="161" t="s">
        <v>258</v>
      </c>
      <c r="B152" s="124">
        <v>418</v>
      </c>
      <c r="C152" s="76">
        <v>-9.1304347800000005E-2</v>
      </c>
      <c r="D152" s="13">
        <v>376</v>
      </c>
      <c r="E152" s="14">
        <f>IF(ISNUMBER(D152), (D152 - $B152) / $B152, "")</f>
        <v>-0.10047846889952153</v>
      </c>
      <c r="F152" s="16">
        <f>IF(ISNUMBER(D152), $B172 * E152, "")</f>
        <v>-10047.846889952152</v>
      </c>
      <c r="G152" s="29">
        <v>379</v>
      </c>
      <c r="H152" s="14">
        <f>IF(ISNUMBER(G152), (G152 - $B152) / $B152, "")</f>
        <v>-9.3301435406698566E-2</v>
      </c>
      <c r="I152" s="100">
        <f>IF(ISNUMBER(G152), $B172 * H152, "")</f>
        <v>-9330.1435406698565</v>
      </c>
      <c r="J152" s="13">
        <v>383</v>
      </c>
      <c r="K152" s="14">
        <f>IF(ISNUMBER(J152), (J152 - $B152) / $B152, "")</f>
        <v>-8.3732057416267949E-2</v>
      </c>
      <c r="L152" s="16">
        <f>IF(ISNUMBER(J152), $B172 * K152, "")</f>
        <v>-8373.2057416267944</v>
      </c>
      <c r="M152" s="29">
        <v>380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33"/>
      <c r="R152" s="233"/>
      <c r="S152" s="233"/>
    </row>
    <row r="153" spans="1:19" ht="17.25" thickBot="1">
      <c r="A153" s="162" t="s">
        <v>280</v>
      </c>
      <c r="B153" s="126">
        <v>912</v>
      </c>
      <c r="C153" s="77">
        <v>-9.2537313400000001E-2</v>
      </c>
      <c r="D153" s="15">
        <v>912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943</v>
      </c>
      <c r="H153" s="32">
        <f t="shared" ref="H153:H156" si="79">IF(ISNUMBER(G153), (G153 - $B153) / $B153, "")</f>
        <v>3.399122807017544E-2</v>
      </c>
      <c r="I153" s="101">
        <f>IF(ISNUMBER(G153), $B172 * H153, "")</f>
        <v>3399.1228070175439</v>
      </c>
      <c r="J153" s="15">
        <v>915</v>
      </c>
      <c r="K153" s="32">
        <f t="shared" ref="K153:K156" si="80">IF(ISNUMBER(J153), (J153 - $B153) / $B153, "")</f>
        <v>3.2894736842105261E-3</v>
      </c>
      <c r="L153" s="18">
        <f>IF(ISNUMBER(J153), $B172 * K153, "")</f>
        <v>328.9473684210526</v>
      </c>
      <c r="M153" s="31">
        <v>903</v>
      </c>
      <c r="N153" s="32">
        <f t="shared" ref="N153:N156" si="81">IF(ISNUMBER(M153), (M153 - $B153) / $B153, "")</f>
        <v>-9.8684210526315784E-3</v>
      </c>
      <c r="O153" s="18">
        <f>IF(ISNUMBER(M153), $B172 * N153, "")</f>
        <v>-986.8421052631578</v>
      </c>
      <c r="Q153" s="233"/>
      <c r="R153" s="233"/>
      <c r="S153" s="233"/>
    </row>
    <row r="154" spans="1:19" ht="17.25" thickBot="1">
      <c r="A154" s="162" t="s">
        <v>202</v>
      </c>
      <c r="B154" s="126">
        <v>105</v>
      </c>
      <c r="C154" s="77">
        <v>-9.4827586199999994E-2</v>
      </c>
      <c r="D154" s="15">
        <v>87</v>
      </c>
      <c r="E154" s="32">
        <f t="shared" si="78"/>
        <v>-0.17142857142857143</v>
      </c>
      <c r="F154" s="18">
        <f>IF(ISNUMBER(D154), $B172 * E154, "")</f>
        <v>-17142.857142857141</v>
      </c>
      <c r="G154" s="31">
        <v>87.4</v>
      </c>
      <c r="H154" s="32">
        <f t="shared" si="79"/>
        <v>-0.16761904761904756</v>
      </c>
      <c r="I154" s="101">
        <f>IF(ISNUMBER(G154), $B172 * H154, "")</f>
        <v>-16761.904761904756</v>
      </c>
      <c r="J154" s="15">
        <v>88.2</v>
      </c>
      <c r="K154" s="32">
        <f t="shared" si="80"/>
        <v>-0.15999999999999998</v>
      </c>
      <c r="L154" s="18">
        <f>IF(ISNUMBER(J154), $B172 * K154, "")</f>
        <v>-15999.999999999998</v>
      </c>
      <c r="M154" s="31">
        <v>88.6</v>
      </c>
      <c r="N154" s="32">
        <f t="shared" si="81"/>
        <v>-0.15619047619047624</v>
      </c>
      <c r="O154" s="18">
        <f>IF(ISNUMBER(M154), $B172 * N154, "")</f>
        <v>-15619.047619047624</v>
      </c>
      <c r="Q154" s="223"/>
      <c r="R154" s="223"/>
      <c r="S154" s="223"/>
    </row>
    <row r="155" spans="1:19" ht="17.25" thickBot="1">
      <c r="A155" s="162" t="s">
        <v>284</v>
      </c>
      <c r="B155" s="126">
        <v>217</v>
      </c>
      <c r="C155" s="77">
        <v>-9.5833333300000004E-2</v>
      </c>
      <c r="D155" s="15">
        <v>188</v>
      </c>
      <c r="E155" s="32">
        <f t="shared" si="78"/>
        <v>-0.13364055299539171</v>
      </c>
      <c r="F155" s="18">
        <f>IF(ISNUMBER(D155), $B172 * E155, "")</f>
        <v>-13364.055299539172</v>
      </c>
      <c r="G155" s="31">
        <v>186</v>
      </c>
      <c r="H155" s="32">
        <f t="shared" si="79"/>
        <v>-0.14285714285714285</v>
      </c>
      <c r="I155" s="101">
        <f>IF(ISNUMBER(G155), $B172 * H155, "")</f>
        <v>-14285.714285714284</v>
      </c>
      <c r="J155" s="15">
        <v>190</v>
      </c>
      <c r="K155" s="32">
        <f t="shared" si="80"/>
        <v>-0.12442396313364056</v>
      </c>
      <c r="L155" s="18">
        <f>IF(ISNUMBER(J155), $B172 * K155, "")</f>
        <v>-12442.396313364055</v>
      </c>
      <c r="M155" s="31">
        <v>197</v>
      </c>
      <c r="N155" s="32">
        <f t="shared" si="81"/>
        <v>-9.2165898617511524E-2</v>
      </c>
      <c r="O155" s="18">
        <f>IF(ISNUMBER(M155), $B172 * N155, "")</f>
        <v>-9216.5898617511521</v>
      </c>
      <c r="Q155" s="223"/>
      <c r="R155" s="223"/>
      <c r="S155" s="223"/>
    </row>
    <row r="156" spans="1:19" ht="17.25" thickBot="1">
      <c r="A156" s="163" t="s">
        <v>232</v>
      </c>
      <c r="B156" s="128">
        <v>102</v>
      </c>
      <c r="C156" s="78">
        <v>-9.7345132700000003E-2</v>
      </c>
      <c r="D156" s="20">
        <v>82.3</v>
      </c>
      <c r="E156" s="21">
        <f t="shared" si="78"/>
        <v>-0.19313725490196082</v>
      </c>
      <c r="F156" s="22">
        <f>IF(ISNUMBER(D156), $B172 * E156, "")</f>
        <v>-19313.725490196081</v>
      </c>
      <c r="G156" s="30">
        <v>81.2</v>
      </c>
      <c r="H156" s="21">
        <f t="shared" si="79"/>
        <v>-0.20392156862745095</v>
      </c>
      <c r="I156" s="105">
        <f>IF(ISNUMBER(G156), $B172 * H156, "")</f>
        <v>-20392.156862745094</v>
      </c>
      <c r="J156" s="20">
        <v>83.3</v>
      </c>
      <c r="K156" s="21">
        <f t="shared" si="80"/>
        <v>-0.18333333333333335</v>
      </c>
      <c r="L156" s="22">
        <f>IF(ISNUMBER(J156), $B172 * K156, "")</f>
        <v>-18333.333333333336</v>
      </c>
      <c r="M156" s="30">
        <v>85.7</v>
      </c>
      <c r="N156" s="21">
        <f t="shared" si="81"/>
        <v>-0.15980392156862741</v>
      </c>
      <c r="O156" s="22">
        <f>IF(ISNUMBER(M156), $B172 * N156, "")</f>
        <v>-15980.392156862741</v>
      </c>
      <c r="Q156" s="223"/>
      <c r="R156" s="223"/>
      <c r="S156" s="223"/>
    </row>
    <row r="157" spans="1:19" ht="17.25" thickBot="1">
      <c r="A157" s="162" t="s">
        <v>82</v>
      </c>
      <c r="B157" s="129">
        <v>936</v>
      </c>
      <c r="C157" s="80">
        <v>-0.10857142860000001</v>
      </c>
      <c r="D157" s="106">
        <v>817</v>
      </c>
      <c r="E157" s="107">
        <f>IF(ISNUMBER(D157), (D157 - $B157) / $B157, "")</f>
        <v>-0.12713675213675213</v>
      </c>
      <c r="F157" s="108">
        <f>IF(ISNUMBER(D157), $B172 * E157, "")</f>
        <v>-12713.675213675213</v>
      </c>
      <c r="G157" s="109">
        <v>810</v>
      </c>
      <c r="H157" s="107">
        <f>IF(ISNUMBER(G157), (G157 - $B157) / $B157, "")</f>
        <v>-0.13461538461538461</v>
      </c>
      <c r="I157" s="110">
        <f>IF(ISNUMBER(G157), $B172 * H157, "")</f>
        <v>-13461.538461538461</v>
      </c>
      <c r="J157" s="106">
        <v>823</v>
      </c>
      <c r="K157" s="107">
        <f>IF(ISNUMBER(J157), (J157 - $B157) / $B157, "")</f>
        <v>-0.12072649572649573</v>
      </c>
      <c r="L157" s="108">
        <f>IF(ISNUMBER(J157), $B172 * K157, "")</f>
        <v>-12072.649572649572</v>
      </c>
      <c r="M157" s="109">
        <v>810</v>
      </c>
      <c r="N157" s="107">
        <f>IF(ISNUMBER(M157), (M157 - $B157) / $B157, "")</f>
        <v>-0.13461538461538461</v>
      </c>
      <c r="O157" s="108">
        <f>IF(ISNUMBER(M157), $B172 * N157, "")</f>
        <v>-13461.538461538461</v>
      </c>
      <c r="Q157" s="223"/>
      <c r="R157" s="223"/>
      <c r="S157" s="223"/>
    </row>
    <row r="158" spans="1:19" ht="17.25" thickBot="1">
      <c r="A158" s="162" t="s">
        <v>142</v>
      </c>
      <c r="B158" s="126">
        <v>553</v>
      </c>
      <c r="C158" s="77">
        <v>-0.11093247589999999</v>
      </c>
      <c r="D158" s="15">
        <v>496</v>
      </c>
      <c r="E158" s="32">
        <f t="shared" ref="E158:E161" si="82">IF(ISNUMBER(D158), (D158 - $B158) / $B158, "")</f>
        <v>-0.10307414104882459</v>
      </c>
      <c r="F158" s="18">
        <f>IF(ISNUMBER(D158), $B172 * E158, "")</f>
        <v>-10307.414104882459</v>
      </c>
      <c r="G158" s="31">
        <v>471</v>
      </c>
      <c r="H158" s="32">
        <f t="shared" ref="H158:H161" si="83">IF(ISNUMBER(G158), (G158 - $B158) / $B158, "")</f>
        <v>-0.14828209764918626</v>
      </c>
      <c r="I158" s="101">
        <f>IF(ISNUMBER(G158), $B172 * H158, "")</f>
        <v>-14828.209764918625</v>
      </c>
      <c r="J158" s="15">
        <v>496</v>
      </c>
      <c r="K158" s="32">
        <f t="shared" ref="K158:K161" si="84">IF(ISNUMBER(J158), (J158 - $B158) / $B158, "")</f>
        <v>-0.10307414104882459</v>
      </c>
      <c r="L158" s="18">
        <f>IF(ISNUMBER(J158), $B172 * K158, "")</f>
        <v>-10307.414104882459</v>
      </c>
      <c r="M158" s="31">
        <v>525</v>
      </c>
      <c r="N158" s="32">
        <f t="shared" ref="N158:N161" si="85">IF(ISNUMBER(M158), (M158 - $B158) / $B158, "")</f>
        <v>-5.0632911392405063E-2</v>
      </c>
      <c r="O158" s="18">
        <f>IF(ISNUMBER(M158), $B172 * N158, "")</f>
        <v>-5063.2911392405058</v>
      </c>
      <c r="Q158" s="223"/>
      <c r="R158" s="223"/>
      <c r="S158" s="223"/>
    </row>
    <row r="159" spans="1:19" ht="17.25" thickBot="1">
      <c r="A159" s="162" t="s">
        <v>216</v>
      </c>
      <c r="B159" s="126">
        <v>256</v>
      </c>
      <c r="C159" s="77">
        <v>-0.1202749141</v>
      </c>
      <c r="D159" s="15">
        <v>244</v>
      </c>
      <c r="E159" s="32">
        <f t="shared" si="82"/>
        <v>-4.6875E-2</v>
      </c>
      <c r="F159" s="18">
        <f>IF(ISNUMBER(D159), $B172 * E159, "")</f>
        <v>-4687.5</v>
      </c>
      <c r="G159" s="31">
        <v>229</v>
      </c>
      <c r="H159" s="32">
        <f t="shared" si="83"/>
        <v>-0.10546875</v>
      </c>
      <c r="I159" s="101">
        <f>IF(ISNUMBER(G159), $B172 * H159, "")</f>
        <v>-10546.875</v>
      </c>
      <c r="J159" s="15">
        <v>232</v>
      </c>
      <c r="K159" s="32">
        <f t="shared" si="84"/>
        <v>-9.375E-2</v>
      </c>
      <c r="L159" s="18">
        <f>IF(ISNUMBER(J159), $B172 * K159, "")</f>
        <v>-9375</v>
      </c>
      <c r="M159" s="31">
        <v>231</v>
      </c>
      <c r="N159" s="32">
        <f t="shared" si="85"/>
        <v>-9.765625E-2</v>
      </c>
      <c r="O159" s="18">
        <f>IF(ISNUMBER(M159), $B172 * N159, "")</f>
        <v>-9765.625</v>
      </c>
      <c r="Q159" s="223"/>
      <c r="R159" s="223"/>
      <c r="S159" s="223"/>
    </row>
    <row r="160" spans="1:19" ht="17.25" thickBot="1">
      <c r="A160" s="162" t="s">
        <v>226</v>
      </c>
      <c r="B160" s="126">
        <v>250</v>
      </c>
      <c r="C160" s="77">
        <v>-0.1319444444</v>
      </c>
      <c r="D160" s="15">
        <v>197</v>
      </c>
      <c r="E160" s="32">
        <f t="shared" si="82"/>
        <v>-0.21199999999999999</v>
      </c>
      <c r="F160" s="18">
        <f>IF(ISNUMBER(D160), $B172 * E160, "")</f>
        <v>-21200</v>
      </c>
      <c r="G160" s="31">
        <v>197</v>
      </c>
      <c r="H160" s="32">
        <f t="shared" si="83"/>
        <v>-0.21199999999999999</v>
      </c>
      <c r="I160" s="101">
        <f>IF(ISNUMBER(G160), $B172 * H160, "")</f>
        <v>-21200</v>
      </c>
      <c r="J160" s="15">
        <v>198</v>
      </c>
      <c r="K160" s="32">
        <f t="shared" si="84"/>
        <v>-0.20799999999999999</v>
      </c>
      <c r="L160" s="18">
        <f>IF(ISNUMBER(J160), $B172 * K160, "")</f>
        <v>-20800</v>
      </c>
      <c r="M160" s="31">
        <v>200</v>
      </c>
      <c r="N160" s="32">
        <f t="shared" si="85"/>
        <v>-0.2</v>
      </c>
      <c r="O160" s="18">
        <f>IF(ISNUMBER(M160), $B172 * N160, "")</f>
        <v>-20000</v>
      </c>
      <c r="Q160" s="33"/>
      <c r="R160" s="33"/>
    </row>
    <row r="161" spans="1:19" ht="17.25" thickBot="1">
      <c r="A161" s="130" t="s">
        <v>240</v>
      </c>
      <c r="B161" s="131">
        <v>104</v>
      </c>
      <c r="C161" s="79">
        <v>-0.1333333333</v>
      </c>
      <c r="D161" s="24">
        <v>82.3</v>
      </c>
      <c r="E161" s="25">
        <f t="shared" si="82"/>
        <v>-0.20865384615384619</v>
      </c>
      <c r="F161" s="104">
        <f>IF(ISNUMBER(D161), $B172 * E161, "")</f>
        <v>-20865.384615384621</v>
      </c>
      <c r="G161" s="102">
        <v>82</v>
      </c>
      <c r="H161" s="25">
        <f t="shared" si="83"/>
        <v>-0.21153846153846154</v>
      </c>
      <c r="I161" s="103">
        <f>IF(ISNUMBER(G161), $B172 * H161, "")</f>
        <v>-21153.846153846152</v>
      </c>
      <c r="J161" s="24">
        <v>83</v>
      </c>
      <c r="K161" s="25">
        <f t="shared" si="84"/>
        <v>-0.20192307692307693</v>
      </c>
      <c r="L161" s="104">
        <f>IF(ISNUMBER(J161), $B172 * K161, "")</f>
        <v>-20192.307692307691</v>
      </c>
      <c r="M161" s="102">
        <v>84.6</v>
      </c>
      <c r="N161" s="25">
        <f t="shared" si="85"/>
        <v>-0.1865384615384616</v>
      </c>
      <c r="O161" s="104">
        <f>IF(ISNUMBER(M161), $B172 * N161, "")</f>
        <v>-18653.84615384616</v>
      </c>
      <c r="Q161" s="224"/>
      <c r="R161" s="225"/>
      <c r="S161" s="226"/>
    </row>
    <row r="162" spans="1:19">
      <c r="A162" s="161" t="s">
        <v>200</v>
      </c>
      <c r="B162" s="124">
        <v>173</v>
      </c>
      <c r="C162" s="76">
        <v>-0.1393034826</v>
      </c>
      <c r="D162" s="13">
        <v>147</v>
      </c>
      <c r="E162" s="14">
        <f>IF(ISNUMBER(D162), (D162 - $B162) / $B162, "")</f>
        <v>-0.15028901734104047</v>
      </c>
      <c r="F162" s="16">
        <f>IF(ISNUMBER(D162), $B172 * E162, "")</f>
        <v>-15028.901734104047</v>
      </c>
      <c r="G162" s="29">
        <v>150</v>
      </c>
      <c r="H162" s="14">
        <f>IF(ISNUMBER(G162), (G162 - $B162) / $B162, "")</f>
        <v>-0.13294797687861271</v>
      </c>
      <c r="I162" s="100">
        <f>IF(ISNUMBER(G162), $B172 * H162, "")</f>
        <v>-13294.79768786127</v>
      </c>
      <c r="J162" s="13">
        <v>149</v>
      </c>
      <c r="K162" s="14">
        <f>IF(ISNUMBER(J162), (J162 - $B162) / $B162, "")</f>
        <v>-0.13872832369942195</v>
      </c>
      <c r="L162" s="16">
        <f>IF(ISNUMBER(J162), $B172 * K162, "")</f>
        <v>-13872.832369942194</v>
      </c>
      <c r="M162" s="29">
        <v>151</v>
      </c>
      <c r="N162" s="14">
        <f>IF(ISNUMBER(M162), (M162 - $B162) / $B162, "")</f>
        <v>-0.12716763005780346</v>
      </c>
      <c r="O162" s="16">
        <f>IF(ISNUMBER(M162), $B172 * N162, "")</f>
        <v>-12716.763005780345</v>
      </c>
      <c r="Q162" s="227"/>
      <c r="R162" s="228"/>
      <c r="S162" s="229"/>
    </row>
    <row r="163" spans="1:19" ht="17.25" thickBot="1">
      <c r="A163" s="162" t="s">
        <v>246</v>
      </c>
      <c r="B163" s="126">
        <v>255</v>
      </c>
      <c r="C163" s="77">
        <v>-0.1414141414</v>
      </c>
      <c r="D163" s="15">
        <v>231</v>
      </c>
      <c r="E163" s="32">
        <f t="shared" ref="E163:E166" si="86">IF(ISNUMBER(D163), (D163 - $B163) / $B163, "")</f>
        <v>-9.4117647058823528E-2</v>
      </c>
      <c r="F163" s="18">
        <f>IF(ISNUMBER(D163), $B172 * E163, "")</f>
        <v>-9411.7647058823532</v>
      </c>
      <c r="G163" s="31">
        <v>230</v>
      </c>
      <c r="H163" s="32">
        <f t="shared" ref="H163:H166" si="87">IF(ISNUMBER(G163), (G163 - $B163) / $B163, "")</f>
        <v>-9.8039215686274508E-2</v>
      </c>
      <c r="I163" s="101">
        <f>IF(ISNUMBER(G163), $B172 * H163, "")</f>
        <v>-9803.9215686274511</v>
      </c>
      <c r="J163" s="15">
        <v>232</v>
      </c>
      <c r="K163" s="32">
        <f t="shared" ref="K163:K166" si="88">IF(ISNUMBER(J163), (J163 - $B163) / $B163, "")</f>
        <v>-9.0196078431372548E-2</v>
      </c>
      <c r="L163" s="18">
        <f>IF(ISNUMBER(J163), $B172 * K163, "")</f>
        <v>-9019.6078431372553</v>
      </c>
      <c r="M163" s="31">
        <v>236</v>
      </c>
      <c r="N163" s="32">
        <f t="shared" ref="N163:N166" si="89">IF(ISNUMBER(M163), (M163 - $B163) / $B163, "")</f>
        <v>-7.4509803921568626E-2</v>
      </c>
      <c r="O163" s="18">
        <f>IF(ISNUMBER(M163), $B172 * N163, "")</f>
        <v>-7450.9803921568628</v>
      </c>
      <c r="Q163" s="230"/>
      <c r="R163" s="231"/>
      <c r="S163" s="232"/>
    </row>
    <row r="164" spans="1:19" ht="17.25" thickBot="1">
      <c r="A164" s="162" t="s">
        <v>210</v>
      </c>
      <c r="B164" s="126">
        <v>105</v>
      </c>
      <c r="C164" s="77">
        <v>-0.14634146340000001</v>
      </c>
      <c r="D164" s="15">
        <v>83.3</v>
      </c>
      <c r="E164" s="32">
        <f t="shared" si="86"/>
        <v>-0.20666666666666669</v>
      </c>
      <c r="F164" s="18">
        <f>IF(ISNUMBER(D164), $B172 * E164, "")</f>
        <v>-20666.666666666668</v>
      </c>
      <c r="G164" s="31">
        <v>83.3</v>
      </c>
      <c r="H164" s="32">
        <f t="shared" si="87"/>
        <v>-0.20666666666666669</v>
      </c>
      <c r="I164" s="101">
        <f>IF(ISNUMBER(G164), $B172 * H164, "")</f>
        <v>-20666.666666666668</v>
      </c>
      <c r="J164" s="15">
        <v>83.6</v>
      </c>
      <c r="K164" s="32">
        <f t="shared" si="88"/>
        <v>-0.20380952380952386</v>
      </c>
      <c r="L164" s="18">
        <f>IF(ISNUMBER(J164), $B172 * K164, "")</f>
        <v>-20380.952380952385</v>
      </c>
      <c r="M164" s="31">
        <v>85.2</v>
      </c>
      <c r="N164" s="32">
        <f t="shared" si="89"/>
        <v>-0.18857142857142856</v>
      </c>
      <c r="O164" s="18">
        <f>IF(ISNUMBER(M164), $B172 * N164, "")</f>
        <v>-18857.142857142855</v>
      </c>
      <c r="Q164" s="223"/>
      <c r="R164" s="223"/>
      <c r="S164" s="223"/>
    </row>
    <row r="165" spans="1:19" ht="17.25" thickBot="1">
      <c r="A165" s="162" t="s">
        <v>112</v>
      </c>
      <c r="B165" s="126">
        <v>152</v>
      </c>
      <c r="C165" s="77">
        <v>-0.15083798879999999</v>
      </c>
      <c r="D165" s="15">
        <v>131</v>
      </c>
      <c r="E165" s="32">
        <f t="shared" si="86"/>
        <v>-0.13815789473684212</v>
      </c>
      <c r="F165" s="18">
        <f>IF(ISNUMBER(D165), $B172 * E165, "")</f>
        <v>-13815.789473684212</v>
      </c>
      <c r="G165" s="31">
        <v>129</v>
      </c>
      <c r="H165" s="32">
        <f t="shared" si="87"/>
        <v>-0.15131578947368421</v>
      </c>
      <c r="I165" s="101">
        <f>IF(ISNUMBER(G165), $B172 * H165, "")</f>
        <v>-15131.578947368422</v>
      </c>
      <c r="J165" s="15">
        <v>127</v>
      </c>
      <c r="K165" s="32">
        <f t="shared" si="88"/>
        <v>-0.16447368421052633</v>
      </c>
      <c r="L165" s="18">
        <f>IF(ISNUMBER(J165), $B172 * K165, "")</f>
        <v>-16447.368421052633</v>
      </c>
      <c r="M165" s="31">
        <v>132</v>
      </c>
      <c r="N165" s="32">
        <f t="shared" si="89"/>
        <v>-0.13157894736842105</v>
      </c>
      <c r="O165" s="18">
        <f>IF(ISNUMBER(M165), $B172 * N165, "")</f>
        <v>-13157.894736842105</v>
      </c>
      <c r="Q165" s="233"/>
      <c r="R165" s="233"/>
      <c r="S165" s="233"/>
    </row>
    <row r="166" spans="1:19" ht="17.25" thickBot="1">
      <c r="A166" s="163" t="s">
        <v>174</v>
      </c>
      <c r="B166" s="128">
        <v>142</v>
      </c>
      <c r="C166" s="78">
        <v>-0.15976331360000001</v>
      </c>
      <c r="D166" s="20">
        <v>123</v>
      </c>
      <c r="E166" s="21">
        <f t="shared" si="86"/>
        <v>-0.13380281690140844</v>
      </c>
      <c r="F166" s="22">
        <f>IF(ISNUMBER(D166), $B172 * E166, "")</f>
        <v>-13380.281690140844</v>
      </c>
      <c r="G166" s="30">
        <v>111</v>
      </c>
      <c r="H166" s="21">
        <f t="shared" si="87"/>
        <v>-0.21830985915492956</v>
      </c>
      <c r="I166" s="105">
        <f>IF(ISNUMBER(G166), $B172 * H166, "")</f>
        <v>-21830.985915492958</v>
      </c>
      <c r="J166" s="20">
        <v>113</v>
      </c>
      <c r="K166" s="21">
        <f t="shared" si="88"/>
        <v>-0.20422535211267606</v>
      </c>
      <c r="L166" s="22">
        <f>IF(ISNUMBER(J166), $B172 * K166, "")</f>
        <v>-20422.535211267605</v>
      </c>
      <c r="M166" s="30">
        <v>115</v>
      </c>
      <c r="N166" s="21">
        <f t="shared" si="89"/>
        <v>-0.19014084507042253</v>
      </c>
      <c r="O166" s="22">
        <f>IF(ISNUMBER(M166), $B172 * N166, "")</f>
        <v>-19014.084507042255</v>
      </c>
      <c r="Q166" s="233"/>
      <c r="R166" s="233"/>
      <c r="S166" s="233"/>
    </row>
    <row r="167" spans="1:19" ht="17.25" thickBot="1">
      <c r="A167" s="162" t="s">
        <v>238</v>
      </c>
      <c r="B167" s="129">
        <v>111</v>
      </c>
      <c r="C167" s="80">
        <v>-0.35838150289999998</v>
      </c>
      <c r="D167" s="106">
        <v>91.3</v>
      </c>
      <c r="E167" s="107">
        <f>IF(ISNUMBER(D167), (D167 - $B167) / $B167, "")</f>
        <v>-0.1774774774774775</v>
      </c>
      <c r="F167" s="108">
        <f>IF(ISNUMBER(D167), $B172 * E167, "")</f>
        <v>-17747.747747747751</v>
      </c>
      <c r="G167" s="109">
        <v>92.9</v>
      </c>
      <c r="H167" s="107">
        <f>IF(ISNUMBER(G167), (G167 - $B167) / $B167, "")</f>
        <v>-0.16306306306306301</v>
      </c>
      <c r="I167" s="110">
        <f>IF(ISNUMBER(G167), $B172 * H167, "")</f>
        <v>-16306.3063063063</v>
      </c>
      <c r="J167" s="106">
        <v>89.8</v>
      </c>
      <c r="K167" s="107">
        <f>IF(ISNUMBER(J167), (J167 - $B167) / $B167, "")</f>
        <v>-0.19099099099099101</v>
      </c>
      <c r="L167" s="108">
        <f>IF(ISNUMBER(J167), $B172 * K167, "")</f>
        <v>-19099.099099099101</v>
      </c>
      <c r="M167" s="109">
        <v>88</v>
      </c>
      <c r="N167" s="107">
        <f>IF(ISNUMBER(M167), (M167 - $B167) / $B167, "")</f>
        <v>-0.2072072072072072</v>
      </c>
      <c r="O167" s="108">
        <f>IF(ISNUMBER(M167), $B172 * N167, "")</f>
        <v>-20720.720720720721</v>
      </c>
      <c r="Q167" s="223"/>
      <c r="R167" s="223"/>
      <c r="S167" s="223"/>
    </row>
    <row r="168" spans="1:19" ht="17.25" thickBot="1">
      <c r="A168" s="162" t="s">
        <v>162</v>
      </c>
      <c r="B168" s="126">
        <v>730</v>
      </c>
      <c r="C168" s="77">
        <v>-0.37606837609999999</v>
      </c>
      <c r="D168" s="15">
        <v>547</v>
      </c>
      <c r="E168" s="32">
        <f t="shared" ref="E168:E171" si="90">IF(ISNUMBER(D168), (D168 - $B168) / $B168, "")</f>
        <v>-0.25068493150684934</v>
      </c>
      <c r="F168" s="18">
        <f>IF(ISNUMBER(D168), $B172 * E168, "")</f>
        <v>-25068.493150684935</v>
      </c>
      <c r="G168" s="31">
        <v>538</v>
      </c>
      <c r="H168" s="32">
        <f t="shared" ref="H168:H171" si="91">IF(ISNUMBER(G168), (G168 - $B168) / $B168, "")</f>
        <v>-0.26301369863013696</v>
      </c>
      <c r="I168" s="101">
        <f>IF(ISNUMBER(G168), $B172 * H168, "")</f>
        <v>-26301.369863013697</v>
      </c>
      <c r="J168" s="15">
        <v>532</v>
      </c>
      <c r="K168" s="32">
        <f t="shared" ref="K168:K171" si="92">IF(ISNUMBER(J168), (J168 - $B168) / $B168, "")</f>
        <v>-0.27123287671232876</v>
      </c>
      <c r="L168" s="18">
        <f>IF(ISNUMBER(J168), $B172 * K168, "")</f>
        <v>-27123.287671232876</v>
      </c>
      <c r="M168" s="31">
        <v>535</v>
      </c>
      <c r="N168" s="32">
        <f t="shared" ref="N168:N171" si="93">IF(ISNUMBER(M168), (M168 - $B168) / $B168, "")</f>
        <v>-0.26712328767123289</v>
      </c>
      <c r="O168" s="18">
        <f>IF(ISNUMBER(M168), $B172 * N168, "")</f>
        <v>-26712.32876712329</v>
      </c>
      <c r="Q168" s="223"/>
      <c r="R168" s="223"/>
      <c r="S168" s="223"/>
    </row>
    <row r="169" spans="1:19" ht="17.25" thickBot="1">
      <c r="A169" s="162" t="s">
        <v>234</v>
      </c>
      <c r="B169" s="126">
        <v>450</v>
      </c>
      <c r="C169" s="77">
        <v>-0.40789473679999999</v>
      </c>
      <c r="D169" s="15">
        <v>325</v>
      </c>
      <c r="E169" s="32">
        <f t="shared" si="90"/>
        <v>-0.27777777777777779</v>
      </c>
      <c r="F169" s="18">
        <f>IF(ISNUMBER(D169), $B172 * E169, "")</f>
        <v>-27777.777777777777</v>
      </c>
      <c r="G169" s="31">
        <v>320</v>
      </c>
      <c r="H169" s="32">
        <f t="shared" si="91"/>
        <v>-0.28888888888888886</v>
      </c>
      <c r="I169" s="101">
        <f>IF(ISNUMBER(G169), $B172 * H169, "")</f>
        <v>-28888.888888888887</v>
      </c>
      <c r="J169" s="15">
        <v>316</v>
      </c>
      <c r="K169" s="32">
        <f t="shared" si="92"/>
        <v>-0.29777777777777775</v>
      </c>
      <c r="L169" s="18">
        <f>IF(ISNUMBER(J169), $B172 * K169, "")</f>
        <v>-29777.777777777774</v>
      </c>
      <c r="M169" s="31">
        <v>313</v>
      </c>
      <c r="N169" s="32">
        <f t="shared" si="93"/>
        <v>-0.30444444444444446</v>
      </c>
      <c r="O169" s="18">
        <f>IF(ISNUMBER(M169), $B172 * N169, "")</f>
        <v>-30444.444444444445</v>
      </c>
      <c r="Q169" s="223"/>
      <c r="R169" s="223"/>
      <c r="S169" s="223"/>
    </row>
    <row r="170" spans="1:19">
      <c r="A170" s="162" t="s">
        <v>208</v>
      </c>
      <c r="B170" s="126">
        <v>162</v>
      </c>
      <c r="C170" s="77">
        <v>-0.43157894740000002</v>
      </c>
      <c r="D170" s="15">
        <v>105</v>
      </c>
      <c r="E170" s="32">
        <f t="shared" si="90"/>
        <v>-0.35185185185185186</v>
      </c>
      <c r="F170" s="18">
        <f>IF(ISNUMBER(D170), $B172 * E170, "")</f>
        <v>-35185.185185185182</v>
      </c>
      <c r="G170" s="31">
        <v>104</v>
      </c>
      <c r="H170" s="32">
        <f t="shared" si="91"/>
        <v>-0.35802469135802467</v>
      </c>
      <c r="I170" s="101">
        <f>IF(ISNUMBER(G170), $B172 * H170, "")</f>
        <v>-35802.469135802465</v>
      </c>
      <c r="J170" s="15">
        <v>104</v>
      </c>
      <c r="K170" s="32">
        <f t="shared" si="92"/>
        <v>-0.35802469135802467</v>
      </c>
      <c r="L170" s="18">
        <f>IF(ISNUMBER(J170), $B172 * K170, "")</f>
        <v>-35802.469135802465</v>
      </c>
      <c r="M170" s="31">
        <v>103</v>
      </c>
      <c r="N170" s="32">
        <f t="shared" si="93"/>
        <v>-0.36419753086419754</v>
      </c>
      <c r="O170" s="18">
        <f>IF(ISNUMBER(M170), $B172 * N170, "")</f>
        <v>-36419.753086419754</v>
      </c>
      <c r="Q170" s="212"/>
      <c r="R170" s="213"/>
      <c r="S170" s="214"/>
    </row>
    <row r="171" spans="1:19" ht="17.25" thickBot="1">
      <c r="A171" s="130" t="s">
        <v>252</v>
      </c>
      <c r="B171" s="131">
        <v>168</v>
      </c>
      <c r="C171" s="79">
        <v>-0.4362416107</v>
      </c>
      <c r="D171" s="24">
        <v>117</v>
      </c>
      <c r="E171" s="25">
        <f t="shared" si="90"/>
        <v>-0.30357142857142855</v>
      </c>
      <c r="F171" s="104">
        <f>IF(ISNUMBER(D171), $B172 * E171, "")</f>
        <v>-30357.142857142855</v>
      </c>
      <c r="G171" s="102">
        <v>113</v>
      </c>
      <c r="H171" s="25">
        <f t="shared" si="91"/>
        <v>-0.32738095238095238</v>
      </c>
      <c r="I171" s="103">
        <f>IF(ISNUMBER(G171), $B172 * H171, "")</f>
        <v>-32738.095238095237</v>
      </c>
      <c r="J171" s="24">
        <v>115</v>
      </c>
      <c r="K171" s="25">
        <f t="shared" si="92"/>
        <v>-0.31547619047619047</v>
      </c>
      <c r="L171" s="104">
        <f>IF(ISNUMBER(J171), $B172 * K171, "")</f>
        <v>-31547.619047619046</v>
      </c>
      <c r="M171" s="102">
        <v>116</v>
      </c>
      <c r="N171" s="25">
        <f t="shared" si="93"/>
        <v>-0.30952380952380953</v>
      </c>
      <c r="O171" s="104">
        <f>IF(ISNUMBER(M171), $B172 * N171, "")</f>
        <v>-30952.380952380954</v>
      </c>
      <c r="Q171" s="215"/>
      <c r="R171" s="216"/>
      <c r="S171" s="217"/>
    </row>
    <row r="172" spans="1:19" ht="17.25" thickBot="1">
      <c r="A172" s="132" t="s">
        <v>300</v>
      </c>
      <c r="B172" s="276">
        <f>$B$37</f>
        <v>100000</v>
      </c>
      <c r="C172" s="277"/>
      <c r="D172" s="26" t="s">
        <v>301</v>
      </c>
      <c r="E172" s="27">
        <f>IF(COUNT(E152:E171), SUM(E152:E171) / COUNT(E152:E171), 0)</f>
        <v>-0.16904110487275176</v>
      </c>
      <c r="F172" s="28">
        <f>SUM(F152:F171)</f>
        <v>-338082.20974550338</v>
      </c>
      <c r="G172" s="26" t="s">
        <v>301</v>
      </c>
      <c r="H172" s="27">
        <f>IF(COUNT(H152:H171), SUM(H152:H171) / COUNT(H152:H171), 0)</f>
        <v>-0.17966317312122151</v>
      </c>
      <c r="I172" s="28">
        <f>SUM(I152:I171)</f>
        <v>-359326.34624244308</v>
      </c>
      <c r="J172" s="26" t="s">
        <v>301</v>
      </c>
      <c r="K172" s="27">
        <f>IF(COUNT(K152:K171), SUM(K152:K171) / COUNT(K152:K171), 0)</f>
        <v>-0.17553045417381311</v>
      </c>
      <c r="L172" s="28">
        <f>SUM(L152:L171)</f>
        <v>-351060.90834762622</v>
      </c>
      <c r="M172" s="26" t="s">
        <v>301</v>
      </c>
      <c r="N172" s="27">
        <f>IF(COUNT(N152:N171), SUM(N152:N171) / COUNT(N152:N171), 0)</f>
        <v>-0.16714228752925622</v>
      </c>
      <c r="O172" s="28">
        <f>SUM(O152:O171)</f>
        <v>-334284.57505851251</v>
      </c>
      <c r="Q172" s="218"/>
      <c r="R172" s="219"/>
      <c r="S172" s="220"/>
    </row>
    <row r="174" spans="1:19" ht="17.25" thickBot="1"/>
    <row r="175" spans="1:19" ht="17.25" thickBot="1">
      <c r="A175" s="234" t="s">
        <v>285</v>
      </c>
      <c r="B175" s="235"/>
      <c r="C175" s="235"/>
      <c r="D175" s="235"/>
      <c r="E175" s="235"/>
      <c r="F175" s="235"/>
      <c r="G175" s="235"/>
      <c r="H175" s="235"/>
      <c r="I175" s="235"/>
      <c r="J175" s="235"/>
      <c r="K175" s="235"/>
      <c r="L175" s="235"/>
      <c r="M175" s="235"/>
      <c r="N175" s="235"/>
      <c r="O175" s="236"/>
      <c r="Q175" s="233"/>
      <c r="R175" s="233"/>
      <c r="S175" s="233"/>
    </row>
    <row r="176" spans="1:19" ht="17.25" thickBot="1">
      <c r="A176" s="204" t="s">
        <v>297</v>
      </c>
      <c r="B176" s="234" t="s">
        <v>49</v>
      </c>
      <c r="C176" s="236"/>
      <c r="D176" s="234" t="s">
        <v>58</v>
      </c>
      <c r="E176" s="235"/>
      <c r="F176" s="236"/>
      <c r="G176" s="237">
        <f>_xlfn.IFNA(VLOOKUP(B176, 현재가테이블!$B$2:$D$200, 2, FALSE), "-")</f>
        <v>41418000</v>
      </c>
      <c r="H176" s="238"/>
      <c r="I176" s="239"/>
      <c r="J176" s="234" t="s">
        <v>59</v>
      </c>
      <c r="K176" s="235"/>
      <c r="L176" s="236"/>
      <c r="M176" s="240">
        <f>_xlfn.IFNA(VLOOKUP(B176, 현재가테이블!$B$2:$D$200, 3, FALSE), "-")</f>
        <v>-5.2176301000000001E-2</v>
      </c>
      <c r="N176" s="241"/>
      <c r="O176" s="242"/>
      <c r="Q176" s="233"/>
      <c r="R176" s="233"/>
      <c r="S176" s="233"/>
    </row>
    <row r="177" spans="1:19" ht="17.25" thickBot="1">
      <c r="A177" s="278" t="s">
        <v>55</v>
      </c>
      <c r="B177" s="274" t="str">
        <f>TEXT($G$1, "[$-ko-KR]yyyy-mm-dd(ddd) ") &amp; "오전 00:00"</f>
        <v>2021-06-12(토) 오전 00:00</v>
      </c>
      <c r="C177" s="275"/>
      <c r="D177" s="247" t="str">
        <f>TEXT($G$1, "[$-ko-KR]yyyy-mm-dd(ddd) ") &amp; "오후 14:00"</f>
        <v>2021-06-12(토) 오후 14:00</v>
      </c>
      <c r="E177" s="248"/>
      <c r="F177" s="249"/>
      <c r="G177" s="247" t="str">
        <f>TEXT($G$1, "[$-ko-KR]yyyy-mm-dd(ddd) ") &amp; "오후 19:00"</f>
        <v>2021-06-12(토) 오후 19:00</v>
      </c>
      <c r="H177" s="248"/>
      <c r="I177" s="249"/>
      <c r="J177" s="247" t="str">
        <f>TEXT($G$1, "[$-ko-KR]yyyy-mm-dd(ddd) ") &amp; "오후 21:00"</f>
        <v>2021-06-12(토) 오후 21:00</v>
      </c>
      <c r="K177" s="248"/>
      <c r="L177" s="249"/>
      <c r="M177" s="247" t="str">
        <f>TEXT($G$1+1, "[$-ko-KR]yyyy-mm-dd(ddd) ") &amp; "오전 00:00"</f>
        <v>2021-06-13(일) 오전 00:00</v>
      </c>
      <c r="N177" s="248"/>
      <c r="O177" s="249"/>
      <c r="Q177" s="233"/>
      <c r="R177" s="233"/>
      <c r="S177" s="233"/>
    </row>
    <row r="178" spans="1:19" ht="17.25" thickBot="1">
      <c r="A178" s="279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5" t="s">
        <v>58</v>
      </c>
      <c r="H178" s="206" t="s">
        <v>298</v>
      </c>
      <c r="I178" s="20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3"/>
      <c r="R178" s="223"/>
      <c r="S178" s="223"/>
    </row>
    <row r="179" spans="1:19" ht="17.25" thickBot="1">
      <c r="A179" s="161" t="s">
        <v>222</v>
      </c>
      <c r="B179" s="124">
        <v>9.9600000000000009</v>
      </c>
      <c r="C179" s="76">
        <v>-0.14137931030000001</v>
      </c>
      <c r="D179" s="13">
        <v>7.99</v>
      </c>
      <c r="E179" s="14">
        <f>IF(ISNUMBER(D179), (D179 - $B179) / $B179, "")</f>
        <v>-0.19779116465863458</v>
      </c>
      <c r="F179" s="16">
        <f>IF(ISNUMBER(D179), $B199 * E179, "")</f>
        <v>-19779.116465863459</v>
      </c>
      <c r="G179" s="29">
        <v>8.0500000000000007</v>
      </c>
      <c r="H179" s="14">
        <f>IF(ISNUMBER(G179), (G179 - $B179) / $B179, "")</f>
        <v>-0.19176706827309237</v>
      </c>
      <c r="I179" s="100">
        <f>IF(ISNUMBER(G179), $B199 * H179, "")</f>
        <v>-19176.706827309237</v>
      </c>
      <c r="J179" s="13">
        <v>8.17</v>
      </c>
      <c r="K179" s="14">
        <f>IF(ISNUMBER(J179), (J179 - $B179) / $B179, "")</f>
        <v>-0.1797188755020081</v>
      </c>
      <c r="L179" s="16">
        <f>IF(ISNUMBER(J179), $B199 * K179, "")</f>
        <v>-17971.887550200809</v>
      </c>
      <c r="M179" s="29">
        <v>8.2100000000000009</v>
      </c>
      <c r="N179" s="14">
        <f>IF(ISNUMBER(M179), (M179 - $B179) / $B179, "")</f>
        <v>-0.17570281124497991</v>
      </c>
      <c r="O179" s="16">
        <f>IF(ISNUMBER(M179), $B199 * N179, "")</f>
        <v>-17570.281124497989</v>
      </c>
      <c r="Q179" s="233"/>
      <c r="R179" s="233"/>
      <c r="S179" s="233"/>
    </row>
    <row r="180" spans="1:19" ht="17.25" thickBot="1">
      <c r="A180" s="162" t="s">
        <v>246</v>
      </c>
      <c r="B180" s="126">
        <v>255</v>
      </c>
      <c r="C180" s="77">
        <v>-0.1414141414</v>
      </c>
      <c r="D180" s="15">
        <v>231</v>
      </c>
      <c r="E180" s="32">
        <f t="shared" ref="E180:E183" si="94">IF(ISNUMBER(D180), (D180 - $B180) / $B180, "")</f>
        <v>-9.4117647058823528E-2</v>
      </c>
      <c r="F180" s="18">
        <f>IF(ISNUMBER(D180), $B199 * E180, "")</f>
        <v>-9411.7647058823532</v>
      </c>
      <c r="G180" s="31">
        <v>230</v>
      </c>
      <c r="H180" s="32">
        <f t="shared" ref="H180:H183" si="95">IF(ISNUMBER(G180), (G180 - $B180) / $B180, "")</f>
        <v>-9.8039215686274508E-2</v>
      </c>
      <c r="I180" s="101">
        <f>IF(ISNUMBER(G180), $B199 * H180, "")</f>
        <v>-9803.9215686274511</v>
      </c>
      <c r="J180" s="15">
        <v>232</v>
      </c>
      <c r="K180" s="32">
        <f t="shared" ref="K180:K183" si="96">IF(ISNUMBER(J180), (J180 - $B180) / $B180, "")</f>
        <v>-9.0196078431372548E-2</v>
      </c>
      <c r="L180" s="18">
        <f>IF(ISNUMBER(J180), $B199 * K180, "")</f>
        <v>-9019.6078431372553</v>
      </c>
      <c r="M180" s="31">
        <v>236</v>
      </c>
      <c r="N180" s="32">
        <f t="shared" ref="N180:N183" si="97">IF(ISNUMBER(M180), (M180 - $B180) / $B180, "")</f>
        <v>-7.4509803921568626E-2</v>
      </c>
      <c r="O180" s="18">
        <f>IF(ISNUMBER(M180), $B199 * N180, "")</f>
        <v>-7450.9803921568628</v>
      </c>
      <c r="Q180" s="233"/>
      <c r="R180" s="233"/>
      <c r="S180" s="233"/>
    </row>
    <row r="181" spans="1:19" ht="17.25" thickBot="1">
      <c r="A181" s="162" t="s">
        <v>190</v>
      </c>
      <c r="B181" s="126">
        <v>51830</v>
      </c>
      <c r="C181" s="77">
        <v>-0.1455654468</v>
      </c>
      <c r="D181" s="15">
        <v>43660</v>
      </c>
      <c r="E181" s="32">
        <f t="shared" si="94"/>
        <v>-0.15763071580165927</v>
      </c>
      <c r="F181" s="18">
        <f>IF(ISNUMBER(D181), $B199 * E181, "")</f>
        <v>-15763.071580165928</v>
      </c>
      <c r="G181" s="31">
        <v>45290</v>
      </c>
      <c r="H181" s="32">
        <f t="shared" si="95"/>
        <v>-0.12618174802238086</v>
      </c>
      <c r="I181" s="101">
        <f>IF(ISNUMBER(G181), $B199 * H181, "")</f>
        <v>-12618.174802238085</v>
      </c>
      <c r="J181" s="15">
        <v>45600</v>
      </c>
      <c r="K181" s="32">
        <f t="shared" si="96"/>
        <v>-0.12020065599073895</v>
      </c>
      <c r="L181" s="18">
        <f>IF(ISNUMBER(J181), $B199 * K181, "")</f>
        <v>-12020.065599073896</v>
      </c>
      <c r="M181" s="31">
        <v>46880</v>
      </c>
      <c r="N181" s="32">
        <f t="shared" si="97"/>
        <v>-9.5504534053636889E-2</v>
      </c>
      <c r="O181" s="18">
        <f>IF(ISNUMBER(M181), $B199 * N181, "")</f>
        <v>-9550.4534053636889</v>
      </c>
      <c r="Q181" s="223"/>
      <c r="R181" s="223"/>
      <c r="S181" s="223"/>
    </row>
    <row r="182" spans="1:19" ht="17.25" thickBot="1">
      <c r="A182" s="162" t="s">
        <v>210</v>
      </c>
      <c r="B182" s="126">
        <v>105</v>
      </c>
      <c r="C182" s="77">
        <v>-0.14634146340000001</v>
      </c>
      <c r="D182" s="15">
        <v>83.3</v>
      </c>
      <c r="E182" s="32">
        <f t="shared" si="94"/>
        <v>-0.20666666666666669</v>
      </c>
      <c r="F182" s="18">
        <f>IF(ISNUMBER(D182), $B199 * E182, "")</f>
        <v>-20666.666666666668</v>
      </c>
      <c r="G182" s="31">
        <v>83.3</v>
      </c>
      <c r="H182" s="32">
        <f t="shared" si="95"/>
        <v>-0.20666666666666669</v>
      </c>
      <c r="I182" s="101">
        <f>IF(ISNUMBER(G182), $B199 * H182, "")</f>
        <v>-20666.666666666668</v>
      </c>
      <c r="J182" s="15">
        <v>83.6</v>
      </c>
      <c r="K182" s="32">
        <f t="shared" si="96"/>
        <v>-0.20380952380952386</v>
      </c>
      <c r="L182" s="18">
        <f>IF(ISNUMBER(J182), $B199 * K182, "")</f>
        <v>-20380.952380952385</v>
      </c>
      <c r="M182" s="31">
        <v>85.2</v>
      </c>
      <c r="N182" s="32">
        <f t="shared" si="97"/>
        <v>-0.18857142857142856</v>
      </c>
      <c r="O182" s="18">
        <f>IF(ISNUMBER(M182), $B199 * N182, "")</f>
        <v>-18857.142857142855</v>
      </c>
      <c r="Q182" s="223"/>
      <c r="R182" s="223"/>
      <c r="S182" s="223"/>
    </row>
    <row r="183" spans="1:19" ht="17.25" thickBot="1">
      <c r="A183" s="163" t="s">
        <v>112</v>
      </c>
      <c r="B183" s="128">
        <v>152</v>
      </c>
      <c r="C183" s="78">
        <v>-0.15083798879999999</v>
      </c>
      <c r="D183" s="20">
        <v>131</v>
      </c>
      <c r="E183" s="21">
        <f t="shared" si="94"/>
        <v>-0.13815789473684212</v>
      </c>
      <c r="F183" s="22">
        <f>IF(ISNUMBER(D183), $B199 * E183, "")</f>
        <v>-13815.789473684212</v>
      </c>
      <c r="G183" s="30">
        <v>129</v>
      </c>
      <c r="H183" s="21">
        <f t="shared" si="95"/>
        <v>-0.15131578947368421</v>
      </c>
      <c r="I183" s="105">
        <f>IF(ISNUMBER(G183), $B199 * H183, "")</f>
        <v>-15131.578947368422</v>
      </c>
      <c r="J183" s="20">
        <v>127</v>
      </c>
      <c r="K183" s="21">
        <f t="shared" si="96"/>
        <v>-0.16447368421052633</v>
      </c>
      <c r="L183" s="22">
        <f>IF(ISNUMBER(J183), $B199 * K183, "")</f>
        <v>-16447.368421052633</v>
      </c>
      <c r="M183" s="30">
        <v>132</v>
      </c>
      <c r="N183" s="21">
        <f t="shared" si="97"/>
        <v>-0.13157894736842105</v>
      </c>
      <c r="O183" s="22">
        <f>IF(ISNUMBER(M183), $B199 * N183, "")</f>
        <v>-13157.894736842105</v>
      </c>
      <c r="Q183" s="223"/>
      <c r="R183" s="223"/>
      <c r="S183" s="223"/>
    </row>
    <row r="184" spans="1:19" ht="17.25" thickBot="1">
      <c r="A184" s="162" t="s">
        <v>248</v>
      </c>
      <c r="B184" s="129">
        <v>1435</v>
      </c>
      <c r="C184" s="80">
        <v>-0.150887574</v>
      </c>
      <c r="D184" s="106">
        <v>1205</v>
      </c>
      <c r="E184" s="107">
        <f>IF(ISNUMBER(D184), (D184 - $B184) / $B184, "")</f>
        <v>-0.16027874564459929</v>
      </c>
      <c r="F184" s="108">
        <f>IF(ISNUMBER(D184), $B199 * E184, "")</f>
        <v>-16027.874564459929</v>
      </c>
      <c r="G184" s="109">
        <v>1225</v>
      </c>
      <c r="H184" s="107">
        <f>IF(ISNUMBER(G184), (G184 - $B184) / $B184, "")</f>
        <v>-0.14634146341463414</v>
      </c>
      <c r="I184" s="110">
        <f>IF(ISNUMBER(G184), $B199 * H184, "")</f>
        <v>-14634.146341463415</v>
      </c>
      <c r="J184" s="106">
        <v>1230</v>
      </c>
      <c r="K184" s="107">
        <f>IF(ISNUMBER(J184), (J184 - $B184) / $B184, "")</f>
        <v>-0.14285714285714285</v>
      </c>
      <c r="L184" s="108">
        <f>IF(ISNUMBER(J184), $B199 * K184, "")</f>
        <v>-14285.714285714284</v>
      </c>
      <c r="M184" s="109">
        <v>1250</v>
      </c>
      <c r="N184" s="107">
        <f>IF(ISNUMBER(M184), (M184 - $B184) / $B184, "")</f>
        <v>-0.1289198606271777</v>
      </c>
      <c r="O184" s="108">
        <f>IF(ISNUMBER(M184), $B199 * N184, "")</f>
        <v>-12891.98606271777</v>
      </c>
      <c r="Q184" s="223"/>
      <c r="R184" s="223"/>
      <c r="S184" s="223"/>
    </row>
    <row r="185" spans="1:19" ht="17.25" thickBot="1">
      <c r="A185" s="162" t="s">
        <v>174</v>
      </c>
      <c r="B185" s="126">
        <v>142</v>
      </c>
      <c r="C185" s="77">
        <v>-0.15976331360000001</v>
      </c>
      <c r="D185" s="15">
        <v>123</v>
      </c>
      <c r="E185" s="32">
        <f t="shared" ref="E185:E188" si="98">IF(ISNUMBER(D185), (D185 - $B185) / $B185, "")</f>
        <v>-0.13380281690140844</v>
      </c>
      <c r="F185" s="18">
        <f>IF(ISNUMBER(D185), $B199 * E185, "")</f>
        <v>-13380.281690140844</v>
      </c>
      <c r="G185" s="31">
        <v>111</v>
      </c>
      <c r="H185" s="32">
        <f t="shared" ref="H185:H188" si="99">IF(ISNUMBER(G185), (G185 - $B185) / $B185, "")</f>
        <v>-0.21830985915492956</v>
      </c>
      <c r="I185" s="101">
        <f>IF(ISNUMBER(G185), $B199 * H185, "")</f>
        <v>-21830.985915492958</v>
      </c>
      <c r="J185" s="15">
        <v>113</v>
      </c>
      <c r="K185" s="32">
        <f t="shared" ref="K185:K188" si="100">IF(ISNUMBER(J185), (J185 - $B185) / $B185, "")</f>
        <v>-0.20422535211267606</v>
      </c>
      <c r="L185" s="18">
        <f>IF(ISNUMBER(J185), $B199 * K185, "")</f>
        <v>-20422.535211267605</v>
      </c>
      <c r="M185" s="31">
        <v>115</v>
      </c>
      <c r="N185" s="32">
        <f t="shared" ref="N185:N188" si="101">IF(ISNUMBER(M185), (M185 - $B185) / $B185, "")</f>
        <v>-0.19014084507042253</v>
      </c>
      <c r="O185" s="18">
        <f>IF(ISNUMBER(M185), $B199 * N185, "")</f>
        <v>-19014.084507042255</v>
      </c>
      <c r="Q185" s="223"/>
      <c r="R185" s="223"/>
      <c r="S185" s="223"/>
    </row>
    <row r="186" spans="1:19" ht="17.25" thickBot="1">
      <c r="A186" s="162" t="s">
        <v>268</v>
      </c>
      <c r="B186" s="126">
        <v>40.799999999999997</v>
      </c>
      <c r="C186" s="77">
        <v>-0.187250996</v>
      </c>
      <c r="D186" s="15">
        <v>33.1</v>
      </c>
      <c r="E186" s="32">
        <f t="shared" si="98"/>
        <v>-0.18872549019607834</v>
      </c>
      <c r="F186" s="18">
        <f>IF(ISNUMBER(D186), $B199 * E186, "")</f>
        <v>-18872.549019607835</v>
      </c>
      <c r="G186" s="31">
        <v>32.299999999999997</v>
      </c>
      <c r="H186" s="32">
        <f t="shared" si="99"/>
        <v>-0.20833333333333334</v>
      </c>
      <c r="I186" s="101">
        <f>IF(ISNUMBER(G186), $B199 * H186, "")</f>
        <v>-20833.333333333336</v>
      </c>
      <c r="J186" s="15">
        <v>32</v>
      </c>
      <c r="K186" s="32">
        <f t="shared" si="100"/>
        <v>-0.21568627450980388</v>
      </c>
      <c r="L186" s="18">
        <f>IF(ISNUMBER(J186), $B199 * K186, "")</f>
        <v>-21568.627450980388</v>
      </c>
      <c r="M186" s="31">
        <v>31.9</v>
      </c>
      <c r="N186" s="32">
        <f t="shared" si="101"/>
        <v>-0.21813725490196076</v>
      </c>
      <c r="O186" s="18">
        <f>IF(ISNUMBER(M186), $B199 * N186, "")</f>
        <v>-21813.725490196077</v>
      </c>
      <c r="Q186" s="223"/>
      <c r="R186" s="223"/>
      <c r="S186" s="223"/>
    </row>
    <row r="187" spans="1:19" ht="17.25" thickBot="1">
      <c r="A187" s="162" t="s">
        <v>238</v>
      </c>
      <c r="B187" s="126">
        <v>111</v>
      </c>
      <c r="C187" s="77">
        <v>-0.35838150289999998</v>
      </c>
      <c r="D187" s="15">
        <v>91.3</v>
      </c>
      <c r="E187" s="32">
        <f t="shared" si="98"/>
        <v>-0.1774774774774775</v>
      </c>
      <c r="F187" s="18">
        <f>IF(ISNUMBER(D187), $B199 * E187, "")</f>
        <v>-17747.747747747751</v>
      </c>
      <c r="G187" s="31">
        <v>92.9</v>
      </c>
      <c r="H187" s="32">
        <f t="shared" si="99"/>
        <v>-0.16306306306306301</v>
      </c>
      <c r="I187" s="101">
        <f>IF(ISNUMBER(G187), $B199 * H187, "")</f>
        <v>-16306.3063063063</v>
      </c>
      <c r="J187" s="15">
        <v>89.8</v>
      </c>
      <c r="K187" s="32">
        <f t="shared" si="100"/>
        <v>-0.19099099099099101</v>
      </c>
      <c r="L187" s="18">
        <f>IF(ISNUMBER(J187), $B199 * K187, "")</f>
        <v>-19099.099099099101</v>
      </c>
      <c r="M187" s="31">
        <v>88</v>
      </c>
      <c r="N187" s="32">
        <f t="shared" si="101"/>
        <v>-0.2072072072072072</v>
      </c>
      <c r="O187" s="18">
        <f>IF(ISNUMBER(M187), $B199 * N187, "")</f>
        <v>-20720.720720720721</v>
      </c>
      <c r="Q187" s="33"/>
      <c r="R187" s="33"/>
    </row>
    <row r="188" spans="1:19" ht="17.25" thickBot="1">
      <c r="A188" s="130" t="s">
        <v>282</v>
      </c>
      <c r="B188" s="131">
        <v>72.5</v>
      </c>
      <c r="C188" s="79">
        <v>-0.36403508769999998</v>
      </c>
      <c r="D188" s="24">
        <v>56.9</v>
      </c>
      <c r="E188" s="25">
        <f t="shared" si="98"/>
        <v>-0.21517241379310348</v>
      </c>
      <c r="F188" s="104">
        <f>IF(ISNUMBER(D188), $B199 * E188, "")</f>
        <v>-21517.241379310348</v>
      </c>
      <c r="G188" s="102">
        <v>56.1</v>
      </c>
      <c r="H188" s="25">
        <f t="shared" si="99"/>
        <v>-0.22620689655172413</v>
      </c>
      <c r="I188" s="103">
        <f>IF(ISNUMBER(G188), $B199 * H188, "")</f>
        <v>-22620.689655172413</v>
      </c>
      <c r="J188" s="24">
        <v>55</v>
      </c>
      <c r="K188" s="25">
        <f t="shared" si="100"/>
        <v>-0.2413793103448276</v>
      </c>
      <c r="L188" s="104">
        <f>IF(ISNUMBER(J188), $B199 * K188, "")</f>
        <v>-24137.931034482761</v>
      </c>
      <c r="M188" s="102">
        <v>55.9</v>
      </c>
      <c r="N188" s="25">
        <f t="shared" si="101"/>
        <v>-0.22896551724137934</v>
      </c>
      <c r="O188" s="104">
        <f>IF(ISNUMBER(M188), $B199 * N188, "")</f>
        <v>-22896.551724137935</v>
      </c>
      <c r="Q188" s="224"/>
      <c r="R188" s="225"/>
      <c r="S188" s="226"/>
    </row>
    <row r="189" spans="1:19">
      <c r="A189" s="161" t="s">
        <v>162</v>
      </c>
      <c r="B189" s="124">
        <v>730</v>
      </c>
      <c r="C189" s="76">
        <v>-0.37606837609999999</v>
      </c>
      <c r="D189" s="13">
        <v>547</v>
      </c>
      <c r="E189" s="14">
        <f>IF(ISNUMBER(D189), (D189 - $B189) / $B189, "")</f>
        <v>-0.25068493150684934</v>
      </c>
      <c r="F189" s="16">
        <f>IF(ISNUMBER(D189), $B199 * E189, "")</f>
        <v>-25068.493150684935</v>
      </c>
      <c r="G189" s="29">
        <v>538</v>
      </c>
      <c r="H189" s="14">
        <f>IF(ISNUMBER(G189), (G189 - $B189) / $B189, "")</f>
        <v>-0.26301369863013696</v>
      </c>
      <c r="I189" s="100">
        <f>IF(ISNUMBER(G189), $B199 * H189, "")</f>
        <v>-26301.369863013697</v>
      </c>
      <c r="J189" s="13">
        <v>532</v>
      </c>
      <c r="K189" s="14">
        <f>IF(ISNUMBER(J189), (J189 - $B189) / $B189, "")</f>
        <v>-0.27123287671232876</v>
      </c>
      <c r="L189" s="16">
        <f>IF(ISNUMBER(J189), $B199 * K189, "")</f>
        <v>-27123.287671232876</v>
      </c>
      <c r="M189" s="29">
        <v>535</v>
      </c>
      <c r="N189" s="14">
        <f>IF(ISNUMBER(M189), (M189 - $B189) / $B189, "")</f>
        <v>-0.26712328767123289</v>
      </c>
      <c r="O189" s="16">
        <f>IF(ISNUMBER(M189), $B199 * N189, "")</f>
        <v>-26712.32876712329</v>
      </c>
      <c r="Q189" s="227"/>
      <c r="R189" s="228"/>
      <c r="S189" s="229"/>
    </row>
    <row r="190" spans="1:19" ht="17.25" thickBot="1">
      <c r="A190" s="162" t="s">
        <v>250</v>
      </c>
      <c r="B190" s="126">
        <v>73.400000000000006</v>
      </c>
      <c r="C190" s="77">
        <v>-0.40325203250000002</v>
      </c>
      <c r="D190" s="15">
        <v>55.4</v>
      </c>
      <c r="E190" s="32">
        <f t="shared" ref="E190:E193" si="102">IF(ISNUMBER(D190), (D190 - $B190) / $B190, "")</f>
        <v>-0.24523160762942786</v>
      </c>
      <c r="F190" s="18">
        <f>IF(ISNUMBER(D190), $B199 * E190, "")</f>
        <v>-24523.160762942785</v>
      </c>
      <c r="G190" s="31">
        <v>56.6</v>
      </c>
      <c r="H190" s="32">
        <f t="shared" ref="H190:H193" si="103">IF(ISNUMBER(G190), (G190 - $B190) / $B190, "")</f>
        <v>-0.22888283378746599</v>
      </c>
      <c r="I190" s="101">
        <f>IF(ISNUMBER(G190), $B199 * H190, "")</f>
        <v>-22888.283378746601</v>
      </c>
      <c r="J190" s="15">
        <v>55.6</v>
      </c>
      <c r="K190" s="32">
        <f t="shared" ref="K190:K193" si="104">IF(ISNUMBER(J190), (J190 - $B190) / $B190, "")</f>
        <v>-0.24250681198910085</v>
      </c>
      <c r="L190" s="18">
        <f>IF(ISNUMBER(J190), $B199 * K190, "")</f>
        <v>-24250.681198910086</v>
      </c>
      <c r="M190" s="31">
        <v>58.8</v>
      </c>
      <c r="N190" s="32">
        <f t="shared" ref="N190:N193" si="105">IF(ISNUMBER(M190), (M190 - $B190) / $B190, "")</f>
        <v>-0.19891008174386932</v>
      </c>
      <c r="O190" s="18">
        <f>IF(ISNUMBER(M190), $B199 * N190, "")</f>
        <v>-19891.00817438693</v>
      </c>
      <c r="Q190" s="230"/>
      <c r="R190" s="231"/>
      <c r="S190" s="232"/>
    </row>
    <row r="191" spans="1:19" ht="17.25" thickBot="1">
      <c r="A191" s="162" t="s">
        <v>234</v>
      </c>
      <c r="B191" s="126">
        <v>450</v>
      </c>
      <c r="C191" s="77">
        <v>-0.40789473679999999</v>
      </c>
      <c r="D191" s="15">
        <v>325</v>
      </c>
      <c r="E191" s="32">
        <f t="shared" si="102"/>
        <v>-0.27777777777777779</v>
      </c>
      <c r="F191" s="18">
        <f>IF(ISNUMBER(D191), $B199 * E191, "")</f>
        <v>-27777.777777777777</v>
      </c>
      <c r="G191" s="31">
        <v>320</v>
      </c>
      <c r="H191" s="32">
        <f t="shared" si="103"/>
        <v>-0.28888888888888886</v>
      </c>
      <c r="I191" s="101">
        <f>IF(ISNUMBER(G191), $B199 * H191, "")</f>
        <v>-28888.888888888887</v>
      </c>
      <c r="J191" s="15">
        <v>316</v>
      </c>
      <c r="K191" s="32">
        <f t="shared" si="104"/>
        <v>-0.29777777777777775</v>
      </c>
      <c r="L191" s="18">
        <f>IF(ISNUMBER(J191), $B199 * K191, "")</f>
        <v>-29777.777777777774</v>
      </c>
      <c r="M191" s="31">
        <v>313</v>
      </c>
      <c r="N191" s="32">
        <f t="shared" si="105"/>
        <v>-0.30444444444444446</v>
      </c>
      <c r="O191" s="18">
        <f>IF(ISNUMBER(M191), $B199 * N191, "")</f>
        <v>-30444.444444444445</v>
      </c>
      <c r="Q191" s="223"/>
      <c r="R191" s="223"/>
      <c r="S191" s="223"/>
    </row>
    <row r="192" spans="1:19" ht="17.25" thickBot="1">
      <c r="A192" s="162" t="s">
        <v>208</v>
      </c>
      <c r="B192" s="126">
        <v>162</v>
      </c>
      <c r="C192" s="77">
        <v>-0.43157894740000002</v>
      </c>
      <c r="D192" s="15">
        <v>105</v>
      </c>
      <c r="E192" s="32">
        <f t="shared" si="102"/>
        <v>-0.35185185185185186</v>
      </c>
      <c r="F192" s="18">
        <f>IF(ISNUMBER(D192), $B199 * E192, "")</f>
        <v>-35185.185185185182</v>
      </c>
      <c r="G192" s="31">
        <v>104</v>
      </c>
      <c r="H192" s="32">
        <f t="shared" si="103"/>
        <v>-0.35802469135802467</v>
      </c>
      <c r="I192" s="101">
        <f>IF(ISNUMBER(G192), $B199 * H192, "")</f>
        <v>-35802.469135802465</v>
      </c>
      <c r="J192" s="15">
        <v>104</v>
      </c>
      <c r="K192" s="32">
        <f t="shared" si="104"/>
        <v>-0.35802469135802467</v>
      </c>
      <c r="L192" s="18">
        <f>IF(ISNUMBER(J192), $B199 * K192, "")</f>
        <v>-35802.469135802465</v>
      </c>
      <c r="M192" s="31">
        <v>103</v>
      </c>
      <c r="N192" s="32">
        <f t="shared" si="105"/>
        <v>-0.36419753086419754</v>
      </c>
      <c r="O192" s="18">
        <f>IF(ISNUMBER(M192), $B199 * N192, "")</f>
        <v>-36419.753086419754</v>
      </c>
      <c r="Q192" s="233"/>
      <c r="R192" s="233"/>
      <c r="S192" s="233"/>
    </row>
    <row r="193" spans="1:19" ht="17.25" thickBot="1">
      <c r="A193" s="163" t="s">
        <v>236</v>
      </c>
      <c r="B193" s="128">
        <v>31.1</v>
      </c>
      <c r="C193" s="78">
        <v>-0.43454545449999998</v>
      </c>
      <c r="D193" s="20">
        <v>23</v>
      </c>
      <c r="E193" s="21">
        <f t="shared" si="102"/>
        <v>-0.26045016077170419</v>
      </c>
      <c r="F193" s="22">
        <f>IF(ISNUMBER(D193), $B199 * E193, "")</f>
        <v>-26045.016077170418</v>
      </c>
      <c r="G193" s="30">
        <v>22.6</v>
      </c>
      <c r="H193" s="21">
        <f t="shared" si="103"/>
        <v>-0.27331189710610931</v>
      </c>
      <c r="I193" s="105">
        <f>IF(ISNUMBER(G193), $B199 * H193, "")</f>
        <v>-27331.189710610932</v>
      </c>
      <c r="J193" s="20">
        <v>22.1</v>
      </c>
      <c r="K193" s="21">
        <f t="shared" si="104"/>
        <v>-0.28938906752411575</v>
      </c>
      <c r="L193" s="22">
        <f>IF(ISNUMBER(J193), $B199 * K193, "")</f>
        <v>-28938.906752411574</v>
      </c>
      <c r="M193" s="30">
        <v>21.8</v>
      </c>
      <c r="N193" s="21">
        <f t="shared" si="105"/>
        <v>-0.29903536977491962</v>
      </c>
      <c r="O193" s="22">
        <f>IF(ISNUMBER(M193), $B199 * N193, "")</f>
        <v>-29903.536977491964</v>
      </c>
      <c r="Q193" s="233"/>
      <c r="R193" s="233"/>
      <c r="S193" s="233"/>
    </row>
    <row r="194" spans="1:19" ht="17.25" thickBot="1">
      <c r="A194" s="162" t="s">
        <v>252</v>
      </c>
      <c r="B194" s="129">
        <v>168</v>
      </c>
      <c r="C194" s="80">
        <v>-0.4362416107</v>
      </c>
      <c r="D194" s="106">
        <v>117</v>
      </c>
      <c r="E194" s="107">
        <f>IF(ISNUMBER(D194), (D194 - $B194) / $B194, "")</f>
        <v>-0.30357142857142855</v>
      </c>
      <c r="F194" s="108">
        <f>IF(ISNUMBER(D194), $B199 * E194, "")</f>
        <v>-30357.142857142855</v>
      </c>
      <c r="G194" s="109">
        <v>113</v>
      </c>
      <c r="H194" s="107">
        <f>IF(ISNUMBER(G194), (G194 - $B194) / $B194, "")</f>
        <v>-0.32738095238095238</v>
      </c>
      <c r="I194" s="110">
        <f>IF(ISNUMBER(G194), $B199 * H194, "")</f>
        <v>-32738.095238095237</v>
      </c>
      <c r="J194" s="106">
        <v>115</v>
      </c>
      <c r="K194" s="107">
        <f>IF(ISNUMBER(J194), (J194 - $B194) / $B194, "")</f>
        <v>-0.31547619047619047</v>
      </c>
      <c r="L194" s="108">
        <f>IF(ISNUMBER(J194), $B199 * K194, "")</f>
        <v>-31547.619047619046</v>
      </c>
      <c r="M194" s="109">
        <v>116</v>
      </c>
      <c r="N194" s="107">
        <f>IF(ISNUMBER(M194), (M194 - $B194) / $B194, "")</f>
        <v>-0.30952380952380953</v>
      </c>
      <c r="O194" s="108">
        <f>IF(ISNUMBER(M194), $B199 * N194, "")</f>
        <v>-30952.380952380954</v>
      </c>
      <c r="Q194" s="223"/>
      <c r="R194" s="223"/>
      <c r="S194" s="223"/>
    </row>
    <row r="195" spans="1:19" ht="17.25" thickBot="1">
      <c r="A195" s="162" t="s">
        <v>122</v>
      </c>
      <c r="B195" s="126">
        <v>40.200000000000003</v>
      </c>
      <c r="C195" s="77">
        <v>-0.43776223780000001</v>
      </c>
      <c r="D195" s="15">
        <v>28</v>
      </c>
      <c r="E195" s="32">
        <f t="shared" ref="E195:E198" si="106">IF(ISNUMBER(D195), (D195 - $B195) / $B195, "")</f>
        <v>-0.30348258706467668</v>
      </c>
      <c r="F195" s="18">
        <f>IF(ISNUMBER(D195), $B199 * E195, "")</f>
        <v>-30348.258706467666</v>
      </c>
      <c r="G195" s="31">
        <v>27.6</v>
      </c>
      <c r="H195" s="32">
        <f t="shared" ref="H195:H198" si="107">IF(ISNUMBER(G195), (G195 - $B195) / $B195, "")</f>
        <v>-0.31343283582089554</v>
      </c>
      <c r="I195" s="101">
        <f>IF(ISNUMBER(G195), $B199 * H195, "")</f>
        <v>-31343.283582089553</v>
      </c>
      <c r="J195" s="15">
        <v>27</v>
      </c>
      <c r="K195" s="32">
        <f t="shared" ref="K195:K198" si="108">IF(ISNUMBER(J195), (J195 - $B195) / $B195, "")</f>
        <v>-0.32835820895522394</v>
      </c>
      <c r="L195" s="18">
        <f>IF(ISNUMBER(J195), $B199 * K195, "")</f>
        <v>-32835.820895522396</v>
      </c>
      <c r="M195" s="31">
        <v>27</v>
      </c>
      <c r="N195" s="32">
        <f t="shared" ref="N195:N198" si="109">IF(ISNUMBER(M195), (M195 - $B195) / $B195, "")</f>
        <v>-0.32835820895522394</v>
      </c>
      <c r="O195" s="18">
        <f>IF(ISNUMBER(M195), $B199 * N195, "")</f>
        <v>-32835.820895522396</v>
      </c>
      <c r="Q195" s="223"/>
      <c r="R195" s="223"/>
      <c r="S195" s="223"/>
    </row>
    <row r="196" spans="1:19" ht="17.25" thickBot="1">
      <c r="A196" s="162" t="s">
        <v>218</v>
      </c>
      <c r="B196" s="126">
        <v>8.82</v>
      </c>
      <c r="C196" s="77">
        <v>-0.43821656050000002</v>
      </c>
      <c r="D196" s="15">
        <v>5.97</v>
      </c>
      <c r="E196" s="32">
        <f t="shared" si="106"/>
        <v>-0.3231292517006803</v>
      </c>
      <c r="F196" s="18">
        <f>IF(ISNUMBER(D196), $B199 * E196, "")</f>
        <v>-32312.925170068029</v>
      </c>
      <c r="G196" s="31">
        <v>5.85</v>
      </c>
      <c r="H196" s="32">
        <f t="shared" si="107"/>
        <v>-0.33673469387755106</v>
      </c>
      <c r="I196" s="101">
        <f>IF(ISNUMBER(G196), $B199 * H196, "")</f>
        <v>-33673.469387755104</v>
      </c>
      <c r="J196" s="15">
        <v>5.72</v>
      </c>
      <c r="K196" s="32">
        <f t="shared" si="108"/>
        <v>-0.35147392290249441</v>
      </c>
      <c r="L196" s="18">
        <f>IF(ISNUMBER(J196), $B199 * K196, "")</f>
        <v>-35147.392290249438</v>
      </c>
      <c r="M196" s="31">
        <v>5.68</v>
      </c>
      <c r="N196" s="32">
        <f t="shared" si="109"/>
        <v>-0.35600907029478462</v>
      </c>
      <c r="O196" s="18">
        <f>IF(ISNUMBER(M196), $B199 * N196, "")</f>
        <v>-35600.907029478461</v>
      </c>
      <c r="Q196" s="223"/>
      <c r="R196" s="223"/>
      <c r="S196" s="223"/>
    </row>
    <row r="197" spans="1:19">
      <c r="A197" s="162" t="s">
        <v>172</v>
      </c>
      <c r="B197" s="126">
        <v>8.24</v>
      </c>
      <c r="C197" s="77">
        <v>-0.43945578229999999</v>
      </c>
      <c r="D197" s="15">
        <v>5.59</v>
      </c>
      <c r="E197" s="32">
        <f t="shared" si="106"/>
        <v>-0.32160194174757284</v>
      </c>
      <c r="F197" s="18">
        <f>IF(ISNUMBER(D197), $B199 * E197, "")</f>
        <v>-32160.194174757286</v>
      </c>
      <c r="G197" s="31">
        <v>5.48</v>
      </c>
      <c r="H197" s="32">
        <f t="shared" si="107"/>
        <v>-0.33495145631067957</v>
      </c>
      <c r="I197" s="101">
        <f>IF(ISNUMBER(G197), $B199 * H197, "")</f>
        <v>-33495.145631067957</v>
      </c>
      <c r="J197" s="15">
        <v>5.44</v>
      </c>
      <c r="K197" s="32">
        <f t="shared" si="108"/>
        <v>-0.33980582524271841</v>
      </c>
      <c r="L197" s="18">
        <f>IF(ISNUMBER(J197), $B199 * K197, "")</f>
        <v>-33980.582524271842</v>
      </c>
      <c r="M197" s="31">
        <v>5.4</v>
      </c>
      <c r="N197" s="32">
        <f t="shared" si="109"/>
        <v>-0.34466019417475724</v>
      </c>
      <c r="O197" s="18">
        <f>IF(ISNUMBER(M197), $B199 * N197, "")</f>
        <v>-34466.019417475727</v>
      </c>
      <c r="Q197" s="212"/>
      <c r="R197" s="213"/>
      <c r="S197" s="214"/>
    </row>
    <row r="198" spans="1:19" ht="17.25" thickBot="1">
      <c r="A198" s="130" t="s">
        <v>254</v>
      </c>
      <c r="B198" s="131">
        <v>37</v>
      </c>
      <c r="C198" s="79">
        <v>-0.45266272190000001</v>
      </c>
      <c r="D198" s="24">
        <v>23.9</v>
      </c>
      <c r="E198" s="25">
        <f t="shared" si="106"/>
        <v>-0.3540540540540541</v>
      </c>
      <c r="F198" s="104">
        <f>IF(ISNUMBER(D198), $B199 * E198, "")</f>
        <v>-35405.405405405407</v>
      </c>
      <c r="G198" s="102">
        <v>22.8</v>
      </c>
      <c r="H198" s="25">
        <f t="shared" si="107"/>
        <v>-0.38378378378378375</v>
      </c>
      <c r="I198" s="103">
        <f>IF(ISNUMBER(G198), $B199 * H198, "")</f>
        <v>-38378.378378378373</v>
      </c>
      <c r="J198" s="24">
        <v>22.8</v>
      </c>
      <c r="K198" s="25">
        <f t="shared" si="108"/>
        <v>-0.38378378378378375</v>
      </c>
      <c r="L198" s="104">
        <f>IF(ISNUMBER(J198), $B199 * K198, "")</f>
        <v>-38378.378378378373</v>
      </c>
      <c r="M198" s="102">
        <v>22.5</v>
      </c>
      <c r="N198" s="25">
        <f t="shared" si="109"/>
        <v>-0.39189189189189189</v>
      </c>
      <c r="O198" s="104">
        <f>IF(ISNUMBER(M198), $B199 * N198, "")</f>
        <v>-39189.189189189186</v>
      </c>
      <c r="Q198" s="215"/>
      <c r="R198" s="216"/>
      <c r="S198" s="217"/>
    </row>
    <row r="199" spans="1:19" ht="17.25" thickBot="1">
      <c r="A199" s="132" t="s">
        <v>300</v>
      </c>
      <c r="B199" s="276">
        <f>$B$37</f>
        <v>100000</v>
      </c>
      <c r="C199" s="277"/>
      <c r="D199" s="26" t="s">
        <v>301</v>
      </c>
      <c r="E199" s="27">
        <f>IF(COUNT(E179:E198), SUM(E179:E198) / COUNT(E179:E198), 0)</f>
        <v>-0.23308283128056581</v>
      </c>
      <c r="F199" s="28">
        <f>SUM(F179:F198)</f>
        <v>-466165.6625611317</v>
      </c>
      <c r="G199" s="26" t="s">
        <v>301</v>
      </c>
      <c r="H199" s="27">
        <f>IF(COUNT(H179:H198), SUM(H179:H198) / COUNT(H179:H198), 0)</f>
        <v>-0.24223154177921352</v>
      </c>
      <c r="I199" s="28">
        <f>SUM(I179:I198)</f>
        <v>-484463.08355842717</v>
      </c>
      <c r="J199" s="26" t="s">
        <v>301</v>
      </c>
      <c r="K199" s="27">
        <f>IF(COUNT(K179:K198), SUM(K179:K198) / COUNT(K179:K198), 0)</f>
        <v>-0.24656835227406854</v>
      </c>
      <c r="L199" s="28">
        <f>SUM(L179:L198)</f>
        <v>-493136.70454813703</v>
      </c>
      <c r="M199" s="26" t="s">
        <v>301</v>
      </c>
      <c r="N199" s="27">
        <f>IF(COUNT(N179:N198), SUM(N179:N198) / COUNT(N179:N198), 0)</f>
        <v>-0.2401696049773657</v>
      </c>
      <c r="O199" s="28">
        <f>SUM(O179:O198)</f>
        <v>-480339.2099547314</v>
      </c>
      <c r="Q199" s="218"/>
      <c r="R199" s="219"/>
      <c r="S199" s="22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7" priority="157">
      <formula>AND($N17 &gt; 0, ISNUMBER($N17))</formula>
    </cfRule>
    <cfRule type="expression" dxfId="356" priority="158">
      <formula>AND($N17 = 0 * ISNUMBER($N17))</formula>
    </cfRule>
    <cfRule type="expression" dxfId="355" priority="159">
      <formula>AND($N17 &lt; 0, ISNUMBER($N17))</formula>
    </cfRule>
  </conditionalFormatting>
  <conditionalFormatting sqref="A17:F36">
    <cfRule type="expression" dxfId="354" priority="166">
      <formula>AND($E17 &gt; 0, ISNUMBER($E17))</formula>
    </cfRule>
    <cfRule type="expression" dxfId="353" priority="167">
      <formula>AND($E17 = 0 * ISNUMBER($E17))</formula>
    </cfRule>
    <cfRule type="expression" dxfId="352" priority="168">
      <formula>AND($E17 &lt; 0, ISNUMBER($E17))</formula>
    </cfRule>
  </conditionalFormatting>
  <conditionalFormatting sqref="A17:C36 G17:I36">
    <cfRule type="expression" dxfId="351" priority="163">
      <formula>AND($H17 &gt; 0, ISNUMBER($H17))</formula>
    </cfRule>
    <cfRule type="expression" dxfId="350" priority="164">
      <formula>AND($H17 = 0 * ISNUMBER($H17))</formula>
    </cfRule>
    <cfRule type="expression" dxfId="349" priority="165">
      <formula>AND($H17 &lt; 0, ISNUMBER($H17))</formula>
    </cfRule>
  </conditionalFormatting>
  <conditionalFormatting sqref="A17:C36 J17:L36">
    <cfRule type="expression" dxfId="348" priority="160">
      <formula>AND($K17 &gt; 0, ISNUMBER($K17))</formula>
    </cfRule>
    <cfRule type="expression" dxfId="347" priority="161">
      <formula>AND($K17 = 0 * ISNUMBER($K17))</formula>
    </cfRule>
    <cfRule type="expression" dxfId="346" priority="162">
      <formula>AND($K17 &lt; 0, ISNUMBER($K17))</formula>
    </cfRule>
  </conditionalFormatting>
  <conditionalFormatting sqref="D15:F16 E37:F37">
    <cfRule type="expression" dxfId="345" priority="154">
      <formula>$E$37 &gt; 0</formula>
    </cfRule>
    <cfRule type="expression" dxfId="344" priority="155">
      <formula>$E$37 = 0</formula>
    </cfRule>
    <cfRule type="expression" dxfId="343" priority="156">
      <formula>$E$37 &lt; 0</formula>
    </cfRule>
  </conditionalFormatting>
  <conditionalFormatting sqref="G15:I16 H37:I37">
    <cfRule type="expression" dxfId="342" priority="151">
      <formula>$H$37 &gt; 0</formula>
    </cfRule>
    <cfRule type="expression" dxfId="341" priority="152">
      <formula>$H$37 = 0</formula>
    </cfRule>
    <cfRule type="expression" dxfId="340" priority="153">
      <formula>$H$37 &lt; 0</formula>
    </cfRule>
  </conditionalFormatting>
  <conditionalFormatting sqref="J15:L16 K37:L37">
    <cfRule type="expression" dxfId="339" priority="148">
      <formula>$K$37 &gt; 0</formula>
    </cfRule>
    <cfRule type="expression" dxfId="338" priority="149">
      <formula>$K$37 = 0</formula>
    </cfRule>
    <cfRule type="expression" dxfId="337" priority="150">
      <formula>$K$37 &lt; 0</formula>
    </cfRule>
  </conditionalFormatting>
  <conditionalFormatting sqref="M15:O16 N37:O37">
    <cfRule type="expression" dxfId="336" priority="145">
      <formula>$N$37 &gt; 0</formula>
    </cfRule>
    <cfRule type="expression" dxfId="335" priority="146">
      <formula>$N$37 = 0</formula>
    </cfRule>
    <cfRule type="expression" dxfId="334" priority="147">
      <formula>$N$37 &lt; 0</formula>
    </cfRule>
  </conditionalFormatting>
  <conditionalFormatting sqref="A44:C63 M44:O63">
    <cfRule type="expression" dxfId="333" priority="133">
      <formula>AND($N44 &gt; 0, ISNUMBER($N44))</formula>
    </cfRule>
    <cfRule type="expression" dxfId="332" priority="134">
      <formula>AND($N44 = 0 * ISNUMBER($N44))</formula>
    </cfRule>
    <cfRule type="expression" dxfId="331" priority="135">
      <formula>AND($N44 &lt; 0, ISNUMBER($N44))</formula>
    </cfRule>
  </conditionalFormatting>
  <conditionalFormatting sqref="A44:F63">
    <cfRule type="expression" dxfId="330" priority="142">
      <formula>AND($E44 &gt; 0, ISNUMBER($E44))</formula>
    </cfRule>
    <cfRule type="expression" dxfId="329" priority="143">
      <formula>AND($E44 = 0 * ISNUMBER($E44))</formula>
    </cfRule>
    <cfRule type="expression" dxfId="328" priority="144">
      <formula>AND($E44 &lt; 0, ISNUMBER($E44))</formula>
    </cfRule>
  </conditionalFormatting>
  <conditionalFormatting sqref="A44:C63 G44:I63">
    <cfRule type="expression" dxfId="327" priority="139">
      <formula>AND($H44 &gt; 0, ISNUMBER($H44))</formula>
    </cfRule>
    <cfRule type="expression" dxfId="326" priority="140">
      <formula>AND($H44 = 0 * ISNUMBER($H44))</formula>
    </cfRule>
    <cfRule type="expression" dxfId="325" priority="141">
      <formula>AND($H44 &lt; 0, ISNUMBER($H44))</formula>
    </cfRule>
  </conditionalFormatting>
  <conditionalFormatting sqref="A44:C63 J44:L63">
    <cfRule type="expression" dxfId="324" priority="136">
      <formula>AND($K44 &gt; 0, ISNUMBER($K44))</formula>
    </cfRule>
    <cfRule type="expression" dxfId="323" priority="137">
      <formula>AND($K44 = 0 * ISNUMBER($K44))</formula>
    </cfRule>
    <cfRule type="expression" dxfId="322" priority="138">
      <formula>AND($K44 &lt; 0, ISNUMBER($K44))</formula>
    </cfRule>
  </conditionalFormatting>
  <conditionalFormatting sqref="D42:F43 E64:F64">
    <cfRule type="expression" dxfId="321" priority="130">
      <formula>$E$64 &gt; 0</formula>
    </cfRule>
    <cfRule type="expression" dxfId="320" priority="131">
      <formula>$E$64 = 0</formula>
    </cfRule>
    <cfRule type="expression" dxfId="319" priority="132">
      <formula>$E$64 &lt; 0</formula>
    </cfRule>
  </conditionalFormatting>
  <conditionalFormatting sqref="G42:I43 H64:I64">
    <cfRule type="expression" dxfId="318" priority="127">
      <formula>$H$64 &gt; 0</formula>
    </cfRule>
    <cfRule type="expression" dxfId="317" priority="128">
      <formula>$H$64 = 0</formula>
    </cfRule>
    <cfRule type="expression" dxfId="316" priority="129">
      <formula>$H$64 &lt; 0</formula>
    </cfRule>
  </conditionalFormatting>
  <conditionalFormatting sqref="J42:L43 K64:L64">
    <cfRule type="expression" dxfId="315" priority="124">
      <formula>$K$64 &gt; 0</formula>
    </cfRule>
    <cfRule type="expression" dxfId="314" priority="125">
      <formula>$K$64 = 0</formula>
    </cfRule>
    <cfRule type="expression" dxfId="313" priority="126">
      <formula>$K$64 &lt; 0</formula>
    </cfRule>
  </conditionalFormatting>
  <conditionalFormatting sqref="M42:O43 N64:O64">
    <cfRule type="expression" dxfId="312" priority="121">
      <formula>$N$64 &gt; 0</formula>
    </cfRule>
    <cfRule type="expression" dxfId="311" priority="122">
      <formula>$N$64 = 0</formula>
    </cfRule>
    <cfRule type="expression" dxfId="310" priority="123">
      <formula>$N$64 &lt; 0</formula>
    </cfRule>
  </conditionalFormatting>
  <conditionalFormatting sqref="A71:C90 M71:O90">
    <cfRule type="expression" dxfId="309" priority="109">
      <formula>AND($N71 &gt; 0, ISNUMBER($N71))</formula>
    </cfRule>
    <cfRule type="expression" dxfId="308" priority="110">
      <formula>AND($N71 = 0 * ISNUMBER($N71))</formula>
    </cfRule>
    <cfRule type="expression" dxfId="307" priority="111">
      <formula>AND($N71 &lt; 0, ISNUMBER($N71))</formula>
    </cfRule>
  </conditionalFormatting>
  <conditionalFormatting sqref="A71:F90">
    <cfRule type="expression" dxfId="306" priority="118">
      <formula>AND($E71 &gt; 0, ISNUMBER($E71))</formula>
    </cfRule>
    <cfRule type="expression" dxfId="305" priority="119">
      <formula>AND($E71 = 0 * ISNUMBER($E71))</formula>
    </cfRule>
    <cfRule type="expression" dxfId="304" priority="120">
      <formula>AND($E71 &lt; 0, ISNUMBER($E71))</formula>
    </cfRule>
  </conditionalFormatting>
  <conditionalFormatting sqref="A71:C90 G71:I90">
    <cfRule type="expression" dxfId="303" priority="115">
      <formula>AND($H71 &gt; 0, ISNUMBER($H71))</formula>
    </cfRule>
    <cfRule type="expression" dxfId="302" priority="116">
      <formula>AND($H71 = 0 * ISNUMBER($H71))</formula>
    </cfRule>
    <cfRule type="expression" dxfId="301" priority="117">
      <formula>AND($H71 &lt; 0, ISNUMBER($H71))</formula>
    </cfRule>
  </conditionalFormatting>
  <conditionalFormatting sqref="A71:C90 J71:L90">
    <cfRule type="expression" dxfId="300" priority="112">
      <formula>AND($K71 &gt; 0, ISNUMBER($K71))</formula>
    </cfRule>
    <cfRule type="expression" dxfId="299" priority="113">
      <formula>AND($K71 = 0 * ISNUMBER($K71))</formula>
    </cfRule>
    <cfRule type="expression" dxfId="298" priority="114">
      <formula>AND($K71 &lt; 0, ISNUMBER($K71))</formula>
    </cfRule>
  </conditionalFormatting>
  <conditionalFormatting sqref="D69:F70 E91:F91">
    <cfRule type="expression" dxfId="297" priority="106">
      <formula>$E$91 &gt; 0</formula>
    </cfRule>
    <cfRule type="expression" dxfId="296" priority="107">
      <formula>$E$91 = 0</formula>
    </cfRule>
    <cfRule type="expression" dxfId="295" priority="108">
      <formula>$E$91 &lt; 0</formula>
    </cfRule>
  </conditionalFormatting>
  <conditionalFormatting sqref="G69:I70 H91:I91">
    <cfRule type="expression" dxfId="294" priority="103">
      <formula>$H$91 &gt; 0</formula>
    </cfRule>
    <cfRule type="expression" dxfId="293" priority="104">
      <formula>$H$91 = 0</formula>
    </cfRule>
    <cfRule type="expression" dxfId="292" priority="105">
      <formula>$H$91 &lt; 0</formula>
    </cfRule>
  </conditionalFormatting>
  <conditionalFormatting sqref="J69:L70 K91:L91">
    <cfRule type="expression" dxfId="291" priority="100">
      <formula>$K$91 &gt; 0</formula>
    </cfRule>
    <cfRule type="expression" dxfId="290" priority="101">
      <formula>$K$91 = 0</formula>
    </cfRule>
    <cfRule type="expression" dxfId="289" priority="102">
      <formula>$K$91 &lt; 0</formula>
    </cfRule>
  </conditionalFormatting>
  <conditionalFormatting sqref="M69:O70 N91:O91">
    <cfRule type="expression" dxfId="288" priority="97">
      <formula>$N$91 &gt; 0</formula>
    </cfRule>
    <cfRule type="expression" dxfId="287" priority="98">
      <formula>$N$91 = 0</formula>
    </cfRule>
    <cfRule type="expression" dxfId="286" priority="99">
      <formula>$N$91 &lt; 0</formula>
    </cfRule>
  </conditionalFormatting>
  <conditionalFormatting sqref="A98:C117 M98:O117">
    <cfRule type="expression" dxfId="285" priority="85">
      <formula>AND($N98 &gt; 0, ISNUMBER($N98))</formula>
    </cfRule>
    <cfRule type="expression" dxfId="284" priority="86">
      <formula>AND($N98 = 0 * ISNUMBER($N98))</formula>
    </cfRule>
    <cfRule type="expression" dxfId="283" priority="87">
      <formula>AND($N98 &lt; 0, ISNUMBER($N98))</formula>
    </cfRule>
  </conditionalFormatting>
  <conditionalFormatting sqref="A98:F117">
    <cfRule type="expression" dxfId="282" priority="94">
      <formula>AND($E98 &gt; 0, ISNUMBER($E98))</formula>
    </cfRule>
    <cfRule type="expression" dxfId="281" priority="95">
      <formula>AND($E98 = 0 * ISNUMBER($E98))</formula>
    </cfRule>
    <cfRule type="expression" dxfId="280" priority="96">
      <formula>AND($E98 &lt; 0, ISNUMBER($E98))</formula>
    </cfRule>
  </conditionalFormatting>
  <conditionalFormatting sqref="A98:C117 G98:I117">
    <cfRule type="expression" dxfId="279" priority="91">
      <formula>AND($H98 &gt; 0, ISNUMBER($H98))</formula>
    </cfRule>
    <cfRule type="expression" dxfId="278" priority="92">
      <formula>AND($H98 = 0 * ISNUMBER($H98))</formula>
    </cfRule>
    <cfRule type="expression" dxfId="277" priority="93">
      <formula>AND($H98 &lt; 0, ISNUMBER($H98))</formula>
    </cfRule>
  </conditionalFormatting>
  <conditionalFormatting sqref="A98:C117 J98:L117">
    <cfRule type="expression" dxfId="276" priority="88">
      <formula>AND($K98 &gt; 0, ISNUMBER($K98))</formula>
    </cfRule>
    <cfRule type="expression" dxfId="275" priority="89">
      <formula>AND($K98 = 0 * ISNUMBER($K98))</formula>
    </cfRule>
    <cfRule type="expression" dxfId="274" priority="90">
      <formula>AND($K98 &lt; 0, ISNUMBER($K98))</formula>
    </cfRule>
  </conditionalFormatting>
  <conditionalFormatting sqref="D96:F97 E118:F118">
    <cfRule type="expression" dxfId="273" priority="82">
      <formula>$E$118 &gt; 0</formula>
    </cfRule>
    <cfRule type="expression" dxfId="272" priority="83">
      <formula>$E$118 = 0</formula>
    </cfRule>
    <cfRule type="expression" dxfId="271" priority="84">
      <formula>$E$118 &lt; 0</formula>
    </cfRule>
  </conditionalFormatting>
  <conditionalFormatting sqref="G96:I97 H118:I118">
    <cfRule type="expression" dxfId="270" priority="79">
      <formula>$H$118 &gt; 0</formula>
    </cfRule>
    <cfRule type="expression" dxfId="269" priority="80">
      <formula>$H$118 = 0</formula>
    </cfRule>
    <cfRule type="expression" dxfId="268" priority="81">
      <formula>$H$118 &lt; 0</formula>
    </cfRule>
  </conditionalFormatting>
  <conditionalFormatting sqref="J96:L97 K118:L118">
    <cfRule type="expression" dxfId="267" priority="76">
      <formula>$K$118 &gt; 0</formula>
    </cfRule>
    <cfRule type="expression" dxfId="266" priority="77">
      <formula>$K$118 = 0</formula>
    </cfRule>
    <cfRule type="expression" dxfId="265" priority="78">
      <formula>$K$118 &lt; 0</formula>
    </cfRule>
  </conditionalFormatting>
  <conditionalFormatting sqref="M96:O97 N118:O118">
    <cfRule type="expression" dxfId="264" priority="73">
      <formula>$N$118 &gt; 0</formula>
    </cfRule>
    <cfRule type="expression" dxfId="263" priority="74">
      <formula>$N$118 = 0</formula>
    </cfRule>
    <cfRule type="expression" dxfId="262" priority="75">
      <formula>$N$118 &lt; 0</formula>
    </cfRule>
  </conditionalFormatting>
  <conditionalFormatting sqref="A125:C144 M125:O144">
    <cfRule type="expression" dxfId="261" priority="61">
      <formula>AND($N125 &gt; 0, ISNUMBER($N125))</formula>
    </cfRule>
    <cfRule type="expression" dxfId="260" priority="62">
      <formula>AND($N125 = 0 * ISNUMBER($N125))</formula>
    </cfRule>
    <cfRule type="expression" dxfId="259" priority="63">
      <formula>AND($N125 &lt; 0, ISNUMBER($N125))</formula>
    </cfRule>
  </conditionalFormatting>
  <conditionalFormatting sqref="A125:F144">
    <cfRule type="expression" dxfId="258" priority="70">
      <formula>AND($E125 &gt; 0, ISNUMBER($E125))</formula>
    </cfRule>
    <cfRule type="expression" dxfId="257" priority="71">
      <formula>AND($E125 = 0 * ISNUMBER($E125))</formula>
    </cfRule>
    <cfRule type="expression" dxfId="256" priority="72">
      <formula>AND($E125 &lt; 0, ISNUMBER($E125))</formula>
    </cfRule>
  </conditionalFormatting>
  <conditionalFormatting sqref="A125:C144 G125:I144">
    <cfRule type="expression" dxfId="255" priority="67">
      <formula>AND($H125 &gt; 0, ISNUMBER($H125))</formula>
    </cfRule>
    <cfRule type="expression" dxfId="254" priority="68">
      <formula>AND($H125 = 0 * ISNUMBER($H125))</formula>
    </cfRule>
    <cfRule type="expression" dxfId="253" priority="69">
      <formula>AND($H125 &lt; 0, ISNUMBER($H125))</formula>
    </cfRule>
  </conditionalFormatting>
  <conditionalFormatting sqref="A125:C144 J125:L144">
    <cfRule type="expression" dxfId="252" priority="64">
      <formula>AND($K125 &gt; 0, ISNUMBER($K125))</formula>
    </cfRule>
    <cfRule type="expression" dxfId="251" priority="65">
      <formula>AND($K125 = 0 * ISNUMBER($K125))</formula>
    </cfRule>
    <cfRule type="expression" dxfId="250" priority="66">
      <formula>AND($K125 &lt; 0, ISNUMBER($K125))</formula>
    </cfRule>
  </conditionalFormatting>
  <conditionalFormatting sqref="D123:F124 E145:F145">
    <cfRule type="expression" dxfId="249" priority="58">
      <formula>$E$145 &gt; 0</formula>
    </cfRule>
    <cfRule type="expression" dxfId="248" priority="59">
      <formula>$E$145 = 0</formula>
    </cfRule>
    <cfRule type="expression" dxfId="247" priority="60">
      <formula>$E$145 &lt; 0</formula>
    </cfRule>
  </conditionalFormatting>
  <conditionalFormatting sqref="G123:I124 H145:I145">
    <cfRule type="expression" dxfId="246" priority="55">
      <formula>$H$145 &gt; 0</formula>
    </cfRule>
    <cfRule type="expression" dxfId="245" priority="56">
      <formula>$H$145 = 0</formula>
    </cfRule>
    <cfRule type="expression" dxfId="244" priority="57">
      <formula>$H$145 &lt; 0</formula>
    </cfRule>
  </conditionalFormatting>
  <conditionalFormatting sqref="J123:L124 K145:L145">
    <cfRule type="expression" dxfId="243" priority="52">
      <formula>$K$145 &gt; 0</formula>
    </cfRule>
    <cfRule type="expression" dxfId="242" priority="53">
      <formula>$K$145 = 0</formula>
    </cfRule>
    <cfRule type="expression" dxfId="241" priority="54">
      <formula>$K$145 &lt; 0</formula>
    </cfRule>
  </conditionalFormatting>
  <conditionalFormatting sqref="M123:O124 N145:O145">
    <cfRule type="expression" dxfId="240" priority="49">
      <formula>$N$145 &gt; 0</formula>
    </cfRule>
    <cfRule type="expression" dxfId="239" priority="50">
      <formula>$N$145 = 0</formula>
    </cfRule>
    <cfRule type="expression" dxfId="238" priority="51">
      <formula>$N$145 &lt; 0</formula>
    </cfRule>
  </conditionalFormatting>
  <conditionalFormatting sqref="A152:C171 M152:O171">
    <cfRule type="expression" dxfId="237" priority="37">
      <formula>AND($N152 &gt; 0, ISNUMBER($N152))</formula>
    </cfRule>
    <cfRule type="expression" dxfId="236" priority="38">
      <formula>AND($N152 = 0 * ISNUMBER($N152))</formula>
    </cfRule>
    <cfRule type="expression" dxfId="235" priority="39">
      <formula>AND($N152 &lt; 0, ISNUMBER($N152))</formula>
    </cfRule>
  </conditionalFormatting>
  <conditionalFormatting sqref="A152:F171">
    <cfRule type="expression" dxfId="234" priority="46">
      <formula>AND($E152 &gt; 0, ISNUMBER($E152))</formula>
    </cfRule>
    <cfRule type="expression" dxfId="233" priority="47">
      <formula>AND($E152 = 0 * ISNUMBER($E152))</formula>
    </cfRule>
    <cfRule type="expression" dxfId="232" priority="48">
      <formula>AND($E152 &lt; 0, ISNUMBER($E152))</formula>
    </cfRule>
  </conditionalFormatting>
  <conditionalFormatting sqref="A152:C171 G152:I171">
    <cfRule type="expression" dxfId="231" priority="43">
      <formula>AND($H152 &gt; 0, ISNUMBER($H152))</formula>
    </cfRule>
    <cfRule type="expression" dxfId="230" priority="44">
      <formula>AND($H152 = 0 * ISNUMBER($H152))</formula>
    </cfRule>
    <cfRule type="expression" dxfId="229" priority="45">
      <formula>AND($H152 &lt; 0, ISNUMBER($H152))</formula>
    </cfRule>
  </conditionalFormatting>
  <conditionalFormatting sqref="A152:C171 J152:L171">
    <cfRule type="expression" dxfId="228" priority="40">
      <formula>AND($K152 &gt; 0, ISNUMBER($K152))</formula>
    </cfRule>
    <cfRule type="expression" dxfId="227" priority="41">
      <formula>AND($K152 = 0 * ISNUMBER($K152))</formula>
    </cfRule>
    <cfRule type="expression" dxfId="226" priority="42">
      <formula>AND($K152 &lt; 0, ISNUMBER($K152))</formula>
    </cfRule>
  </conditionalFormatting>
  <conditionalFormatting sqref="D150:F151 E172:F172">
    <cfRule type="expression" dxfId="225" priority="34">
      <formula>$E$172 &gt; 0</formula>
    </cfRule>
    <cfRule type="expression" dxfId="224" priority="35">
      <formula>$E$172 = 0</formula>
    </cfRule>
    <cfRule type="expression" dxfId="223" priority="36">
      <formula>$E$172 &lt; 0</formula>
    </cfRule>
  </conditionalFormatting>
  <conditionalFormatting sqref="G150:I151 H172:I172">
    <cfRule type="expression" dxfId="222" priority="31">
      <formula>$H$172 &gt; 0</formula>
    </cfRule>
    <cfRule type="expression" dxfId="221" priority="32">
      <formula>$H$172 = 0</formula>
    </cfRule>
    <cfRule type="expression" dxfId="220" priority="33">
      <formula>$H$172 &lt; 0</formula>
    </cfRule>
  </conditionalFormatting>
  <conditionalFormatting sqref="J150:L151 K172:L172">
    <cfRule type="expression" dxfId="219" priority="28">
      <formula>$K$172 &gt; 0</formula>
    </cfRule>
    <cfRule type="expression" dxfId="218" priority="29">
      <formula>$K$172 = 0</formula>
    </cfRule>
    <cfRule type="expression" dxfId="217" priority="30">
      <formula>$K$172 &lt; 0</formula>
    </cfRule>
  </conditionalFormatting>
  <conditionalFormatting sqref="M150:O151 N172:O172">
    <cfRule type="expression" dxfId="216" priority="25">
      <formula>$N$172 &gt; 0</formula>
    </cfRule>
    <cfRule type="expression" dxfId="215" priority="26">
      <formula>$N$172 = 0</formula>
    </cfRule>
    <cfRule type="expression" dxfId="214" priority="27">
      <formula>$N$172 &lt; 0</formula>
    </cfRule>
  </conditionalFormatting>
  <conditionalFormatting sqref="A179:C198 M179:O198">
    <cfRule type="expression" dxfId="213" priority="13">
      <formula>AND($N179 &gt; 0, ISNUMBER($N179))</formula>
    </cfRule>
    <cfRule type="expression" dxfId="212" priority="14">
      <formula>AND($N179 = 0 * ISNUMBER($N179))</formula>
    </cfRule>
    <cfRule type="expression" dxfId="211" priority="15">
      <formula>AND($N179 &lt; 0, ISNUMBER($N179))</formula>
    </cfRule>
  </conditionalFormatting>
  <conditionalFormatting sqref="A179:F198">
    <cfRule type="expression" dxfId="210" priority="22">
      <formula>AND($E179 &gt; 0, ISNUMBER($E179))</formula>
    </cfRule>
    <cfRule type="expression" dxfId="209" priority="23">
      <formula>AND($E179 = 0 * ISNUMBER($E179))</formula>
    </cfRule>
    <cfRule type="expression" dxfId="208" priority="24">
      <formula>AND($E179 &lt; 0, ISNUMBER($E179))</formula>
    </cfRule>
  </conditionalFormatting>
  <conditionalFormatting sqref="A179:C198 G179:I198">
    <cfRule type="expression" dxfId="207" priority="19">
      <formula>AND($H179 &gt; 0, ISNUMBER($H179))</formula>
    </cfRule>
    <cfRule type="expression" dxfId="206" priority="20">
      <formula>AND($H179 = 0 * ISNUMBER($H179))</formula>
    </cfRule>
    <cfRule type="expression" dxfId="205" priority="21">
      <formula>AND($H179 &lt; 0, ISNUMBER($H179))</formula>
    </cfRule>
  </conditionalFormatting>
  <conditionalFormatting sqref="A179:C198 J179:L198">
    <cfRule type="expression" dxfId="204" priority="16">
      <formula>AND($K179 &gt; 0, ISNUMBER($K179))</formula>
    </cfRule>
    <cfRule type="expression" dxfId="203" priority="17">
      <formula>AND($K179 = 0 * ISNUMBER($K179))</formula>
    </cfRule>
    <cfRule type="expression" dxfId="202" priority="18">
      <formula>AND($K179 &lt; 0, ISNUMBER($K179))</formula>
    </cfRule>
  </conditionalFormatting>
  <conditionalFormatting sqref="D177:F178 E199:F199">
    <cfRule type="expression" dxfId="201" priority="10">
      <formula>$E$199 &gt; 0</formula>
    </cfRule>
    <cfRule type="expression" dxfId="200" priority="11">
      <formula>$E$199 = 0</formula>
    </cfRule>
    <cfRule type="expression" dxfId="199" priority="12">
      <formula>$E$199 &lt; 0</formula>
    </cfRule>
  </conditionalFormatting>
  <conditionalFormatting sqref="G177:I178 H199:I199">
    <cfRule type="expression" dxfId="198" priority="7">
      <formula>$H$199 &gt; 0</formula>
    </cfRule>
    <cfRule type="expression" dxfId="197" priority="8">
      <formula>$H$199 = 0</formula>
    </cfRule>
    <cfRule type="expression" dxfId="196" priority="9">
      <formula>$H$199 &lt; 0</formula>
    </cfRule>
  </conditionalFormatting>
  <conditionalFormatting sqref="J177:L178 K199:L199">
    <cfRule type="expression" dxfId="195" priority="4">
      <formula>$K$199 &gt; 0</formula>
    </cfRule>
    <cfRule type="expression" dxfId="194" priority="5">
      <formula>$K$199 = 0</formula>
    </cfRule>
    <cfRule type="expression" dxfId="193" priority="6">
      <formula>$K$199 &lt; 0</formula>
    </cfRule>
  </conditionalFormatting>
  <conditionalFormatting sqref="M177:O178 N199:O199">
    <cfRule type="expression" dxfId="192" priority="1">
      <formula>$N$199 &gt; 0</formula>
    </cfRule>
    <cfRule type="expression" dxfId="191" priority="2">
      <formula>$N$199 = 0</formula>
    </cfRule>
    <cfRule type="expression" dxfId="1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F62E-64C4-4086-8EE4-F6CB775A827D}">
  <sheetPr codeName="Sheet19"/>
  <dimension ref="A1:S199"/>
  <sheetViews>
    <sheetView tabSelected="1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4" t="s">
        <v>0</v>
      </c>
      <c r="B1" s="235"/>
      <c r="C1" s="235"/>
      <c r="D1" s="235"/>
      <c r="E1" s="235"/>
      <c r="F1" s="236"/>
      <c r="G1" s="265">
        <v>44360</v>
      </c>
      <c r="H1" s="266"/>
      <c r="I1" s="267"/>
      <c r="J1" s="234" t="s">
        <v>1</v>
      </c>
      <c r="K1" s="235"/>
      <c r="L1" s="235"/>
      <c r="M1" s="235"/>
      <c r="N1" s="235"/>
      <c r="O1" s="236"/>
      <c r="Q1" s="234" t="s">
        <v>2</v>
      </c>
      <c r="R1" s="236"/>
    </row>
    <row r="2" spans="1:19" ht="17.25" customHeight="1">
      <c r="A2" s="117" t="s">
        <v>3</v>
      </c>
      <c r="B2" s="268" t="s">
        <v>8</v>
      </c>
      <c r="C2" s="269"/>
      <c r="D2" s="269"/>
      <c r="E2" s="269"/>
      <c r="F2" s="270"/>
      <c r="G2" s="262" t="s">
        <v>46</v>
      </c>
      <c r="H2" s="263"/>
      <c r="I2" s="264"/>
      <c r="J2" s="1" t="s">
        <v>3</v>
      </c>
      <c r="K2" s="268" t="s">
        <v>350</v>
      </c>
      <c r="L2" s="269"/>
      <c r="M2" s="269"/>
      <c r="N2" s="269"/>
      <c r="O2" s="270"/>
      <c r="Q2" s="2" t="s">
        <v>6</v>
      </c>
      <c r="R2" s="3">
        <v>0.375</v>
      </c>
    </row>
    <row r="3" spans="1:19" ht="17.25" customHeight="1" thickBot="1">
      <c r="A3" s="118" t="s">
        <v>7</v>
      </c>
      <c r="B3" s="259" t="s">
        <v>358</v>
      </c>
      <c r="C3" s="260"/>
      <c r="D3" s="260"/>
      <c r="E3" s="260"/>
      <c r="F3" s="261"/>
      <c r="G3" s="25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6"/>
      <c r="I3" s="257"/>
      <c r="J3" s="4" t="s">
        <v>7</v>
      </c>
      <c r="K3" s="259" t="s">
        <v>351</v>
      </c>
      <c r="L3" s="260"/>
      <c r="M3" s="260"/>
      <c r="N3" s="260"/>
      <c r="O3" s="26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9" t="s">
        <v>16</v>
      </c>
      <c r="C4" s="260"/>
      <c r="D4" s="260"/>
      <c r="E4" s="260"/>
      <c r="F4" s="261"/>
      <c r="G4" s="262" t="s">
        <v>44</v>
      </c>
      <c r="H4" s="263"/>
      <c r="I4" s="264"/>
      <c r="J4" s="4" t="s">
        <v>11</v>
      </c>
      <c r="K4" s="259" t="s">
        <v>352</v>
      </c>
      <c r="L4" s="260"/>
      <c r="M4" s="260"/>
      <c r="N4" s="260"/>
      <c r="O4" s="26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9" t="s">
        <v>349</v>
      </c>
      <c r="C5" s="260"/>
      <c r="D5" s="260"/>
      <c r="E5" s="260"/>
      <c r="F5" s="261"/>
      <c r="G5" s="25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6"/>
      <c r="I5" s="257"/>
      <c r="J5" s="4" t="s">
        <v>15</v>
      </c>
      <c r="K5" s="259" t="s">
        <v>353</v>
      </c>
      <c r="L5" s="260"/>
      <c r="M5" s="260"/>
      <c r="N5" s="260"/>
      <c r="O5" s="261"/>
    </row>
    <row r="6" spans="1:19">
      <c r="A6" s="118" t="s">
        <v>18</v>
      </c>
      <c r="B6" s="259"/>
      <c r="C6" s="260"/>
      <c r="D6" s="260"/>
      <c r="E6" s="260"/>
      <c r="F6" s="261"/>
      <c r="G6" s="262" t="s">
        <v>45</v>
      </c>
      <c r="H6" s="263"/>
      <c r="I6" s="264"/>
      <c r="J6" s="4" t="s">
        <v>18</v>
      </c>
      <c r="K6" s="259" t="s">
        <v>354</v>
      </c>
      <c r="L6" s="260"/>
      <c r="M6" s="260"/>
      <c r="N6" s="260"/>
      <c r="O6" s="261"/>
    </row>
    <row r="7" spans="1:19" ht="17.25" thickBot="1">
      <c r="A7" s="118" t="s">
        <v>21</v>
      </c>
      <c r="B7" s="259"/>
      <c r="C7" s="260"/>
      <c r="D7" s="260"/>
      <c r="E7" s="260"/>
      <c r="F7" s="261"/>
      <c r="G7" s="25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6"/>
      <c r="I7" s="257"/>
      <c r="J7" s="4" t="s">
        <v>21</v>
      </c>
      <c r="K7" s="259" t="s">
        <v>355</v>
      </c>
      <c r="L7" s="260"/>
      <c r="M7" s="260"/>
      <c r="N7" s="260"/>
      <c r="O7" s="261"/>
    </row>
    <row r="8" spans="1:19" ht="17.25" thickBot="1">
      <c r="A8" s="118" t="s">
        <v>24</v>
      </c>
      <c r="B8" s="259"/>
      <c r="C8" s="260"/>
      <c r="D8" s="260"/>
      <c r="E8" s="260"/>
      <c r="F8" s="261"/>
      <c r="G8" s="262" t="s">
        <v>285</v>
      </c>
      <c r="H8" s="263"/>
      <c r="I8" s="264"/>
      <c r="J8" s="4" t="s">
        <v>24</v>
      </c>
      <c r="K8" s="259"/>
      <c r="L8" s="260"/>
      <c r="M8" s="260"/>
      <c r="N8" s="260"/>
      <c r="O8" s="261"/>
      <c r="Q8" s="234" t="s">
        <v>27</v>
      </c>
      <c r="R8" s="236"/>
    </row>
    <row r="9" spans="1:19" ht="17.25" thickBot="1">
      <c r="A9" s="118" t="s">
        <v>28</v>
      </c>
      <c r="B9" s="259"/>
      <c r="C9" s="260"/>
      <c r="D9" s="260"/>
      <c r="E9" s="260"/>
      <c r="F9" s="261"/>
      <c r="G9" s="25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6"/>
      <c r="I9" s="257"/>
      <c r="J9" s="4" t="s">
        <v>28</v>
      </c>
      <c r="K9" s="259"/>
      <c r="L9" s="260"/>
      <c r="M9" s="260"/>
      <c r="N9" s="260"/>
      <c r="O9" s="261"/>
      <c r="Q9" s="2" t="s">
        <v>29</v>
      </c>
      <c r="R9" s="6">
        <v>10</v>
      </c>
    </row>
    <row r="10" spans="1:19">
      <c r="A10" s="118" t="s">
        <v>30</v>
      </c>
      <c r="B10" s="259"/>
      <c r="C10" s="260"/>
      <c r="D10" s="260"/>
      <c r="E10" s="260"/>
      <c r="F10" s="261"/>
      <c r="G10" s="262" t="s">
        <v>47</v>
      </c>
      <c r="H10" s="263"/>
      <c r="I10" s="264"/>
      <c r="J10" s="4" t="s">
        <v>30</v>
      </c>
      <c r="K10" s="259" t="s">
        <v>356</v>
      </c>
      <c r="L10" s="260"/>
      <c r="M10" s="260"/>
      <c r="N10" s="260"/>
      <c r="O10" s="261"/>
      <c r="Q10" s="2" t="s">
        <v>31</v>
      </c>
      <c r="R10" s="6">
        <v>100</v>
      </c>
    </row>
    <row r="11" spans="1:19" ht="17.25" thickBot="1">
      <c r="A11" s="119" t="s">
        <v>32</v>
      </c>
      <c r="B11" s="252" t="s">
        <v>357</v>
      </c>
      <c r="C11" s="253"/>
      <c r="D11" s="253"/>
      <c r="E11" s="253"/>
      <c r="F11" s="254"/>
      <c r="G11" s="25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6"/>
      <c r="I11" s="257"/>
      <c r="J11" s="7" t="s">
        <v>32</v>
      </c>
      <c r="K11" s="252" t="s">
        <v>348</v>
      </c>
      <c r="L11" s="253"/>
      <c r="M11" s="253"/>
      <c r="N11" s="253"/>
      <c r="O11" s="254"/>
      <c r="Q11" s="65" t="s">
        <v>33</v>
      </c>
      <c r="R11" s="8">
        <v>1000</v>
      </c>
    </row>
    <row r="12" spans="1:19" ht="17.25" thickBot="1"/>
    <row r="13" spans="1:19" ht="17.25" customHeight="1" thickBot="1">
      <c r="A13" s="234" t="s">
        <v>34</v>
      </c>
      <c r="B13" s="235"/>
      <c r="C13" s="235"/>
      <c r="D13" s="235"/>
      <c r="E13" s="235"/>
      <c r="F13" s="235"/>
      <c r="G13" s="235"/>
      <c r="H13" s="235"/>
      <c r="I13" s="235"/>
      <c r="J13" s="235"/>
      <c r="K13" s="235"/>
      <c r="L13" s="235"/>
      <c r="M13" s="235"/>
      <c r="N13" s="235"/>
      <c r="O13" s="236"/>
      <c r="Q13" s="233"/>
      <c r="R13" s="233"/>
      <c r="S13" s="233"/>
    </row>
    <row r="14" spans="1:19" ht="17.25" customHeight="1" thickBot="1">
      <c r="A14" s="208" t="s">
        <v>35</v>
      </c>
      <c r="B14" s="234" t="s">
        <v>36</v>
      </c>
      <c r="C14" s="236"/>
      <c r="D14" s="234" t="s">
        <v>37</v>
      </c>
      <c r="E14" s="235"/>
      <c r="F14" s="236"/>
      <c r="G14" s="237">
        <f>_xlfn.IFNA(VLOOKUP(B14, 현재가테이블!$B$2:$D$200, 2, FALSE), "-")</f>
        <v>41418000</v>
      </c>
      <c r="H14" s="238"/>
      <c r="I14" s="239"/>
      <c r="J14" s="234" t="s">
        <v>38</v>
      </c>
      <c r="K14" s="235"/>
      <c r="L14" s="236"/>
      <c r="M14" s="240">
        <f>_xlfn.IFNA(VLOOKUP(B14, 현재가테이블!$B$2:$D$200, 3, FALSE), "-")</f>
        <v>-5.2176301000000001E-2</v>
      </c>
      <c r="N14" s="241"/>
      <c r="O14" s="242"/>
      <c r="Q14" s="233"/>
      <c r="R14" s="233"/>
      <c r="S14" s="233"/>
    </row>
    <row r="15" spans="1:19" ht="17.25" customHeight="1" thickBot="1">
      <c r="A15" s="271" t="s">
        <v>39</v>
      </c>
      <c r="B15" s="272" t="str">
        <f>TEXT($G$1, "[$-ko-KR]yyyy-mm-dd(ddd) ") &amp; "오전 00:00"</f>
        <v>2021-06-13(일) 오전 00:00</v>
      </c>
      <c r="C15" s="273"/>
      <c r="D15" s="247" t="str">
        <f>TEXT($G$1, "[$-ko-KR]yyyy-mm-dd(ddd) ") &amp; "오후 14:00"</f>
        <v>2021-06-13(일) 오후 14:00</v>
      </c>
      <c r="E15" s="248"/>
      <c r="F15" s="249"/>
      <c r="G15" s="247" t="str">
        <f>TEXT($G$1, "[$-ko-KR]yyyy-mm-dd(ddd) ") &amp; "오후 19:00"</f>
        <v>2021-06-13(일) 오후 19:00</v>
      </c>
      <c r="H15" s="248"/>
      <c r="I15" s="249"/>
      <c r="J15" s="247" t="str">
        <f>TEXT($G$1, "[$-ko-KR]yyyy-mm-dd(ddd) ") &amp; "오후 21:00"</f>
        <v>2021-06-13(일) 오후 21:00</v>
      </c>
      <c r="K15" s="248"/>
      <c r="L15" s="249"/>
      <c r="M15" s="247" t="str">
        <f>TEXT($G$1+1, "[$-ko-KR]yyyy-mm-dd(ddd) ") &amp; "오전 00:00"</f>
        <v>2021-06-14(월) 오전 00:00</v>
      </c>
      <c r="N15" s="248"/>
      <c r="O15" s="249"/>
      <c r="Q15" s="233"/>
      <c r="R15" s="233"/>
      <c r="S15" s="233"/>
    </row>
    <row r="16" spans="1:19" ht="17.25" customHeight="1" thickBot="1">
      <c r="A16" s="27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9" t="s">
        <v>37</v>
      </c>
      <c r="H16" s="210" t="s">
        <v>40</v>
      </c>
      <c r="I16" s="21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77.7</v>
      </c>
      <c r="C17" s="76">
        <f>IF(NOT(ISBLANK(_xlfn.IFNA(VLOOKUP($A17, $A$40:$O$199, 3, FALSE), ))), _xlfn.IFNA(VLOOKUP($A17, $A$40:$O$199, 3, FALSE), ), "")</f>
        <v>-7.9383886299999998E-2</v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3"/>
      <c r="R17" s="233"/>
      <c r="S17" s="233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53.3</v>
      </c>
      <c r="C18" s="77">
        <f t="shared" ref="C18:C36" si="1">IF(NOT(ISBLANK(_xlfn.IFNA(VLOOKUP($A18, $A$40:$O$199, 3, FALSE), ))), _xlfn.IFNA(VLOOKUP($A18, $A$40:$O$199, 3, FALSE), ), "")</f>
        <v>-0.1319218241</v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3"/>
      <c r="R18" s="233"/>
      <c r="S18" s="233"/>
    </row>
    <row r="19" spans="1:19" ht="17.25" customHeight="1" thickBot="1">
      <c r="A19" s="162" t="s">
        <v>202</v>
      </c>
      <c r="B19" s="126">
        <f t="shared" si="0"/>
        <v>88.6</v>
      </c>
      <c r="C19" s="77">
        <f t="shared" si="1"/>
        <v>-0.15619047620000001</v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3"/>
      <c r="R19" s="223"/>
      <c r="S19" s="223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-4.3795620399999999E-2</v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3"/>
      <c r="R20" s="223"/>
      <c r="S20" s="223"/>
    </row>
    <row r="21" spans="1:19" ht="17.25" customHeight="1" thickBot="1">
      <c r="A21" s="163" t="s">
        <v>246</v>
      </c>
      <c r="B21" s="128">
        <f t="shared" si="0"/>
        <v>236</v>
      </c>
      <c r="C21" s="78">
        <f t="shared" si="1"/>
        <v>-9.9236641200000003E-2</v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3"/>
      <c r="R21" s="223"/>
      <c r="S21" s="223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3"/>
      <c r="R22" s="223"/>
      <c r="S22" s="22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3"/>
      <c r="R23" s="223"/>
      <c r="S23" s="22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3"/>
      <c r="R24" s="223"/>
      <c r="S24" s="22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3"/>
      <c r="R29" s="223"/>
      <c r="S29" s="22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3"/>
      <c r="R30" s="233"/>
      <c r="S30" s="23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3"/>
      <c r="R31" s="233"/>
      <c r="S31" s="23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3"/>
      <c r="R32" s="223"/>
      <c r="S32" s="22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2"/>
      <c r="R35" s="213"/>
      <c r="S35" s="2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5"/>
      <c r="R36" s="216"/>
      <c r="S36" s="217"/>
    </row>
    <row r="37" spans="1:19" ht="17.25" customHeight="1" thickBot="1">
      <c r="A37" s="132" t="s">
        <v>42</v>
      </c>
      <c r="B37" s="276">
        <v>100000</v>
      </c>
      <c r="C37" s="27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8"/>
      <c r="R37" s="219"/>
      <c r="S37" s="220"/>
    </row>
    <row r="38" spans="1:19" ht="17.25" customHeight="1"/>
    <row r="39" spans="1:19" ht="17.25" customHeight="1" thickBot="1"/>
    <row r="40" spans="1:19" ht="17.25" customHeight="1" thickBot="1">
      <c r="A40" s="234" t="s">
        <v>44</v>
      </c>
      <c r="B40" s="235"/>
      <c r="C40" s="235"/>
      <c r="D40" s="235"/>
      <c r="E40" s="235"/>
      <c r="F40" s="235"/>
      <c r="G40" s="235"/>
      <c r="H40" s="235"/>
      <c r="I40" s="235"/>
      <c r="J40" s="235"/>
      <c r="K40" s="235"/>
      <c r="L40" s="235"/>
      <c r="M40" s="235"/>
      <c r="N40" s="235"/>
      <c r="O40" s="236"/>
      <c r="Q40" s="233"/>
      <c r="R40" s="233"/>
      <c r="S40" s="233"/>
    </row>
    <row r="41" spans="1:19" ht="17.25" customHeight="1" thickBot="1">
      <c r="A41" s="208" t="s">
        <v>297</v>
      </c>
      <c r="B41" s="234" t="s">
        <v>49</v>
      </c>
      <c r="C41" s="236"/>
      <c r="D41" s="234" t="s">
        <v>58</v>
      </c>
      <c r="E41" s="235"/>
      <c r="F41" s="236"/>
      <c r="G41" s="237">
        <f>_xlfn.IFNA(VLOOKUP(B41, 현재가테이블!$B$2:$D$200, 2, FALSE), "-")</f>
        <v>41418000</v>
      </c>
      <c r="H41" s="238"/>
      <c r="I41" s="239"/>
      <c r="J41" s="234" t="s">
        <v>59</v>
      </c>
      <c r="K41" s="235"/>
      <c r="L41" s="236"/>
      <c r="M41" s="240">
        <f>_xlfn.IFNA(VLOOKUP(B41, 현재가테이블!$B$2:$D$200, 3, FALSE), "-")</f>
        <v>-5.2176301000000001E-2</v>
      </c>
      <c r="N41" s="241"/>
      <c r="O41" s="242"/>
      <c r="Q41" s="233"/>
      <c r="R41" s="233"/>
      <c r="S41" s="233"/>
    </row>
    <row r="42" spans="1:19" ht="17.25" customHeight="1" thickBot="1">
      <c r="A42" s="278" t="s">
        <v>55</v>
      </c>
      <c r="B42" s="274" t="str">
        <f>TEXT($G$1, "[$-ko-KR]yyyy-mm-dd(ddd) ") &amp; "오전 00:00"</f>
        <v>2021-06-13(일) 오전 00:00</v>
      </c>
      <c r="C42" s="275"/>
      <c r="D42" s="247" t="str">
        <f>TEXT($G$1, "[$-ko-KR]yyyy-mm-dd(ddd) ") &amp; "오후 14:00"</f>
        <v>2021-06-13(일) 오후 14:00</v>
      </c>
      <c r="E42" s="248"/>
      <c r="F42" s="249"/>
      <c r="G42" s="247" t="str">
        <f>TEXT($G$1, "[$-ko-KR]yyyy-mm-dd(ddd) ") &amp; "오후 19:00"</f>
        <v>2021-06-13(일) 오후 19:00</v>
      </c>
      <c r="H42" s="248"/>
      <c r="I42" s="249"/>
      <c r="J42" s="247" t="str">
        <f>TEXT($G$1, "[$-ko-KR]yyyy-mm-dd(ddd) ") &amp; "오후 21:00"</f>
        <v>2021-06-13(일) 오후 21:00</v>
      </c>
      <c r="K42" s="248"/>
      <c r="L42" s="249"/>
      <c r="M42" s="247" t="str">
        <f>TEXT($G$1+1, "[$-ko-KR]yyyy-mm-dd(ddd) ") &amp; "오전 00:00"</f>
        <v>2021-06-14(월) 오전 00:00</v>
      </c>
      <c r="N42" s="248"/>
      <c r="O42" s="249"/>
      <c r="Q42" s="233"/>
      <c r="R42" s="233"/>
      <c r="S42" s="233"/>
    </row>
    <row r="43" spans="1:19" ht="17.25" customHeight="1" thickBot="1">
      <c r="A43" s="279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9" t="s">
        <v>58</v>
      </c>
      <c r="H43" s="210" t="s">
        <v>298</v>
      </c>
      <c r="I43" s="21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23"/>
      <c r="R43" s="223"/>
      <c r="S43" s="223"/>
    </row>
    <row r="44" spans="1:19" ht="17.25" customHeight="1" thickBot="1">
      <c r="A44" s="161" t="s">
        <v>264</v>
      </c>
      <c r="B44" s="124">
        <v>83.8</v>
      </c>
      <c r="C44" s="76">
        <v>0.13396481730000001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3"/>
      <c r="R44" s="233"/>
      <c r="S44" s="233"/>
    </row>
    <row r="45" spans="1:19" ht="17.25" customHeight="1" thickBot="1">
      <c r="A45" s="162" t="s">
        <v>148</v>
      </c>
      <c r="B45" s="126">
        <v>97.6</v>
      </c>
      <c r="C45" s="77">
        <v>1.6666666699999999E-2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3"/>
      <c r="R45" s="233"/>
      <c r="S45" s="233"/>
    </row>
    <row r="46" spans="1:19" ht="17.25" customHeight="1" thickBot="1">
      <c r="A46" s="162" t="s">
        <v>156</v>
      </c>
      <c r="B46" s="126">
        <v>79.400000000000006</v>
      </c>
      <c r="C46" s="77">
        <v>-1.85414091E-2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3"/>
      <c r="R46" s="223"/>
      <c r="S46" s="223"/>
    </row>
    <row r="47" spans="1:19" ht="17.25" customHeight="1" thickBot="1">
      <c r="A47" s="162" t="s">
        <v>100</v>
      </c>
      <c r="B47" s="126">
        <v>3.93</v>
      </c>
      <c r="C47" s="77">
        <v>-3.2019704400000001E-2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3"/>
      <c r="R47" s="223"/>
      <c r="S47" s="223"/>
    </row>
    <row r="48" spans="1:19" ht="17.25" customHeight="1" thickBot="1">
      <c r="A48" s="163" t="s">
        <v>278</v>
      </c>
      <c r="B48" s="128">
        <v>69.099999999999994</v>
      </c>
      <c r="C48" s="78">
        <v>-3.6262203600000001E-2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3"/>
      <c r="R48" s="223"/>
      <c r="S48" s="223"/>
    </row>
    <row r="49" spans="1:19" ht="17.25" customHeight="1" thickBot="1">
      <c r="A49" s="162" t="s">
        <v>65</v>
      </c>
      <c r="B49" s="129">
        <v>31.3</v>
      </c>
      <c r="C49" s="80">
        <v>-3.9877300599999999E-2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3"/>
      <c r="R49" s="223"/>
      <c r="S49" s="223"/>
    </row>
    <row r="50" spans="1:19" ht="17.25" customHeight="1" thickBot="1">
      <c r="A50" s="162" t="s">
        <v>152</v>
      </c>
      <c r="B50" s="126">
        <v>17.2</v>
      </c>
      <c r="C50" s="77">
        <v>-4.9723756899999999E-2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3"/>
      <c r="R50" s="223"/>
      <c r="S50" s="223"/>
    </row>
    <row r="51" spans="1:19" ht="17.25" customHeight="1" thickBot="1">
      <c r="A51" s="162" t="s">
        <v>220</v>
      </c>
      <c r="B51" s="126">
        <v>10</v>
      </c>
      <c r="C51" s="77">
        <v>-6.5420560700000005E-2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3"/>
      <c r="R51" s="223"/>
      <c r="S51" s="223"/>
    </row>
    <row r="52" spans="1:19" ht="17.25" customHeight="1" thickBot="1">
      <c r="A52" s="162" t="s">
        <v>126</v>
      </c>
      <c r="B52" s="126">
        <v>24.2</v>
      </c>
      <c r="C52" s="77">
        <v>-6.5637065600000002E-2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260</v>
      </c>
      <c r="B53" s="131">
        <v>56.4</v>
      </c>
      <c r="C53" s="79">
        <v>-7.5409836100000002E-2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4"/>
      <c r="R53" s="225"/>
      <c r="S53" s="226"/>
    </row>
    <row r="54" spans="1:19" ht="17.25" customHeight="1">
      <c r="A54" s="161" t="s">
        <v>134</v>
      </c>
      <c r="B54" s="124">
        <v>77.7</v>
      </c>
      <c r="C54" s="76">
        <v>-7.9383886299999998E-2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7"/>
      <c r="R54" s="228"/>
      <c r="S54" s="229"/>
    </row>
    <row r="55" spans="1:19" ht="17.25" customHeight="1" thickBot="1">
      <c r="A55" s="162" t="s">
        <v>168</v>
      </c>
      <c r="B55" s="126">
        <v>80.8</v>
      </c>
      <c r="C55" s="77">
        <v>-8.7005649700000007E-2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0"/>
      <c r="R55" s="231"/>
      <c r="S55" s="232"/>
    </row>
    <row r="56" spans="1:19" ht="17.25" customHeight="1" thickBot="1">
      <c r="A56" s="162" t="s">
        <v>186</v>
      </c>
      <c r="B56" s="126">
        <v>13.3</v>
      </c>
      <c r="C56" s="77">
        <v>-0.119205298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3"/>
      <c r="R56" s="223"/>
      <c r="S56" s="223"/>
    </row>
    <row r="57" spans="1:19" ht="17.25" customHeight="1" thickBot="1">
      <c r="A57" s="162" t="s">
        <v>212</v>
      </c>
      <c r="B57" s="126">
        <v>53.3</v>
      </c>
      <c r="C57" s="77">
        <v>-0.1319218241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3"/>
      <c r="R57" s="233"/>
      <c r="S57" s="233"/>
    </row>
    <row r="58" spans="1:19" ht="17.25" customHeight="1" thickBot="1">
      <c r="A58" s="163" t="s">
        <v>228</v>
      </c>
      <c r="B58" s="128">
        <v>7.77</v>
      </c>
      <c r="C58" s="78">
        <v>-0.1328125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3"/>
      <c r="R58" s="233"/>
      <c r="S58" s="233"/>
    </row>
    <row r="59" spans="1:19" ht="17.25" customHeight="1" thickBot="1">
      <c r="A59" s="162" t="s">
        <v>230</v>
      </c>
      <c r="B59" s="129">
        <v>90.1</v>
      </c>
      <c r="C59" s="80">
        <v>-0.14190476190000001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3"/>
      <c r="R59" s="223"/>
      <c r="S59" s="223"/>
    </row>
    <row r="60" spans="1:19" ht="17.25" customHeight="1" thickBot="1">
      <c r="A60" s="162" t="s">
        <v>72</v>
      </c>
      <c r="B60" s="126">
        <v>18.100000000000001</v>
      </c>
      <c r="C60" s="77">
        <v>-0.15023474179999999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3"/>
      <c r="R60" s="223"/>
      <c r="S60" s="223"/>
    </row>
    <row r="61" spans="1:19" ht="17.25" customHeight="1" thickBot="1">
      <c r="A61" s="162" t="s">
        <v>202</v>
      </c>
      <c r="B61" s="126">
        <v>88.6</v>
      </c>
      <c r="C61" s="77">
        <v>-0.15619047620000001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3"/>
      <c r="R61" s="223"/>
      <c r="S61" s="223"/>
    </row>
    <row r="62" spans="1:19" ht="17.25" customHeight="1">
      <c r="A62" s="162" t="s">
        <v>154</v>
      </c>
      <c r="B62" s="126">
        <v>8.5</v>
      </c>
      <c r="C62" s="77">
        <v>-0.1584158416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2"/>
      <c r="R62" s="213"/>
      <c r="S62" s="214"/>
    </row>
    <row r="63" spans="1:19" ht="17.25" customHeight="1" thickBot="1">
      <c r="A63" s="130" t="s">
        <v>196</v>
      </c>
      <c r="B63" s="131">
        <v>8.3699999999999992</v>
      </c>
      <c r="C63" s="79">
        <v>-0.15879396979999999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5"/>
      <c r="R63" s="216"/>
      <c r="S63" s="217"/>
    </row>
    <row r="64" spans="1:19" ht="17.25" customHeight="1" thickBot="1">
      <c r="A64" s="132" t="s">
        <v>300</v>
      </c>
      <c r="B64" s="276">
        <f>$B$37</f>
        <v>100000</v>
      </c>
      <c r="C64" s="277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18"/>
      <c r="R64" s="219"/>
      <c r="S64" s="220"/>
    </row>
    <row r="65" spans="1:19" ht="17.25" customHeight="1"/>
    <row r="66" spans="1:19" ht="17.25" customHeight="1" thickBot="1"/>
    <row r="67" spans="1:19" ht="17.25" thickBot="1">
      <c r="A67" s="234" t="s">
        <v>45</v>
      </c>
      <c r="B67" s="235"/>
      <c r="C67" s="235"/>
      <c r="D67" s="235"/>
      <c r="E67" s="235"/>
      <c r="F67" s="235"/>
      <c r="G67" s="235"/>
      <c r="H67" s="235"/>
      <c r="I67" s="235"/>
      <c r="J67" s="235"/>
      <c r="K67" s="235"/>
      <c r="L67" s="235"/>
      <c r="M67" s="235"/>
      <c r="N67" s="235"/>
      <c r="O67" s="236"/>
      <c r="Q67" s="233"/>
      <c r="R67" s="233"/>
      <c r="S67" s="233"/>
    </row>
    <row r="68" spans="1:19" ht="17.25" thickBot="1">
      <c r="A68" s="208" t="s">
        <v>297</v>
      </c>
      <c r="B68" s="234" t="s">
        <v>49</v>
      </c>
      <c r="C68" s="236"/>
      <c r="D68" s="234" t="s">
        <v>58</v>
      </c>
      <c r="E68" s="235"/>
      <c r="F68" s="236"/>
      <c r="G68" s="237">
        <f>_xlfn.IFNA(VLOOKUP(B68, 현재가테이블!$B$2:$D$200, 2, FALSE), "-")</f>
        <v>41418000</v>
      </c>
      <c r="H68" s="238"/>
      <c r="I68" s="239"/>
      <c r="J68" s="234" t="s">
        <v>59</v>
      </c>
      <c r="K68" s="235"/>
      <c r="L68" s="236"/>
      <c r="M68" s="240">
        <f>_xlfn.IFNA(VLOOKUP(B68, 현재가테이블!$B$2:$D$200, 3, FALSE), "-")</f>
        <v>-5.2176301000000001E-2</v>
      </c>
      <c r="N68" s="241"/>
      <c r="O68" s="242"/>
      <c r="Q68" s="233"/>
      <c r="R68" s="233"/>
      <c r="S68" s="233"/>
    </row>
    <row r="69" spans="1:19" ht="17.25" thickBot="1">
      <c r="A69" s="278" t="s">
        <v>55</v>
      </c>
      <c r="B69" s="274" t="str">
        <f>TEXT($G$1, "[$-ko-KR]yyyy-mm-dd(ddd) ") &amp; "오전 00:00"</f>
        <v>2021-06-13(일) 오전 00:00</v>
      </c>
      <c r="C69" s="275"/>
      <c r="D69" s="247" t="str">
        <f>TEXT($G$1, "[$-ko-KR]yyyy-mm-dd(ddd) ") &amp; "오후 14:00"</f>
        <v>2021-06-13(일) 오후 14:00</v>
      </c>
      <c r="E69" s="248"/>
      <c r="F69" s="249"/>
      <c r="G69" s="247" t="str">
        <f>TEXT($G$1, "[$-ko-KR]yyyy-mm-dd(ddd) ") &amp; "오후 19:00"</f>
        <v>2021-06-13(일) 오후 19:00</v>
      </c>
      <c r="H69" s="248"/>
      <c r="I69" s="249"/>
      <c r="J69" s="247" t="str">
        <f>TEXT($G$1, "[$-ko-KR]yyyy-mm-dd(ddd) ") &amp; "오후 21:00"</f>
        <v>2021-06-13(일) 오후 21:00</v>
      </c>
      <c r="K69" s="248"/>
      <c r="L69" s="249"/>
      <c r="M69" s="247" t="str">
        <f>TEXT($G$1+1, "[$-ko-KR]yyyy-mm-dd(ddd) ") &amp; "오전 00:00"</f>
        <v>2021-06-14(월) 오전 00:00</v>
      </c>
      <c r="N69" s="248"/>
      <c r="O69" s="249"/>
      <c r="Q69" s="233"/>
      <c r="R69" s="233"/>
      <c r="S69" s="233"/>
    </row>
    <row r="70" spans="1:19" ht="17.25" thickBot="1">
      <c r="A70" s="279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9" t="s">
        <v>58</v>
      </c>
      <c r="H70" s="210" t="s">
        <v>298</v>
      </c>
      <c r="I70" s="21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23"/>
      <c r="R70" s="223"/>
      <c r="S70" s="223"/>
    </row>
    <row r="71" spans="1:19" ht="17.25" thickBot="1">
      <c r="A71" s="161" t="s">
        <v>51</v>
      </c>
      <c r="B71" s="124">
        <v>380</v>
      </c>
      <c r="C71" s="76">
        <v>2.15053763E-2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3"/>
      <c r="R71" s="233"/>
      <c r="S71" s="233"/>
    </row>
    <row r="72" spans="1:19" ht="17.25" thickBot="1">
      <c r="A72" s="162" t="s">
        <v>280</v>
      </c>
      <c r="B72" s="126">
        <v>903</v>
      </c>
      <c r="C72" s="77">
        <v>1.4606741600000001E-2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3"/>
      <c r="R72" s="233"/>
      <c r="S72" s="233"/>
    </row>
    <row r="73" spans="1:19" ht="17.25" thickBot="1">
      <c r="A73" s="162" t="s">
        <v>132</v>
      </c>
      <c r="B73" s="126">
        <v>121</v>
      </c>
      <c r="C73" s="77">
        <v>-1.6260162599999999E-2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3"/>
      <c r="R73" s="223"/>
      <c r="S73" s="223"/>
    </row>
    <row r="74" spans="1:19" ht="17.25" thickBot="1">
      <c r="A74" s="162" t="s">
        <v>92</v>
      </c>
      <c r="B74" s="126">
        <v>969</v>
      </c>
      <c r="C74" s="77">
        <v>-2.12121212E-2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3"/>
      <c r="R74" s="223"/>
      <c r="S74" s="223"/>
    </row>
    <row r="75" spans="1:19" ht="17.25" thickBot="1">
      <c r="A75" s="163" t="s">
        <v>142</v>
      </c>
      <c r="B75" s="128">
        <v>525</v>
      </c>
      <c r="C75" s="78">
        <v>-2.41635688E-2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3"/>
      <c r="R75" s="223"/>
      <c r="S75" s="223"/>
    </row>
    <row r="76" spans="1:19" ht="17.25" thickBot="1">
      <c r="A76" s="162" t="s">
        <v>296</v>
      </c>
      <c r="B76" s="129">
        <v>363</v>
      </c>
      <c r="C76" s="80">
        <v>-2.68096515E-2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3"/>
      <c r="R76" s="223"/>
      <c r="S76" s="223"/>
    </row>
    <row r="77" spans="1:19" ht="17.25" thickBot="1">
      <c r="A77" s="162" t="s">
        <v>80</v>
      </c>
      <c r="B77" s="126">
        <v>731</v>
      </c>
      <c r="C77" s="77">
        <v>-3.0503978800000001E-2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3"/>
      <c r="R77" s="223"/>
      <c r="S77" s="223"/>
    </row>
    <row r="78" spans="1:19" ht="17.25" thickBot="1">
      <c r="A78" s="162" t="s">
        <v>136</v>
      </c>
      <c r="B78" s="126">
        <v>115</v>
      </c>
      <c r="C78" s="77">
        <v>-3.3613445399999997E-2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3"/>
      <c r="R78" s="223"/>
      <c r="S78" s="223"/>
    </row>
    <row r="79" spans="1:19" ht="17.25" thickBot="1">
      <c r="A79" s="162" t="s">
        <v>128</v>
      </c>
      <c r="B79" s="126">
        <v>298</v>
      </c>
      <c r="C79" s="77">
        <v>-3.8709677400000003E-2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88</v>
      </c>
      <c r="B80" s="131">
        <v>333</v>
      </c>
      <c r="C80" s="79">
        <v>-4.0345821300000001E-2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4"/>
      <c r="R80" s="225"/>
      <c r="S80" s="226"/>
    </row>
    <row r="81" spans="1:19">
      <c r="A81" s="161" t="s">
        <v>57</v>
      </c>
      <c r="B81" s="124">
        <v>184</v>
      </c>
      <c r="C81" s="76">
        <v>-4.16666667E-2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7"/>
      <c r="R81" s="228"/>
      <c r="S81" s="229"/>
    </row>
    <row r="82" spans="1:19" ht="17.25" thickBot="1">
      <c r="A82" s="162" t="s">
        <v>61</v>
      </c>
      <c r="B82" s="126">
        <v>778</v>
      </c>
      <c r="C82" s="77">
        <v>-4.30504305E-2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0"/>
      <c r="R82" s="231"/>
      <c r="S82" s="232"/>
    </row>
    <row r="83" spans="1:19" ht="17.25" thickBot="1">
      <c r="A83" s="162" t="s">
        <v>120</v>
      </c>
      <c r="B83" s="126">
        <v>131</v>
      </c>
      <c r="C83" s="77">
        <v>-4.3795620399999999E-2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3"/>
      <c r="R83" s="223"/>
      <c r="S83" s="223"/>
    </row>
    <row r="84" spans="1:19" ht="17.25" thickBot="1">
      <c r="A84" s="162" t="s">
        <v>176</v>
      </c>
      <c r="B84" s="126">
        <v>981</v>
      </c>
      <c r="C84" s="77">
        <v>-5.6730769200000003E-2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3"/>
      <c r="R84" s="233"/>
      <c r="S84" s="233"/>
    </row>
    <row r="85" spans="1:19" ht="17.25" thickBot="1">
      <c r="A85" s="163" t="s">
        <v>270</v>
      </c>
      <c r="B85" s="128">
        <v>301</v>
      </c>
      <c r="C85" s="78">
        <v>-5.9374999999999997E-2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3"/>
      <c r="R85" s="233"/>
      <c r="S85" s="233"/>
    </row>
    <row r="86" spans="1:19" ht="17.25" thickBot="1">
      <c r="A86" s="162" t="s">
        <v>284</v>
      </c>
      <c r="B86" s="129">
        <v>197</v>
      </c>
      <c r="C86" s="80">
        <v>-7.5117370899999994E-2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3"/>
      <c r="R86" s="223"/>
      <c r="S86" s="223"/>
    </row>
    <row r="87" spans="1:19" ht="17.25" thickBot="1">
      <c r="A87" s="162" t="s">
        <v>54</v>
      </c>
      <c r="B87" s="126">
        <v>216</v>
      </c>
      <c r="C87" s="77">
        <v>-8.0851063799999998E-2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3"/>
      <c r="R87" s="223"/>
      <c r="S87" s="223"/>
    </row>
    <row r="88" spans="1:19" ht="17.25" thickBot="1">
      <c r="A88" s="162" t="s">
        <v>258</v>
      </c>
      <c r="B88" s="126">
        <v>380</v>
      </c>
      <c r="C88" s="77">
        <v>-8.2125603899999997E-2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3"/>
      <c r="R88" s="223"/>
      <c r="S88" s="223"/>
    </row>
    <row r="89" spans="1:19">
      <c r="A89" s="162" t="s">
        <v>216</v>
      </c>
      <c r="B89" s="126">
        <v>231</v>
      </c>
      <c r="C89" s="77">
        <v>-8.6956521699999997E-2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2"/>
      <c r="R89" s="213"/>
      <c r="S89" s="214"/>
    </row>
    <row r="90" spans="1:19" ht="17.25" thickBot="1">
      <c r="A90" s="130" t="s">
        <v>170</v>
      </c>
      <c r="B90" s="131">
        <v>237</v>
      </c>
      <c r="C90" s="79">
        <v>-9.5419847299999999E-2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5"/>
      <c r="R90" s="216"/>
      <c r="S90" s="217"/>
    </row>
    <row r="91" spans="1:19" ht="17.25" thickBot="1">
      <c r="A91" s="132" t="s">
        <v>300</v>
      </c>
      <c r="B91" s="276">
        <f>$B$37</f>
        <v>100000</v>
      </c>
      <c r="C91" s="277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18"/>
      <c r="R91" s="219"/>
      <c r="S91" s="220"/>
    </row>
    <row r="93" spans="1:19" ht="17.25" thickBot="1"/>
    <row r="94" spans="1:19" ht="17.25" thickBot="1">
      <c r="A94" s="234" t="s">
        <v>46</v>
      </c>
      <c r="B94" s="235"/>
      <c r="C94" s="235"/>
      <c r="D94" s="235"/>
      <c r="E94" s="235"/>
      <c r="F94" s="235"/>
      <c r="G94" s="235"/>
      <c r="H94" s="235"/>
      <c r="I94" s="235"/>
      <c r="J94" s="235"/>
      <c r="K94" s="235"/>
      <c r="L94" s="235"/>
      <c r="M94" s="235"/>
      <c r="N94" s="235"/>
      <c r="O94" s="236"/>
      <c r="Q94" s="233"/>
      <c r="R94" s="233"/>
      <c r="S94" s="233"/>
    </row>
    <row r="95" spans="1:19" ht="17.25" thickBot="1">
      <c r="A95" s="208" t="s">
        <v>297</v>
      </c>
      <c r="B95" s="234" t="s">
        <v>49</v>
      </c>
      <c r="C95" s="236"/>
      <c r="D95" s="234" t="s">
        <v>58</v>
      </c>
      <c r="E95" s="235"/>
      <c r="F95" s="236"/>
      <c r="G95" s="237">
        <f>_xlfn.IFNA(VLOOKUP(B95, 현재가테이블!$B$2:$D$200, 2, FALSE), "-")</f>
        <v>41418000</v>
      </c>
      <c r="H95" s="238"/>
      <c r="I95" s="239"/>
      <c r="J95" s="234" t="s">
        <v>59</v>
      </c>
      <c r="K95" s="235"/>
      <c r="L95" s="236"/>
      <c r="M95" s="240">
        <f>_xlfn.IFNA(VLOOKUP(B95, 현재가테이블!$B$2:$D$200, 3, FALSE), "-")</f>
        <v>-5.2176301000000001E-2</v>
      </c>
      <c r="N95" s="241"/>
      <c r="O95" s="242"/>
      <c r="Q95" s="233"/>
      <c r="R95" s="233"/>
      <c r="S95" s="233"/>
    </row>
    <row r="96" spans="1:19" ht="17.25" thickBot="1">
      <c r="A96" s="278" t="s">
        <v>55</v>
      </c>
      <c r="B96" s="274" t="str">
        <f>TEXT($G$1, "[$-ko-KR]yyyy-mm-dd(ddd) ") &amp; "오전 00:00"</f>
        <v>2021-06-13(일) 오전 00:00</v>
      </c>
      <c r="C96" s="275"/>
      <c r="D96" s="247" t="str">
        <f>TEXT($G$1, "[$-ko-KR]yyyy-mm-dd(ddd) ") &amp; "오후 14:00"</f>
        <v>2021-06-13(일) 오후 14:00</v>
      </c>
      <c r="E96" s="248"/>
      <c r="F96" s="249"/>
      <c r="G96" s="247" t="str">
        <f>TEXT($G$1, "[$-ko-KR]yyyy-mm-dd(ddd) ") &amp; "오후 19:00"</f>
        <v>2021-06-13(일) 오후 19:00</v>
      </c>
      <c r="H96" s="248"/>
      <c r="I96" s="249"/>
      <c r="J96" s="247" t="str">
        <f>TEXT($G$1, "[$-ko-KR]yyyy-mm-dd(ddd) ") &amp; "오후 21:00"</f>
        <v>2021-06-13(일) 오후 21:00</v>
      </c>
      <c r="K96" s="248"/>
      <c r="L96" s="249"/>
      <c r="M96" s="247" t="str">
        <f>TEXT($G$1+1, "[$-ko-KR]yyyy-mm-dd(ddd) ") &amp; "오전 00:00"</f>
        <v>2021-06-14(월) 오전 00:00</v>
      </c>
      <c r="N96" s="248"/>
      <c r="O96" s="249"/>
      <c r="Q96" s="233"/>
      <c r="R96" s="233"/>
      <c r="S96" s="233"/>
    </row>
    <row r="97" spans="1:19" ht="17.25" thickBot="1">
      <c r="A97" s="279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9" t="s">
        <v>58</v>
      </c>
      <c r="H97" s="210" t="s">
        <v>298</v>
      </c>
      <c r="I97" s="21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23"/>
      <c r="R97" s="223"/>
      <c r="S97" s="223"/>
    </row>
    <row r="98" spans="1:19" ht="17.25" thickBot="1">
      <c r="A98" s="161" t="s">
        <v>264</v>
      </c>
      <c r="B98" s="124">
        <v>83.8</v>
      </c>
      <c r="C98" s="76">
        <v>0.13396481730000001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3"/>
      <c r="R98" s="233"/>
      <c r="S98" s="233"/>
    </row>
    <row r="99" spans="1:19" ht="17.25" thickBot="1">
      <c r="A99" s="162" t="s">
        <v>164</v>
      </c>
      <c r="B99" s="126">
        <v>17420</v>
      </c>
      <c r="C99" s="77">
        <v>5.44794189E-2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3"/>
      <c r="R99" s="233"/>
      <c r="S99" s="233"/>
    </row>
    <row r="100" spans="1:19" ht="17.25" thickBot="1">
      <c r="A100" s="162" t="s">
        <v>118</v>
      </c>
      <c r="B100" s="126">
        <v>4255</v>
      </c>
      <c r="C100" s="77">
        <v>2.16086435E-2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3"/>
      <c r="R100" s="223"/>
      <c r="S100" s="223"/>
    </row>
    <row r="101" spans="1:19" ht="17.25" thickBot="1">
      <c r="A101" s="162" t="s">
        <v>51</v>
      </c>
      <c r="B101" s="126">
        <v>380</v>
      </c>
      <c r="C101" s="77">
        <v>2.15053763E-2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3"/>
      <c r="R101" s="223"/>
      <c r="S101" s="223"/>
    </row>
    <row r="102" spans="1:19" ht="17.25" thickBot="1">
      <c r="A102" s="163" t="s">
        <v>96</v>
      </c>
      <c r="B102" s="128">
        <v>2806000</v>
      </c>
      <c r="C102" s="78">
        <v>1.8142235100000001E-2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3"/>
      <c r="R102" s="223"/>
      <c r="S102" s="223"/>
    </row>
    <row r="103" spans="1:19" ht="17.25" thickBot="1">
      <c r="A103" s="162" t="s">
        <v>148</v>
      </c>
      <c r="B103" s="129">
        <v>97.6</v>
      </c>
      <c r="C103" s="80">
        <v>1.6666666699999999E-2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3"/>
      <c r="R103" s="223"/>
      <c r="S103" s="223"/>
    </row>
    <row r="104" spans="1:19" ht="17.25" thickBot="1">
      <c r="A104" s="162" t="s">
        <v>184</v>
      </c>
      <c r="B104" s="126">
        <v>1340</v>
      </c>
      <c r="C104" s="77">
        <v>1.51515152E-2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3"/>
      <c r="R104" s="223"/>
      <c r="S104" s="223"/>
    </row>
    <row r="105" spans="1:19" ht="17.25" thickBot="1">
      <c r="A105" s="162" t="s">
        <v>280</v>
      </c>
      <c r="B105" s="126">
        <v>903</v>
      </c>
      <c r="C105" s="77">
        <v>1.4606741600000001E-2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3"/>
      <c r="R105" s="223"/>
      <c r="S105" s="223"/>
    </row>
    <row r="106" spans="1:19" ht="17.25" thickBot="1">
      <c r="A106" s="162" t="s">
        <v>84</v>
      </c>
      <c r="B106" s="126">
        <v>1700</v>
      </c>
      <c r="C106" s="77">
        <v>8.9020772000000005E-3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76</v>
      </c>
      <c r="B107" s="131">
        <v>25310</v>
      </c>
      <c r="C107" s="79">
        <v>6.7621321000000002E-3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4"/>
      <c r="R107" s="225"/>
      <c r="S107" s="226"/>
    </row>
    <row r="108" spans="1:19">
      <c r="A108" s="161" t="s">
        <v>106</v>
      </c>
      <c r="B108" s="124">
        <v>1020</v>
      </c>
      <c r="C108" s="76">
        <v>4.9261084000000004E-3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7"/>
      <c r="R108" s="228"/>
      <c r="S108" s="229"/>
    </row>
    <row r="109" spans="1:19" ht="17.25" thickBot="1">
      <c r="A109" s="162" t="s">
        <v>98</v>
      </c>
      <c r="B109" s="126">
        <v>3670</v>
      </c>
      <c r="C109" s="77">
        <v>0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0"/>
      <c r="R109" s="231"/>
      <c r="S109" s="232"/>
    </row>
    <row r="110" spans="1:19" ht="17.25" thickBot="1">
      <c r="A110" s="162" t="s">
        <v>78</v>
      </c>
      <c r="B110" s="126">
        <v>671200</v>
      </c>
      <c r="C110" s="77">
        <v>-5.9241705999999996E-3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3"/>
      <c r="R110" s="223"/>
      <c r="S110" s="223"/>
    </row>
    <row r="111" spans="1:19" ht="17.25" thickBot="1">
      <c r="A111" s="162" t="s">
        <v>130</v>
      </c>
      <c r="B111" s="126">
        <v>188500</v>
      </c>
      <c r="C111" s="77">
        <v>-1.10178384E-2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3"/>
      <c r="R111" s="233"/>
      <c r="S111" s="233"/>
    </row>
    <row r="112" spans="1:19" ht="17.25" thickBot="1">
      <c r="A112" s="163" t="s">
        <v>114</v>
      </c>
      <c r="B112" s="128">
        <v>9165</v>
      </c>
      <c r="C112" s="78">
        <v>-1.3986014E-2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3"/>
      <c r="R112" s="233"/>
      <c r="S112" s="233"/>
    </row>
    <row r="113" spans="1:19" ht="17.25" thickBot="1">
      <c r="A113" s="162" t="s">
        <v>138</v>
      </c>
      <c r="B113" s="129">
        <v>24120</v>
      </c>
      <c r="C113" s="80">
        <v>-1.5510204099999999E-2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3"/>
      <c r="R113" s="223"/>
      <c r="S113" s="223"/>
    </row>
    <row r="114" spans="1:19" ht="17.25" thickBot="1">
      <c r="A114" s="162" t="s">
        <v>132</v>
      </c>
      <c r="B114" s="126">
        <v>121</v>
      </c>
      <c r="C114" s="77">
        <v>-1.6260162599999999E-2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3"/>
      <c r="R114" s="223"/>
      <c r="S114" s="223"/>
    </row>
    <row r="115" spans="1:19" ht="17.25" thickBot="1">
      <c r="A115" s="162" t="s">
        <v>156</v>
      </c>
      <c r="B115" s="126">
        <v>79.400000000000006</v>
      </c>
      <c r="C115" s="77">
        <v>-1.85414091E-2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3"/>
      <c r="R115" s="223"/>
      <c r="S115" s="223"/>
    </row>
    <row r="116" spans="1:19">
      <c r="A116" s="162" t="s">
        <v>110</v>
      </c>
      <c r="B116" s="126">
        <v>1040</v>
      </c>
      <c r="C116" s="77">
        <v>-1.8867924500000001E-2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2"/>
      <c r="R116" s="213"/>
      <c r="S116" s="214"/>
    </row>
    <row r="117" spans="1:19" ht="17.25" thickBot="1">
      <c r="A117" s="130" t="s">
        <v>90</v>
      </c>
      <c r="B117" s="131">
        <v>188350</v>
      </c>
      <c r="C117" s="79">
        <v>-2.0540821599999998E-2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5"/>
      <c r="R117" s="216"/>
      <c r="S117" s="217"/>
    </row>
    <row r="118" spans="1:19" ht="17.25" thickBot="1">
      <c r="A118" s="132" t="s">
        <v>300</v>
      </c>
      <c r="B118" s="276">
        <f>$B$37</f>
        <v>100000</v>
      </c>
      <c r="C118" s="277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18"/>
      <c r="R118" s="219"/>
      <c r="S118" s="220"/>
    </row>
    <row r="120" spans="1:19" ht="17.25" thickBot="1"/>
    <row r="121" spans="1:19" ht="17.25" thickBot="1">
      <c r="A121" s="234" t="s">
        <v>288</v>
      </c>
      <c r="B121" s="235"/>
      <c r="C121" s="235"/>
      <c r="D121" s="235"/>
      <c r="E121" s="235"/>
      <c r="F121" s="235"/>
      <c r="G121" s="235"/>
      <c r="H121" s="235"/>
      <c r="I121" s="235"/>
      <c r="J121" s="235"/>
      <c r="K121" s="235"/>
      <c r="L121" s="235"/>
      <c r="M121" s="235"/>
      <c r="N121" s="235"/>
      <c r="O121" s="236"/>
      <c r="Q121" s="233"/>
      <c r="R121" s="233"/>
      <c r="S121" s="233"/>
    </row>
    <row r="122" spans="1:19" ht="17.25" thickBot="1">
      <c r="A122" s="208" t="s">
        <v>297</v>
      </c>
      <c r="B122" s="234" t="s">
        <v>49</v>
      </c>
      <c r="C122" s="236"/>
      <c r="D122" s="234" t="s">
        <v>58</v>
      </c>
      <c r="E122" s="235"/>
      <c r="F122" s="236"/>
      <c r="G122" s="237">
        <f>_xlfn.IFNA(VLOOKUP(B122, 현재가테이블!$B$2:$D$200, 2, FALSE), "-")</f>
        <v>41418000</v>
      </c>
      <c r="H122" s="238"/>
      <c r="I122" s="239"/>
      <c r="J122" s="234" t="s">
        <v>59</v>
      </c>
      <c r="K122" s="235"/>
      <c r="L122" s="236"/>
      <c r="M122" s="240">
        <f>_xlfn.IFNA(VLOOKUP(B122, 현재가테이블!$B$2:$D$200, 3, FALSE), "-")</f>
        <v>-5.2176301000000001E-2</v>
      </c>
      <c r="N122" s="241"/>
      <c r="O122" s="242"/>
      <c r="Q122" s="233"/>
      <c r="R122" s="233"/>
      <c r="S122" s="233"/>
    </row>
    <row r="123" spans="1:19" ht="17.25" thickBot="1">
      <c r="A123" s="278" t="s">
        <v>55</v>
      </c>
      <c r="B123" s="274" t="str">
        <f>TEXT($G$1, "[$-ko-KR]yyyy-mm-dd(ddd) ") &amp; "오전 00:00"</f>
        <v>2021-06-13(일) 오전 00:00</v>
      </c>
      <c r="C123" s="275"/>
      <c r="D123" s="247" t="str">
        <f>TEXT($G$1, "[$-ko-KR]yyyy-mm-dd(ddd) ") &amp; "오후 14:00"</f>
        <v>2021-06-13(일) 오후 14:00</v>
      </c>
      <c r="E123" s="248"/>
      <c r="F123" s="249"/>
      <c r="G123" s="247" t="str">
        <f>TEXT($G$1, "[$-ko-KR]yyyy-mm-dd(ddd) ") &amp; "오후 19:00"</f>
        <v>2021-06-13(일) 오후 19:00</v>
      </c>
      <c r="H123" s="248"/>
      <c r="I123" s="249"/>
      <c r="J123" s="247" t="str">
        <f>TEXT($G$1, "[$-ko-KR]yyyy-mm-dd(ddd) ") &amp; "오후 21:00"</f>
        <v>2021-06-13(일) 오후 21:00</v>
      </c>
      <c r="K123" s="248"/>
      <c r="L123" s="249"/>
      <c r="M123" s="247" t="str">
        <f>TEXT($G$1+1, "[$-ko-KR]yyyy-mm-dd(ddd) ") &amp; "오전 00:00"</f>
        <v>2021-06-14(월) 오전 00:00</v>
      </c>
      <c r="N123" s="248"/>
      <c r="O123" s="249"/>
      <c r="Q123" s="233"/>
      <c r="R123" s="233"/>
      <c r="S123" s="233"/>
    </row>
    <row r="124" spans="1:19" ht="17.25" thickBot="1">
      <c r="A124" s="279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9" t="s">
        <v>58</v>
      </c>
      <c r="H124" s="210" t="s">
        <v>298</v>
      </c>
      <c r="I124" s="21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23"/>
      <c r="R124" s="223"/>
      <c r="S124" s="223"/>
    </row>
    <row r="125" spans="1:19" ht="17.25" thickBot="1">
      <c r="A125" s="161" t="s">
        <v>72</v>
      </c>
      <c r="B125" s="124">
        <v>18.100000000000001</v>
      </c>
      <c r="C125" s="76">
        <v>-0.15023474179999999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3"/>
      <c r="R125" s="233"/>
      <c r="S125" s="233"/>
    </row>
    <row r="126" spans="1:19" ht="17.25" thickBot="1">
      <c r="A126" s="162" t="s">
        <v>202</v>
      </c>
      <c r="B126" s="126">
        <v>88.6</v>
      </c>
      <c r="C126" s="77">
        <v>-0.15619047620000001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3"/>
      <c r="R126" s="233"/>
      <c r="S126" s="233"/>
    </row>
    <row r="127" spans="1:19" ht="17.25" thickBot="1">
      <c r="A127" s="162" t="s">
        <v>154</v>
      </c>
      <c r="B127" s="126">
        <v>8.5</v>
      </c>
      <c r="C127" s="77">
        <v>-0.1584158416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3"/>
      <c r="R127" s="223"/>
      <c r="S127" s="223"/>
    </row>
    <row r="128" spans="1:19" ht="17.25" thickBot="1">
      <c r="A128" s="162" t="s">
        <v>196</v>
      </c>
      <c r="B128" s="126">
        <v>8.3699999999999992</v>
      </c>
      <c r="C128" s="77">
        <v>-0.15879396979999999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3"/>
      <c r="R128" s="223"/>
      <c r="S128" s="223"/>
    </row>
    <row r="129" spans="1:19" ht="17.25" thickBot="1">
      <c r="A129" s="163" t="s">
        <v>232</v>
      </c>
      <c r="B129" s="128">
        <v>85.7</v>
      </c>
      <c r="C129" s="78">
        <v>-0.167961165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3"/>
      <c r="R129" s="223"/>
      <c r="S129" s="223"/>
    </row>
    <row r="130" spans="1:19" ht="17.25" thickBot="1">
      <c r="A130" s="162" t="s">
        <v>268</v>
      </c>
      <c r="B130" s="129">
        <v>31.9</v>
      </c>
      <c r="C130" s="80">
        <v>-0.16927083330000001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3"/>
      <c r="R130" s="223"/>
      <c r="S130" s="223"/>
    </row>
    <row r="131" spans="1:19" ht="17.25" thickBot="1">
      <c r="A131" s="162" t="s">
        <v>282</v>
      </c>
      <c r="B131" s="126">
        <v>55.9</v>
      </c>
      <c r="C131" s="77">
        <v>-0.1693907875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3"/>
      <c r="R131" s="223"/>
      <c r="S131" s="223"/>
    </row>
    <row r="132" spans="1:19" ht="17.25" thickBot="1">
      <c r="A132" s="162" t="s">
        <v>198</v>
      </c>
      <c r="B132" s="126">
        <v>11</v>
      </c>
      <c r="C132" s="77">
        <v>-0.17293233080000001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3"/>
      <c r="R132" s="223"/>
      <c r="S132" s="223"/>
    </row>
    <row r="133" spans="1:19" ht="17.25" thickBot="1">
      <c r="A133" s="162" t="s">
        <v>238</v>
      </c>
      <c r="B133" s="126">
        <v>88</v>
      </c>
      <c r="C133" s="77">
        <v>-0.18518518519999999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240</v>
      </c>
      <c r="B134" s="131">
        <v>84.6</v>
      </c>
      <c r="C134" s="79">
        <v>-0.1865384615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4"/>
      <c r="R134" s="225"/>
      <c r="S134" s="226"/>
    </row>
    <row r="135" spans="1:19">
      <c r="A135" s="161" t="s">
        <v>222</v>
      </c>
      <c r="B135" s="124">
        <v>8.2100000000000009</v>
      </c>
      <c r="C135" s="76">
        <v>-0.18712871289999999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7"/>
      <c r="R135" s="228"/>
      <c r="S135" s="229"/>
    </row>
    <row r="136" spans="1:19" ht="17.25" thickBot="1">
      <c r="A136" s="162" t="s">
        <v>210</v>
      </c>
      <c r="B136" s="126">
        <v>85.2</v>
      </c>
      <c r="C136" s="77">
        <v>-0.1962264151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0"/>
      <c r="R136" s="231"/>
      <c r="S136" s="232"/>
    </row>
    <row r="137" spans="1:19" ht="17.25" thickBot="1">
      <c r="A137" s="162" t="s">
        <v>250</v>
      </c>
      <c r="B137" s="126">
        <v>58.8</v>
      </c>
      <c r="C137" s="77">
        <v>-0.1978171896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3"/>
      <c r="R137" s="223"/>
      <c r="S137" s="223"/>
    </row>
    <row r="138" spans="1:19" ht="17.25" thickBot="1">
      <c r="A138" s="162" t="s">
        <v>214</v>
      </c>
      <c r="B138" s="126">
        <v>9.1199999999999992</v>
      </c>
      <c r="C138" s="77">
        <v>-0.2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3"/>
      <c r="R138" s="233"/>
      <c r="S138" s="233"/>
    </row>
    <row r="139" spans="1:19" ht="17.25" thickBot="1">
      <c r="A139" s="163" t="s">
        <v>266</v>
      </c>
      <c r="B139" s="128">
        <v>56.6</v>
      </c>
      <c r="C139" s="78">
        <v>-0.2402684564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3"/>
      <c r="R139" s="233"/>
      <c r="S139" s="233"/>
    </row>
    <row r="140" spans="1:19" ht="17.25" thickBot="1">
      <c r="A140" s="162" t="s">
        <v>236</v>
      </c>
      <c r="B140" s="129">
        <v>21.8</v>
      </c>
      <c r="C140" s="80">
        <v>-0.31230283910000001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3"/>
      <c r="R140" s="223"/>
      <c r="S140" s="223"/>
    </row>
    <row r="141" spans="1:19" ht="17.25" thickBot="1">
      <c r="A141" s="162" t="s">
        <v>218</v>
      </c>
      <c r="B141" s="126">
        <v>5.68</v>
      </c>
      <c r="C141" s="77">
        <v>-0.31566265059999998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3"/>
      <c r="R141" s="223"/>
      <c r="S141" s="223"/>
    </row>
    <row r="142" spans="1:19" ht="17.25" thickBot="1">
      <c r="A142" s="162" t="s">
        <v>254</v>
      </c>
      <c r="B142" s="126">
        <v>22.5</v>
      </c>
      <c r="C142" s="77">
        <v>-0.31610942250000001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3"/>
      <c r="R142" s="223"/>
      <c r="S142" s="223"/>
    </row>
    <row r="143" spans="1:19">
      <c r="A143" s="162" t="s">
        <v>122</v>
      </c>
      <c r="B143" s="126">
        <v>27</v>
      </c>
      <c r="C143" s="77">
        <v>-0.3198992443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2"/>
      <c r="R143" s="213"/>
      <c r="S143" s="214"/>
    </row>
    <row r="144" spans="1:19" ht="17.25" thickBot="1">
      <c r="A144" s="130" t="s">
        <v>172</v>
      </c>
      <c r="B144" s="131">
        <v>5.4</v>
      </c>
      <c r="C144" s="79">
        <v>-0.32075471700000002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5"/>
      <c r="R144" s="216"/>
      <c r="S144" s="217"/>
    </row>
    <row r="145" spans="1:19" ht="17.25" thickBot="1">
      <c r="A145" s="132" t="s">
        <v>300</v>
      </c>
      <c r="B145" s="276">
        <f>$B$37</f>
        <v>100000</v>
      </c>
      <c r="C145" s="277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18"/>
      <c r="R145" s="219"/>
      <c r="S145" s="220"/>
    </row>
    <row r="147" spans="1:19" ht="17.25" thickBot="1"/>
    <row r="148" spans="1:19" ht="17.25" thickBot="1">
      <c r="A148" s="234" t="s">
        <v>289</v>
      </c>
      <c r="B148" s="235"/>
      <c r="C148" s="235"/>
      <c r="D148" s="235"/>
      <c r="E148" s="235"/>
      <c r="F148" s="235"/>
      <c r="G148" s="235"/>
      <c r="H148" s="235"/>
      <c r="I148" s="235"/>
      <c r="J148" s="235"/>
      <c r="K148" s="235"/>
      <c r="L148" s="235"/>
      <c r="M148" s="235"/>
      <c r="N148" s="235"/>
      <c r="O148" s="236"/>
      <c r="Q148" s="233"/>
      <c r="R148" s="233"/>
      <c r="S148" s="233"/>
    </row>
    <row r="149" spans="1:19" ht="17.25" thickBot="1">
      <c r="A149" s="208" t="s">
        <v>297</v>
      </c>
      <c r="B149" s="234" t="s">
        <v>49</v>
      </c>
      <c r="C149" s="236"/>
      <c r="D149" s="234" t="s">
        <v>58</v>
      </c>
      <c r="E149" s="235"/>
      <c r="F149" s="236"/>
      <c r="G149" s="237">
        <f>_xlfn.IFNA(VLOOKUP(B149, 현재가테이블!$B$2:$D$200, 2, FALSE), "-")</f>
        <v>41418000</v>
      </c>
      <c r="H149" s="238"/>
      <c r="I149" s="239"/>
      <c r="J149" s="234" t="s">
        <v>59</v>
      </c>
      <c r="K149" s="235"/>
      <c r="L149" s="236"/>
      <c r="M149" s="240">
        <f>_xlfn.IFNA(VLOOKUP(B149, 현재가테이블!$B$2:$D$200, 3, FALSE), "-")</f>
        <v>-5.2176301000000001E-2</v>
      </c>
      <c r="N149" s="241"/>
      <c r="O149" s="242"/>
      <c r="Q149" s="233"/>
      <c r="R149" s="233"/>
      <c r="S149" s="233"/>
    </row>
    <row r="150" spans="1:19" ht="17.25" thickBot="1">
      <c r="A150" s="278" t="s">
        <v>55</v>
      </c>
      <c r="B150" s="274" t="str">
        <f>TEXT($G$1, "[$-ko-KR]yyyy-mm-dd(ddd) ") &amp; "오전 00:00"</f>
        <v>2021-06-13(일) 오전 00:00</v>
      </c>
      <c r="C150" s="275"/>
      <c r="D150" s="247" t="str">
        <f>TEXT($G$1, "[$-ko-KR]yyyy-mm-dd(ddd) ") &amp; "오후 14:00"</f>
        <v>2021-06-13(일) 오후 14:00</v>
      </c>
      <c r="E150" s="248"/>
      <c r="F150" s="249"/>
      <c r="G150" s="247" t="str">
        <f>TEXT($G$1, "[$-ko-KR]yyyy-mm-dd(ddd) ") &amp; "오후 19:00"</f>
        <v>2021-06-13(일) 오후 19:00</v>
      </c>
      <c r="H150" s="248"/>
      <c r="I150" s="249"/>
      <c r="J150" s="247" t="str">
        <f>TEXT($G$1, "[$-ko-KR]yyyy-mm-dd(ddd) ") &amp; "오후 21:00"</f>
        <v>2021-06-13(일) 오후 21:00</v>
      </c>
      <c r="K150" s="248"/>
      <c r="L150" s="249"/>
      <c r="M150" s="247" t="str">
        <f>TEXT($G$1+1, "[$-ko-KR]yyyy-mm-dd(ddd) ") &amp; "오전 00:00"</f>
        <v>2021-06-14(월) 오전 00:00</v>
      </c>
      <c r="N150" s="248"/>
      <c r="O150" s="249"/>
      <c r="Q150" s="233"/>
      <c r="R150" s="233"/>
      <c r="S150" s="233"/>
    </row>
    <row r="151" spans="1:19" ht="17.25" thickBot="1">
      <c r="A151" s="279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9" t="s">
        <v>58</v>
      </c>
      <c r="H151" s="210" t="s">
        <v>298</v>
      </c>
      <c r="I151" s="21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23"/>
      <c r="R151" s="223"/>
      <c r="S151" s="223"/>
    </row>
    <row r="152" spans="1:19" ht="17.25" thickBot="1">
      <c r="A152" s="161" t="s">
        <v>284</v>
      </c>
      <c r="B152" s="124">
        <v>197</v>
      </c>
      <c r="C152" s="76">
        <v>-7.5117370899999994E-2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3"/>
      <c r="R152" s="233"/>
      <c r="S152" s="233"/>
    </row>
    <row r="153" spans="1:19" ht="17.25" thickBot="1">
      <c r="A153" s="162" t="s">
        <v>54</v>
      </c>
      <c r="B153" s="126">
        <v>216</v>
      </c>
      <c r="C153" s="77">
        <v>-8.0851063799999998E-2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3"/>
      <c r="R153" s="233"/>
      <c r="S153" s="233"/>
    </row>
    <row r="154" spans="1:19" ht="17.25" thickBot="1">
      <c r="A154" s="162" t="s">
        <v>258</v>
      </c>
      <c r="B154" s="126">
        <v>380</v>
      </c>
      <c r="C154" s="77">
        <v>-8.2125603899999997E-2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3"/>
      <c r="R154" s="223"/>
      <c r="S154" s="223"/>
    </row>
    <row r="155" spans="1:19" ht="17.25" thickBot="1">
      <c r="A155" s="162" t="s">
        <v>216</v>
      </c>
      <c r="B155" s="126">
        <v>231</v>
      </c>
      <c r="C155" s="77">
        <v>-8.6956521699999997E-2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3"/>
      <c r="R155" s="223"/>
      <c r="S155" s="223"/>
    </row>
    <row r="156" spans="1:19" ht="17.25" thickBot="1">
      <c r="A156" s="163" t="s">
        <v>170</v>
      </c>
      <c r="B156" s="128">
        <v>237</v>
      </c>
      <c r="C156" s="78">
        <v>-9.5419847299999999E-2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3"/>
      <c r="R156" s="223"/>
      <c r="S156" s="223"/>
    </row>
    <row r="157" spans="1:19" ht="17.25" thickBot="1">
      <c r="A157" s="162" t="s">
        <v>192</v>
      </c>
      <c r="B157" s="129">
        <v>909</v>
      </c>
      <c r="C157" s="80">
        <v>-9.5522388099999994E-2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3"/>
      <c r="R157" s="223"/>
      <c r="S157" s="223"/>
    </row>
    <row r="158" spans="1:19" ht="17.25" thickBot="1">
      <c r="A158" s="162" t="s">
        <v>182</v>
      </c>
      <c r="B158" s="126">
        <v>226</v>
      </c>
      <c r="C158" s="77">
        <v>-9.6000000000000002E-2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3"/>
      <c r="R158" s="223"/>
      <c r="S158" s="223"/>
    </row>
    <row r="159" spans="1:19" ht="17.25" thickBot="1">
      <c r="A159" s="162" t="s">
        <v>256</v>
      </c>
      <c r="B159" s="126">
        <v>138</v>
      </c>
      <c r="C159" s="77">
        <v>-9.8039215700000001E-2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3"/>
      <c r="R159" s="223"/>
      <c r="S159" s="223"/>
    </row>
    <row r="160" spans="1:19" ht="17.25" thickBot="1">
      <c r="A160" s="162" t="s">
        <v>246</v>
      </c>
      <c r="B160" s="126">
        <v>236</v>
      </c>
      <c r="C160" s="77">
        <v>-9.9236641200000003E-2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200</v>
      </c>
      <c r="B161" s="131">
        <v>151</v>
      </c>
      <c r="C161" s="79">
        <v>-0.12716763010000001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4"/>
      <c r="R161" s="225"/>
      <c r="S161" s="226"/>
    </row>
    <row r="162" spans="1:19">
      <c r="A162" s="161" t="s">
        <v>116</v>
      </c>
      <c r="B162" s="124">
        <v>313</v>
      </c>
      <c r="C162" s="76">
        <v>-0.13055555560000001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7"/>
      <c r="R162" s="228"/>
      <c r="S162" s="229"/>
    </row>
    <row r="163" spans="1:19" ht="17.25" thickBot="1">
      <c r="A163" s="162" t="s">
        <v>262</v>
      </c>
      <c r="B163" s="126">
        <v>458</v>
      </c>
      <c r="C163" s="77">
        <v>-0.13257575760000001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0"/>
      <c r="R163" s="231"/>
      <c r="S163" s="232"/>
    </row>
    <row r="164" spans="1:19" ht="17.25" thickBot="1">
      <c r="A164" s="162" t="s">
        <v>112</v>
      </c>
      <c r="B164" s="126">
        <v>132</v>
      </c>
      <c r="C164" s="77">
        <v>-0.14838709680000001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3"/>
      <c r="R164" s="223"/>
      <c r="S164" s="223"/>
    </row>
    <row r="165" spans="1:19" ht="17.25" thickBot="1">
      <c r="A165" s="162" t="s">
        <v>82</v>
      </c>
      <c r="B165" s="126">
        <v>810</v>
      </c>
      <c r="C165" s="77">
        <v>-0.1553701773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3"/>
      <c r="R165" s="233"/>
      <c r="S165" s="233"/>
    </row>
    <row r="166" spans="1:19" ht="17.25" thickBot="1">
      <c r="A166" s="163" t="s">
        <v>226</v>
      </c>
      <c r="B166" s="128">
        <v>200</v>
      </c>
      <c r="C166" s="78">
        <v>-0.1902834008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3"/>
      <c r="R166" s="233"/>
      <c r="S166" s="233"/>
    </row>
    <row r="167" spans="1:19" ht="17.25" thickBot="1">
      <c r="A167" s="162" t="s">
        <v>174</v>
      </c>
      <c r="B167" s="129">
        <v>115</v>
      </c>
      <c r="C167" s="80">
        <v>-0.1958041958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3"/>
      <c r="R167" s="223"/>
      <c r="S167" s="223"/>
    </row>
    <row r="168" spans="1:19" ht="17.25" thickBot="1">
      <c r="A168" s="162" t="s">
        <v>162</v>
      </c>
      <c r="B168" s="126">
        <v>535</v>
      </c>
      <c r="C168" s="77">
        <v>-0.2464788732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3"/>
      <c r="R168" s="223"/>
      <c r="S168" s="223"/>
    </row>
    <row r="169" spans="1:19" ht="17.25" thickBot="1">
      <c r="A169" s="162" t="s">
        <v>234</v>
      </c>
      <c r="B169" s="126">
        <v>313</v>
      </c>
      <c r="C169" s="77">
        <v>-0.2918552036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3"/>
      <c r="R169" s="223"/>
      <c r="S169" s="223"/>
    </row>
    <row r="170" spans="1:19">
      <c r="A170" s="162" t="s">
        <v>252</v>
      </c>
      <c r="B170" s="126">
        <v>116</v>
      </c>
      <c r="C170" s="77">
        <v>-0.29268292680000002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2"/>
      <c r="R170" s="213"/>
      <c r="S170" s="214"/>
    </row>
    <row r="171" spans="1:19" ht="17.25" thickBot="1">
      <c r="A171" s="130" t="s">
        <v>208</v>
      </c>
      <c r="B171" s="131">
        <v>103</v>
      </c>
      <c r="C171" s="79">
        <v>-0.30872483220000002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5"/>
      <c r="R171" s="216"/>
      <c r="S171" s="217"/>
    </row>
    <row r="172" spans="1:19" ht="17.25" thickBot="1">
      <c r="A172" s="132" t="s">
        <v>300</v>
      </c>
      <c r="B172" s="276">
        <f>$B$37</f>
        <v>100000</v>
      </c>
      <c r="C172" s="277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18"/>
      <c r="R172" s="219"/>
      <c r="S172" s="220"/>
    </row>
    <row r="174" spans="1:19" ht="17.25" thickBot="1"/>
    <row r="175" spans="1:19" ht="17.25" thickBot="1">
      <c r="A175" s="234" t="s">
        <v>285</v>
      </c>
      <c r="B175" s="235"/>
      <c r="C175" s="235"/>
      <c r="D175" s="235"/>
      <c r="E175" s="235"/>
      <c r="F175" s="235"/>
      <c r="G175" s="235"/>
      <c r="H175" s="235"/>
      <c r="I175" s="235"/>
      <c r="J175" s="235"/>
      <c r="K175" s="235"/>
      <c r="L175" s="235"/>
      <c r="M175" s="235"/>
      <c r="N175" s="235"/>
      <c r="O175" s="236"/>
      <c r="Q175" s="233"/>
      <c r="R175" s="233"/>
      <c r="S175" s="233"/>
    </row>
    <row r="176" spans="1:19" ht="17.25" thickBot="1">
      <c r="A176" s="208" t="s">
        <v>297</v>
      </c>
      <c r="B176" s="234" t="s">
        <v>49</v>
      </c>
      <c r="C176" s="236"/>
      <c r="D176" s="234" t="s">
        <v>58</v>
      </c>
      <c r="E176" s="235"/>
      <c r="F176" s="236"/>
      <c r="G176" s="237">
        <f>_xlfn.IFNA(VLOOKUP(B176, 현재가테이블!$B$2:$D$200, 2, FALSE), "-")</f>
        <v>41418000</v>
      </c>
      <c r="H176" s="238"/>
      <c r="I176" s="239"/>
      <c r="J176" s="234" t="s">
        <v>59</v>
      </c>
      <c r="K176" s="235"/>
      <c r="L176" s="236"/>
      <c r="M176" s="240">
        <f>_xlfn.IFNA(VLOOKUP(B176, 현재가테이블!$B$2:$D$200, 3, FALSE), "-")</f>
        <v>-5.2176301000000001E-2</v>
      </c>
      <c r="N176" s="241"/>
      <c r="O176" s="242"/>
      <c r="Q176" s="233"/>
      <c r="R176" s="233"/>
      <c r="S176" s="233"/>
    </row>
    <row r="177" spans="1:19" ht="17.25" thickBot="1">
      <c r="A177" s="278" t="s">
        <v>55</v>
      </c>
      <c r="B177" s="274" t="str">
        <f>TEXT($G$1, "[$-ko-KR]yyyy-mm-dd(ddd) ") &amp; "오전 00:00"</f>
        <v>2021-06-13(일) 오전 00:00</v>
      </c>
      <c r="C177" s="275"/>
      <c r="D177" s="247" t="str">
        <f>TEXT($G$1, "[$-ko-KR]yyyy-mm-dd(ddd) ") &amp; "오후 14:00"</f>
        <v>2021-06-13(일) 오후 14:00</v>
      </c>
      <c r="E177" s="248"/>
      <c r="F177" s="249"/>
      <c r="G177" s="247" t="str">
        <f>TEXT($G$1, "[$-ko-KR]yyyy-mm-dd(ddd) ") &amp; "오후 19:00"</f>
        <v>2021-06-13(일) 오후 19:00</v>
      </c>
      <c r="H177" s="248"/>
      <c r="I177" s="249"/>
      <c r="J177" s="247" t="str">
        <f>TEXT($G$1, "[$-ko-KR]yyyy-mm-dd(ddd) ") &amp; "오후 21:00"</f>
        <v>2021-06-13(일) 오후 21:00</v>
      </c>
      <c r="K177" s="248"/>
      <c r="L177" s="249"/>
      <c r="M177" s="247" t="str">
        <f>TEXT($G$1+1, "[$-ko-KR]yyyy-mm-dd(ddd) ") &amp; "오전 00:00"</f>
        <v>2021-06-14(월) 오전 00:00</v>
      </c>
      <c r="N177" s="248"/>
      <c r="O177" s="249"/>
      <c r="Q177" s="233"/>
      <c r="R177" s="233"/>
      <c r="S177" s="233"/>
    </row>
    <row r="178" spans="1:19" ht="17.25" thickBot="1">
      <c r="A178" s="279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9" t="s">
        <v>58</v>
      </c>
      <c r="H178" s="210" t="s">
        <v>298</v>
      </c>
      <c r="I178" s="21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23"/>
      <c r="R178" s="223"/>
      <c r="S178" s="223"/>
    </row>
    <row r="179" spans="1:19" ht="17.25" thickBot="1">
      <c r="A179" s="161" t="s">
        <v>238</v>
      </c>
      <c r="B179" s="124">
        <v>88</v>
      </c>
      <c r="C179" s="76">
        <v>-0.18518518519999999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3"/>
      <c r="R179" s="233"/>
      <c r="S179" s="233"/>
    </row>
    <row r="180" spans="1:19" ht="17.25" thickBot="1">
      <c r="A180" s="162" t="s">
        <v>240</v>
      </c>
      <c r="B180" s="126">
        <v>84.6</v>
      </c>
      <c r="C180" s="77">
        <v>-0.1865384615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3"/>
      <c r="R180" s="233"/>
      <c r="S180" s="233"/>
    </row>
    <row r="181" spans="1:19" ht="17.25" thickBot="1">
      <c r="A181" s="162" t="s">
        <v>222</v>
      </c>
      <c r="B181" s="126">
        <v>8.2100000000000009</v>
      </c>
      <c r="C181" s="77">
        <v>-0.18712871289999999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3"/>
      <c r="R181" s="223"/>
      <c r="S181" s="223"/>
    </row>
    <row r="182" spans="1:19" ht="17.25" thickBot="1">
      <c r="A182" s="162" t="s">
        <v>124</v>
      </c>
      <c r="B182" s="126">
        <v>2445</v>
      </c>
      <c r="C182" s="77">
        <v>-0.1877076412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3"/>
      <c r="R182" s="223"/>
      <c r="S182" s="223"/>
    </row>
    <row r="183" spans="1:19" ht="17.25" thickBot="1">
      <c r="A183" s="163" t="s">
        <v>226</v>
      </c>
      <c r="B183" s="128">
        <v>200</v>
      </c>
      <c r="C183" s="78">
        <v>-0.1902834008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3"/>
      <c r="R183" s="223"/>
      <c r="S183" s="223"/>
    </row>
    <row r="184" spans="1:19" ht="17.25" thickBot="1">
      <c r="A184" s="162" t="s">
        <v>67</v>
      </c>
      <c r="B184" s="129">
        <v>3515</v>
      </c>
      <c r="C184" s="80">
        <v>-0.1928817451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3"/>
      <c r="R184" s="223"/>
      <c r="S184" s="223"/>
    </row>
    <row r="185" spans="1:19" ht="17.25" thickBot="1">
      <c r="A185" s="162" t="s">
        <v>174</v>
      </c>
      <c r="B185" s="126">
        <v>115</v>
      </c>
      <c r="C185" s="77">
        <v>-0.1958041958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3"/>
      <c r="R185" s="223"/>
      <c r="S185" s="223"/>
    </row>
    <row r="186" spans="1:19" ht="17.25" thickBot="1">
      <c r="A186" s="162" t="s">
        <v>210</v>
      </c>
      <c r="B186" s="126">
        <v>85.2</v>
      </c>
      <c r="C186" s="77">
        <v>-0.1962264151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3"/>
      <c r="R186" s="223"/>
      <c r="S186" s="223"/>
    </row>
    <row r="187" spans="1:19" ht="17.25" thickBot="1">
      <c r="A187" s="162" t="s">
        <v>250</v>
      </c>
      <c r="B187" s="126">
        <v>58.8</v>
      </c>
      <c r="C187" s="77">
        <v>-0.1978171896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214</v>
      </c>
      <c r="B188" s="131">
        <v>9.1199999999999992</v>
      </c>
      <c r="C188" s="79">
        <v>-0.2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4"/>
      <c r="R188" s="225"/>
      <c r="S188" s="226"/>
    </row>
    <row r="189" spans="1:19">
      <c r="A189" s="161" t="s">
        <v>266</v>
      </c>
      <c r="B189" s="124">
        <v>56.6</v>
      </c>
      <c r="C189" s="76">
        <v>-0.2402684564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7"/>
      <c r="R189" s="228"/>
      <c r="S189" s="229"/>
    </row>
    <row r="190" spans="1:19" ht="17.25" thickBot="1">
      <c r="A190" s="162" t="s">
        <v>162</v>
      </c>
      <c r="B190" s="126">
        <v>535</v>
      </c>
      <c r="C190" s="77">
        <v>-0.2464788732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0"/>
      <c r="R190" s="231"/>
      <c r="S190" s="232"/>
    </row>
    <row r="191" spans="1:19" ht="17.25" thickBot="1">
      <c r="A191" s="162" t="s">
        <v>234</v>
      </c>
      <c r="B191" s="126">
        <v>313</v>
      </c>
      <c r="C191" s="77">
        <v>-0.2918552036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3"/>
      <c r="R191" s="223"/>
      <c r="S191" s="223"/>
    </row>
    <row r="192" spans="1:19" ht="17.25" thickBot="1">
      <c r="A192" s="162" t="s">
        <v>252</v>
      </c>
      <c r="B192" s="126">
        <v>116</v>
      </c>
      <c r="C192" s="77">
        <v>-0.29268292680000002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3"/>
      <c r="R192" s="233"/>
      <c r="S192" s="233"/>
    </row>
    <row r="193" spans="1:19" ht="17.25" thickBot="1">
      <c r="A193" s="163" t="s">
        <v>208</v>
      </c>
      <c r="B193" s="128">
        <v>103</v>
      </c>
      <c r="C193" s="78">
        <v>-0.30872483220000002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3"/>
      <c r="R193" s="233"/>
      <c r="S193" s="233"/>
    </row>
    <row r="194" spans="1:19" ht="17.25" thickBot="1">
      <c r="A194" s="162" t="s">
        <v>236</v>
      </c>
      <c r="B194" s="129">
        <v>21.8</v>
      </c>
      <c r="C194" s="80">
        <v>-0.31230283910000001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3"/>
      <c r="R194" s="223"/>
      <c r="S194" s="223"/>
    </row>
    <row r="195" spans="1:19" ht="17.25" thickBot="1">
      <c r="A195" s="162" t="s">
        <v>218</v>
      </c>
      <c r="B195" s="126">
        <v>5.68</v>
      </c>
      <c r="C195" s="77">
        <v>-0.31566265059999998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3"/>
      <c r="R195" s="223"/>
      <c r="S195" s="223"/>
    </row>
    <row r="196" spans="1:19" ht="17.25" thickBot="1">
      <c r="A196" s="162" t="s">
        <v>254</v>
      </c>
      <c r="B196" s="126">
        <v>22.5</v>
      </c>
      <c r="C196" s="77">
        <v>-0.31610942250000001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3"/>
      <c r="R196" s="223"/>
      <c r="S196" s="223"/>
    </row>
    <row r="197" spans="1:19">
      <c r="A197" s="162" t="s">
        <v>122</v>
      </c>
      <c r="B197" s="126">
        <v>27</v>
      </c>
      <c r="C197" s="77">
        <v>-0.3198992443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2"/>
      <c r="R197" s="213"/>
      <c r="S197" s="214"/>
    </row>
    <row r="198" spans="1:19" ht="17.25" thickBot="1">
      <c r="A198" s="130" t="s">
        <v>172</v>
      </c>
      <c r="B198" s="131">
        <v>5.4</v>
      </c>
      <c r="C198" s="79">
        <v>-0.32075471700000002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5"/>
      <c r="R198" s="216"/>
      <c r="S198" s="217"/>
    </row>
    <row r="199" spans="1:19" ht="17.25" thickBot="1">
      <c r="A199" s="132" t="s">
        <v>300</v>
      </c>
      <c r="B199" s="276">
        <f>$B$37</f>
        <v>100000</v>
      </c>
      <c r="C199" s="277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18"/>
      <c r="R199" s="219"/>
      <c r="S199" s="220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9" priority="157">
      <formula>AND($N17 &gt; 0, ISNUMBER($N17))</formula>
    </cfRule>
    <cfRule type="expression" dxfId="178" priority="158">
      <formula>AND($N17 = 0 * ISNUMBER($N17))</formula>
    </cfRule>
    <cfRule type="expression" dxfId="177" priority="159">
      <formula>AND($N17 &lt; 0, ISNUMBER($N17))</formula>
    </cfRule>
  </conditionalFormatting>
  <conditionalFormatting sqref="A17:F36">
    <cfRule type="expression" dxfId="176" priority="166">
      <formula>AND($E17 &gt; 0, ISNUMBER($E17))</formula>
    </cfRule>
    <cfRule type="expression" dxfId="175" priority="167">
      <formula>AND($E17 = 0 * ISNUMBER($E17))</formula>
    </cfRule>
    <cfRule type="expression" dxfId="174" priority="168">
      <formula>AND($E17 &lt; 0, ISNUMBER($E17))</formula>
    </cfRule>
  </conditionalFormatting>
  <conditionalFormatting sqref="A17:C36 G17:I36">
    <cfRule type="expression" dxfId="173" priority="163">
      <formula>AND($H17 &gt; 0, ISNUMBER($H17))</formula>
    </cfRule>
    <cfRule type="expression" dxfId="172" priority="164">
      <formula>AND($H17 = 0 * ISNUMBER($H17))</formula>
    </cfRule>
    <cfRule type="expression" dxfId="171" priority="165">
      <formula>AND($H17 &lt; 0, ISNUMBER($H17))</formula>
    </cfRule>
  </conditionalFormatting>
  <conditionalFormatting sqref="A17:C36 J17:L36">
    <cfRule type="expression" dxfId="170" priority="160">
      <formula>AND($K17 &gt; 0, ISNUMBER($K17))</formula>
    </cfRule>
    <cfRule type="expression" dxfId="169" priority="161">
      <formula>AND($K17 = 0 * ISNUMBER($K17))</formula>
    </cfRule>
    <cfRule type="expression" dxfId="168" priority="162">
      <formula>AND($K17 &lt; 0, ISNUMBER($K17))</formula>
    </cfRule>
  </conditionalFormatting>
  <conditionalFormatting sqref="D15:F16 E37:F37">
    <cfRule type="expression" dxfId="167" priority="154">
      <formula>$E$37 &gt; 0</formula>
    </cfRule>
    <cfRule type="expression" dxfId="166" priority="155">
      <formula>$E$37 = 0</formula>
    </cfRule>
    <cfRule type="expression" dxfId="165" priority="156">
      <formula>$E$37 &lt; 0</formula>
    </cfRule>
  </conditionalFormatting>
  <conditionalFormatting sqref="G15:I16 H37:I37">
    <cfRule type="expression" dxfId="164" priority="151">
      <formula>$H$37 &gt; 0</formula>
    </cfRule>
    <cfRule type="expression" dxfId="163" priority="152">
      <formula>$H$37 = 0</formula>
    </cfRule>
    <cfRule type="expression" dxfId="162" priority="153">
      <formula>$H$37 &lt; 0</formula>
    </cfRule>
  </conditionalFormatting>
  <conditionalFormatting sqref="J15:L16 K37:L37">
    <cfRule type="expression" dxfId="161" priority="148">
      <formula>$K$37 &gt; 0</formula>
    </cfRule>
    <cfRule type="expression" dxfId="160" priority="149">
      <formula>$K$37 = 0</formula>
    </cfRule>
    <cfRule type="expression" dxfId="159" priority="150">
      <formula>$K$37 &lt; 0</formula>
    </cfRule>
  </conditionalFormatting>
  <conditionalFormatting sqref="M15:O16 N37:O37">
    <cfRule type="expression" dxfId="158" priority="145">
      <formula>$N$37 &gt; 0</formula>
    </cfRule>
    <cfRule type="expression" dxfId="157" priority="146">
      <formula>$N$37 = 0</formula>
    </cfRule>
    <cfRule type="expression" dxfId="156" priority="147">
      <formula>$N$37 &lt; 0</formula>
    </cfRule>
  </conditionalFormatting>
  <conditionalFormatting sqref="A44:C63 M44:O63">
    <cfRule type="expression" dxfId="155" priority="133">
      <formula>AND($N44 &gt; 0, ISNUMBER($N44))</formula>
    </cfRule>
    <cfRule type="expression" dxfId="154" priority="134">
      <formula>AND($N44 = 0 * ISNUMBER($N44))</formula>
    </cfRule>
    <cfRule type="expression" dxfId="153" priority="135">
      <formula>AND($N44 &lt; 0, ISNUMBER($N44))</formula>
    </cfRule>
  </conditionalFormatting>
  <conditionalFormatting sqref="A44:F63">
    <cfRule type="expression" dxfId="152" priority="142">
      <formula>AND($E44 &gt; 0, ISNUMBER($E44))</formula>
    </cfRule>
    <cfRule type="expression" dxfId="151" priority="143">
      <formula>AND($E44 = 0 * ISNUMBER($E44))</formula>
    </cfRule>
    <cfRule type="expression" dxfId="150" priority="144">
      <formula>AND($E44 &lt; 0, ISNUMBER($E44))</formula>
    </cfRule>
  </conditionalFormatting>
  <conditionalFormatting sqref="A44:C63 G44:I63">
    <cfRule type="expression" dxfId="149" priority="139">
      <formula>AND($H44 &gt; 0, ISNUMBER($H44))</formula>
    </cfRule>
    <cfRule type="expression" dxfId="148" priority="140">
      <formula>AND($H44 = 0 * ISNUMBER($H44))</formula>
    </cfRule>
    <cfRule type="expression" dxfId="147" priority="141">
      <formula>AND($H44 &lt; 0, ISNUMBER($H44))</formula>
    </cfRule>
  </conditionalFormatting>
  <conditionalFormatting sqref="A44:C63 J44:L63">
    <cfRule type="expression" dxfId="146" priority="136">
      <formula>AND($K44 &gt; 0, ISNUMBER($K44))</formula>
    </cfRule>
    <cfRule type="expression" dxfId="145" priority="137">
      <formula>AND($K44 = 0 * ISNUMBER($K44))</formula>
    </cfRule>
    <cfRule type="expression" dxfId="144" priority="138">
      <formula>AND($K44 &lt; 0, ISNUMBER($K44))</formula>
    </cfRule>
  </conditionalFormatting>
  <conditionalFormatting sqref="D42:F43 E64:F64">
    <cfRule type="expression" dxfId="143" priority="130">
      <formula>$E$64 &gt; 0</formula>
    </cfRule>
    <cfRule type="expression" dxfId="142" priority="131">
      <formula>$E$64 = 0</formula>
    </cfRule>
    <cfRule type="expression" dxfId="141" priority="132">
      <formula>$E$64 &lt; 0</formula>
    </cfRule>
  </conditionalFormatting>
  <conditionalFormatting sqref="G42:I43 H64:I64">
    <cfRule type="expression" dxfId="140" priority="127">
      <formula>$H$64 &gt; 0</formula>
    </cfRule>
    <cfRule type="expression" dxfId="139" priority="128">
      <formula>$H$64 = 0</formula>
    </cfRule>
    <cfRule type="expression" dxfId="138" priority="129">
      <formula>$H$64 &lt; 0</formula>
    </cfRule>
  </conditionalFormatting>
  <conditionalFormatting sqref="J42:L43 K64:L64">
    <cfRule type="expression" dxfId="137" priority="124">
      <formula>$K$64 &gt; 0</formula>
    </cfRule>
    <cfRule type="expression" dxfId="136" priority="125">
      <formula>$K$64 = 0</formula>
    </cfRule>
    <cfRule type="expression" dxfId="135" priority="126">
      <formula>$K$64 &lt; 0</formula>
    </cfRule>
  </conditionalFormatting>
  <conditionalFormatting sqref="M42:O43 N64:O64">
    <cfRule type="expression" dxfId="134" priority="121">
      <formula>$N$64 &gt; 0</formula>
    </cfRule>
    <cfRule type="expression" dxfId="133" priority="122">
      <formula>$N$64 = 0</formula>
    </cfRule>
    <cfRule type="expression" dxfId="132" priority="123">
      <formula>$N$64 &lt; 0</formula>
    </cfRule>
  </conditionalFormatting>
  <conditionalFormatting sqref="A71:C90 M71:O90">
    <cfRule type="expression" dxfId="131" priority="109">
      <formula>AND($N71 &gt; 0, ISNUMBER($N71))</formula>
    </cfRule>
    <cfRule type="expression" dxfId="130" priority="110">
      <formula>AND($N71 = 0 * ISNUMBER($N71))</formula>
    </cfRule>
    <cfRule type="expression" dxfId="129" priority="111">
      <formula>AND($N71 &lt; 0, ISNUMBER($N71))</formula>
    </cfRule>
  </conditionalFormatting>
  <conditionalFormatting sqref="A71:F90">
    <cfRule type="expression" dxfId="128" priority="118">
      <formula>AND($E71 &gt; 0, ISNUMBER($E71))</formula>
    </cfRule>
    <cfRule type="expression" dxfId="127" priority="119">
      <formula>AND($E71 = 0 * ISNUMBER($E71))</formula>
    </cfRule>
    <cfRule type="expression" dxfId="126" priority="120">
      <formula>AND($E71 &lt; 0, ISNUMBER($E71))</formula>
    </cfRule>
  </conditionalFormatting>
  <conditionalFormatting sqref="A71:C90 G71:I90">
    <cfRule type="expression" dxfId="125" priority="115">
      <formula>AND($H71 &gt; 0, ISNUMBER($H71))</formula>
    </cfRule>
    <cfRule type="expression" dxfId="124" priority="116">
      <formula>AND($H71 = 0 * ISNUMBER($H71))</formula>
    </cfRule>
    <cfRule type="expression" dxfId="123" priority="117">
      <formula>AND($H71 &lt; 0, ISNUMBER($H71))</formula>
    </cfRule>
  </conditionalFormatting>
  <conditionalFormatting sqref="A71:C90 J71:L90">
    <cfRule type="expression" dxfId="122" priority="112">
      <formula>AND($K71 &gt; 0, ISNUMBER($K71))</formula>
    </cfRule>
    <cfRule type="expression" dxfId="121" priority="113">
      <formula>AND($K71 = 0 * ISNUMBER($K71))</formula>
    </cfRule>
    <cfRule type="expression" dxfId="120" priority="114">
      <formula>AND($K71 &lt; 0, ISNUMBER($K71))</formula>
    </cfRule>
  </conditionalFormatting>
  <conditionalFormatting sqref="D69:F70 E91:F91">
    <cfRule type="expression" dxfId="119" priority="106">
      <formula>$E$91 &gt; 0</formula>
    </cfRule>
    <cfRule type="expression" dxfId="118" priority="107">
      <formula>$E$91 = 0</formula>
    </cfRule>
    <cfRule type="expression" dxfId="117" priority="108">
      <formula>$E$91 &lt; 0</formula>
    </cfRule>
  </conditionalFormatting>
  <conditionalFormatting sqref="G69:I70 H91:I91">
    <cfRule type="expression" dxfId="116" priority="103">
      <formula>$H$91 &gt; 0</formula>
    </cfRule>
    <cfRule type="expression" dxfId="115" priority="104">
      <formula>$H$91 = 0</formula>
    </cfRule>
    <cfRule type="expression" dxfId="114" priority="105">
      <formula>$H$91 &lt; 0</formula>
    </cfRule>
  </conditionalFormatting>
  <conditionalFormatting sqref="J69:L70 K91:L91">
    <cfRule type="expression" dxfId="113" priority="100">
      <formula>$K$91 &gt; 0</formula>
    </cfRule>
    <cfRule type="expression" dxfId="112" priority="101">
      <formula>$K$91 = 0</formula>
    </cfRule>
    <cfRule type="expression" dxfId="111" priority="102">
      <formula>$K$91 &lt; 0</formula>
    </cfRule>
  </conditionalFormatting>
  <conditionalFormatting sqref="M69:O70 N91:O91">
    <cfRule type="expression" dxfId="110" priority="97">
      <formula>$N$91 &gt; 0</formula>
    </cfRule>
    <cfRule type="expression" dxfId="109" priority="98">
      <formula>$N$91 = 0</formula>
    </cfRule>
    <cfRule type="expression" dxfId="108" priority="99">
      <formula>$N$91 &lt; 0</formula>
    </cfRule>
  </conditionalFormatting>
  <conditionalFormatting sqref="A98:C117 M98:O117">
    <cfRule type="expression" dxfId="107" priority="85">
      <formula>AND($N98 &gt; 0, ISNUMBER($N98))</formula>
    </cfRule>
    <cfRule type="expression" dxfId="106" priority="86">
      <formula>AND($N98 = 0 * ISNUMBER($N98))</formula>
    </cfRule>
    <cfRule type="expression" dxfId="105" priority="87">
      <formula>AND($N98 &lt; 0, ISNUMBER($N98))</formula>
    </cfRule>
  </conditionalFormatting>
  <conditionalFormatting sqref="A98:F117">
    <cfRule type="expression" dxfId="104" priority="94">
      <formula>AND($E98 &gt; 0, ISNUMBER($E98))</formula>
    </cfRule>
    <cfRule type="expression" dxfId="103" priority="95">
      <formula>AND($E98 = 0 * ISNUMBER($E98))</formula>
    </cfRule>
    <cfRule type="expression" dxfId="102" priority="96">
      <formula>AND($E98 &lt; 0, ISNUMBER($E98))</formula>
    </cfRule>
  </conditionalFormatting>
  <conditionalFormatting sqref="A98:C117 G98:I117">
    <cfRule type="expression" dxfId="101" priority="91">
      <formula>AND($H98 &gt; 0, ISNUMBER($H98))</formula>
    </cfRule>
    <cfRule type="expression" dxfId="100" priority="92">
      <formula>AND($H98 = 0 * ISNUMBER($H98))</formula>
    </cfRule>
    <cfRule type="expression" dxfId="99" priority="93">
      <formula>AND($H98 &lt; 0, ISNUMBER($H98))</formula>
    </cfRule>
  </conditionalFormatting>
  <conditionalFormatting sqref="A98:C117 J98:L117">
    <cfRule type="expression" dxfId="98" priority="88">
      <formula>AND($K98 &gt; 0, ISNUMBER($K98))</formula>
    </cfRule>
    <cfRule type="expression" dxfId="97" priority="89">
      <formula>AND($K98 = 0 * ISNUMBER($K98))</formula>
    </cfRule>
    <cfRule type="expression" dxfId="96" priority="90">
      <formula>AND($K98 &lt; 0, ISNUMBER($K98))</formula>
    </cfRule>
  </conditionalFormatting>
  <conditionalFormatting sqref="D96:F97 E118:F118">
    <cfRule type="expression" dxfId="95" priority="82">
      <formula>$E$118 &gt; 0</formula>
    </cfRule>
    <cfRule type="expression" dxfId="94" priority="83">
      <formula>$E$118 = 0</formula>
    </cfRule>
    <cfRule type="expression" dxfId="93" priority="84">
      <formula>$E$118 &lt; 0</formula>
    </cfRule>
  </conditionalFormatting>
  <conditionalFormatting sqref="G96:I97 H118:I118">
    <cfRule type="expression" dxfId="92" priority="79">
      <formula>$H$118 &gt; 0</formula>
    </cfRule>
    <cfRule type="expression" dxfId="91" priority="80">
      <formula>$H$118 = 0</formula>
    </cfRule>
    <cfRule type="expression" dxfId="90" priority="81">
      <formula>$H$118 &lt; 0</formula>
    </cfRule>
  </conditionalFormatting>
  <conditionalFormatting sqref="J96:L97 K118:L118">
    <cfRule type="expression" dxfId="89" priority="76">
      <formula>$K$118 &gt; 0</formula>
    </cfRule>
    <cfRule type="expression" dxfId="88" priority="77">
      <formula>$K$118 = 0</formula>
    </cfRule>
    <cfRule type="expression" dxfId="87" priority="78">
      <formula>$K$118 &lt; 0</formula>
    </cfRule>
  </conditionalFormatting>
  <conditionalFormatting sqref="M96:O97 N118:O118">
    <cfRule type="expression" dxfId="86" priority="73">
      <formula>$N$118 &gt; 0</formula>
    </cfRule>
    <cfRule type="expression" dxfId="85" priority="74">
      <formula>$N$118 = 0</formula>
    </cfRule>
    <cfRule type="expression" dxfId="84" priority="75">
      <formula>$N$118 &lt; 0</formula>
    </cfRule>
  </conditionalFormatting>
  <conditionalFormatting sqref="A125:C144 M125:O144">
    <cfRule type="expression" dxfId="83" priority="61">
      <formula>AND($N125 &gt; 0, ISNUMBER($N125))</formula>
    </cfRule>
    <cfRule type="expression" dxfId="82" priority="62">
      <formula>AND($N125 = 0 * ISNUMBER($N125))</formula>
    </cfRule>
    <cfRule type="expression" dxfId="81" priority="63">
      <formula>AND($N125 &lt; 0, ISNUMBER($N125))</formula>
    </cfRule>
  </conditionalFormatting>
  <conditionalFormatting sqref="A125:F144">
    <cfRule type="expression" dxfId="80" priority="70">
      <formula>AND($E125 &gt; 0, ISNUMBER($E125))</formula>
    </cfRule>
    <cfRule type="expression" dxfId="79" priority="71">
      <formula>AND($E125 = 0 * ISNUMBER($E125))</formula>
    </cfRule>
    <cfRule type="expression" dxfId="78" priority="72">
      <formula>AND($E125 &lt; 0, ISNUMBER($E125))</formula>
    </cfRule>
  </conditionalFormatting>
  <conditionalFormatting sqref="A125:C144 G125:I144">
    <cfRule type="expression" dxfId="77" priority="67">
      <formula>AND($H125 &gt; 0, ISNUMBER($H125))</formula>
    </cfRule>
    <cfRule type="expression" dxfId="76" priority="68">
      <formula>AND($H125 = 0 * ISNUMBER($H125))</formula>
    </cfRule>
    <cfRule type="expression" dxfId="75" priority="69">
      <formula>AND($H125 &lt; 0, ISNUMBER($H125))</formula>
    </cfRule>
  </conditionalFormatting>
  <conditionalFormatting sqref="A125:C144 J125:L144">
    <cfRule type="expression" dxfId="74" priority="64">
      <formula>AND($K125 &gt; 0, ISNUMBER($K125))</formula>
    </cfRule>
    <cfRule type="expression" dxfId="73" priority="65">
      <formula>AND($K125 = 0 * ISNUMBER($K125))</formula>
    </cfRule>
    <cfRule type="expression" dxfId="72" priority="66">
      <formula>AND($K125 &lt; 0, ISNUMBER($K125))</formula>
    </cfRule>
  </conditionalFormatting>
  <conditionalFormatting sqref="D123:F124 E145:F145">
    <cfRule type="expression" dxfId="71" priority="58">
      <formula>$E$145 &gt; 0</formula>
    </cfRule>
    <cfRule type="expression" dxfId="70" priority="59">
      <formula>$E$145 = 0</formula>
    </cfRule>
    <cfRule type="expression" dxfId="69" priority="60">
      <formula>$E$145 &lt; 0</formula>
    </cfRule>
  </conditionalFormatting>
  <conditionalFormatting sqref="G123:I124 H145:I145">
    <cfRule type="expression" dxfId="68" priority="55">
      <formula>$H$145 &gt; 0</formula>
    </cfRule>
    <cfRule type="expression" dxfId="67" priority="56">
      <formula>$H$145 = 0</formula>
    </cfRule>
    <cfRule type="expression" dxfId="66" priority="57">
      <formula>$H$145 &lt; 0</formula>
    </cfRule>
  </conditionalFormatting>
  <conditionalFormatting sqref="J123:L124 K145:L145">
    <cfRule type="expression" dxfId="65" priority="52">
      <formula>$K$145 &gt; 0</formula>
    </cfRule>
    <cfRule type="expression" dxfId="64" priority="53">
      <formula>$K$145 = 0</formula>
    </cfRule>
    <cfRule type="expression" dxfId="63" priority="54">
      <formula>$K$145 &lt; 0</formula>
    </cfRule>
  </conditionalFormatting>
  <conditionalFormatting sqref="M123:O124 N145:O145">
    <cfRule type="expression" dxfId="62" priority="49">
      <formula>$N$145 &gt; 0</formula>
    </cfRule>
    <cfRule type="expression" dxfId="61" priority="50">
      <formula>$N$145 = 0</formula>
    </cfRule>
    <cfRule type="expression" dxfId="60" priority="51">
      <formula>$N$145 &lt; 0</formula>
    </cfRule>
  </conditionalFormatting>
  <conditionalFormatting sqref="A152:C171 M152:O171">
    <cfRule type="expression" dxfId="59" priority="37">
      <formula>AND($N152 &gt; 0, ISNUMBER($N152))</formula>
    </cfRule>
    <cfRule type="expression" dxfId="58" priority="38">
      <formula>AND($N152 = 0 * ISNUMBER($N152))</formula>
    </cfRule>
    <cfRule type="expression" dxfId="57" priority="39">
      <formula>AND($N152 &lt; 0, ISNUMBER($N152))</formula>
    </cfRule>
  </conditionalFormatting>
  <conditionalFormatting sqref="A152:F171">
    <cfRule type="expression" dxfId="56" priority="46">
      <formula>AND($E152 &gt; 0, ISNUMBER($E152))</formula>
    </cfRule>
    <cfRule type="expression" dxfId="55" priority="47">
      <formula>AND($E152 = 0 * ISNUMBER($E152))</formula>
    </cfRule>
    <cfRule type="expression" dxfId="54" priority="48">
      <formula>AND($E152 &lt; 0, ISNUMBER($E152))</formula>
    </cfRule>
  </conditionalFormatting>
  <conditionalFormatting sqref="A152:C171 G152:I171">
    <cfRule type="expression" dxfId="53" priority="43">
      <formula>AND($H152 &gt; 0, ISNUMBER($H152))</formula>
    </cfRule>
    <cfRule type="expression" dxfId="52" priority="44">
      <formula>AND($H152 = 0 * ISNUMBER($H152))</formula>
    </cfRule>
    <cfRule type="expression" dxfId="51" priority="45">
      <formula>AND($H152 &lt; 0, ISNUMBER($H152))</formula>
    </cfRule>
  </conditionalFormatting>
  <conditionalFormatting sqref="A152:C171 J152:L171">
    <cfRule type="expression" dxfId="50" priority="40">
      <formula>AND($K152 &gt; 0, ISNUMBER($K152))</formula>
    </cfRule>
    <cfRule type="expression" dxfId="49" priority="41">
      <formula>AND($K152 = 0 * ISNUMBER($K152))</formula>
    </cfRule>
    <cfRule type="expression" dxfId="48" priority="42">
      <formula>AND($K152 &lt; 0, ISNUMBER($K152))</formula>
    </cfRule>
  </conditionalFormatting>
  <conditionalFormatting sqref="D150:F151 E172:F172">
    <cfRule type="expression" dxfId="47" priority="34">
      <formula>$E$172 &gt; 0</formula>
    </cfRule>
    <cfRule type="expression" dxfId="46" priority="35">
      <formula>$E$172 = 0</formula>
    </cfRule>
    <cfRule type="expression" dxfId="45" priority="36">
      <formula>$E$172 &lt; 0</formula>
    </cfRule>
  </conditionalFormatting>
  <conditionalFormatting sqref="G150:I151 H172:I172">
    <cfRule type="expression" dxfId="44" priority="31">
      <formula>$H$172 &gt; 0</formula>
    </cfRule>
    <cfRule type="expression" dxfId="43" priority="32">
      <formula>$H$172 = 0</formula>
    </cfRule>
    <cfRule type="expression" dxfId="42" priority="33">
      <formula>$H$172 &lt; 0</formula>
    </cfRule>
  </conditionalFormatting>
  <conditionalFormatting sqref="J150:L151 K172:L172">
    <cfRule type="expression" dxfId="41" priority="28">
      <formula>$K$172 &gt; 0</formula>
    </cfRule>
    <cfRule type="expression" dxfId="40" priority="29">
      <formula>$K$172 = 0</formula>
    </cfRule>
    <cfRule type="expression" dxfId="39" priority="30">
      <formula>$K$172 &lt; 0</formula>
    </cfRule>
  </conditionalFormatting>
  <conditionalFormatting sqref="M150:O151 N172:O172">
    <cfRule type="expression" dxfId="38" priority="25">
      <formula>$N$172 &gt; 0</formula>
    </cfRule>
    <cfRule type="expression" dxfId="37" priority="26">
      <formula>$N$172 = 0</formula>
    </cfRule>
    <cfRule type="expression" dxfId="36" priority="27">
      <formula>$N$172 &lt; 0</formula>
    </cfRule>
  </conditionalFormatting>
  <conditionalFormatting sqref="A179:C198 M179:O198">
    <cfRule type="expression" dxfId="35" priority="13">
      <formula>AND($N179 &gt; 0, ISNUMBER($N179))</formula>
    </cfRule>
    <cfRule type="expression" dxfId="34" priority="14">
      <formula>AND($N179 = 0 * ISNUMBER($N179))</formula>
    </cfRule>
    <cfRule type="expression" dxfId="33" priority="15">
      <formula>AND($N179 &lt; 0, ISNUMBER($N179))</formula>
    </cfRule>
  </conditionalFormatting>
  <conditionalFormatting sqref="A179:F198">
    <cfRule type="expression" dxfId="32" priority="22">
      <formula>AND($E179 &gt; 0, ISNUMBER($E179))</formula>
    </cfRule>
    <cfRule type="expression" dxfId="31" priority="23">
      <formula>AND($E179 = 0 * ISNUMBER($E179))</formula>
    </cfRule>
    <cfRule type="expression" dxfId="30" priority="24">
      <formula>AND($E179 &lt; 0, ISNUMBER($E179))</formula>
    </cfRule>
  </conditionalFormatting>
  <conditionalFormatting sqref="A179:C198 G179:I198">
    <cfRule type="expression" dxfId="29" priority="19">
      <formula>AND($H179 &gt; 0, ISNUMBER($H179))</formula>
    </cfRule>
    <cfRule type="expression" dxfId="28" priority="20">
      <formula>AND($H179 = 0 * ISNUMBER($H179))</formula>
    </cfRule>
    <cfRule type="expression" dxfId="27" priority="21">
      <formula>AND($H179 &lt; 0, ISNUMBER($H179))</formula>
    </cfRule>
  </conditionalFormatting>
  <conditionalFormatting sqref="A179:C198 J179:L198">
    <cfRule type="expression" dxfId="26" priority="16">
      <formula>AND($K179 &gt; 0, ISNUMBER($K179))</formula>
    </cfRule>
    <cfRule type="expression" dxfId="25" priority="17">
      <formula>AND($K179 = 0 * ISNUMBER($K179))</formula>
    </cfRule>
    <cfRule type="expression" dxfId="24" priority="18">
      <formula>AND($K179 &lt; 0, ISNUMBER($K179))</formula>
    </cfRule>
  </conditionalFormatting>
  <conditionalFormatting sqref="D177:F178 E199:F199">
    <cfRule type="expression" dxfId="23" priority="10">
      <formula>$E$199 &gt; 0</formula>
    </cfRule>
    <cfRule type="expression" dxfId="22" priority="11">
      <formula>$E$199 = 0</formula>
    </cfRule>
    <cfRule type="expression" dxfId="21" priority="12">
      <formula>$E$199 &lt; 0</formula>
    </cfRule>
  </conditionalFormatting>
  <conditionalFormatting sqref="G177:I178 H199:I199">
    <cfRule type="expression" dxfId="20" priority="7">
      <formula>$H$199 &gt; 0</formula>
    </cfRule>
    <cfRule type="expression" dxfId="19" priority="8">
      <formula>$H$199 = 0</formula>
    </cfRule>
    <cfRule type="expression" dxfId="18" priority="9">
      <formula>$H$199 &lt; 0</formula>
    </cfRule>
  </conditionalFormatting>
  <conditionalFormatting sqref="J177:L178 K199:L199">
    <cfRule type="expression" dxfId="17" priority="4">
      <formula>$K$199 &gt; 0</formula>
    </cfRule>
    <cfRule type="expression" dxfId="16" priority="5">
      <formula>$K$199 = 0</formula>
    </cfRule>
    <cfRule type="expression" dxfId="15" priority="6">
      <formula>$K$199 &lt; 0</formula>
    </cfRule>
  </conditionalFormatting>
  <conditionalFormatting sqref="M177:O178 N199:O199">
    <cfRule type="expression" dxfId="14" priority="1">
      <formula>$N$199 &gt; 0</formula>
    </cfRule>
    <cfRule type="expression" dxfId="13" priority="2">
      <formula>$N$199 = 0</formula>
    </cfRule>
    <cfRule type="expression" dxfId="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  <vt:lpstr>2021.06.09</vt:lpstr>
      <vt:lpstr>2021.06.10</vt:lpstr>
      <vt:lpstr>2021.06.11</vt:lpstr>
      <vt:lpstr>2021.06.12</vt:lpstr>
      <vt:lpstr>2021.06.13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2021-06-12T15:33:56Z</dcterms:modified>
</cp:coreProperties>
</file>