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547E708F-7F9D-45CB-9970-E2C5F3C6E2CE}" xr6:coauthVersionLast="46" xr6:coauthVersionMax="46" xr10:uidLastSave="{00000000-0000-0000-0000-000000000000}"/>
  <bookViews>
    <workbookView xWindow="-120" yWindow="-120" windowWidth="29040" windowHeight="15840" firstSheet="5" activeTab="1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3" l="1"/>
  <c r="O198" i="33"/>
  <c r="N198" i="33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O179" i="33"/>
  <c r="O199" i="33" s="1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O171" i="33"/>
  <c r="N171" i="33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O169" i="33"/>
  <c r="N169" i="33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O167" i="33"/>
  <c r="N167" i="33"/>
  <c r="L167" i="33"/>
  <c r="K167" i="33"/>
  <c r="H167" i="33"/>
  <c r="I167" i="33" s="1"/>
  <c r="F167" i="33"/>
  <c r="E167" i="33"/>
  <c r="O166" i="33"/>
  <c r="N166" i="33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O164" i="33"/>
  <c r="N164" i="33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O161" i="33"/>
  <c r="N161" i="33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O159" i="33"/>
  <c r="N159" i="33"/>
  <c r="L159" i="33"/>
  <c r="K159" i="33"/>
  <c r="H159" i="33"/>
  <c r="I159" i="33" s="1"/>
  <c r="F159" i="33"/>
  <c r="E159" i="33"/>
  <c r="O158" i="33"/>
  <c r="N158" i="33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O156" i="33"/>
  <c r="N156" i="33"/>
  <c r="L156" i="33"/>
  <c r="K156" i="33"/>
  <c r="H156" i="33"/>
  <c r="I156" i="33" s="1"/>
  <c r="F156" i="33"/>
  <c r="E156" i="33"/>
  <c r="O155" i="33"/>
  <c r="N155" i="33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O153" i="33"/>
  <c r="N153" i="33"/>
  <c r="K153" i="33"/>
  <c r="L153" i="33" s="1"/>
  <c r="H153" i="33"/>
  <c r="I153" i="33" s="1"/>
  <c r="F153" i="33"/>
  <c r="E153" i="33"/>
  <c r="O152" i="33"/>
  <c r="O172" i="33" s="1"/>
  <c r="N152" i="33"/>
  <c r="N172" i="33" s="1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H143" i="33"/>
  <c r="I143" i="33" s="1"/>
  <c r="F143" i="33"/>
  <c r="E143" i="33"/>
  <c r="O142" i="33"/>
  <c r="N142" i="33"/>
  <c r="K142" i="33"/>
  <c r="L142" i="33" s="1"/>
  <c r="I142" i="33"/>
  <c r="H142" i="33"/>
  <c r="F142" i="33"/>
  <c r="E142" i="33"/>
  <c r="O141" i="33"/>
  <c r="N141" i="33"/>
  <c r="K141" i="33"/>
  <c r="L141" i="33" s="1"/>
  <c r="I141" i="33"/>
  <c r="H141" i="33"/>
  <c r="F141" i="33"/>
  <c r="E141" i="33"/>
  <c r="O140" i="33"/>
  <c r="N140" i="33"/>
  <c r="K140" i="33"/>
  <c r="L140" i="33" s="1"/>
  <c r="I140" i="33"/>
  <c r="H140" i="33"/>
  <c r="F140" i="33"/>
  <c r="E140" i="33"/>
  <c r="O139" i="33"/>
  <c r="N139" i="33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O137" i="33"/>
  <c r="N137" i="33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O134" i="33"/>
  <c r="N134" i="33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O132" i="33"/>
  <c r="N132" i="33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O130" i="33"/>
  <c r="N130" i="33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O128" i="33"/>
  <c r="N128" i="33"/>
  <c r="L128" i="33"/>
  <c r="K128" i="33"/>
  <c r="H128" i="33"/>
  <c r="I128" i="33" s="1"/>
  <c r="F128" i="33"/>
  <c r="E128" i="33"/>
  <c r="O127" i="33"/>
  <c r="N127" i="33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O125" i="33"/>
  <c r="O145" i="33" s="1"/>
  <c r="N125" i="33"/>
  <c r="N145" i="33" s="1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F117" i="33"/>
  <c r="E117" i="33"/>
  <c r="O116" i="33"/>
  <c r="N116" i="33"/>
  <c r="K116" i="33"/>
  <c r="L116" i="33" s="1"/>
  <c r="H116" i="33"/>
  <c r="I116" i="33" s="1"/>
  <c r="F116" i="33"/>
  <c r="E116" i="33"/>
  <c r="O115" i="33"/>
  <c r="N115" i="33"/>
  <c r="K115" i="33"/>
  <c r="L115" i="33" s="1"/>
  <c r="H115" i="33"/>
  <c r="I115" i="33" s="1"/>
  <c r="F115" i="33"/>
  <c r="E115" i="33"/>
  <c r="O114" i="33"/>
  <c r="N114" i="33"/>
  <c r="K114" i="33"/>
  <c r="L114" i="33" s="1"/>
  <c r="H114" i="33"/>
  <c r="I114" i="33" s="1"/>
  <c r="F114" i="33"/>
  <c r="E114" i="33"/>
  <c r="O113" i="33"/>
  <c r="N113" i="33"/>
  <c r="L113" i="33"/>
  <c r="K113" i="33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O111" i="33"/>
  <c r="N111" i="33"/>
  <c r="K111" i="33"/>
  <c r="L111" i="33" s="1"/>
  <c r="H111" i="33"/>
  <c r="I111" i="33" s="1"/>
  <c r="F111" i="33"/>
  <c r="E111" i="33"/>
  <c r="O110" i="33"/>
  <c r="N110" i="33"/>
  <c r="K110" i="33"/>
  <c r="L110" i="33" s="1"/>
  <c r="H110" i="33"/>
  <c r="I110" i="33" s="1"/>
  <c r="F110" i="33"/>
  <c r="E110" i="33"/>
  <c r="O109" i="33"/>
  <c r="N109" i="33"/>
  <c r="L109" i="33"/>
  <c r="K109" i="33"/>
  <c r="H109" i="33"/>
  <c r="I109" i="33" s="1"/>
  <c r="F109" i="33"/>
  <c r="E109" i="33"/>
  <c r="O108" i="33"/>
  <c r="N108" i="33"/>
  <c r="K108" i="33"/>
  <c r="L108" i="33" s="1"/>
  <c r="H108" i="33"/>
  <c r="I108" i="33" s="1"/>
  <c r="F108" i="33"/>
  <c r="E108" i="33"/>
  <c r="O107" i="33"/>
  <c r="N107" i="33"/>
  <c r="K107" i="33"/>
  <c r="L107" i="33" s="1"/>
  <c r="H107" i="33"/>
  <c r="I107" i="33" s="1"/>
  <c r="F107" i="33"/>
  <c r="E107" i="33"/>
  <c r="O106" i="33"/>
  <c r="N106" i="33"/>
  <c r="K106" i="33"/>
  <c r="L106" i="33" s="1"/>
  <c r="H106" i="33"/>
  <c r="I106" i="33" s="1"/>
  <c r="F106" i="33"/>
  <c r="E106" i="33"/>
  <c r="O105" i="33"/>
  <c r="N105" i="33"/>
  <c r="L105" i="33"/>
  <c r="K105" i="33"/>
  <c r="H105" i="33"/>
  <c r="I105" i="33" s="1"/>
  <c r="F105" i="33"/>
  <c r="E105" i="33"/>
  <c r="O104" i="33"/>
  <c r="N104" i="33"/>
  <c r="K104" i="33"/>
  <c r="L104" i="33" s="1"/>
  <c r="H104" i="33"/>
  <c r="I104" i="33" s="1"/>
  <c r="F104" i="33"/>
  <c r="E104" i="33"/>
  <c r="O103" i="33"/>
  <c r="N103" i="33"/>
  <c r="K103" i="33"/>
  <c r="L103" i="33" s="1"/>
  <c r="H103" i="33"/>
  <c r="I103" i="33" s="1"/>
  <c r="F103" i="33"/>
  <c r="E103" i="33"/>
  <c r="O102" i="33"/>
  <c r="N102" i="33"/>
  <c r="K102" i="33"/>
  <c r="L102" i="33" s="1"/>
  <c r="H102" i="33"/>
  <c r="I102" i="33" s="1"/>
  <c r="F102" i="33"/>
  <c r="E102" i="33"/>
  <c r="O101" i="33"/>
  <c r="N101" i="33"/>
  <c r="L101" i="33"/>
  <c r="K101" i="33"/>
  <c r="H101" i="33"/>
  <c r="I101" i="33" s="1"/>
  <c r="F101" i="33"/>
  <c r="E101" i="33"/>
  <c r="O100" i="33"/>
  <c r="N100" i="33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F99" i="33"/>
  <c r="E99" i="33"/>
  <c r="O98" i="33"/>
  <c r="O118" i="33" s="1"/>
  <c r="N98" i="33"/>
  <c r="N118" i="33" s="1"/>
  <c r="L98" i="33"/>
  <c r="K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O90" i="33"/>
  <c r="N90" i="33"/>
  <c r="K90" i="33"/>
  <c r="K36" i="33" s="1"/>
  <c r="H90" i="33"/>
  <c r="I90" i="33" s="1"/>
  <c r="I36" i="33" s="1"/>
  <c r="E90" i="33"/>
  <c r="F90" i="33" s="1"/>
  <c r="F36" i="33" s="1"/>
  <c r="O89" i="33"/>
  <c r="N89" i="33"/>
  <c r="K89" i="33"/>
  <c r="L89" i="33" s="1"/>
  <c r="L35" i="33" s="1"/>
  <c r="I89" i="33"/>
  <c r="H89" i="33"/>
  <c r="E89" i="33"/>
  <c r="F89" i="33" s="1"/>
  <c r="F35" i="33" s="1"/>
  <c r="O88" i="33"/>
  <c r="N88" i="33"/>
  <c r="L88" i="33"/>
  <c r="L34" i="33" s="1"/>
  <c r="K88" i="33"/>
  <c r="H88" i="33"/>
  <c r="H34" i="33" s="1"/>
  <c r="E88" i="33"/>
  <c r="F88" i="33" s="1"/>
  <c r="F34" i="33" s="1"/>
  <c r="O87" i="33"/>
  <c r="N87" i="33"/>
  <c r="L87" i="33"/>
  <c r="K87" i="33"/>
  <c r="H87" i="33"/>
  <c r="I87" i="33" s="1"/>
  <c r="I33" i="33" s="1"/>
  <c r="E87" i="33"/>
  <c r="F87" i="33" s="1"/>
  <c r="F33" i="33" s="1"/>
  <c r="O86" i="33"/>
  <c r="N86" i="33"/>
  <c r="L86" i="33"/>
  <c r="K86" i="33"/>
  <c r="H86" i="33"/>
  <c r="I86" i="33" s="1"/>
  <c r="I32" i="33" s="1"/>
  <c r="E86" i="33"/>
  <c r="F86" i="33" s="1"/>
  <c r="F32" i="33" s="1"/>
  <c r="O85" i="33"/>
  <c r="N85" i="33"/>
  <c r="L85" i="33"/>
  <c r="K85" i="33"/>
  <c r="I85" i="33"/>
  <c r="H85" i="33"/>
  <c r="E85" i="33"/>
  <c r="F85" i="33" s="1"/>
  <c r="F31" i="33" s="1"/>
  <c r="O84" i="33"/>
  <c r="N84" i="33"/>
  <c r="K84" i="33"/>
  <c r="L84" i="33" s="1"/>
  <c r="L30" i="33" s="1"/>
  <c r="H84" i="33"/>
  <c r="H30" i="33" s="1"/>
  <c r="E84" i="33"/>
  <c r="F84" i="33" s="1"/>
  <c r="F30" i="33" s="1"/>
  <c r="O83" i="33"/>
  <c r="N83" i="33"/>
  <c r="K83" i="33"/>
  <c r="L83" i="33" s="1"/>
  <c r="L29" i="33" s="1"/>
  <c r="I83" i="33"/>
  <c r="H83" i="33"/>
  <c r="E83" i="33"/>
  <c r="F83" i="33" s="1"/>
  <c r="F29" i="33" s="1"/>
  <c r="O82" i="33"/>
  <c r="N82" i="33"/>
  <c r="L82" i="33"/>
  <c r="K82" i="33"/>
  <c r="H82" i="33"/>
  <c r="I82" i="33" s="1"/>
  <c r="I28" i="33" s="1"/>
  <c r="E82" i="33"/>
  <c r="F82" i="33" s="1"/>
  <c r="F28" i="33" s="1"/>
  <c r="O81" i="33"/>
  <c r="N81" i="33"/>
  <c r="L81" i="33"/>
  <c r="K81" i="33"/>
  <c r="I81" i="33"/>
  <c r="H81" i="33"/>
  <c r="E81" i="33"/>
  <c r="F81" i="33" s="1"/>
  <c r="F27" i="33" s="1"/>
  <c r="O80" i="33"/>
  <c r="N80" i="33"/>
  <c r="K80" i="33"/>
  <c r="L80" i="33" s="1"/>
  <c r="L26" i="33" s="1"/>
  <c r="H80" i="33"/>
  <c r="H26" i="33" s="1"/>
  <c r="E80" i="33"/>
  <c r="F80" i="33" s="1"/>
  <c r="F26" i="33" s="1"/>
  <c r="O79" i="33"/>
  <c r="N79" i="33"/>
  <c r="L79" i="33"/>
  <c r="K79" i="33"/>
  <c r="I79" i="33"/>
  <c r="H79" i="33"/>
  <c r="E79" i="33"/>
  <c r="F79" i="33" s="1"/>
  <c r="F25" i="33" s="1"/>
  <c r="O78" i="33"/>
  <c r="N78" i="33"/>
  <c r="L78" i="33"/>
  <c r="K78" i="33"/>
  <c r="I78" i="33"/>
  <c r="H78" i="33"/>
  <c r="E78" i="33"/>
  <c r="F78" i="33" s="1"/>
  <c r="F24" i="33" s="1"/>
  <c r="O77" i="33"/>
  <c r="N77" i="33"/>
  <c r="K77" i="33"/>
  <c r="L77" i="33" s="1"/>
  <c r="L23" i="33" s="1"/>
  <c r="I77" i="33"/>
  <c r="H77" i="33"/>
  <c r="E77" i="33"/>
  <c r="F77" i="33" s="1"/>
  <c r="F23" i="33" s="1"/>
  <c r="O76" i="33"/>
  <c r="N76" i="33"/>
  <c r="L76" i="33"/>
  <c r="K76" i="33"/>
  <c r="H76" i="33"/>
  <c r="H22" i="33" s="1"/>
  <c r="E76" i="33"/>
  <c r="F76" i="33" s="1"/>
  <c r="F22" i="33" s="1"/>
  <c r="O75" i="33"/>
  <c r="N75" i="33"/>
  <c r="L75" i="33"/>
  <c r="K75" i="33"/>
  <c r="I75" i="33"/>
  <c r="H75" i="33"/>
  <c r="E75" i="33"/>
  <c r="F75" i="33" s="1"/>
  <c r="F21" i="33" s="1"/>
  <c r="O74" i="33"/>
  <c r="N74" i="33"/>
  <c r="K74" i="33"/>
  <c r="L74" i="33" s="1"/>
  <c r="L20" i="33" s="1"/>
  <c r="I74" i="33"/>
  <c r="H74" i="33"/>
  <c r="E74" i="33"/>
  <c r="F74" i="33" s="1"/>
  <c r="F20" i="33" s="1"/>
  <c r="O73" i="33"/>
  <c r="N73" i="33"/>
  <c r="L73" i="33"/>
  <c r="K73" i="33"/>
  <c r="I73" i="33"/>
  <c r="H73" i="33"/>
  <c r="E73" i="33"/>
  <c r="F73" i="33" s="1"/>
  <c r="F19" i="33" s="1"/>
  <c r="O72" i="33"/>
  <c r="N72" i="33"/>
  <c r="L72" i="33"/>
  <c r="K72" i="33"/>
  <c r="H72" i="33"/>
  <c r="H18" i="33" s="1"/>
  <c r="E72" i="33"/>
  <c r="F72" i="33" s="1"/>
  <c r="F18" i="33" s="1"/>
  <c r="O71" i="33"/>
  <c r="O91" i="33" s="1"/>
  <c r="N71" i="33"/>
  <c r="N91" i="33" s="1"/>
  <c r="K71" i="33"/>
  <c r="K9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K62" i="33"/>
  <c r="L62" i="33" s="1"/>
  <c r="I62" i="33"/>
  <c r="H62" i="33"/>
  <c r="E62" i="33"/>
  <c r="F62" i="33" s="1"/>
  <c r="O61" i="33"/>
  <c r="N61" i="33"/>
  <c r="K61" i="33"/>
  <c r="L61" i="33" s="1"/>
  <c r="H61" i="33"/>
  <c r="I61" i="33" s="1"/>
  <c r="E61" i="33"/>
  <c r="F61" i="33" s="1"/>
  <c r="O60" i="33"/>
  <c r="N60" i="33"/>
  <c r="L60" i="33"/>
  <c r="K60" i="33"/>
  <c r="I60" i="33"/>
  <c r="H60" i="33"/>
  <c r="E60" i="33"/>
  <c r="F60" i="33" s="1"/>
  <c r="O59" i="33"/>
  <c r="N59" i="33"/>
  <c r="K59" i="33"/>
  <c r="L59" i="33" s="1"/>
  <c r="H59" i="33"/>
  <c r="I59" i="33" s="1"/>
  <c r="E59" i="33"/>
  <c r="F59" i="33" s="1"/>
  <c r="O58" i="33"/>
  <c r="N58" i="33"/>
  <c r="L58" i="33"/>
  <c r="K58" i="33"/>
  <c r="I58" i="33"/>
  <c r="H58" i="33"/>
  <c r="E58" i="33"/>
  <c r="F58" i="33" s="1"/>
  <c r="O57" i="33"/>
  <c r="N57" i="33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O55" i="33"/>
  <c r="N55" i="33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O53" i="33"/>
  <c r="N53" i="33"/>
  <c r="K53" i="33"/>
  <c r="L53" i="33" s="1"/>
  <c r="H53" i="33"/>
  <c r="I53" i="33" s="1"/>
  <c r="E53" i="33"/>
  <c r="F53" i="33" s="1"/>
  <c r="O52" i="33"/>
  <c r="N52" i="33"/>
  <c r="L52" i="33"/>
  <c r="K52" i="33"/>
  <c r="I52" i="33"/>
  <c r="H52" i="33"/>
  <c r="E52" i="33"/>
  <c r="F52" i="33" s="1"/>
  <c r="O51" i="33"/>
  <c r="N51" i="33"/>
  <c r="K51" i="33"/>
  <c r="L51" i="33" s="1"/>
  <c r="H51" i="33"/>
  <c r="I51" i="33" s="1"/>
  <c r="E51" i="33"/>
  <c r="F51" i="33" s="1"/>
  <c r="O50" i="33"/>
  <c r="N50" i="33"/>
  <c r="L50" i="33"/>
  <c r="K50" i="33"/>
  <c r="I50" i="33"/>
  <c r="H50" i="33"/>
  <c r="E50" i="33"/>
  <c r="F50" i="33" s="1"/>
  <c r="O49" i="33"/>
  <c r="N49" i="33"/>
  <c r="L49" i="33"/>
  <c r="K49" i="33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O47" i="33"/>
  <c r="N47" i="33"/>
  <c r="L47" i="33"/>
  <c r="K47" i="33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O45" i="33"/>
  <c r="N45" i="33"/>
  <c r="K45" i="33"/>
  <c r="L45" i="33" s="1"/>
  <c r="H45" i="33"/>
  <c r="I45" i="33" s="1"/>
  <c r="E45" i="33"/>
  <c r="F45" i="33" s="1"/>
  <c r="O44" i="33"/>
  <c r="O64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J36" i="33"/>
  <c r="H36" i="33"/>
  <c r="G36" i="33"/>
  <c r="E36" i="33"/>
  <c r="D36" i="33"/>
  <c r="C36" i="33"/>
  <c r="B36" i="33"/>
  <c r="O35" i="33"/>
  <c r="N35" i="33"/>
  <c r="M35" i="33"/>
  <c r="K35" i="33"/>
  <c r="J35" i="33"/>
  <c r="I35" i="33"/>
  <c r="H35" i="33"/>
  <c r="G35" i="33"/>
  <c r="E35" i="33"/>
  <c r="D35" i="33"/>
  <c r="C35" i="33"/>
  <c r="B35" i="33"/>
  <c r="O34" i="33"/>
  <c r="N34" i="33"/>
  <c r="M34" i="33"/>
  <c r="K34" i="33"/>
  <c r="J34" i="33"/>
  <c r="G34" i="33"/>
  <c r="E34" i="33"/>
  <c r="D34" i="33"/>
  <c r="C34" i="33"/>
  <c r="B34" i="33"/>
  <c r="O33" i="33"/>
  <c r="N33" i="33"/>
  <c r="M33" i="33"/>
  <c r="L33" i="33"/>
  <c r="K33" i="33"/>
  <c r="J33" i="33"/>
  <c r="H33" i="33"/>
  <c r="G33" i="33"/>
  <c r="E33" i="33"/>
  <c r="D33" i="33"/>
  <c r="C33" i="33"/>
  <c r="B33" i="33"/>
  <c r="O32" i="33"/>
  <c r="N32" i="33"/>
  <c r="M32" i="33"/>
  <c r="L32" i="33"/>
  <c r="K32" i="33"/>
  <c r="J32" i="33"/>
  <c r="H32" i="33"/>
  <c r="G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E31" i="33"/>
  <c r="D31" i="33"/>
  <c r="C31" i="33"/>
  <c r="B31" i="33"/>
  <c r="O30" i="33"/>
  <c r="N30" i="33"/>
  <c r="M30" i="33"/>
  <c r="K30" i="33"/>
  <c r="J30" i="33"/>
  <c r="G30" i="33"/>
  <c r="E30" i="33"/>
  <c r="D30" i="33"/>
  <c r="C30" i="33"/>
  <c r="B30" i="33"/>
  <c r="O29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L28" i="33"/>
  <c r="K28" i="33"/>
  <c r="J28" i="33"/>
  <c r="H28" i="33"/>
  <c r="G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E27" i="33"/>
  <c r="D27" i="33"/>
  <c r="C27" i="33"/>
  <c r="B27" i="33"/>
  <c r="O26" i="33"/>
  <c r="N26" i="33"/>
  <c r="M26" i="33"/>
  <c r="K26" i="33"/>
  <c r="J26" i="33"/>
  <c r="G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E24" i="33"/>
  <c r="D24" i="33"/>
  <c r="C24" i="33"/>
  <c r="B24" i="33"/>
  <c r="O23" i="33"/>
  <c r="N23" i="33"/>
  <c r="M23" i="33"/>
  <c r="K23" i="33"/>
  <c r="J23" i="33"/>
  <c r="I23" i="33"/>
  <c r="H23" i="33"/>
  <c r="G23" i="33"/>
  <c r="E23" i="33"/>
  <c r="D23" i="33"/>
  <c r="C23" i="33"/>
  <c r="B23" i="33"/>
  <c r="O22" i="33"/>
  <c r="N22" i="33"/>
  <c r="M22" i="33"/>
  <c r="L22" i="33"/>
  <c r="K22" i="33"/>
  <c r="J22" i="33"/>
  <c r="G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E21" i="33"/>
  <c r="D21" i="33"/>
  <c r="C21" i="33"/>
  <c r="B21" i="33"/>
  <c r="O20" i="33"/>
  <c r="N20" i="33"/>
  <c r="M20" i="33"/>
  <c r="K20" i="33"/>
  <c r="J20" i="33"/>
  <c r="I20" i="33"/>
  <c r="H20" i="33"/>
  <c r="G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E19" i="33"/>
  <c r="D19" i="33"/>
  <c r="C19" i="33"/>
  <c r="B19" i="33"/>
  <c r="O18" i="33"/>
  <c r="N18" i="33"/>
  <c r="M18" i="33"/>
  <c r="L18" i="33"/>
  <c r="K18" i="33"/>
  <c r="J18" i="33"/>
  <c r="G18" i="33"/>
  <c r="E18" i="33"/>
  <c r="D18" i="33"/>
  <c r="C18" i="33"/>
  <c r="B18" i="33"/>
  <c r="O17" i="33"/>
  <c r="N17" i="33"/>
  <c r="M17" i="33"/>
  <c r="K17" i="33"/>
  <c r="J17" i="33"/>
  <c r="I17" i="33"/>
  <c r="H17" i="33"/>
  <c r="G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K199" i="33" l="1"/>
  <c r="L179" i="33"/>
  <c r="L199" i="33" s="1"/>
  <c r="K172" i="33"/>
  <c r="L172" i="33"/>
  <c r="K145" i="33"/>
  <c r="L125" i="33"/>
  <c r="L145" i="33" s="1"/>
  <c r="L118" i="33"/>
  <c r="K118" i="33"/>
  <c r="L71" i="33"/>
  <c r="L90" i="33"/>
  <c r="L36" i="33" s="1"/>
  <c r="L64" i="33"/>
  <c r="K64" i="33"/>
  <c r="I179" i="33"/>
  <c r="I199" i="33" s="1"/>
  <c r="I152" i="33"/>
  <c r="I172" i="33" s="1"/>
  <c r="I125" i="33"/>
  <c r="I145" i="33" s="1"/>
  <c r="H118" i="33"/>
  <c r="I98" i="33"/>
  <c r="I118" i="33" s="1"/>
  <c r="H91" i="33"/>
  <c r="I72" i="33"/>
  <c r="I18" i="33" s="1"/>
  <c r="I76" i="33"/>
  <c r="I22" i="33" s="1"/>
  <c r="I80" i="33"/>
  <c r="I26" i="33" s="1"/>
  <c r="I84" i="33"/>
  <c r="I30" i="33" s="1"/>
  <c r="I88" i="33"/>
  <c r="I34" i="33" s="1"/>
  <c r="I64" i="33"/>
  <c r="H64" i="33"/>
  <c r="F118" i="33"/>
  <c r="F71" i="33"/>
  <c r="F44" i="33"/>
  <c r="F64" i="33" s="1"/>
  <c r="O179" i="32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O37" i="33"/>
  <c r="E37" i="33"/>
  <c r="H37" i="33"/>
  <c r="N37" i="33"/>
  <c r="G5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O37" i="31" s="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L91" i="33" l="1"/>
  <c r="L17" i="33"/>
  <c r="L37" i="33" s="1"/>
  <c r="I37" i="33"/>
  <c r="I91" i="33"/>
  <c r="F91" i="33"/>
  <c r="G7" i="33" s="1"/>
  <c r="F17" i="33"/>
  <c r="F37" i="33" s="1"/>
  <c r="G11" i="33" s="1"/>
  <c r="N37" i="32"/>
  <c r="O118" i="32"/>
  <c r="O17" i="32"/>
  <c r="O37" i="32" s="1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3" i="32" l="1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29" l="1"/>
  <c r="G11" i="27"/>
  <c r="G11" i="26"/>
  <c r="G11" i="24"/>
  <c r="G7" i="24"/>
  <c r="G9" i="6"/>
  <c r="G11" i="6"/>
  <c r="G5" i="6" l="1"/>
  <c r="C32" i="9"/>
  <c r="K165" i="9"/>
  <c r="F240" i="9"/>
  <c r="F161" i="9"/>
  <c r="H116" i="9"/>
  <c r="K193" i="9"/>
  <c r="F183" i="9"/>
  <c r="G56" i="3"/>
  <c r="I217" i="9"/>
  <c r="K29" i="9"/>
  <c r="I138" i="9"/>
  <c r="N202" i="9"/>
  <c r="F106" i="9"/>
  <c r="F267" i="9"/>
  <c r="K118" i="9"/>
  <c r="F264" i="9"/>
  <c r="N67" i="9"/>
  <c r="F190" i="9"/>
  <c r="F155" i="9"/>
  <c r="H230" i="9"/>
  <c r="K105" i="9"/>
  <c r="H275" i="9"/>
  <c r="I261" i="9"/>
  <c r="O139" i="9"/>
  <c r="K216" i="9"/>
  <c r="L185" i="9"/>
  <c r="G50" i="3"/>
  <c r="I51" i="9"/>
  <c r="O274" i="9"/>
  <c r="L68" i="9"/>
  <c r="E223" i="9"/>
  <c r="N27" i="9"/>
  <c r="H33" i="9"/>
  <c r="F268" i="9"/>
  <c r="E198" i="9"/>
  <c r="I213" i="9"/>
  <c r="N250" i="9"/>
  <c r="I278" i="9"/>
  <c r="O174" i="9"/>
  <c r="C46" i="9"/>
  <c r="N197" i="9"/>
  <c r="C62" i="9"/>
  <c r="C69" i="9"/>
  <c r="I101" i="9"/>
  <c r="E252" i="9"/>
  <c r="K110" i="9"/>
  <c r="F51" i="9"/>
  <c r="L82" i="9"/>
  <c r="F156" i="9"/>
  <c r="N263" i="9"/>
  <c r="C48" i="9"/>
  <c r="L98" i="9"/>
  <c r="E60" i="9"/>
  <c r="E263" i="9"/>
  <c r="N259" i="9"/>
  <c r="L99" i="9"/>
  <c r="I112" i="9"/>
  <c r="L175" i="9"/>
  <c r="K73" i="3"/>
  <c r="L258" i="9"/>
  <c r="I229" i="9"/>
  <c r="G33" i="3"/>
  <c r="H212" i="9"/>
  <c r="E159" i="9"/>
  <c r="I125" i="9"/>
  <c r="E154" i="9"/>
  <c r="O176" i="9"/>
  <c r="N190" i="9"/>
  <c r="O78" i="9"/>
  <c r="E44" i="9"/>
  <c r="K74" i="3"/>
  <c r="K162" i="9"/>
  <c r="L25" i="9"/>
  <c r="H187" i="9"/>
  <c r="N144" i="9"/>
  <c r="C159" i="9"/>
  <c r="N33" i="9"/>
  <c r="E85" i="9"/>
  <c r="L254" i="9"/>
  <c r="N44" i="9"/>
  <c r="C36" i="9"/>
  <c r="K36" i="9"/>
  <c r="I174" i="9"/>
  <c r="C229" i="9"/>
  <c r="O50" i="3"/>
  <c r="N219" i="9"/>
  <c r="E111" i="9"/>
  <c r="L160" i="9"/>
  <c r="F82" i="9"/>
  <c r="H180" i="9"/>
  <c r="K178" i="9"/>
  <c r="H124" i="9"/>
  <c r="H179" i="9"/>
  <c r="K18" i="3"/>
  <c r="N49" i="9"/>
  <c r="F65" i="9"/>
  <c r="K6" i="3"/>
  <c r="N227" i="9"/>
  <c r="C276" i="9"/>
  <c r="K192" i="9"/>
  <c r="I82" i="9"/>
  <c r="F147" i="9"/>
  <c r="K163" i="9"/>
  <c r="E147" i="9"/>
  <c r="O268" i="9"/>
  <c r="I119" i="9"/>
  <c r="F137" i="9"/>
  <c r="O86" i="9"/>
  <c r="O153" i="9"/>
  <c r="F235" i="9"/>
  <c r="C160" i="9"/>
  <c r="C198" i="9"/>
  <c r="C188" i="9"/>
  <c r="K37" i="9"/>
  <c r="F193" i="9"/>
  <c r="F280" i="9"/>
  <c r="O60" i="9"/>
  <c r="N262" i="9"/>
  <c r="N141" i="9"/>
  <c r="E212" i="9"/>
  <c r="F158" i="9"/>
  <c r="E45" i="9"/>
  <c r="O89" i="9"/>
  <c r="N201" i="9"/>
  <c r="C161" i="9"/>
  <c r="E142" i="9"/>
  <c r="F127" i="9"/>
  <c r="F111" i="9"/>
  <c r="H204" i="9"/>
  <c r="N213" i="9"/>
  <c r="F164" i="9"/>
  <c r="O38" i="3"/>
  <c r="O113" i="9"/>
  <c r="F165" i="9"/>
  <c r="O57" i="3"/>
  <c r="C259" i="9"/>
  <c r="H251" i="9"/>
  <c r="H199" i="9"/>
  <c r="F140" i="9"/>
  <c r="O74" i="3"/>
  <c r="E27" i="9"/>
  <c r="O29" i="9"/>
  <c r="L104" i="9"/>
  <c r="F108" i="9"/>
  <c r="F50" i="9"/>
  <c r="F166" i="9"/>
  <c r="H67" i="9"/>
  <c r="O231" i="9"/>
  <c r="O222" i="9"/>
  <c r="F272" i="9"/>
  <c r="K101" i="9"/>
  <c r="I69" i="9"/>
  <c r="C179" i="9"/>
  <c r="H68" i="9"/>
  <c r="F146" i="9"/>
  <c r="E32" i="9"/>
  <c r="N127" i="9"/>
  <c r="I26" i="9"/>
  <c r="K86" i="9"/>
  <c r="C111" i="9"/>
  <c r="H157" i="9"/>
  <c r="I226" i="9"/>
  <c r="N61" i="9"/>
  <c r="E101" i="9"/>
  <c r="C194" i="9"/>
  <c r="C140" i="9"/>
  <c r="C107" i="9"/>
  <c r="L186" i="9"/>
  <c r="H41" i="9"/>
  <c r="N220" i="9"/>
  <c r="N106" i="9"/>
  <c r="O164" i="9"/>
  <c r="I45" i="9"/>
  <c r="H141" i="9"/>
  <c r="K150" i="9"/>
  <c r="G69" i="3"/>
  <c r="C166" i="9"/>
  <c r="O193" i="9"/>
  <c r="O24" i="9"/>
  <c r="N124" i="9"/>
  <c r="F103" i="9"/>
  <c r="N215" i="9"/>
  <c r="I188" i="9"/>
  <c r="F254" i="9"/>
  <c r="E189" i="9"/>
  <c r="C77" i="9"/>
  <c r="H22" i="9"/>
  <c r="L253" i="9"/>
  <c r="I269" i="9"/>
  <c r="C256" i="9"/>
  <c r="K274" i="9"/>
  <c r="F276" i="9"/>
  <c r="C127" i="9"/>
  <c r="L125" i="9"/>
  <c r="I155" i="9"/>
  <c r="O159" i="9"/>
  <c r="C117" i="9"/>
  <c r="I178" i="9"/>
  <c r="C242" i="9"/>
  <c r="O37" i="9"/>
  <c r="L271" i="9"/>
  <c r="F60" i="9"/>
  <c r="F149" i="9"/>
  <c r="N159" i="9"/>
  <c r="F239" i="9"/>
  <c r="N82" i="9"/>
  <c r="L202" i="9"/>
  <c r="N191" i="9"/>
  <c r="I30" i="9"/>
  <c r="O46" i="3"/>
  <c r="G39" i="3"/>
  <c r="L63" i="9"/>
  <c r="L100" i="9"/>
  <c r="F99" i="9"/>
  <c r="K82" i="9"/>
  <c r="F45" i="9"/>
  <c r="H166" i="9"/>
  <c r="I198" i="9"/>
  <c r="I156" i="9"/>
  <c r="L204" i="9"/>
  <c r="L52" i="9"/>
  <c r="F25" i="9"/>
  <c r="F148" i="9"/>
  <c r="C106" i="9"/>
  <c r="I47" i="9"/>
  <c r="E250" i="9"/>
  <c r="E144" i="9"/>
  <c r="O259" i="9"/>
  <c r="E48" i="9"/>
  <c r="K10" i="5"/>
  <c r="H112" i="9"/>
  <c r="I241" i="9"/>
  <c r="H185" i="9"/>
  <c r="E31" i="9"/>
  <c r="O166" i="9"/>
  <c r="L269" i="9"/>
  <c r="N63" i="9"/>
  <c r="L151" i="9"/>
  <c r="C83" i="9"/>
  <c r="K67" i="9"/>
  <c r="F241" i="9"/>
  <c r="I113" i="9"/>
  <c r="C187" i="9"/>
  <c r="O264" i="9"/>
  <c r="H274" i="9"/>
  <c r="I52" i="9"/>
  <c r="N115" i="9"/>
  <c r="I223" i="9"/>
  <c r="E102" i="9"/>
  <c r="H223" i="9"/>
  <c r="H115" i="9"/>
  <c r="L181" i="9"/>
  <c r="E257" i="9"/>
  <c r="E66" i="9"/>
  <c r="E150" i="9"/>
  <c r="C121" i="9"/>
  <c r="H108" i="9"/>
  <c r="F226" i="9"/>
  <c r="N195" i="9"/>
  <c r="O238" i="9"/>
  <c r="H153" i="9"/>
  <c r="K229" i="9"/>
  <c r="H118" i="9"/>
  <c r="O79" i="9"/>
  <c r="E225" i="9"/>
  <c r="L240" i="9"/>
  <c r="N112" i="9"/>
  <c r="I65" i="9"/>
  <c r="K183" i="9"/>
  <c r="O50" i="9"/>
  <c r="C113" i="9"/>
  <c r="K11" i="5"/>
  <c r="L41" i="9"/>
  <c r="E240" i="9"/>
  <c r="H253" i="9"/>
  <c r="G74" i="3"/>
  <c r="N139" i="9"/>
  <c r="E137" i="9"/>
  <c r="F48" i="9"/>
  <c r="E276" i="9"/>
  <c r="K56" i="3"/>
  <c r="H239" i="9"/>
  <c r="K252" i="9"/>
  <c r="C22" i="9"/>
  <c r="L259" i="9"/>
  <c r="K242" i="9"/>
  <c r="C78" i="9"/>
  <c r="N158" i="9"/>
  <c r="G49" i="3"/>
  <c r="K79" i="9"/>
  <c r="E71" i="9"/>
  <c r="K8" i="5"/>
  <c r="O234" i="9"/>
  <c r="O44" i="3"/>
  <c r="N99" i="9"/>
  <c r="H61" i="9"/>
  <c r="E195" i="9"/>
  <c r="O150" i="9"/>
  <c r="N142" i="9"/>
  <c r="E65" i="9"/>
  <c r="N183" i="9"/>
  <c r="I87" i="9"/>
  <c r="O43" i="3"/>
  <c r="O191" i="9"/>
  <c r="O26" i="9"/>
  <c r="N98" i="9"/>
  <c r="C155" i="9"/>
  <c r="F46" i="9"/>
  <c r="O34" i="3"/>
  <c r="I185" i="9"/>
  <c r="H73" i="9"/>
  <c r="H276" i="9"/>
  <c r="O203" i="9"/>
  <c r="O62" i="3"/>
  <c r="N229" i="9"/>
  <c r="K187" i="9"/>
  <c r="O269" i="9"/>
  <c r="L268" i="9"/>
  <c r="N39" i="9"/>
  <c r="L187" i="9"/>
  <c r="C118" i="9"/>
  <c r="H117" i="9"/>
  <c r="K231" i="9"/>
  <c r="N255" i="9"/>
  <c r="K44" i="3"/>
  <c r="K141" i="9"/>
  <c r="E103" i="9"/>
  <c r="K115" i="9"/>
  <c r="I33" i="9"/>
  <c r="O227" i="9"/>
  <c r="L87" i="9"/>
  <c r="C145" i="9"/>
  <c r="N109" i="9"/>
  <c r="N150" i="9"/>
  <c r="O76" i="9"/>
  <c r="H77" i="9"/>
  <c r="I137" i="9"/>
  <c r="I256" i="9"/>
  <c r="C228" i="9"/>
  <c r="K50" i="3"/>
  <c r="K14" i="5"/>
  <c r="K38" i="9"/>
  <c r="I225" i="9"/>
  <c r="I63" i="9"/>
  <c r="L153" i="9"/>
  <c r="I238" i="9"/>
  <c r="O142" i="9"/>
  <c r="I257" i="9"/>
  <c r="I118" i="9"/>
  <c r="L165" i="9"/>
  <c r="K236" i="9"/>
  <c r="K23" i="9"/>
  <c r="H28" i="9"/>
  <c r="N148" i="9"/>
  <c r="C199" i="9"/>
  <c r="N267" i="9"/>
  <c r="E214" i="9"/>
  <c r="O36" i="9"/>
  <c r="O63" i="3"/>
  <c r="K259" i="9"/>
  <c r="K99" i="9"/>
  <c r="H178" i="9"/>
  <c r="L74" i="9"/>
  <c r="O98" i="9"/>
  <c r="F123" i="9"/>
  <c r="H79" i="9"/>
  <c r="O75" i="3"/>
  <c r="K217" i="9"/>
  <c r="E121" i="9"/>
  <c r="K119" i="9"/>
  <c r="C141" i="9"/>
  <c r="I197" i="9"/>
  <c r="K279" i="9"/>
  <c r="E259" i="9"/>
  <c r="K42" i="9"/>
  <c r="C136" i="9"/>
  <c r="N232" i="9"/>
  <c r="H202" i="9"/>
  <c r="H78" i="9"/>
  <c r="H102" i="9"/>
  <c r="K106" i="9"/>
  <c r="C76" i="9"/>
  <c r="K222" i="9"/>
  <c r="F100" i="9"/>
  <c r="C63" i="9"/>
  <c r="E222" i="9"/>
  <c r="C37" i="9"/>
  <c r="K37" i="3"/>
  <c r="C232" i="9"/>
  <c r="K67" i="3"/>
  <c r="K83" i="9"/>
  <c r="I235" i="9"/>
  <c r="L141" i="9"/>
  <c r="I44" i="9"/>
  <c r="I123" i="9"/>
  <c r="C27" i="9"/>
  <c r="O266" i="9"/>
  <c r="K65" i="3"/>
  <c r="K108" i="9"/>
  <c r="C89" i="9"/>
  <c r="K8" i="3"/>
  <c r="L219" i="9"/>
  <c r="C178" i="9"/>
  <c r="I88" i="9"/>
  <c r="C125" i="9"/>
  <c r="F63" i="9"/>
  <c r="N279" i="9"/>
  <c r="F128" i="9"/>
  <c r="C219" i="9"/>
  <c r="F52" i="9"/>
  <c r="F222" i="9"/>
  <c r="O90" i="9"/>
  <c r="K13" i="5"/>
  <c r="O120" i="9"/>
  <c r="H90" i="9"/>
  <c r="E271" i="9"/>
  <c r="L116" i="9"/>
  <c r="F113" i="9"/>
  <c r="O149" i="9"/>
  <c r="L232" i="9"/>
  <c r="H154" i="9"/>
  <c r="O184" i="9"/>
  <c r="E226" i="9"/>
  <c r="E262" i="9"/>
  <c r="K20" i="3"/>
  <c r="K234" i="9"/>
  <c r="O33" i="3"/>
  <c r="O257" i="9"/>
  <c r="H64" i="9"/>
  <c r="K61" i="9"/>
  <c r="H159" i="9"/>
  <c r="I70" i="9"/>
  <c r="I232" i="9"/>
  <c r="O75" i="9"/>
  <c r="L139" i="9"/>
  <c r="N75" i="9"/>
  <c r="I219" i="9"/>
  <c r="H175" i="9"/>
  <c r="K76" i="9"/>
  <c r="C110" i="9"/>
  <c r="G61" i="3"/>
  <c r="N164" i="9"/>
  <c r="O198" i="9"/>
  <c r="H75" i="9"/>
  <c r="K221" i="9"/>
  <c r="O115" i="9"/>
  <c r="I166" i="9"/>
  <c r="H38" i="9"/>
  <c r="E25" i="9"/>
  <c r="E39" i="9"/>
  <c r="I182" i="9"/>
  <c r="I228" i="9"/>
  <c r="L227" i="9"/>
  <c r="E204" i="9"/>
  <c r="K136" i="9"/>
  <c r="L199" i="9"/>
  <c r="C38" i="9"/>
  <c r="N240" i="9"/>
  <c r="E146" i="9"/>
  <c r="H146" i="9"/>
  <c r="L114" i="9"/>
  <c r="N88" i="9"/>
  <c r="C263" i="9"/>
  <c r="O42" i="3"/>
  <c r="I233" i="9"/>
  <c r="O270" i="9"/>
  <c r="O199" i="9"/>
  <c r="C84" i="9"/>
  <c r="H26" i="9"/>
  <c r="O23" i="9"/>
  <c r="K250" i="9"/>
  <c r="K40" i="9"/>
  <c r="F178" i="9"/>
  <c r="L128" i="9"/>
  <c r="N114" i="9"/>
  <c r="G59" i="3"/>
  <c r="I161" i="9"/>
  <c r="H200" i="9"/>
  <c r="N160" i="9"/>
  <c r="F145" i="9"/>
  <c r="O163" i="9"/>
  <c r="O80" i="9"/>
  <c r="O32" i="3"/>
  <c r="N216" i="9"/>
  <c r="H260" i="9"/>
  <c r="K45" i="9"/>
  <c r="K33" i="3"/>
  <c r="I108" i="9"/>
  <c r="H137" i="9"/>
  <c r="F188" i="9"/>
  <c r="C233" i="9"/>
  <c r="C176" i="9"/>
  <c r="L51" i="9"/>
  <c r="O116" i="9"/>
  <c r="E238" i="9"/>
  <c r="C216" i="9"/>
  <c r="I144" i="9"/>
  <c r="C240" i="9"/>
  <c r="F29" i="9"/>
  <c r="I177" i="9"/>
  <c r="C212" i="9"/>
  <c r="N117" i="9"/>
  <c r="F75" i="9"/>
  <c r="N72" i="9"/>
  <c r="I280" i="9"/>
  <c r="F162" i="9"/>
  <c r="L218" i="9"/>
  <c r="H272" i="9"/>
  <c r="E221" i="9"/>
  <c r="I100" i="9"/>
  <c r="L30" i="9"/>
  <c r="K21" i="5"/>
  <c r="E100" i="9"/>
  <c r="O232" i="9"/>
  <c r="H196" i="9"/>
  <c r="C220" i="9"/>
  <c r="C119" i="9"/>
  <c r="N178" i="9"/>
  <c r="L276" i="9"/>
  <c r="F69" i="9"/>
  <c r="F236" i="9"/>
  <c r="E203" i="9"/>
  <c r="K185" i="9"/>
  <c r="G73" i="3"/>
  <c r="N147" i="9"/>
  <c r="I107" i="9"/>
  <c r="G64" i="3"/>
  <c r="G70" i="3"/>
  <c r="N222" i="9"/>
  <c r="C221" i="9"/>
  <c r="C44" i="9"/>
  <c r="E23" i="9"/>
  <c r="E87" i="9"/>
  <c r="L109" i="9"/>
  <c r="O202" i="9"/>
  <c r="N152" i="9"/>
  <c r="L274" i="9"/>
  <c r="O237" i="9"/>
  <c r="F73" i="9"/>
  <c r="L88" i="9"/>
  <c r="H72" i="9"/>
  <c r="E239" i="9"/>
  <c r="I140" i="9"/>
  <c r="C33" i="9"/>
  <c r="O148" i="9"/>
  <c r="G32" i="3"/>
  <c r="K62" i="9"/>
  <c r="H30" i="9"/>
  <c r="C103" i="9"/>
  <c r="N234" i="9"/>
  <c r="K17" i="5"/>
  <c r="F265" i="9"/>
  <c r="E114" i="9"/>
  <c r="L90" i="9"/>
  <c r="C192" i="9"/>
  <c r="K32" i="3"/>
  <c r="K100" i="9"/>
  <c r="I85" i="9"/>
  <c r="O144" i="9"/>
  <c r="H65" i="9"/>
  <c r="K24" i="5"/>
  <c r="E224" i="9"/>
  <c r="E242" i="9"/>
  <c r="I250" i="9"/>
  <c r="N277" i="9"/>
  <c r="N199" i="9"/>
  <c r="K22" i="9"/>
  <c r="O31" i="3"/>
  <c r="C90" i="9"/>
  <c r="C250" i="9"/>
  <c r="O190" i="9"/>
  <c r="H213" i="9"/>
  <c r="I231" i="9"/>
  <c r="L77" i="9"/>
  <c r="I239" i="9"/>
  <c r="H74" i="9"/>
  <c r="I148" i="9"/>
  <c r="I189" i="9"/>
  <c r="I194" i="9"/>
  <c r="L226" i="9"/>
  <c r="K42" i="3"/>
  <c r="I78" i="9"/>
  <c r="F230" i="9"/>
  <c r="O161" i="9"/>
  <c r="C225" i="9"/>
  <c r="N233" i="9"/>
  <c r="H86" i="9"/>
  <c r="C143" i="9"/>
  <c r="O162" i="9"/>
  <c r="N265" i="9"/>
  <c r="L123" i="9"/>
  <c r="L280" i="9"/>
  <c r="O69" i="9"/>
  <c r="E217" i="9"/>
  <c r="L150" i="9"/>
  <c r="K59" i="3"/>
  <c r="N235" i="9"/>
  <c r="H197" i="9"/>
  <c r="H45" i="9"/>
  <c r="F122" i="9"/>
  <c r="F213" i="9"/>
  <c r="F81" i="9"/>
  <c r="N181" i="9"/>
  <c r="N163" i="9"/>
  <c r="C241" i="9"/>
  <c r="O216" i="9"/>
  <c r="O219" i="9"/>
  <c r="E200" i="9"/>
  <c r="K60" i="9"/>
  <c r="K121" i="9"/>
  <c r="C164" i="9"/>
  <c r="E62" i="9"/>
  <c r="F250" i="9"/>
  <c r="O155" i="9"/>
  <c r="O195" i="9"/>
  <c r="O39" i="9"/>
  <c r="N251" i="9"/>
  <c r="K107" i="9"/>
  <c r="K152" i="9"/>
  <c r="K227" i="9"/>
  <c r="N22" i="9"/>
  <c r="C39" i="9"/>
  <c r="O140" i="9"/>
  <c r="K199" i="9"/>
  <c r="I31" i="9"/>
  <c r="N64" i="9"/>
  <c r="O214" i="9"/>
  <c r="K127" i="9"/>
  <c r="E274" i="9"/>
  <c r="E187" i="9"/>
  <c r="F203" i="9"/>
  <c r="F101" i="9"/>
  <c r="C260" i="9"/>
  <c r="K49" i="9"/>
  <c r="E218" i="9"/>
  <c r="I73" i="9"/>
  <c r="N66" i="9"/>
  <c r="N69" i="9"/>
  <c r="E254" i="9"/>
  <c r="E107" i="9"/>
  <c r="O48" i="3"/>
  <c r="C149" i="9"/>
  <c r="F214" i="9"/>
  <c r="N30" i="9"/>
  <c r="C124" i="9"/>
  <c r="I146" i="9"/>
  <c r="F80" i="9"/>
  <c r="C257" i="9"/>
  <c r="L203" i="9"/>
  <c r="K146" i="9"/>
  <c r="F64" i="9"/>
  <c r="F24" i="9"/>
  <c r="K45" i="3"/>
  <c r="O125" i="9"/>
  <c r="F187" i="9"/>
  <c r="K128" i="9"/>
  <c r="O73" i="9"/>
  <c r="C237" i="9"/>
  <c r="G43" i="3"/>
  <c r="I80" i="9"/>
  <c r="L67" i="9"/>
  <c r="K200" i="9"/>
  <c r="H113" i="9"/>
  <c r="N153" i="9"/>
  <c r="E156" i="9"/>
  <c r="N84" i="9"/>
  <c r="K117" i="9"/>
  <c r="L228" i="9"/>
  <c r="L230" i="9"/>
  <c r="O88" i="9"/>
  <c r="G37" i="3"/>
  <c r="I111" i="9"/>
  <c r="N212" i="9"/>
  <c r="E127" i="9"/>
  <c r="F143" i="9"/>
  <c r="K23" i="5"/>
  <c r="I36" i="9"/>
  <c r="I270" i="9"/>
  <c r="N218" i="9"/>
  <c r="O40" i="9"/>
  <c r="K33" i="9"/>
  <c r="L263" i="9"/>
  <c r="G44" i="3"/>
  <c r="H49" i="9"/>
  <c r="L215" i="9"/>
  <c r="L197" i="9"/>
  <c r="H231" i="9"/>
  <c r="H109" i="9"/>
  <c r="K48" i="3"/>
  <c r="I216" i="9"/>
  <c r="N204" i="9"/>
  <c r="L101" i="9"/>
  <c r="H163" i="9"/>
  <c r="K51" i="9"/>
  <c r="I139" i="9"/>
  <c r="I204" i="9"/>
  <c r="C182" i="9"/>
  <c r="E35" i="9"/>
  <c r="E234" i="9"/>
  <c r="K31" i="9"/>
  <c r="H217" i="9"/>
  <c r="O44" i="9"/>
  <c r="C82" i="9"/>
  <c r="L136" i="9"/>
  <c r="K10" i="3"/>
  <c r="H279" i="9"/>
  <c r="F219" i="9"/>
  <c r="E52" i="9"/>
  <c r="I276" i="9"/>
  <c r="H158" i="9"/>
  <c r="I184" i="9"/>
  <c r="K6" i="5"/>
  <c r="E160" i="9"/>
  <c r="F196" i="9"/>
  <c r="L158" i="9"/>
  <c r="I253" i="9"/>
  <c r="F198" i="9"/>
  <c r="N68" i="9"/>
  <c r="I50" i="9"/>
  <c r="H37" i="9"/>
  <c r="H201" i="9"/>
  <c r="O45" i="3"/>
  <c r="F220" i="9"/>
  <c r="E69" i="9"/>
  <c r="C153" i="9"/>
  <c r="N161" i="9"/>
  <c r="O223" i="9"/>
  <c r="F112" i="9"/>
  <c r="N230" i="9"/>
  <c r="C235" i="9"/>
  <c r="N111" i="9"/>
  <c r="E166" i="9"/>
  <c r="N140" i="9"/>
  <c r="O141" i="9"/>
  <c r="I60" i="9"/>
  <c r="H186" i="9"/>
  <c r="L69" i="9"/>
  <c r="K125" i="9"/>
  <c r="O258" i="9"/>
  <c r="H241" i="9"/>
  <c r="O87" i="9"/>
  <c r="H103" i="9"/>
  <c r="L234" i="9"/>
  <c r="K198" i="9"/>
  <c r="F68" i="9"/>
  <c r="F180" i="9"/>
  <c r="N276" i="9"/>
  <c r="K239" i="9"/>
  <c r="I110" i="9"/>
  <c r="I127" i="9"/>
  <c r="I157" i="9"/>
  <c r="K265" i="9"/>
  <c r="E136" i="9"/>
  <c r="K256" i="9"/>
  <c r="K104" i="9"/>
  <c r="C139" i="9"/>
  <c r="K48" i="9"/>
  <c r="C79" i="9"/>
  <c r="F120" i="9"/>
  <c r="G36" i="3"/>
  <c r="L221" i="9"/>
  <c r="O200" i="9"/>
  <c r="H256" i="9"/>
  <c r="K89" i="9"/>
  <c r="F84" i="9"/>
  <c r="I25" i="9"/>
  <c r="L162" i="9"/>
  <c r="C218" i="9"/>
  <c r="F221" i="9"/>
  <c r="F179" i="9"/>
  <c r="E233" i="9"/>
  <c r="I68" i="9"/>
  <c r="N108" i="9"/>
  <c r="L193" i="9"/>
  <c r="L39" i="9"/>
  <c r="H121" i="9"/>
  <c r="I163" i="9"/>
  <c r="I39" i="9"/>
  <c r="G41" i="3"/>
  <c r="E268" i="9"/>
  <c r="L201" i="9"/>
  <c r="E139" i="9"/>
  <c r="O279" i="9"/>
  <c r="H127" i="9"/>
  <c r="O182" i="9"/>
  <c r="L270" i="9"/>
  <c r="I49" i="9"/>
  <c r="F194" i="9"/>
  <c r="C80" i="9"/>
  <c r="H76" i="9"/>
  <c r="L46" i="9"/>
  <c r="K75" i="3"/>
  <c r="O72" i="3"/>
  <c r="C40" i="9"/>
  <c r="N102" i="9"/>
  <c r="K225" i="9"/>
  <c r="I41" i="9"/>
  <c r="N71" i="9"/>
  <c r="F275" i="9"/>
  <c r="L220" i="9"/>
  <c r="E122" i="9"/>
  <c r="I128" i="9"/>
  <c r="N272" i="9"/>
  <c r="H161" i="9"/>
  <c r="H104" i="9"/>
  <c r="I141" i="9"/>
  <c r="O272" i="9"/>
  <c r="N121" i="9"/>
  <c r="O230" i="9"/>
  <c r="K182" i="9"/>
  <c r="H160" i="9"/>
  <c r="I237" i="9"/>
  <c r="I28" i="9"/>
  <c r="O36" i="3"/>
  <c r="I201" i="9"/>
  <c r="E105" i="9"/>
  <c r="L212" i="9"/>
  <c r="K195" i="9"/>
  <c r="K114" i="9"/>
  <c r="C42" i="9"/>
  <c r="H220" i="9"/>
  <c r="E113" i="9"/>
  <c r="O35" i="9"/>
  <c r="G40" i="3"/>
  <c r="N273" i="9"/>
  <c r="H25" i="9"/>
  <c r="L157" i="9"/>
  <c r="H82" i="9"/>
  <c r="F256" i="9"/>
  <c r="L194" i="9"/>
  <c r="I120" i="9"/>
  <c r="L166" i="9"/>
  <c r="O73" i="3"/>
  <c r="C25" i="9"/>
  <c r="C238" i="9"/>
  <c r="K180" i="9"/>
  <c r="F251" i="9"/>
  <c r="K270" i="9"/>
  <c r="K275" i="9"/>
  <c r="K19" i="3"/>
  <c r="C213" i="9"/>
  <c r="O236" i="9"/>
  <c r="I151" i="9"/>
  <c r="O59" i="3"/>
  <c r="O71" i="3"/>
  <c r="L124" i="9"/>
  <c r="I203" i="9"/>
  <c r="F124" i="9"/>
  <c r="I179" i="9"/>
  <c r="O157" i="9"/>
  <c r="E81" i="9"/>
  <c r="N28" i="9"/>
  <c r="N241" i="9"/>
  <c r="L184" i="9"/>
  <c r="I48" i="9"/>
  <c r="E270" i="9"/>
  <c r="E115" i="9"/>
  <c r="I72" i="9"/>
  <c r="H229" i="9"/>
  <c r="O40" i="3"/>
  <c r="O177" i="9"/>
  <c r="L237" i="9"/>
  <c r="F115" i="9"/>
  <c r="E70" i="9"/>
  <c r="L27" i="9"/>
  <c r="K219" i="9"/>
  <c r="N90" i="9"/>
  <c r="L112" i="9"/>
  <c r="N41" i="9"/>
  <c r="E161" i="9"/>
  <c r="L180" i="9"/>
  <c r="K36" i="3"/>
  <c r="O119" i="9"/>
  <c r="K20" i="5"/>
  <c r="F35" i="9"/>
  <c r="N100" i="9"/>
  <c r="K181" i="9"/>
  <c r="L35" i="9"/>
  <c r="O146" i="9"/>
  <c r="E261" i="9"/>
  <c r="H147" i="9"/>
  <c r="C268" i="9"/>
  <c r="L119" i="9"/>
  <c r="N145" i="9"/>
  <c r="H98" i="9"/>
  <c r="F227" i="9"/>
  <c r="F44" i="9"/>
  <c r="F228" i="9"/>
  <c r="F70" i="9"/>
  <c r="E237" i="9"/>
  <c r="H27" i="9"/>
  <c r="C201" i="9"/>
  <c r="N165" i="9"/>
  <c r="C114" i="9"/>
  <c r="H100" i="9"/>
  <c r="K257" i="9"/>
  <c r="H101" i="9"/>
  <c r="O100" i="9"/>
  <c r="G45" i="3"/>
  <c r="L233" i="9"/>
  <c r="E258" i="9"/>
  <c r="O118" i="9"/>
  <c r="F204" i="9"/>
  <c r="E152" i="9"/>
  <c r="N118" i="9"/>
  <c r="G34" i="3"/>
  <c r="F269" i="9"/>
  <c r="E183" i="9"/>
  <c r="N188" i="9"/>
  <c r="L190" i="9"/>
  <c r="E255" i="9"/>
  <c r="N62" i="9"/>
  <c r="O83" i="9"/>
  <c r="E98" i="9"/>
  <c r="C261" i="9"/>
  <c r="K12" i="3"/>
  <c r="K215" i="9"/>
  <c r="G63" i="3"/>
  <c r="G46" i="3"/>
  <c r="I212" i="9"/>
  <c r="K149" i="9"/>
  <c r="K22" i="3"/>
  <c r="L250" i="9"/>
  <c r="K49" i="3"/>
  <c r="C184" i="9"/>
  <c r="L238" i="9"/>
  <c r="N260" i="9"/>
  <c r="N238" i="9"/>
  <c r="I23" i="9"/>
  <c r="I227" i="9"/>
  <c r="C102" i="9"/>
  <c r="E213" i="9"/>
  <c r="E190" i="9"/>
  <c r="F42" i="9"/>
  <c r="F237" i="9"/>
  <c r="N200" i="9"/>
  <c r="E72" i="9"/>
  <c r="O213" i="9"/>
  <c r="O41" i="3"/>
  <c r="N45" i="9"/>
  <c r="K47" i="9"/>
  <c r="N224" i="9"/>
  <c r="L115" i="9"/>
  <c r="I75" i="9"/>
  <c r="K102" i="9"/>
  <c r="O124" i="9"/>
  <c r="F260" i="9"/>
  <c r="I240" i="9"/>
  <c r="N89" i="9"/>
  <c r="N123" i="9"/>
  <c r="I277" i="9"/>
  <c r="C253" i="9"/>
  <c r="K25" i="9"/>
  <c r="O111" i="9"/>
  <c r="L178" i="9"/>
  <c r="E251" i="9"/>
  <c r="K38" i="3"/>
  <c r="H152" i="9"/>
  <c r="N86" i="9"/>
  <c r="K124" i="9"/>
  <c r="N275" i="9"/>
  <c r="I109" i="9"/>
  <c r="H258" i="9"/>
  <c r="L106" i="9"/>
  <c r="H252" i="9"/>
  <c r="N264" i="9"/>
  <c r="K158" i="9"/>
  <c r="L161" i="9"/>
  <c r="F77" i="9"/>
  <c r="F279" i="9"/>
  <c r="H34" i="9"/>
  <c r="K203" i="9"/>
  <c r="O101" i="9"/>
  <c r="K261" i="9"/>
  <c r="L110" i="9"/>
  <c r="N177" i="9"/>
  <c r="F195" i="9"/>
  <c r="E63" i="9"/>
  <c r="C68" i="9"/>
  <c r="K24" i="3"/>
  <c r="G71" i="3"/>
  <c r="L200" i="9"/>
  <c r="L145" i="9"/>
  <c r="K156" i="9"/>
  <c r="E275" i="9"/>
  <c r="I114" i="9"/>
  <c r="F181" i="9"/>
  <c r="C66" i="9"/>
  <c r="C222" i="9"/>
  <c r="K189" i="9"/>
  <c r="C227" i="9"/>
  <c r="H265" i="9"/>
  <c r="I86" i="9"/>
  <c r="K212" i="9"/>
  <c r="O30" i="9"/>
  <c r="C86" i="9"/>
  <c r="C85" i="9"/>
  <c r="O33" i="9"/>
  <c r="F118" i="9"/>
  <c r="H24" i="9"/>
  <c r="O114" i="9"/>
  <c r="I62" i="9"/>
  <c r="O67" i="9"/>
  <c r="F126" i="9"/>
  <c r="L231" i="9"/>
  <c r="L154" i="9"/>
  <c r="K264" i="9"/>
  <c r="E124" i="9"/>
  <c r="I220" i="9"/>
  <c r="H119" i="9"/>
  <c r="L260" i="9"/>
  <c r="O128" i="9"/>
  <c r="K34" i="3"/>
  <c r="E41" i="9"/>
  <c r="O51" i="9"/>
  <c r="I38" i="9"/>
  <c r="K153" i="9"/>
  <c r="K147" i="9"/>
  <c r="I264" i="9"/>
  <c r="F186" i="9"/>
  <c r="H218" i="9"/>
  <c r="I187" i="9"/>
  <c r="C197" i="9"/>
  <c r="H88" i="9"/>
  <c r="F109" i="9"/>
  <c r="N266" i="9"/>
  <c r="L213" i="9"/>
  <c r="G58" i="3"/>
  <c r="L189" i="9"/>
  <c r="H149" i="9"/>
  <c r="I83" i="9"/>
  <c r="K109" i="9"/>
  <c r="E141" i="9"/>
  <c r="H83" i="9"/>
  <c r="H190" i="9"/>
  <c r="I152" i="9"/>
  <c r="C101" i="9"/>
  <c r="K145" i="9"/>
  <c r="K75" i="9"/>
  <c r="L120" i="9"/>
  <c r="K144" i="9"/>
  <c r="H236" i="9"/>
  <c r="H225" i="9"/>
  <c r="F39" i="9"/>
  <c r="L61" i="9"/>
  <c r="C116" i="9"/>
  <c r="O32" i="9"/>
  <c r="H85" i="9"/>
  <c r="I76" i="9"/>
  <c r="N85" i="9"/>
  <c r="K188" i="9"/>
  <c r="O217" i="9"/>
  <c r="O280" i="9"/>
  <c r="F49" i="9"/>
  <c r="H192" i="9"/>
  <c r="O277" i="9"/>
  <c r="C156" i="9"/>
  <c r="E188" i="9"/>
  <c r="L148" i="9"/>
  <c r="O47" i="3"/>
  <c r="N226" i="9"/>
  <c r="K21" i="3"/>
  <c r="C163" i="9"/>
  <c r="H31" i="9"/>
  <c r="E36" i="9"/>
  <c r="F76" i="9"/>
  <c r="O242" i="9"/>
  <c r="K40" i="3"/>
  <c r="K166" i="9"/>
  <c r="H235" i="9"/>
  <c r="I24" i="9"/>
  <c r="L140" i="9"/>
  <c r="H122" i="9"/>
  <c r="K35" i="9"/>
  <c r="F79" i="9"/>
  <c r="N73" i="9"/>
  <c r="K237" i="9"/>
  <c r="F189" i="9"/>
  <c r="F217" i="9"/>
  <c r="I124" i="9"/>
  <c r="E180" i="9"/>
  <c r="G66" i="3"/>
  <c r="E88" i="9"/>
  <c r="K197" i="9"/>
  <c r="F153" i="9"/>
  <c r="I215" i="9"/>
  <c r="O138" i="9"/>
  <c r="O255" i="9"/>
  <c r="H136" i="9"/>
  <c r="H267" i="9"/>
  <c r="K64" i="3"/>
  <c r="E140" i="9"/>
  <c r="F32" i="9"/>
  <c r="G57" i="3"/>
  <c r="L24" i="9"/>
  <c r="C100" i="9"/>
  <c r="F78" i="9"/>
  <c r="H164" i="9"/>
  <c r="C196" i="9"/>
  <c r="I142" i="9"/>
  <c r="H234" i="9"/>
  <c r="N79" i="9"/>
  <c r="O165" i="9"/>
  <c r="H280" i="9"/>
  <c r="I40" i="9"/>
  <c r="N40" i="9"/>
  <c r="L159" i="9"/>
  <c r="L29" i="9"/>
  <c r="O110" i="9"/>
  <c r="C43" i="9"/>
  <c r="K190" i="9"/>
  <c r="K35" i="3"/>
  <c r="E199" i="9"/>
  <c r="K273" i="9"/>
  <c r="N258" i="9"/>
  <c r="O178" i="9"/>
  <c r="O265" i="9"/>
  <c r="E143" i="9"/>
  <c r="N257" i="9"/>
  <c r="N162" i="9"/>
  <c r="O81" i="9"/>
  <c r="K164" i="9"/>
  <c r="E191" i="9"/>
  <c r="H87" i="9"/>
  <c r="I121" i="9"/>
  <c r="N110" i="9"/>
  <c r="I90" i="9"/>
  <c r="F142" i="9"/>
  <c r="L163" i="9"/>
  <c r="N225" i="9"/>
  <c r="E148" i="9"/>
  <c r="F253" i="9"/>
  <c r="N81" i="9"/>
  <c r="C217" i="9"/>
  <c r="H261" i="9"/>
  <c r="O136" i="9"/>
  <c r="N101" i="9"/>
  <c r="E47" i="9"/>
  <c r="C162" i="9"/>
  <c r="N252" i="9"/>
  <c r="H270" i="9"/>
  <c r="L174" i="9"/>
  <c r="E176" i="9"/>
  <c r="I43" i="9"/>
  <c r="L80" i="9"/>
  <c r="F86" i="9"/>
  <c r="H32" i="9"/>
  <c r="F261" i="9"/>
  <c r="N32" i="9"/>
  <c r="N217" i="9"/>
  <c r="E37" i="9"/>
  <c r="N187" i="9"/>
  <c r="C105" i="9"/>
  <c r="E99" i="9"/>
  <c r="H62" i="9"/>
  <c r="L33" i="9"/>
  <c r="N38" i="9"/>
  <c r="K194" i="9"/>
  <c r="O126" i="9"/>
  <c r="I252" i="9"/>
  <c r="K90" i="9"/>
  <c r="N107" i="9"/>
  <c r="N194" i="9"/>
  <c r="O31" i="9"/>
  <c r="O77" i="9"/>
  <c r="K179" i="9"/>
  <c r="I259" i="9"/>
  <c r="N270" i="9"/>
  <c r="L241" i="9"/>
  <c r="K23" i="3"/>
  <c r="E120" i="9"/>
  <c r="L152" i="9"/>
  <c r="L71" i="9"/>
  <c r="N26" i="9"/>
  <c r="K155" i="9"/>
  <c r="K230" i="9"/>
  <c r="F37" i="9"/>
  <c r="O39" i="3"/>
  <c r="I34" i="9"/>
  <c r="K19" i="5"/>
  <c r="L62" i="9"/>
  <c r="H194" i="9"/>
  <c r="L191" i="9"/>
  <c r="K50" i="9"/>
  <c r="C174" i="9"/>
  <c r="L45" i="9"/>
  <c r="F41" i="9"/>
  <c r="L86" i="9"/>
  <c r="E197" i="9"/>
  <c r="N70" i="9"/>
  <c r="H176" i="9"/>
  <c r="N203" i="9"/>
  <c r="N65" i="9"/>
  <c r="E178" i="9"/>
  <c r="C180" i="9"/>
  <c r="K65" i="9"/>
  <c r="N143" i="9"/>
  <c r="O261" i="9"/>
  <c r="H195" i="9"/>
  <c r="E83" i="9"/>
  <c r="I136" i="9"/>
  <c r="O127" i="9"/>
  <c r="H232" i="9"/>
  <c r="C50" i="9"/>
  <c r="K161" i="9"/>
  <c r="H105" i="9"/>
  <c r="N125" i="9"/>
  <c r="O106" i="9"/>
  <c r="K176" i="9"/>
  <c r="C138" i="9"/>
  <c r="L34" i="9"/>
  <c r="C88" i="9"/>
  <c r="N242" i="9"/>
  <c r="C190" i="9"/>
  <c r="F83" i="9"/>
  <c r="E24" i="9"/>
  <c r="G48" i="3"/>
  <c r="H52" i="9"/>
  <c r="K157" i="9"/>
  <c r="L32" i="9"/>
  <c r="H240" i="9"/>
  <c r="F34" i="9"/>
  <c r="H111" i="9"/>
  <c r="H177" i="9"/>
  <c r="F36" i="9"/>
  <c r="H107" i="9"/>
  <c r="O52" i="9"/>
  <c r="H145" i="9"/>
  <c r="L50" i="9"/>
  <c r="G47" i="3"/>
  <c r="H81" i="9"/>
  <c r="N196" i="9"/>
  <c r="O239" i="9"/>
  <c r="K160" i="9"/>
  <c r="K16" i="5"/>
  <c r="F31" i="9"/>
  <c r="I190" i="9"/>
  <c r="I153" i="9"/>
  <c r="C191" i="9"/>
  <c r="O185" i="9"/>
  <c r="E76" i="9"/>
  <c r="C177" i="9"/>
  <c r="K69" i="9"/>
  <c r="K27" i="9"/>
  <c r="E232" i="9"/>
  <c r="K254" i="9"/>
  <c r="K70" i="9"/>
  <c r="K120" i="9"/>
  <c r="L183" i="9"/>
  <c r="O273" i="9"/>
  <c r="L72" i="9"/>
  <c r="F202" i="9"/>
  <c r="K232" i="9"/>
  <c r="I164" i="9"/>
  <c r="N25" i="9"/>
  <c r="E265" i="9"/>
  <c r="E29" i="9"/>
  <c r="H203" i="9"/>
  <c r="O233" i="9"/>
  <c r="O109" i="9"/>
  <c r="L242" i="9"/>
  <c r="L22" i="9"/>
  <c r="I104" i="9"/>
  <c r="N261" i="9"/>
  <c r="K25" i="5"/>
  <c r="K113" i="9"/>
  <c r="I159" i="9"/>
  <c r="F66" i="9"/>
  <c r="E241" i="9"/>
  <c r="C273" i="9"/>
  <c r="E84" i="9"/>
  <c r="L182" i="9"/>
  <c r="N253" i="9"/>
  <c r="O61" i="9"/>
  <c r="E267" i="9"/>
  <c r="H46" i="9"/>
  <c r="I102" i="9"/>
  <c r="H237" i="9"/>
  <c r="L40" i="9"/>
  <c r="L143" i="9"/>
  <c r="N231" i="9"/>
  <c r="K220" i="9"/>
  <c r="L225" i="9"/>
  <c r="E151" i="9"/>
  <c r="K260" i="9"/>
  <c r="F197" i="9"/>
  <c r="N128" i="9"/>
  <c r="E128" i="9"/>
  <c r="I74" i="9"/>
  <c r="L48" i="9"/>
  <c r="O43" i="9"/>
  <c r="F160" i="9"/>
  <c r="C60" i="9"/>
  <c r="F110" i="9"/>
  <c r="O183" i="9"/>
  <c r="C146" i="9"/>
  <c r="F185" i="9"/>
  <c r="L156" i="9"/>
  <c r="O105" i="9"/>
  <c r="N37" i="9"/>
  <c r="C181" i="9"/>
  <c r="I162" i="9"/>
  <c r="K72" i="3"/>
  <c r="N74" i="9"/>
  <c r="H183" i="9"/>
  <c r="F159" i="9"/>
  <c r="N223" i="9"/>
  <c r="F102" i="9"/>
  <c r="I230" i="9"/>
  <c r="F47" i="9"/>
  <c r="E202" i="9"/>
  <c r="H226" i="9"/>
  <c r="E193" i="9"/>
  <c r="E230" i="9"/>
  <c r="H36" i="9"/>
  <c r="I222" i="9"/>
  <c r="I242" i="9"/>
  <c r="E253" i="9"/>
  <c r="F151" i="9"/>
  <c r="N23" i="9"/>
  <c r="N83" i="9"/>
  <c r="E184" i="9"/>
  <c r="E42" i="9"/>
  <c r="K262" i="9"/>
  <c r="K61" i="3"/>
  <c r="K41" i="9"/>
  <c r="L177" i="9"/>
  <c r="I263" i="9"/>
  <c r="L103" i="9"/>
  <c r="O160" i="9"/>
  <c r="K238" i="9"/>
  <c r="K154" i="9"/>
  <c r="O103" i="9"/>
  <c r="K47" i="3"/>
  <c r="F175" i="9"/>
  <c r="N268" i="9"/>
  <c r="L38" i="9"/>
  <c r="O212" i="9"/>
  <c r="E229" i="9"/>
  <c r="N116" i="9"/>
  <c r="O271" i="9"/>
  <c r="O48" i="9"/>
  <c r="E149" i="9"/>
  <c r="C189" i="9"/>
  <c r="I106" i="9"/>
  <c r="C104" i="9"/>
  <c r="C183" i="9"/>
  <c r="O252" i="9"/>
  <c r="K41" i="3"/>
  <c r="O82" i="9"/>
  <c r="H66" i="9"/>
  <c r="C277" i="9"/>
  <c r="F87" i="9"/>
  <c r="C123" i="9"/>
  <c r="L155" i="9"/>
  <c r="I214" i="9"/>
  <c r="O104" i="9"/>
  <c r="L126" i="9"/>
  <c r="K68" i="3"/>
  <c r="H110" i="9"/>
  <c r="O121" i="9"/>
  <c r="O35" i="3"/>
  <c r="F257" i="9"/>
  <c r="O68" i="9"/>
  <c r="O145" i="9"/>
  <c r="H250" i="9"/>
  <c r="E216" i="9"/>
  <c r="H221" i="9"/>
  <c r="N78" i="9"/>
  <c r="F67" i="9"/>
  <c r="C270" i="9"/>
  <c r="I272" i="9"/>
  <c r="F38" i="9"/>
  <c r="K64" i="9"/>
  <c r="H126" i="9"/>
  <c r="K60" i="3"/>
  <c r="L102" i="9"/>
  <c r="E277" i="9"/>
  <c r="I126" i="9"/>
  <c r="I79" i="9"/>
  <c r="N35" i="9"/>
  <c r="O260" i="9"/>
  <c r="N24" i="9"/>
  <c r="F232" i="9"/>
  <c r="L85" i="9"/>
  <c r="H120" i="9"/>
  <c r="H142" i="9"/>
  <c r="G42" i="3"/>
  <c r="I268" i="9"/>
  <c r="C34" i="9"/>
  <c r="O204" i="9"/>
  <c r="F252" i="9"/>
  <c r="O226" i="9"/>
  <c r="E79" i="9"/>
  <c r="H35" i="9"/>
  <c r="I199" i="9"/>
  <c r="L264" i="9"/>
  <c r="L84" i="9"/>
  <c r="O27" i="9"/>
  <c r="K269" i="9"/>
  <c r="H238" i="9"/>
  <c r="K9" i="3"/>
  <c r="E264" i="9"/>
  <c r="C231" i="9"/>
  <c r="I271" i="9"/>
  <c r="L23" i="9"/>
  <c r="F216" i="9"/>
  <c r="E49" i="9"/>
  <c r="L188" i="9"/>
  <c r="C236" i="9"/>
  <c r="L222" i="9"/>
  <c r="I176" i="9"/>
  <c r="E155" i="9"/>
  <c r="N280" i="9"/>
  <c r="H50" i="9"/>
  <c r="E73" i="9"/>
  <c r="E26" i="9"/>
  <c r="K62" i="3"/>
  <c r="K116" i="9"/>
  <c r="E273" i="9"/>
  <c r="I116" i="9"/>
  <c r="K58" i="3"/>
  <c r="O66" i="3"/>
  <c r="C147" i="9"/>
  <c r="K191" i="9"/>
  <c r="O192" i="9"/>
  <c r="E82" i="9"/>
  <c r="L275" i="9"/>
  <c r="O99" i="9"/>
  <c r="O201" i="9"/>
  <c r="C126" i="9"/>
  <c r="F30" i="9"/>
  <c r="K143" i="9"/>
  <c r="H174" i="9"/>
  <c r="K204" i="9"/>
  <c r="K63" i="9"/>
  <c r="H193" i="9"/>
  <c r="O65" i="9"/>
  <c r="O60" i="3"/>
  <c r="H144" i="9"/>
  <c r="K46" i="3"/>
  <c r="L113" i="9"/>
  <c r="E177" i="9"/>
  <c r="C144" i="9"/>
  <c r="I81" i="9"/>
  <c r="L49" i="9"/>
  <c r="O64" i="9"/>
  <c r="L277" i="9"/>
  <c r="K122" i="9"/>
  <c r="F72" i="9"/>
  <c r="L216" i="9"/>
  <c r="I103" i="9"/>
  <c r="C109" i="9"/>
  <c r="E164" i="9"/>
  <c r="E33" i="9"/>
  <c r="K139" i="9"/>
  <c r="I202" i="9"/>
  <c r="I260" i="9"/>
  <c r="O220" i="9"/>
  <c r="I27" i="9"/>
  <c r="C239" i="9"/>
  <c r="H106" i="9"/>
  <c r="G65" i="3"/>
  <c r="K174" i="9"/>
  <c r="F85" i="9"/>
  <c r="K74" i="9"/>
  <c r="K177" i="9"/>
  <c r="C28" i="9"/>
  <c r="L257" i="9"/>
  <c r="E119" i="9"/>
  <c r="H40" i="9"/>
  <c r="G35" i="3"/>
  <c r="F225" i="9"/>
  <c r="I61" i="9"/>
  <c r="E67" i="9"/>
  <c r="F154" i="9"/>
  <c r="I251" i="9"/>
  <c r="C64" i="9"/>
  <c r="L279" i="9"/>
  <c r="L121" i="9"/>
  <c r="K30" i="9"/>
  <c r="E109" i="9"/>
  <c r="N126" i="9"/>
  <c r="O218" i="9"/>
  <c r="O56" i="3"/>
  <c r="L76" i="9"/>
  <c r="F105" i="9"/>
  <c r="L89" i="9"/>
  <c r="L144" i="9"/>
  <c r="C267" i="9"/>
  <c r="E174" i="9"/>
  <c r="C200" i="9"/>
  <c r="C151" i="9"/>
  <c r="O275" i="9"/>
  <c r="E266" i="9"/>
  <c r="H51" i="9"/>
  <c r="F229" i="9"/>
  <c r="L265" i="9"/>
  <c r="O151" i="9"/>
  <c r="H23" i="9"/>
  <c r="K112" i="9"/>
  <c r="K16" i="3"/>
  <c r="L239" i="9"/>
  <c r="O102" i="9"/>
  <c r="K43" i="9"/>
  <c r="O72" i="9"/>
  <c r="O156" i="9"/>
  <c r="K9" i="5"/>
  <c r="L60" i="9"/>
  <c r="N103" i="9"/>
  <c r="F212" i="9"/>
  <c r="H182" i="9"/>
  <c r="C280" i="9"/>
  <c r="C157" i="9"/>
  <c r="H71" i="9"/>
  <c r="N236" i="9"/>
  <c r="C152" i="9"/>
  <c r="K18" i="5"/>
  <c r="O180" i="9"/>
  <c r="L118" i="9"/>
  <c r="E51" i="9"/>
  <c r="H242" i="9"/>
  <c r="F182" i="9"/>
  <c r="O84" i="9"/>
  <c r="N60" i="9"/>
  <c r="I84" i="9"/>
  <c r="L198" i="9"/>
  <c r="I46" i="9"/>
  <c r="N192" i="9"/>
  <c r="F28" i="9"/>
  <c r="K240" i="9"/>
  <c r="N138" i="9"/>
  <c r="L108" i="9"/>
  <c r="C61" i="9"/>
  <c r="E43" i="9"/>
  <c r="C215" i="9"/>
  <c r="C230" i="9"/>
  <c r="I105" i="9"/>
  <c r="N80" i="9"/>
  <c r="O143" i="9"/>
  <c r="E220" i="9"/>
  <c r="E158" i="9"/>
  <c r="K223" i="9"/>
  <c r="E235" i="9"/>
  <c r="F157" i="9"/>
  <c r="K68" i="9"/>
  <c r="C262" i="9"/>
  <c r="H48" i="9"/>
  <c r="F263" i="9"/>
  <c r="K251" i="9"/>
  <c r="L117" i="9"/>
  <c r="H140" i="9"/>
  <c r="N104" i="9"/>
  <c r="C203" i="9"/>
  <c r="N176" i="9"/>
  <c r="F89" i="9"/>
  <c r="O38" i="9"/>
  <c r="F163" i="9"/>
  <c r="O45" i="9"/>
  <c r="N180" i="9"/>
  <c r="E78" i="9"/>
  <c r="E80" i="9"/>
  <c r="C226" i="9"/>
  <c r="N136" i="9"/>
  <c r="I180" i="9"/>
  <c r="H69" i="9"/>
  <c r="O49" i="3"/>
  <c r="O175" i="9"/>
  <c r="C154" i="9"/>
  <c r="E181" i="9"/>
  <c r="K11" i="3"/>
  <c r="I165" i="9"/>
  <c r="K258" i="9"/>
  <c r="H99" i="9"/>
  <c r="F224" i="9"/>
  <c r="C272" i="9"/>
  <c r="L78" i="9"/>
  <c r="F138" i="9"/>
  <c r="C35" i="9"/>
  <c r="K87" i="9"/>
  <c r="I273" i="9"/>
  <c r="I234" i="9"/>
  <c r="O41" i="9"/>
  <c r="E186" i="9"/>
  <c r="E227" i="9"/>
  <c r="K267" i="9"/>
  <c r="O240" i="9"/>
  <c r="L147" i="9"/>
  <c r="E196" i="9"/>
  <c r="H214" i="9"/>
  <c r="L196" i="9"/>
  <c r="E182" i="9"/>
  <c r="K233" i="9"/>
  <c r="H257" i="9"/>
  <c r="C254" i="9"/>
  <c r="E38" i="9"/>
  <c r="H155" i="9"/>
  <c r="L31" i="9"/>
  <c r="I77" i="9"/>
  <c r="E219" i="9"/>
  <c r="N155" i="9"/>
  <c r="N156" i="9"/>
  <c r="O181" i="9"/>
  <c r="C255" i="9"/>
  <c r="F176" i="9"/>
  <c r="O186" i="9"/>
  <c r="F184" i="9"/>
  <c r="K31" i="3"/>
  <c r="I117" i="9"/>
  <c r="F116" i="9"/>
  <c r="F22" i="9"/>
  <c r="F107" i="9"/>
  <c r="K7" i="3"/>
  <c r="E201" i="9"/>
  <c r="N185" i="9"/>
  <c r="E106" i="9"/>
  <c r="L267" i="9"/>
  <c r="C128" i="9"/>
  <c r="E112" i="9"/>
  <c r="L278" i="9"/>
  <c r="L229" i="9"/>
  <c r="C87" i="9"/>
  <c r="I192" i="9"/>
  <c r="C47" i="9"/>
  <c r="C204" i="9"/>
  <c r="L105" i="9"/>
  <c r="H63" i="9"/>
  <c r="N198" i="9"/>
  <c r="O117" i="9"/>
  <c r="I71" i="9"/>
  <c r="H184" i="9"/>
  <c r="F27" i="9"/>
  <c r="K24" i="9"/>
  <c r="C26" i="9"/>
  <c r="O64" i="3"/>
  <c r="L137" i="9"/>
  <c r="N51" i="9"/>
  <c r="L223" i="9"/>
  <c r="H228" i="9"/>
  <c r="N120" i="9"/>
  <c r="C98" i="9"/>
  <c r="H43" i="9"/>
  <c r="C31" i="9"/>
  <c r="C41" i="9"/>
  <c r="I279" i="9"/>
  <c r="E77" i="9"/>
  <c r="O188" i="9"/>
  <c r="K13" i="3"/>
  <c r="N221" i="9"/>
  <c r="K218" i="9"/>
  <c r="I258" i="9"/>
  <c r="E126" i="9"/>
  <c r="I200" i="9"/>
  <c r="E30" i="9"/>
  <c r="K226" i="9"/>
  <c r="N122" i="9"/>
  <c r="I35" i="9"/>
  <c r="O278" i="9"/>
  <c r="K39" i="3"/>
  <c r="K15" i="5"/>
  <c r="E228" i="9"/>
  <c r="L235" i="9"/>
  <c r="K196" i="9"/>
  <c r="O250" i="9"/>
  <c r="K22" i="5"/>
  <c r="E34" i="9"/>
  <c r="K26" i="9"/>
  <c r="F255" i="9"/>
  <c r="H266" i="9"/>
  <c r="O154" i="9"/>
  <c r="I42" i="9"/>
  <c r="N228" i="9"/>
  <c r="C52" i="9"/>
  <c r="K159" i="9"/>
  <c r="O112" i="9"/>
  <c r="L251" i="9"/>
  <c r="L273" i="9"/>
  <c r="H70" i="9"/>
  <c r="K278" i="9"/>
  <c r="C258" i="9"/>
  <c r="O267" i="9"/>
  <c r="H114" i="9"/>
  <c r="K12" i="5"/>
  <c r="C99" i="9"/>
  <c r="E68" i="9"/>
  <c r="K266" i="9"/>
  <c r="C175" i="9"/>
  <c r="F144" i="9"/>
  <c r="K126" i="9"/>
  <c r="N46" i="9"/>
  <c r="K66" i="9"/>
  <c r="K228" i="9"/>
  <c r="H224" i="9"/>
  <c r="I274" i="9"/>
  <c r="C137" i="9"/>
  <c r="O107" i="9"/>
  <c r="G60" i="3"/>
  <c r="L107" i="9"/>
  <c r="E163" i="9"/>
  <c r="C165" i="9"/>
  <c r="L83" i="9"/>
  <c r="N31" i="9"/>
  <c r="F117" i="9"/>
  <c r="E162" i="9"/>
  <c r="C271" i="9"/>
  <c r="C65" i="9"/>
  <c r="K263" i="9"/>
  <c r="I266" i="9"/>
  <c r="K235" i="9"/>
  <c r="O254" i="9"/>
  <c r="C120" i="9"/>
  <c r="I196" i="9"/>
  <c r="L252" i="9"/>
  <c r="K84" i="9"/>
  <c r="H84" i="9"/>
  <c r="E123" i="9"/>
  <c r="N154" i="9"/>
  <c r="K88" i="9"/>
  <c r="K268" i="9"/>
  <c r="I175" i="9"/>
  <c r="L195" i="9"/>
  <c r="L81" i="9"/>
  <c r="I160" i="9"/>
  <c r="H123" i="9"/>
  <c r="E278" i="9"/>
  <c r="F150" i="9"/>
  <c r="N48" i="9"/>
  <c r="K80" i="9"/>
  <c r="F26" i="9"/>
  <c r="F40" i="9"/>
  <c r="C202" i="9"/>
  <c r="H188" i="9"/>
  <c r="H181" i="9"/>
  <c r="C122" i="9"/>
  <c r="H139" i="9"/>
  <c r="O215" i="9"/>
  <c r="O74" i="9"/>
  <c r="E185" i="9"/>
  <c r="I147" i="9"/>
  <c r="O108" i="9"/>
  <c r="K69" i="3"/>
  <c r="H191" i="9"/>
  <c r="K77" i="9"/>
  <c r="C24" i="9"/>
  <c r="K71" i="3"/>
  <c r="K44" i="9"/>
  <c r="K25" i="3"/>
  <c r="F234" i="9"/>
  <c r="K14" i="3"/>
  <c r="C73" i="9"/>
  <c r="F139" i="9"/>
  <c r="F71" i="9"/>
  <c r="H60" i="9"/>
  <c r="N274" i="9"/>
  <c r="I195" i="9"/>
  <c r="C266" i="9"/>
  <c r="L26" i="9"/>
  <c r="K85" i="9"/>
  <c r="E269" i="9"/>
  <c r="E117" i="9"/>
  <c r="H264" i="9"/>
  <c r="E236" i="9"/>
  <c r="K43" i="3"/>
  <c r="N186" i="9"/>
  <c r="N76" i="9"/>
  <c r="E110" i="9"/>
  <c r="K73" i="9"/>
  <c r="I221" i="9"/>
  <c r="K255" i="9"/>
  <c r="L36" i="9"/>
  <c r="N214" i="9"/>
  <c r="K7" i="5"/>
  <c r="F274" i="9"/>
  <c r="I158" i="9"/>
  <c r="L42" i="9"/>
  <c r="H198" i="9"/>
  <c r="H215" i="9"/>
  <c r="E89" i="9"/>
  <c r="O69" i="3"/>
  <c r="N189" i="9"/>
  <c r="C51" i="9"/>
  <c r="C186" i="9"/>
  <c r="L47" i="9"/>
  <c r="L65" i="9"/>
  <c r="H262" i="9"/>
  <c r="H143" i="9"/>
  <c r="N42" i="9"/>
  <c r="C81" i="9"/>
  <c r="G38" i="3"/>
  <c r="O63" i="9"/>
  <c r="F114" i="9"/>
  <c r="C278" i="9"/>
  <c r="C23" i="9"/>
  <c r="L164" i="9"/>
  <c r="L44" i="9"/>
  <c r="F238" i="9"/>
  <c r="I265" i="9"/>
  <c r="O66" i="9"/>
  <c r="N237" i="9"/>
  <c r="N36" i="9"/>
  <c r="K241" i="9"/>
  <c r="H39" i="9"/>
  <c r="K148" i="9"/>
  <c r="H219" i="9"/>
  <c r="H29" i="9"/>
  <c r="K186" i="9"/>
  <c r="N146" i="9"/>
  <c r="K28" i="9"/>
  <c r="K280" i="9"/>
  <c r="L176" i="9"/>
  <c r="K214" i="9"/>
  <c r="O70" i="9"/>
  <c r="H255" i="9"/>
  <c r="E90" i="9"/>
  <c r="H128" i="9"/>
  <c r="O62" i="9"/>
  <c r="F43" i="9"/>
  <c r="O187" i="9"/>
  <c r="K272" i="9"/>
  <c r="F121" i="9"/>
  <c r="F62" i="9"/>
  <c r="I149" i="9"/>
  <c r="N149" i="9"/>
  <c r="O137" i="9"/>
  <c r="I275" i="9"/>
  <c r="L192" i="9"/>
  <c r="I22" i="9"/>
  <c r="N119" i="9"/>
  <c r="I255" i="9"/>
  <c r="K111" i="9"/>
  <c r="I236" i="9"/>
  <c r="O152" i="9"/>
  <c r="K138" i="9"/>
  <c r="H259" i="9"/>
  <c r="O276" i="9"/>
  <c r="K39" i="9"/>
  <c r="E22" i="9"/>
  <c r="C150" i="9"/>
  <c r="O46" i="9"/>
  <c r="N184" i="9"/>
  <c r="K224" i="9"/>
  <c r="N269" i="9"/>
  <c r="E108" i="9"/>
  <c r="O225" i="9"/>
  <c r="G67" i="3"/>
  <c r="K271" i="9"/>
  <c r="K71" i="9"/>
  <c r="H89" i="9"/>
  <c r="I143" i="9"/>
  <c r="L28" i="9"/>
  <c r="N113" i="9"/>
  <c r="C195" i="9"/>
  <c r="K276" i="9"/>
  <c r="H80" i="9"/>
  <c r="E231" i="9"/>
  <c r="K142" i="9"/>
  <c r="H42" i="9"/>
  <c r="N77" i="9"/>
  <c r="E138" i="9"/>
  <c r="F199" i="9"/>
  <c r="K15" i="3"/>
  <c r="C275" i="9"/>
  <c r="C67" i="9"/>
  <c r="F278" i="9"/>
  <c r="L75" i="9"/>
  <c r="H263" i="9"/>
  <c r="E145" i="9"/>
  <c r="L214" i="9"/>
  <c r="H227" i="9"/>
  <c r="O221" i="9"/>
  <c r="E50" i="9"/>
  <c r="K184" i="9"/>
  <c r="H222" i="9"/>
  <c r="O123" i="9"/>
  <c r="O58" i="3"/>
  <c r="I262" i="9"/>
  <c r="K202" i="9"/>
  <c r="G31" i="3"/>
  <c r="E179" i="9"/>
  <c r="E260" i="9"/>
  <c r="F191" i="9"/>
  <c r="H233" i="9"/>
  <c r="K81" i="9"/>
  <c r="O68" i="3"/>
  <c r="H268" i="9"/>
  <c r="E272" i="9"/>
  <c r="N34" i="9"/>
  <c r="L79" i="9"/>
  <c r="K57" i="3"/>
  <c r="F223" i="9"/>
  <c r="H273" i="9"/>
  <c r="I267" i="9"/>
  <c r="C72" i="9"/>
  <c r="C223" i="9"/>
  <c r="L122" i="9"/>
  <c r="C29" i="9"/>
  <c r="E256" i="9"/>
  <c r="O262" i="9"/>
  <c r="E40" i="9"/>
  <c r="C71" i="9"/>
  <c r="F200" i="9"/>
  <c r="H125" i="9"/>
  <c r="L224" i="9"/>
  <c r="L127" i="9"/>
  <c r="C30" i="9"/>
  <c r="O122" i="9"/>
  <c r="F104" i="9"/>
  <c r="O235" i="9"/>
  <c r="L138" i="9"/>
  <c r="E118" i="9"/>
  <c r="O25" i="9"/>
  <c r="I254" i="9"/>
  <c r="N151" i="9"/>
  <c r="E165" i="9"/>
  <c r="C251" i="9"/>
  <c r="I66" i="9"/>
  <c r="L179" i="9"/>
  <c r="C252" i="9"/>
  <c r="E86" i="9"/>
  <c r="I191" i="9"/>
  <c r="L146" i="9"/>
  <c r="C112" i="9"/>
  <c r="F61" i="9"/>
  <c r="F33" i="9"/>
  <c r="C142" i="9"/>
  <c r="I224" i="9"/>
  <c r="I67" i="9"/>
  <c r="F273" i="9"/>
  <c r="K52" i="9"/>
  <c r="N179" i="9"/>
  <c r="O179" i="9"/>
  <c r="O47" i="9"/>
  <c r="O42" i="9"/>
  <c r="E64" i="9"/>
  <c r="F258" i="9"/>
  <c r="O147" i="9"/>
  <c r="C193" i="9"/>
  <c r="C115" i="9"/>
  <c r="I89" i="9"/>
  <c r="H44" i="9"/>
  <c r="C74" i="9"/>
  <c r="K46" i="9"/>
  <c r="O67" i="3"/>
  <c r="F136" i="9"/>
  <c r="G68" i="3"/>
  <c r="H150" i="9"/>
  <c r="K140" i="9"/>
  <c r="L217" i="9"/>
  <c r="K63" i="3"/>
  <c r="F152" i="9"/>
  <c r="O194" i="9"/>
  <c r="I218" i="9"/>
  <c r="L64" i="9"/>
  <c r="I186" i="9"/>
  <c r="E192" i="9"/>
  <c r="C185" i="9"/>
  <c r="H269" i="9"/>
  <c r="C224" i="9"/>
  <c r="I29" i="9"/>
  <c r="C269" i="9"/>
  <c r="H156" i="9"/>
  <c r="H138" i="9"/>
  <c r="O256" i="9"/>
  <c r="E74" i="9"/>
  <c r="N47" i="9"/>
  <c r="O228" i="9"/>
  <c r="N105" i="9"/>
  <c r="C274" i="9"/>
  <c r="E46" i="9"/>
  <c r="F270" i="9"/>
  <c r="E175" i="9"/>
  <c r="F271" i="9"/>
  <c r="K78" i="9"/>
  <c r="N278" i="9"/>
  <c r="F233" i="9"/>
  <c r="E125" i="9"/>
  <c r="E61" i="9"/>
  <c r="O196" i="9"/>
  <c r="N166" i="9"/>
  <c r="F277" i="9"/>
  <c r="C75" i="9"/>
  <c r="O241" i="9"/>
  <c r="K123" i="9"/>
  <c r="F215" i="9"/>
  <c r="E75" i="9"/>
  <c r="F174" i="9"/>
  <c r="K201" i="9"/>
  <c r="F231" i="9"/>
  <c r="I37" i="9"/>
  <c r="I183" i="9"/>
  <c r="K277" i="9"/>
  <c r="E280" i="9"/>
  <c r="I32" i="9"/>
  <c r="O85" i="9"/>
  <c r="N87" i="9"/>
  <c r="F119" i="9"/>
  <c r="C158" i="9"/>
  <c r="O22" i="9"/>
  <c r="G62" i="3"/>
  <c r="I150" i="9"/>
  <c r="K151" i="9"/>
  <c r="H148" i="9"/>
  <c r="O37" i="3"/>
  <c r="O224" i="9"/>
  <c r="I99" i="9"/>
  <c r="H278" i="9"/>
  <c r="N29" i="9"/>
  <c r="H277" i="9"/>
  <c r="N182" i="9"/>
  <c r="N50" i="9"/>
  <c r="N193" i="9"/>
  <c r="O253" i="9"/>
  <c r="L255" i="9"/>
  <c r="H47" i="9"/>
  <c r="L73" i="9"/>
  <c r="C214" i="9"/>
  <c r="F201" i="9"/>
  <c r="I64" i="9"/>
  <c r="N174" i="9"/>
  <c r="C264" i="9"/>
  <c r="O28" i="9"/>
  <c r="E279" i="9"/>
  <c r="L111" i="9"/>
  <c r="I181" i="9"/>
  <c r="C279" i="9"/>
  <c r="H151" i="9"/>
  <c r="H189" i="9"/>
  <c r="C108" i="9"/>
  <c r="E104" i="9"/>
  <c r="N254" i="9"/>
  <c r="K175" i="9"/>
  <c r="O189" i="9"/>
  <c r="L66" i="9"/>
  <c r="H271" i="9"/>
  <c r="I122" i="9"/>
  <c r="F141" i="9"/>
  <c r="E28" i="9"/>
  <c r="I154" i="9"/>
  <c r="L261" i="9"/>
  <c r="L37" i="9"/>
  <c r="N52" i="9"/>
  <c r="O71" i="9"/>
  <c r="C45" i="9"/>
  <c r="O65" i="3"/>
  <c r="F259" i="9"/>
  <c r="K98" i="9"/>
  <c r="E215" i="9"/>
  <c r="N157" i="9"/>
  <c r="F125" i="9"/>
  <c r="K253" i="9"/>
  <c r="O70" i="3"/>
  <c r="G72" i="3"/>
  <c r="L256" i="9"/>
  <c r="N256" i="9"/>
  <c r="K34" i="9"/>
  <c r="K66" i="3"/>
  <c r="I145" i="9"/>
  <c r="K32" i="9"/>
  <c r="C265" i="9"/>
  <c r="C70" i="9"/>
  <c r="O34" i="9"/>
  <c r="F90" i="9"/>
  <c r="I98" i="9"/>
  <c r="N43" i="9"/>
  <c r="O197" i="9"/>
  <c r="K72" i="9"/>
  <c r="C49" i="9"/>
  <c r="O61" i="3"/>
  <c r="N137" i="9"/>
  <c r="H216" i="9"/>
  <c r="F218" i="9"/>
  <c r="F74" i="9"/>
  <c r="N271" i="9"/>
  <c r="E153" i="9"/>
  <c r="I115" i="9"/>
  <c r="F242" i="9"/>
  <c r="L262" i="9"/>
  <c r="F192" i="9"/>
  <c r="F177" i="9"/>
  <c r="O251" i="9"/>
  <c r="K17" i="3"/>
  <c r="L272" i="9"/>
  <c r="F262" i="9"/>
  <c r="K70" i="3"/>
  <c r="O49" i="9"/>
  <c r="L142" i="9"/>
  <c r="L236" i="9"/>
  <c r="G75" i="3"/>
  <c r="H165" i="9"/>
  <c r="I193" i="9"/>
  <c r="L149" i="9"/>
  <c r="E194" i="9"/>
  <c r="N175" i="9"/>
  <c r="L266" i="9"/>
  <c r="K103" i="9"/>
  <c r="H162" i="9"/>
  <c r="O158" i="9"/>
  <c r="C234" i="9"/>
  <c r="E116" i="9"/>
  <c r="O263" i="9"/>
  <c r="F266" i="9"/>
  <c r="F98" i="9"/>
  <c r="C148" i="9"/>
  <c r="H254" i="9"/>
  <c r="N239" i="9"/>
  <c r="K213" i="9"/>
  <c r="K137" i="9"/>
  <c r="F23" i="9"/>
  <c r="L70" i="9"/>
  <c r="E157" i="9"/>
  <c r="F88" i="9"/>
  <c r="O229" i="9"/>
  <c r="L43" i="9"/>
  <c r="G148" i="9" l="1"/>
  <c r="M148" i="9"/>
  <c r="D148" i="9"/>
  <c r="J148" i="9"/>
  <c r="F130" i="9"/>
  <c r="E130" i="9" s="1"/>
  <c r="D6" i="9" s="1"/>
  <c r="J234" i="9"/>
  <c r="M234" i="9"/>
  <c r="G234" i="9"/>
  <c r="D234" i="9"/>
  <c r="H75" i="3"/>
  <c r="I75" i="3"/>
  <c r="J75" i="3"/>
  <c r="N70" i="3"/>
  <c r="L70" i="3"/>
  <c r="M70" i="3"/>
  <c r="M17" i="3"/>
  <c r="N17" i="3"/>
  <c r="L17" i="3"/>
  <c r="P61" i="3"/>
  <c r="R61" i="3"/>
  <c r="Q61" i="3"/>
  <c r="G49" i="9"/>
  <c r="J49" i="9"/>
  <c r="M49" i="9"/>
  <c r="D49" i="9"/>
  <c r="I130" i="9"/>
  <c r="H130" i="9" s="1"/>
  <c r="G6" i="9" s="1"/>
  <c r="J70" i="9"/>
  <c r="G70" i="9"/>
  <c r="M70" i="9"/>
  <c r="D70" i="9"/>
  <c r="J265" i="9"/>
  <c r="G265" i="9"/>
  <c r="M265" i="9"/>
  <c r="D265" i="9"/>
  <c r="M66" i="3"/>
  <c r="L66" i="3"/>
  <c r="N66" i="3"/>
  <c r="J72" i="3"/>
  <c r="I72" i="3"/>
  <c r="H72" i="3"/>
  <c r="P70" i="3"/>
  <c r="Q70" i="3"/>
  <c r="R70" i="3"/>
  <c r="P65" i="3"/>
  <c r="R65" i="3"/>
  <c r="Q65" i="3"/>
  <c r="J45" i="9"/>
  <c r="G45" i="9"/>
  <c r="D45" i="9"/>
  <c r="M45" i="9"/>
  <c r="D108" i="9"/>
  <c r="J108" i="9"/>
  <c r="G108" i="9"/>
  <c r="M108" i="9"/>
  <c r="D279" i="9"/>
  <c r="G279" i="9"/>
  <c r="M279" i="9"/>
  <c r="J279" i="9"/>
  <c r="M264" i="9"/>
  <c r="D264" i="9"/>
  <c r="G264" i="9"/>
  <c r="J264" i="9"/>
  <c r="D214" i="9"/>
  <c r="G214" i="9"/>
  <c r="J214" i="9"/>
  <c r="M214" i="9"/>
  <c r="R37" i="3"/>
  <c r="P37" i="3"/>
  <c r="Q37" i="3"/>
  <c r="J62" i="3"/>
  <c r="I62" i="3"/>
  <c r="H62" i="3"/>
  <c r="O54" i="9"/>
  <c r="N54" i="9" s="1"/>
  <c r="M16" i="9" s="1"/>
  <c r="J158" i="9"/>
  <c r="G158" i="9"/>
  <c r="D158" i="9"/>
  <c r="M158" i="9"/>
  <c r="F206" i="9"/>
  <c r="E206" i="9" s="1"/>
  <c r="D8" i="9" s="1"/>
  <c r="G75" i="9"/>
  <c r="D75" i="9"/>
  <c r="M75" i="9"/>
  <c r="J75" i="9"/>
  <c r="G274" i="9"/>
  <c r="J274" i="9"/>
  <c r="D274" i="9"/>
  <c r="M274" i="9"/>
  <c r="D269" i="9"/>
  <c r="G269" i="9"/>
  <c r="J269" i="9"/>
  <c r="M269" i="9"/>
  <c r="M224" i="9"/>
  <c r="D224" i="9"/>
  <c r="J224" i="9"/>
  <c r="G224" i="9"/>
  <c r="G185" i="9"/>
  <c r="M185" i="9"/>
  <c r="D185" i="9"/>
  <c r="J185" i="9"/>
  <c r="N63" i="3"/>
  <c r="M63" i="3"/>
  <c r="L63" i="3"/>
  <c r="I68" i="3"/>
  <c r="H68" i="3"/>
  <c r="J68" i="3"/>
  <c r="F168" i="9"/>
  <c r="E168" i="9" s="1"/>
  <c r="D12" i="9" s="1"/>
  <c r="R67" i="3"/>
  <c r="Q67" i="3"/>
  <c r="P67" i="3"/>
  <c r="G74" i="9"/>
  <c r="J74" i="9"/>
  <c r="D74" i="9"/>
  <c r="M74" i="9"/>
  <c r="G115" i="9"/>
  <c r="M115" i="9"/>
  <c r="J115" i="9"/>
  <c r="D115" i="9"/>
  <c r="M193" i="9"/>
  <c r="G193" i="9"/>
  <c r="D193" i="9"/>
  <c r="J193" i="9"/>
  <c r="J142" i="9"/>
  <c r="G142" i="9"/>
  <c r="D142" i="9"/>
  <c r="M142" i="9"/>
  <c r="G112" i="9"/>
  <c r="D112" i="9"/>
  <c r="M112" i="9"/>
  <c r="J112" i="9"/>
  <c r="J252" i="9"/>
  <c r="D252" i="9"/>
  <c r="M252" i="9"/>
  <c r="G252" i="9"/>
  <c r="G251" i="9"/>
  <c r="M251" i="9"/>
  <c r="J251" i="9"/>
  <c r="D251" i="9"/>
  <c r="D30" i="9"/>
  <c r="G30" i="9"/>
  <c r="J30" i="9"/>
  <c r="M30" i="9"/>
  <c r="J71" i="9"/>
  <c r="D71" i="9"/>
  <c r="G71" i="9"/>
  <c r="M71" i="9"/>
  <c r="M29" i="9"/>
  <c r="D29" i="9"/>
  <c r="J29" i="9"/>
  <c r="G29" i="9"/>
  <c r="J223" i="9"/>
  <c r="M223" i="9"/>
  <c r="G223" i="9"/>
  <c r="D223" i="9"/>
  <c r="D72" i="9"/>
  <c r="J72" i="9"/>
  <c r="G72" i="9"/>
  <c r="M72" i="9"/>
  <c r="N57" i="3"/>
  <c r="L57" i="3"/>
  <c r="M57" i="3"/>
  <c r="R68" i="3"/>
  <c r="P68" i="3"/>
  <c r="Q68" i="3"/>
  <c r="H31" i="3"/>
  <c r="J31" i="3"/>
  <c r="I31" i="3"/>
  <c r="P58" i="3"/>
  <c r="R58" i="3"/>
  <c r="Q58" i="3"/>
  <c r="J67" i="9"/>
  <c r="G67" i="9"/>
  <c r="D67" i="9"/>
  <c r="M67" i="9"/>
  <c r="D275" i="9"/>
  <c r="J275" i="9"/>
  <c r="M275" i="9"/>
  <c r="G275" i="9"/>
  <c r="L15" i="3"/>
  <c r="N15" i="3"/>
  <c r="M15" i="3"/>
  <c r="G195" i="9"/>
  <c r="D195" i="9"/>
  <c r="M195" i="9"/>
  <c r="J195" i="9"/>
  <c r="I67" i="3"/>
  <c r="H67" i="3"/>
  <c r="J67" i="3"/>
  <c r="D150" i="9"/>
  <c r="M150" i="9"/>
  <c r="G150" i="9"/>
  <c r="J150" i="9"/>
  <c r="I54" i="9"/>
  <c r="H54" i="9" s="1"/>
  <c r="G16" i="9" s="1"/>
  <c r="G23" i="9"/>
  <c r="D23" i="9"/>
  <c r="M23" i="9"/>
  <c r="J23" i="9"/>
  <c r="J278" i="9"/>
  <c r="G278" i="9"/>
  <c r="M278" i="9"/>
  <c r="D278" i="9"/>
  <c r="I38" i="3"/>
  <c r="J38" i="3"/>
  <c r="H38" i="3"/>
  <c r="G81" i="9"/>
  <c r="M81" i="9"/>
  <c r="D81" i="9"/>
  <c r="J81" i="9"/>
  <c r="J186" i="9"/>
  <c r="G186" i="9"/>
  <c r="D186" i="9"/>
  <c r="M186" i="9"/>
  <c r="G51" i="9"/>
  <c r="M51" i="9"/>
  <c r="J51" i="9"/>
  <c r="D51" i="9"/>
  <c r="P69" i="3"/>
  <c r="Q69" i="3"/>
  <c r="R69" i="3"/>
  <c r="M7" i="5"/>
  <c r="L7" i="5"/>
  <c r="N7" i="5"/>
  <c r="M43" i="3"/>
  <c r="N43" i="3"/>
  <c r="L43" i="3"/>
  <c r="D266" i="9"/>
  <c r="G266" i="9"/>
  <c r="M266" i="9"/>
  <c r="J266" i="9"/>
  <c r="M73" i="9"/>
  <c r="J73" i="9"/>
  <c r="D73" i="9"/>
  <c r="G73" i="9"/>
  <c r="L14" i="3"/>
  <c r="M14" i="3"/>
  <c r="N14" i="3"/>
  <c r="L25" i="3"/>
  <c r="N25" i="3"/>
  <c r="M25" i="3"/>
  <c r="L71" i="3"/>
  <c r="N71" i="3"/>
  <c r="M71" i="3"/>
  <c r="G24" i="9"/>
  <c r="M24" i="9"/>
  <c r="J24" i="9"/>
  <c r="D24" i="9"/>
  <c r="L69" i="3"/>
  <c r="N69" i="3"/>
  <c r="M69" i="3"/>
  <c r="M122" i="9"/>
  <c r="G122" i="9"/>
  <c r="D122" i="9"/>
  <c r="J122" i="9"/>
  <c r="J202" i="9"/>
  <c r="M202" i="9"/>
  <c r="G202" i="9"/>
  <c r="D202" i="9"/>
  <c r="J120" i="9"/>
  <c r="M120" i="9"/>
  <c r="G120" i="9"/>
  <c r="D120" i="9"/>
  <c r="M65" i="9"/>
  <c r="J65" i="9"/>
  <c r="G65" i="9"/>
  <c r="D65" i="9"/>
  <c r="M271" i="9"/>
  <c r="G271" i="9"/>
  <c r="J271" i="9"/>
  <c r="D271" i="9"/>
  <c r="G165" i="9"/>
  <c r="D165" i="9"/>
  <c r="J165" i="9"/>
  <c r="M165" i="9"/>
  <c r="J60" i="3"/>
  <c r="H60" i="3"/>
  <c r="I60" i="3"/>
  <c r="M137" i="9"/>
  <c r="J137" i="9"/>
  <c r="G137" i="9"/>
  <c r="D137" i="9"/>
  <c r="J175" i="9"/>
  <c r="G175" i="9"/>
  <c r="M175" i="9"/>
  <c r="D175" i="9"/>
  <c r="D99" i="9"/>
  <c r="J99" i="9"/>
  <c r="M99" i="9"/>
  <c r="G99" i="9"/>
  <c r="M12" i="5"/>
  <c r="N12" i="5"/>
  <c r="L12" i="5"/>
  <c r="M258" i="9"/>
  <c r="D258" i="9"/>
  <c r="G258" i="9"/>
  <c r="J258" i="9"/>
  <c r="M52" i="9"/>
  <c r="G52" i="9"/>
  <c r="D52" i="9"/>
  <c r="J52" i="9"/>
  <c r="M22" i="5"/>
  <c r="N22" i="5"/>
  <c r="L22" i="5"/>
  <c r="O282" i="9"/>
  <c r="N282" i="9" s="1"/>
  <c r="M14" i="9" s="1"/>
  <c r="N15" i="5"/>
  <c r="M15" i="5"/>
  <c r="L15" i="5"/>
  <c r="M39" i="3"/>
  <c r="L39" i="3"/>
  <c r="N39" i="3"/>
  <c r="M13" i="3"/>
  <c r="N13" i="3"/>
  <c r="L13" i="3"/>
  <c r="J41" i="9"/>
  <c r="G41" i="9"/>
  <c r="M41" i="9"/>
  <c r="D41" i="9"/>
  <c r="J31" i="9"/>
  <c r="G31" i="9"/>
  <c r="D31" i="9"/>
  <c r="M31" i="9"/>
  <c r="M98" i="9"/>
  <c r="C130" i="9"/>
  <c r="G98" i="9"/>
  <c r="D98" i="9"/>
  <c r="J98" i="9"/>
  <c r="P64" i="3"/>
  <c r="Q64" i="3"/>
  <c r="R64" i="3"/>
  <c r="J26" i="9"/>
  <c r="D26" i="9"/>
  <c r="M26" i="9"/>
  <c r="G26" i="9"/>
  <c r="G204" i="9"/>
  <c r="M204" i="9"/>
  <c r="J204" i="9"/>
  <c r="D204" i="9"/>
  <c r="J47" i="9"/>
  <c r="G47" i="9"/>
  <c r="M47" i="9"/>
  <c r="D47" i="9"/>
  <c r="M87" i="9"/>
  <c r="J87" i="9"/>
  <c r="D87" i="9"/>
  <c r="G87" i="9"/>
  <c r="D128" i="9"/>
  <c r="G128" i="9"/>
  <c r="M128" i="9"/>
  <c r="J128" i="9"/>
  <c r="M7" i="3"/>
  <c r="L7" i="3"/>
  <c r="N7" i="3"/>
  <c r="F54" i="9"/>
  <c r="M31" i="3"/>
  <c r="L31" i="3"/>
  <c r="N31" i="3"/>
  <c r="G255" i="9"/>
  <c r="M255" i="9"/>
  <c r="J255" i="9"/>
  <c r="D255" i="9"/>
  <c r="M254" i="9"/>
  <c r="G254" i="9"/>
  <c r="D254" i="9"/>
  <c r="J254" i="9"/>
  <c r="J35" i="9"/>
  <c r="D35" i="9"/>
  <c r="M35" i="9"/>
  <c r="G35" i="9"/>
  <c r="M272" i="9"/>
  <c r="G272" i="9"/>
  <c r="J272" i="9"/>
  <c r="D272" i="9"/>
  <c r="N11" i="3"/>
  <c r="L11" i="3"/>
  <c r="M11" i="3"/>
  <c r="J154" i="9"/>
  <c r="G154" i="9"/>
  <c r="D154" i="9"/>
  <c r="M154" i="9"/>
  <c r="P49" i="3"/>
  <c r="Q49" i="3"/>
  <c r="R49" i="3"/>
  <c r="G226" i="9"/>
  <c r="M226" i="9"/>
  <c r="J226" i="9"/>
  <c r="D226" i="9"/>
  <c r="G203" i="9"/>
  <c r="M203" i="9"/>
  <c r="J203" i="9"/>
  <c r="D203" i="9"/>
  <c r="J262" i="9"/>
  <c r="D262" i="9"/>
  <c r="G262" i="9"/>
  <c r="M262" i="9"/>
  <c r="G230" i="9"/>
  <c r="M230" i="9"/>
  <c r="J230" i="9"/>
  <c r="D230" i="9"/>
  <c r="J215" i="9"/>
  <c r="D215" i="9"/>
  <c r="G215" i="9"/>
  <c r="M215" i="9"/>
  <c r="M61" i="9"/>
  <c r="G61" i="9"/>
  <c r="D61" i="9"/>
  <c r="J61" i="9"/>
  <c r="L18" i="5"/>
  <c r="M18" i="5"/>
  <c r="N18" i="5"/>
  <c r="D152" i="9"/>
  <c r="G152" i="9"/>
  <c r="M152" i="9"/>
  <c r="J152" i="9"/>
  <c r="D157" i="9"/>
  <c r="G157" i="9"/>
  <c r="J157" i="9"/>
  <c r="M157" i="9"/>
  <c r="G280" i="9"/>
  <c r="M280" i="9"/>
  <c r="D280" i="9"/>
  <c r="J280" i="9"/>
  <c r="F244" i="9"/>
  <c r="E244" i="9" s="1"/>
  <c r="D10" i="9" s="1"/>
  <c r="L92" i="9"/>
  <c r="K92" i="9" s="1"/>
  <c r="J4" i="9" s="1"/>
  <c r="M9" i="5"/>
  <c r="L9" i="5"/>
  <c r="N9" i="5"/>
  <c r="M16" i="3"/>
  <c r="N16" i="3"/>
  <c r="L16" i="3"/>
  <c r="J151" i="9"/>
  <c r="D151" i="9"/>
  <c r="M151" i="9"/>
  <c r="G151" i="9"/>
  <c r="M200" i="9"/>
  <c r="D200" i="9"/>
  <c r="G200" i="9"/>
  <c r="J200" i="9"/>
  <c r="J267" i="9"/>
  <c r="G267" i="9"/>
  <c r="M267" i="9"/>
  <c r="D267" i="9"/>
  <c r="R56" i="3"/>
  <c r="P56" i="3"/>
  <c r="Q56" i="3"/>
  <c r="J64" i="9"/>
  <c r="D64" i="9"/>
  <c r="M64" i="9"/>
  <c r="G64" i="9"/>
  <c r="H35" i="3"/>
  <c r="J35" i="3"/>
  <c r="I35" i="3"/>
  <c r="M28" i="9"/>
  <c r="G28" i="9"/>
  <c r="D28" i="9"/>
  <c r="J28" i="9"/>
  <c r="I65" i="3"/>
  <c r="J65" i="3"/>
  <c r="H65" i="3"/>
  <c r="G239" i="9"/>
  <c r="J239" i="9"/>
  <c r="D239" i="9"/>
  <c r="M239" i="9"/>
  <c r="M109" i="9"/>
  <c r="D109" i="9"/>
  <c r="G109" i="9"/>
  <c r="J109" i="9"/>
  <c r="M144" i="9"/>
  <c r="D144" i="9"/>
  <c r="J144" i="9"/>
  <c r="G144" i="9"/>
  <c r="M46" i="3"/>
  <c r="L46" i="3"/>
  <c r="N46" i="3"/>
  <c r="R60" i="3"/>
  <c r="P60" i="3"/>
  <c r="Q60" i="3"/>
  <c r="M126" i="9"/>
  <c r="D126" i="9"/>
  <c r="G126" i="9"/>
  <c r="J126" i="9"/>
  <c r="D147" i="9"/>
  <c r="J147" i="9"/>
  <c r="M147" i="9"/>
  <c r="G147" i="9"/>
  <c r="P66" i="3"/>
  <c r="Q66" i="3"/>
  <c r="R66" i="3"/>
  <c r="N58" i="3"/>
  <c r="M58" i="3"/>
  <c r="L58" i="3"/>
  <c r="N62" i="3"/>
  <c r="M62" i="3"/>
  <c r="L62" i="3"/>
  <c r="J236" i="9"/>
  <c r="D236" i="9"/>
  <c r="M236" i="9"/>
  <c r="G236" i="9"/>
  <c r="G231" i="9"/>
  <c r="D231" i="9"/>
  <c r="M231" i="9"/>
  <c r="J231" i="9"/>
  <c r="L9" i="3"/>
  <c r="M9" i="3"/>
  <c r="N9" i="3"/>
  <c r="G34" i="9"/>
  <c r="D34" i="9"/>
  <c r="J34" i="9"/>
  <c r="M34" i="9"/>
  <c r="I42" i="3"/>
  <c r="H42" i="3"/>
  <c r="J42" i="3"/>
  <c r="L60" i="3"/>
  <c r="N60" i="3"/>
  <c r="M60" i="3"/>
  <c r="G270" i="9"/>
  <c r="D270" i="9"/>
  <c r="J270" i="9"/>
  <c r="M270" i="9"/>
  <c r="Q35" i="3"/>
  <c r="R35" i="3"/>
  <c r="P35" i="3"/>
  <c r="N68" i="3"/>
  <c r="M68" i="3"/>
  <c r="L68" i="3"/>
  <c r="M123" i="9"/>
  <c r="J123" i="9"/>
  <c r="G123" i="9"/>
  <c r="D123" i="9"/>
  <c r="G277" i="9"/>
  <c r="M277" i="9"/>
  <c r="D277" i="9"/>
  <c r="J277" i="9"/>
  <c r="L41" i="3"/>
  <c r="M41" i="3"/>
  <c r="N41" i="3"/>
  <c r="J183" i="9"/>
  <c r="M183" i="9"/>
  <c r="G183" i="9"/>
  <c r="D183" i="9"/>
  <c r="G104" i="9"/>
  <c r="D104" i="9"/>
  <c r="J104" i="9"/>
  <c r="M104" i="9"/>
  <c r="J189" i="9"/>
  <c r="D189" i="9"/>
  <c r="M189" i="9"/>
  <c r="G189" i="9"/>
  <c r="O244" i="9"/>
  <c r="N244" i="9" s="1"/>
  <c r="M10" i="9" s="1"/>
  <c r="M47" i="3"/>
  <c r="L47" i="3"/>
  <c r="N47" i="3"/>
  <c r="L61" i="3"/>
  <c r="M61" i="3"/>
  <c r="N61" i="3"/>
  <c r="N72" i="3"/>
  <c r="M72" i="3"/>
  <c r="L72" i="3"/>
  <c r="G181" i="9"/>
  <c r="M181" i="9"/>
  <c r="J181" i="9"/>
  <c r="D181" i="9"/>
  <c r="G146" i="9"/>
  <c r="J146" i="9"/>
  <c r="D146" i="9"/>
  <c r="M146" i="9"/>
  <c r="G60" i="9"/>
  <c r="M60" i="9"/>
  <c r="D60" i="9"/>
  <c r="C92" i="9"/>
  <c r="J60" i="9"/>
  <c r="G273" i="9"/>
  <c r="J273" i="9"/>
  <c r="M273" i="9"/>
  <c r="D273" i="9"/>
  <c r="M25" i="5"/>
  <c r="L25" i="5"/>
  <c r="N25" i="5"/>
  <c r="L54" i="9"/>
  <c r="K54" i="9" s="1"/>
  <c r="J16" i="9" s="1"/>
  <c r="J177" i="9"/>
  <c r="M177" i="9"/>
  <c r="G177" i="9"/>
  <c r="D177" i="9"/>
  <c r="D191" i="9"/>
  <c r="M191" i="9"/>
  <c r="J191" i="9"/>
  <c r="G191" i="9"/>
  <c r="N16" i="5"/>
  <c r="M16" i="5"/>
  <c r="L16" i="5"/>
  <c r="H47" i="3"/>
  <c r="J47" i="3"/>
  <c r="I47" i="3"/>
  <c r="I48" i="3"/>
  <c r="H48" i="3"/>
  <c r="J48" i="3"/>
  <c r="J190" i="9"/>
  <c r="G190" i="9"/>
  <c r="D190" i="9"/>
  <c r="M190" i="9"/>
  <c r="D88" i="9"/>
  <c r="G88" i="9"/>
  <c r="J88" i="9"/>
  <c r="M88" i="9"/>
  <c r="M138" i="9"/>
  <c r="G138" i="9"/>
  <c r="J138" i="9"/>
  <c r="D138" i="9"/>
  <c r="D50" i="9"/>
  <c r="G50" i="9"/>
  <c r="J50" i="9"/>
  <c r="M50" i="9"/>
  <c r="I168" i="9"/>
  <c r="H168" i="9" s="1"/>
  <c r="G12" i="9" s="1"/>
  <c r="G180" i="9"/>
  <c r="M180" i="9"/>
  <c r="J180" i="9"/>
  <c r="D180" i="9"/>
  <c r="M174" i="9"/>
  <c r="C206" i="9"/>
  <c r="J174" i="9"/>
  <c r="G174" i="9"/>
  <c r="D174" i="9"/>
  <c r="L19" i="5"/>
  <c r="N19" i="5"/>
  <c r="M19" i="5"/>
  <c r="R39" i="3"/>
  <c r="Q39" i="3"/>
  <c r="P39" i="3"/>
  <c r="M23" i="3"/>
  <c r="L23" i="3"/>
  <c r="N23" i="3"/>
  <c r="M105" i="9"/>
  <c r="D105" i="9"/>
  <c r="J105" i="9"/>
  <c r="G105" i="9"/>
  <c r="L206" i="9"/>
  <c r="K206" i="9" s="1"/>
  <c r="J8" i="9" s="1"/>
  <c r="G162" i="9"/>
  <c r="M162" i="9"/>
  <c r="J162" i="9"/>
  <c r="D162" i="9"/>
  <c r="O168" i="9"/>
  <c r="N168" i="9" s="1"/>
  <c r="M12" i="9" s="1"/>
  <c r="G217" i="9"/>
  <c r="D217" i="9"/>
  <c r="J217" i="9"/>
  <c r="M217" i="9"/>
  <c r="M35" i="3"/>
  <c r="L35" i="3"/>
  <c r="N35" i="3"/>
  <c r="D43" i="9"/>
  <c r="J43" i="9"/>
  <c r="G43" i="9"/>
  <c r="M43" i="9"/>
  <c r="G196" i="9"/>
  <c r="D196" i="9"/>
  <c r="M196" i="9"/>
  <c r="J196" i="9"/>
  <c r="D100" i="9"/>
  <c r="G100" i="9"/>
  <c r="M100" i="9"/>
  <c r="J100" i="9"/>
  <c r="J57" i="3"/>
  <c r="H57" i="3"/>
  <c r="I57" i="3"/>
  <c r="N64" i="3"/>
  <c r="L64" i="3"/>
  <c r="M64" i="3"/>
  <c r="H66" i="3"/>
  <c r="J66" i="3"/>
  <c r="I66" i="3"/>
  <c r="M40" i="3"/>
  <c r="L40" i="3"/>
  <c r="N40" i="3"/>
  <c r="M163" i="9"/>
  <c r="G163" i="9"/>
  <c r="J163" i="9"/>
  <c r="D163" i="9"/>
  <c r="N21" i="3"/>
  <c r="L21" i="3"/>
  <c r="M21" i="3"/>
  <c r="P47" i="3"/>
  <c r="Q47" i="3"/>
  <c r="R47" i="3"/>
  <c r="J156" i="9"/>
  <c r="M156" i="9"/>
  <c r="D156" i="9"/>
  <c r="G156" i="9"/>
  <c r="D116" i="9"/>
  <c r="J116" i="9"/>
  <c r="M116" i="9"/>
  <c r="G116" i="9"/>
  <c r="D101" i="9"/>
  <c r="G101" i="9"/>
  <c r="J101" i="9"/>
  <c r="M101" i="9"/>
  <c r="I58" i="3"/>
  <c r="H58" i="3"/>
  <c r="J58" i="3"/>
  <c r="D197" i="9"/>
  <c r="G197" i="9"/>
  <c r="J197" i="9"/>
  <c r="M197" i="9"/>
  <c r="N34" i="3"/>
  <c r="L34" i="3"/>
  <c r="M34" i="3"/>
  <c r="D85" i="9"/>
  <c r="G85" i="9"/>
  <c r="J85" i="9"/>
  <c r="M85" i="9"/>
  <c r="J86" i="9"/>
  <c r="G86" i="9"/>
  <c r="M86" i="9"/>
  <c r="D86" i="9"/>
  <c r="J227" i="9"/>
  <c r="G227" i="9"/>
  <c r="M227" i="9"/>
  <c r="D227" i="9"/>
  <c r="G222" i="9"/>
  <c r="M222" i="9"/>
  <c r="J222" i="9"/>
  <c r="D222" i="9"/>
  <c r="G66" i="9"/>
  <c r="M66" i="9"/>
  <c r="D66" i="9"/>
  <c r="J66" i="9"/>
  <c r="J71" i="3"/>
  <c r="H71" i="3"/>
  <c r="I71" i="3"/>
  <c r="M24" i="3"/>
  <c r="L24" i="3"/>
  <c r="N24" i="3"/>
  <c r="J68" i="9"/>
  <c r="M68" i="9"/>
  <c r="G68" i="9"/>
  <c r="D68" i="9"/>
  <c r="N38" i="3"/>
  <c r="L38" i="3"/>
  <c r="M38" i="3"/>
  <c r="J253" i="9"/>
  <c r="G253" i="9"/>
  <c r="D253" i="9"/>
  <c r="M253" i="9"/>
  <c r="Q41" i="3"/>
  <c r="P41" i="3"/>
  <c r="R41" i="3"/>
  <c r="J102" i="9"/>
  <c r="M102" i="9"/>
  <c r="G102" i="9"/>
  <c r="D102" i="9"/>
  <c r="G184" i="9"/>
  <c r="D184" i="9"/>
  <c r="J184" i="9"/>
  <c r="M184" i="9"/>
  <c r="L49" i="3"/>
  <c r="N49" i="3"/>
  <c r="M49" i="3"/>
  <c r="L282" i="9"/>
  <c r="K282" i="9" s="1"/>
  <c r="J14" i="9" s="1"/>
  <c r="N22" i="3"/>
  <c r="L22" i="3"/>
  <c r="M22" i="3"/>
  <c r="I244" i="9"/>
  <c r="H244" i="9" s="1"/>
  <c r="G10" i="9" s="1"/>
  <c r="J46" i="3"/>
  <c r="H46" i="3"/>
  <c r="I46" i="3"/>
  <c r="I63" i="3"/>
  <c r="H63" i="3"/>
  <c r="J63" i="3"/>
  <c r="L12" i="3"/>
  <c r="N12" i="3"/>
  <c r="M12" i="3"/>
  <c r="M261" i="9"/>
  <c r="J261" i="9"/>
  <c r="G261" i="9"/>
  <c r="D261" i="9"/>
  <c r="H34" i="3"/>
  <c r="I34" i="3"/>
  <c r="J34" i="3"/>
  <c r="J45" i="3"/>
  <c r="I45" i="3"/>
  <c r="H45" i="3"/>
  <c r="M114" i="9"/>
  <c r="D114" i="9"/>
  <c r="J114" i="9"/>
  <c r="G114" i="9"/>
  <c r="G201" i="9"/>
  <c r="D201" i="9"/>
  <c r="M201" i="9"/>
  <c r="J201" i="9"/>
  <c r="G268" i="9"/>
  <c r="J268" i="9"/>
  <c r="M268" i="9"/>
  <c r="D268" i="9"/>
  <c r="L20" i="5"/>
  <c r="N20" i="5"/>
  <c r="M20" i="5"/>
  <c r="L36" i="3"/>
  <c r="N36" i="3"/>
  <c r="M36" i="3"/>
  <c r="R40" i="3"/>
  <c r="P40" i="3"/>
  <c r="Q40" i="3"/>
  <c r="R71" i="3"/>
  <c r="P71" i="3"/>
  <c r="Q71" i="3"/>
  <c r="P59" i="3"/>
  <c r="R59" i="3"/>
  <c r="Q59" i="3"/>
  <c r="G213" i="9"/>
  <c r="J213" i="9"/>
  <c r="M213" i="9"/>
  <c r="D213" i="9"/>
  <c r="N19" i="3"/>
  <c r="M19" i="3"/>
  <c r="L19" i="3"/>
  <c r="G238" i="9"/>
  <c r="M238" i="9"/>
  <c r="D238" i="9"/>
  <c r="J238" i="9"/>
  <c r="J25" i="9"/>
  <c r="D25" i="9"/>
  <c r="G25" i="9"/>
  <c r="M25" i="9"/>
  <c r="R73" i="3"/>
  <c r="P73" i="3"/>
  <c r="Q73" i="3"/>
  <c r="I40" i="3"/>
  <c r="H40" i="3"/>
  <c r="J40" i="3"/>
  <c r="D42" i="9"/>
  <c r="M42" i="9"/>
  <c r="J42" i="9"/>
  <c r="G42" i="9"/>
  <c r="L244" i="9"/>
  <c r="K244" i="9" s="1"/>
  <c r="J10" i="9" s="1"/>
  <c r="R36" i="3"/>
  <c r="P36" i="3"/>
  <c r="Q36" i="3"/>
  <c r="M40" i="9"/>
  <c r="J40" i="9"/>
  <c r="G40" i="9"/>
  <c r="D40" i="9"/>
  <c r="R72" i="3"/>
  <c r="Q72" i="3"/>
  <c r="P72" i="3"/>
  <c r="N75" i="3"/>
  <c r="M75" i="3"/>
  <c r="L75" i="3"/>
  <c r="D80" i="9"/>
  <c r="G80" i="9"/>
  <c r="M80" i="9"/>
  <c r="J80" i="9"/>
  <c r="J41" i="3"/>
  <c r="I41" i="3"/>
  <c r="H41" i="3"/>
  <c r="G218" i="9"/>
  <c r="M218" i="9"/>
  <c r="D218" i="9"/>
  <c r="J218" i="9"/>
  <c r="I36" i="3"/>
  <c r="H36" i="3"/>
  <c r="J36" i="3"/>
  <c r="G79" i="9"/>
  <c r="J79" i="9"/>
  <c r="D79" i="9"/>
  <c r="M79" i="9"/>
  <c r="M139" i="9"/>
  <c r="J139" i="9"/>
  <c r="D139" i="9"/>
  <c r="G139" i="9"/>
  <c r="I92" i="9"/>
  <c r="H92" i="9" s="1"/>
  <c r="G4" i="9" s="1"/>
  <c r="J235" i="9"/>
  <c r="G235" i="9"/>
  <c r="D235" i="9"/>
  <c r="M235" i="9"/>
  <c r="J153" i="9"/>
  <c r="G153" i="9"/>
  <c r="M153" i="9"/>
  <c r="D153" i="9"/>
  <c r="P45" i="3"/>
  <c r="R45" i="3"/>
  <c r="Q45" i="3"/>
  <c r="M6" i="5"/>
  <c r="N6" i="5"/>
  <c r="L6" i="5"/>
  <c r="M10" i="3"/>
  <c r="N10" i="3"/>
  <c r="L10" i="3"/>
  <c r="L168" i="9"/>
  <c r="K168" i="9" s="1"/>
  <c r="J12" i="9" s="1"/>
  <c r="M82" i="9"/>
  <c r="G82" i="9"/>
  <c r="D82" i="9"/>
  <c r="J82" i="9"/>
  <c r="M182" i="9"/>
  <c r="J182" i="9"/>
  <c r="D182" i="9"/>
  <c r="G182" i="9"/>
  <c r="N48" i="3"/>
  <c r="L48" i="3"/>
  <c r="M48" i="3"/>
  <c r="J44" i="3"/>
  <c r="I44" i="3"/>
  <c r="H44" i="3"/>
  <c r="M23" i="5"/>
  <c r="N23" i="5"/>
  <c r="L23" i="5"/>
  <c r="H37" i="3"/>
  <c r="I37" i="3"/>
  <c r="J37" i="3"/>
  <c r="J43" i="3"/>
  <c r="H43" i="3"/>
  <c r="I43" i="3"/>
  <c r="G237" i="9"/>
  <c r="M237" i="9"/>
  <c r="D237" i="9"/>
  <c r="J237" i="9"/>
  <c r="L45" i="3"/>
  <c r="N45" i="3"/>
  <c r="M45" i="3"/>
  <c r="G257" i="9"/>
  <c r="D257" i="9"/>
  <c r="M257" i="9"/>
  <c r="J257" i="9"/>
  <c r="G124" i="9"/>
  <c r="M124" i="9"/>
  <c r="D124" i="9"/>
  <c r="J124" i="9"/>
  <c r="D149" i="9"/>
  <c r="G149" i="9"/>
  <c r="M149" i="9"/>
  <c r="J149" i="9"/>
  <c r="P48" i="3"/>
  <c r="Q48" i="3"/>
  <c r="R48" i="3"/>
  <c r="G260" i="9"/>
  <c r="M260" i="9"/>
  <c r="D260" i="9"/>
  <c r="J260" i="9"/>
  <c r="J39" i="9"/>
  <c r="D39" i="9"/>
  <c r="G39" i="9"/>
  <c r="M39" i="9"/>
  <c r="F282" i="9"/>
  <c r="E282" i="9" s="1"/>
  <c r="D14" i="9" s="1"/>
  <c r="J164" i="9"/>
  <c r="M164" i="9"/>
  <c r="G164" i="9"/>
  <c r="D164" i="9"/>
  <c r="M241" i="9"/>
  <c r="G241" i="9"/>
  <c r="J241" i="9"/>
  <c r="D241" i="9"/>
  <c r="N59" i="3"/>
  <c r="L59" i="3"/>
  <c r="M59" i="3"/>
  <c r="D143" i="9"/>
  <c r="G143" i="9"/>
  <c r="J143" i="9"/>
  <c r="M143" i="9"/>
  <c r="G225" i="9"/>
  <c r="M225" i="9"/>
  <c r="J225" i="9"/>
  <c r="D225" i="9"/>
  <c r="N42" i="3"/>
  <c r="M42" i="3"/>
  <c r="L42" i="3"/>
  <c r="M250" i="9"/>
  <c r="J250" i="9"/>
  <c r="D250" i="9"/>
  <c r="C282" i="9"/>
  <c r="G250" i="9"/>
  <c r="G90" i="9"/>
  <c r="J90" i="9"/>
  <c r="M90" i="9"/>
  <c r="D90" i="9"/>
  <c r="P31" i="3"/>
  <c r="R31" i="3"/>
  <c r="Q31" i="3"/>
  <c r="I282" i="9"/>
  <c r="H282" i="9" s="1"/>
  <c r="G14" i="9" s="1"/>
  <c r="N24" i="5"/>
  <c r="M24" i="5"/>
  <c r="L24" i="5"/>
  <c r="L32" i="3"/>
  <c r="M32" i="3"/>
  <c r="N32" i="3"/>
  <c r="J192" i="9"/>
  <c r="G192" i="9"/>
  <c r="M192" i="9"/>
  <c r="D192" i="9"/>
  <c r="M17" i="5"/>
  <c r="L17" i="5"/>
  <c r="N17" i="5"/>
  <c r="J103" i="9"/>
  <c r="G103" i="9"/>
  <c r="M103" i="9"/>
  <c r="D103" i="9"/>
  <c r="I32" i="3"/>
  <c r="J32" i="3"/>
  <c r="H32" i="3"/>
  <c r="G33" i="9"/>
  <c r="D33" i="9"/>
  <c r="M33" i="9"/>
  <c r="J33" i="9"/>
  <c r="M44" i="9"/>
  <c r="D44" i="9"/>
  <c r="J44" i="9"/>
  <c r="G44" i="9"/>
  <c r="G221" i="9"/>
  <c r="M221" i="9"/>
  <c r="J221" i="9"/>
  <c r="D221" i="9"/>
  <c r="H70" i="3"/>
  <c r="I70" i="3"/>
  <c r="J70" i="3"/>
  <c r="J64" i="3"/>
  <c r="I64" i="3"/>
  <c r="H64" i="3"/>
  <c r="H73" i="3"/>
  <c r="J73" i="3"/>
  <c r="I73" i="3"/>
  <c r="G119" i="9"/>
  <c r="J119" i="9"/>
  <c r="M119" i="9"/>
  <c r="D119" i="9"/>
  <c r="M220" i="9"/>
  <c r="J220" i="9"/>
  <c r="G220" i="9"/>
  <c r="D220" i="9"/>
  <c r="L21" i="5"/>
  <c r="N21" i="5"/>
  <c r="M21" i="5"/>
  <c r="G212" i="9"/>
  <c r="M212" i="9"/>
  <c r="D212" i="9"/>
  <c r="J212" i="9"/>
  <c r="C244" i="9"/>
  <c r="M240" i="9"/>
  <c r="G240" i="9"/>
  <c r="J240" i="9"/>
  <c r="D240" i="9"/>
  <c r="D216" i="9"/>
  <c r="G216" i="9"/>
  <c r="J216" i="9"/>
  <c r="M216" i="9"/>
  <c r="G176" i="9"/>
  <c r="J176" i="9"/>
  <c r="D176" i="9"/>
  <c r="M176" i="9"/>
  <c r="J233" i="9"/>
  <c r="D233" i="9"/>
  <c r="G233" i="9"/>
  <c r="M233" i="9"/>
  <c r="M33" i="3"/>
  <c r="N33" i="3"/>
  <c r="L33" i="3"/>
  <c r="P32" i="3"/>
  <c r="Q32" i="3"/>
  <c r="R32" i="3"/>
  <c r="H59" i="3"/>
  <c r="J59" i="3"/>
  <c r="I59" i="3"/>
  <c r="G84" i="9"/>
  <c r="M84" i="9"/>
  <c r="D84" i="9"/>
  <c r="J84" i="9"/>
  <c r="R42" i="3"/>
  <c r="Q42" i="3"/>
  <c r="P42" i="3"/>
  <c r="D263" i="9"/>
  <c r="G263" i="9"/>
  <c r="M263" i="9"/>
  <c r="J263" i="9"/>
  <c r="J38" i="9"/>
  <c r="M38" i="9"/>
  <c r="G38" i="9"/>
  <c r="D38" i="9"/>
  <c r="H61" i="3"/>
  <c r="J61" i="3"/>
  <c r="I61" i="3"/>
  <c r="G110" i="9"/>
  <c r="D110" i="9"/>
  <c r="M110" i="9"/>
  <c r="J110" i="9"/>
  <c r="R33" i="3"/>
  <c r="P33" i="3"/>
  <c r="Q33" i="3"/>
  <c r="N20" i="3"/>
  <c r="L20" i="3"/>
  <c r="M20" i="3"/>
  <c r="M13" i="5"/>
  <c r="L13" i="5"/>
  <c r="N13" i="5"/>
  <c r="G219" i="9"/>
  <c r="J219" i="9"/>
  <c r="M219" i="9"/>
  <c r="D219" i="9"/>
  <c r="D125" i="9"/>
  <c r="G125" i="9"/>
  <c r="J125" i="9"/>
  <c r="M125" i="9"/>
  <c r="G178" i="9"/>
  <c r="D178" i="9"/>
  <c r="M178" i="9"/>
  <c r="J178" i="9"/>
  <c r="L8" i="3"/>
  <c r="N8" i="3"/>
  <c r="M8" i="3"/>
  <c r="G89" i="9"/>
  <c r="J89" i="9"/>
  <c r="M89" i="9"/>
  <c r="D89" i="9"/>
  <c r="M65" i="3"/>
  <c r="L65" i="3"/>
  <c r="N65" i="3"/>
  <c r="J27" i="9"/>
  <c r="D27" i="9"/>
  <c r="M27" i="9"/>
  <c r="G27" i="9"/>
  <c r="N67" i="3"/>
  <c r="L67" i="3"/>
  <c r="M67" i="3"/>
  <c r="J232" i="9"/>
  <c r="M232" i="9"/>
  <c r="D232" i="9"/>
  <c r="G232" i="9"/>
  <c r="N37" i="3"/>
  <c r="M37" i="3"/>
  <c r="L37" i="3"/>
  <c r="D37" i="9"/>
  <c r="J37" i="9"/>
  <c r="G37" i="9"/>
  <c r="M37" i="9"/>
  <c r="M63" i="9"/>
  <c r="J63" i="9"/>
  <c r="G63" i="9"/>
  <c r="D63" i="9"/>
  <c r="G76" i="9"/>
  <c r="M76" i="9"/>
  <c r="J76" i="9"/>
  <c r="D76" i="9"/>
  <c r="C168" i="9"/>
  <c r="J136" i="9"/>
  <c r="M136" i="9"/>
  <c r="G136" i="9"/>
  <c r="D136" i="9"/>
  <c r="D141" i="9"/>
  <c r="J141" i="9"/>
  <c r="M141" i="9"/>
  <c r="G141" i="9"/>
  <c r="R75" i="3"/>
  <c r="P75" i="3"/>
  <c r="Q75" i="3"/>
  <c r="O130" i="9"/>
  <c r="N130" i="9" s="1"/>
  <c r="M6" i="9" s="1"/>
  <c r="Q63" i="3"/>
  <c r="P63" i="3"/>
  <c r="R63" i="3"/>
  <c r="G199" i="9"/>
  <c r="M199" i="9"/>
  <c r="D199" i="9"/>
  <c r="J199" i="9"/>
  <c r="N14" i="5"/>
  <c r="M14" i="5"/>
  <c r="L14" i="5"/>
  <c r="M50" i="3"/>
  <c r="L50" i="3"/>
  <c r="N50" i="3"/>
  <c r="M228" i="9"/>
  <c r="G228" i="9"/>
  <c r="D228" i="9"/>
  <c r="J228" i="9"/>
  <c r="G145" i="9"/>
  <c r="J145" i="9"/>
  <c r="D145" i="9"/>
  <c r="M145" i="9"/>
  <c r="N44" i="3"/>
  <c r="L44" i="3"/>
  <c r="M44" i="3"/>
  <c r="M118" i="9"/>
  <c r="J118" i="9"/>
  <c r="G118" i="9"/>
  <c r="D118" i="9"/>
  <c r="R62" i="3"/>
  <c r="Q62" i="3"/>
  <c r="P62" i="3"/>
  <c r="Q34" i="3"/>
  <c r="R34" i="3"/>
  <c r="P34" i="3"/>
  <c r="G155" i="9"/>
  <c r="J155" i="9"/>
  <c r="M155" i="9"/>
  <c r="D155" i="9"/>
  <c r="R43" i="3"/>
  <c r="P43" i="3"/>
  <c r="Q43" i="3"/>
  <c r="Q44" i="3"/>
  <c r="P44" i="3"/>
  <c r="R44" i="3"/>
  <c r="L8" i="5"/>
  <c r="N8" i="5"/>
  <c r="M8" i="5"/>
  <c r="H49" i="3"/>
  <c r="I49" i="3"/>
  <c r="J49" i="3"/>
  <c r="D78" i="9"/>
  <c r="G78" i="9"/>
  <c r="J78" i="9"/>
  <c r="M78" i="9"/>
  <c r="C54" i="9"/>
  <c r="J22" i="9"/>
  <c r="M22" i="9"/>
  <c r="D22" i="9"/>
  <c r="G22" i="9"/>
  <c r="M56" i="3"/>
  <c r="L56" i="3"/>
  <c r="N56" i="3"/>
  <c r="J74" i="3"/>
  <c r="H74" i="3"/>
  <c r="I74" i="3"/>
  <c r="M11" i="5"/>
  <c r="L11" i="5"/>
  <c r="N11" i="5"/>
  <c r="M113" i="9"/>
  <c r="G113" i="9"/>
  <c r="D113" i="9"/>
  <c r="J113" i="9"/>
  <c r="J121" i="9"/>
  <c r="G121" i="9"/>
  <c r="M121" i="9"/>
  <c r="D121" i="9"/>
  <c r="G187" i="9"/>
  <c r="J187" i="9"/>
  <c r="D187" i="9"/>
  <c r="M187" i="9"/>
  <c r="G83" i="9"/>
  <c r="M83" i="9"/>
  <c r="J83" i="9"/>
  <c r="D83" i="9"/>
  <c r="N10" i="5"/>
  <c r="L10" i="5"/>
  <c r="M10" i="5"/>
  <c r="G106" i="9"/>
  <c r="M106" i="9"/>
  <c r="D106" i="9"/>
  <c r="J106" i="9"/>
  <c r="H39" i="3"/>
  <c r="I39" i="3"/>
  <c r="J39" i="3"/>
  <c r="P46" i="3"/>
  <c r="R46" i="3"/>
  <c r="Q46" i="3"/>
  <c r="F92" i="9"/>
  <c r="E92" i="9" s="1"/>
  <c r="D4" i="9" s="1"/>
  <c r="M242" i="9"/>
  <c r="G242" i="9"/>
  <c r="D242" i="9"/>
  <c r="J242" i="9"/>
  <c r="G117" i="9"/>
  <c r="J117" i="9"/>
  <c r="M117" i="9"/>
  <c r="D117" i="9"/>
  <c r="G127" i="9"/>
  <c r="M127" i="9"/>
  <c r="J127" i="9"/>
  <c r="D127" i="9"/>
  <c r="J256" i="9"/>
  <c r="D256" i="9"/>
  <c r="M256" i="9"/>
  <c r="G256" i="9"/>
  <c r="M77" i="9"/>
  <c r="G77" i="9"/>
  <c r="J77" i="9"/>
  <c r="D77" i="9"/>
  <c r="D166" i="9"/>
  <c r="M166" i="9"/>
  <c r="J166" i="9"/>
  <c r="G166" i="9"/>
  <c r="J69" i="3"/>
  <c r="I69" i="3"/>
  <c r="H69" i="3"/>
  <c r="J107" i="9"/>
  <c r="D107" i="9"/>
  <c r="M107" i="9"/>
  <c r="G107" i="9"/>
  <c r="G140" i="9"/>
  <c r="D140" i="9"/>
  <c r="J140" i="9"/>
  <c r="M140" i="9"/>
  <c r="M194" i="9"/>
  <c r="J194" i="9"/>
  <c r="D194" i="9"/>
  <c r="G194" i="9"/>
  <c r="G111" i="9"/>
  <c r="J111" i="9"/>
  <c r="M111" i="9"/>
  <c r="D111" i="9"/>
  <c r="M179" i="9"/>
  <c r="D179" i="9"/>
  <c r="J179" i="9"/>
  <c r="G179" i="9"/>
  <c r="R74" i="3"/>
  <c r="P74" i="3"/>
  <c r="Q74" i="3"/>
  <c r="J259" i="9"/>
  <c r="G259" i="9"/>
  <c r="M259" i="9"/>
  <c r="D259" i="9"/>
  <c r="Q57" i="3"/>
  <c r="P57" i="3"/>
  <c r="R57" i="3"/>
  <c r="R38" i="3"/>
  <c r="Q38" i="3"/>
  <c r="P38" i="3"/>
  <c r="D161" i="9"/>
  <c r="M161" i="9"/>
  <c r="J161" i="9"/>
  <c r="G161" i="9"/>
  <c r="O92" i="9"/>
  <c r="N92" i="9" s="1"/>
  <c r="M4" i="9" s="1"/>
  <c r="G188" i="9"/>
  <c r="J188" i="9"/>
  <c r="M188" i="9"/>
  <c r="D188" i="9"/>
  <c r="G198" i="9"/>
  <c r="J198" i="9"/>
  <c r="D198" i="9"/>
  <c r="M198" i="9"/>
  <c r="J160" i="9"/>
  <c r="M160" i="9"/>
  <c r="G160" i="9"/>
  <c r="D160" i="9"/>
  <c r="D276" i="9"/>
  <c r="J276" i="9"/>
  <c r="M276" i="9"/>
  <c r="G276" i="9"/>
  <c r="L6" i="3"/>
  <c r="N6" i="3"/>
  <c r="M6" i="3"/>
  <c r="N18" i="3"/>
  <c r="L18" i="3"/>
  <c r="M18" i="3"/>
  <c r="Q50" i="3"/>
  <c r="P50" i="3"/>
  <c r="R50" i="3"/>
  <c r="J229" i="9"/>
  <c r="D229" i="9"/>
  <c r="M229" i="9"/>
  <c r="G229" i="9"/>
  <c r="I206" i="9"/>
  <c r="H206" i="9" s="1"/>
  <c r="G8" i="9" s="1"/>
  <c r="D36" i="9"/>
  <c r="G36" i="9"/>
  <c r="J36" i="9"/>
  <c r="M36" i="9"/>
  <c r="M159" i="9"/>
  <c r="G159" i="9"/>
  <c r="D159" i="9"/>
  <c r="J159" i="9"/>
  <c r="L74" i="3"/>
  <c r="N74" i="3"/>
  <c r="M74" i="3"/>
  <c r="I33" i="3"/>
  <c r="J33" i="3"/>
  <c r="H33" i="3"/>
  <c r="L73" i="3"/>
  <c r="M73" i="3"/>
  <c r="N73" i="3"/>
  <c r="L130" i="9"/>
  <c r="K130" i="9" s="1"/>
  <c r="J6" i="9" s="1"/>
  <c r="M48" i="9"/>
  <c r="J48" i="9"/>
  <c r="D48" i="9"/>
  <c r="G48" i="9"/>
  <c r="M69" i="9"/>
  <c r="J69" i="9"/>
  <c r="D69" i="9"/>
  <c r="G69" i="9"/>
  <c r="G62" i="9"/>
  <c r="M62" i="9"/>
  <c r="J62" i="9"/>
  <c r="D62" i="9"/>
  <c r="M46" i="9"/>
  <c r="G46" i="9"/>
  <c r="D46" i="9"/>
  <c r="J46" i="9"/>
  <c r="O206" i="9"/>
  <c r="N206" i="9" s="1"/>
  <c r="M8" i="9" s="1"/>
  <c r="J50" i="3"/>
  <c r="H50" i="3"/>
  <c r="I50" i="3"/>
  <c r="J56" i="3"/>
  <c r="H56" i="3"/>
  <c r="I56" i="3"/>
  <c r="M32" i="9"/>
  <c r="G32" i="9"/>
  <c r="J32" i="9"/>
  <c r="D32" i="9"/>
  <c r="G54" i="9" l="1"/>
  <c r="G168" i="9"/>
  <c r="G244" i="9"/>
  <c r="J282" i="9"/>
  <c r="J206" i="9"/>
  <c r="M92" i="9"/>
  <c r="D54" i="9"/>
  <c r="M168" i="9"/>
  <c r="J244" i="9"/>
  <c r="G282" i="9"/>
  <c r="M282" i="9"/>
  <c r="J92" i="9"/>
  <c r="G92" i="9"/>
  <c r="J130" i="9"/>
  <c r="M130" i="9"/>
  <c r="M54" i="9"/>
  <c r="J168" i="9"/>
  <c r="D244" i="9"/>
  <c r="D206" i="9"/>
  <c r="M206" i="9"/>
  <c r="E54" i="9"/>
  <c r="D16" i="9" s="1"/>
  <c r="B12" i="9" s="1"/>
  <c r="B10" i="9"/>
  <c r="B9" i="9"/>
  <c r="D130" i="9"/>
  <c r="J54" i="9"/>
  <c r="D168" i="9"/>
  <c r="M244" i="9"/>
  <c r="D282" i="9"/>
  <c r="G206" i="9"/>
  <c r="D92" i="9"/>
  <c r="G130" i="9"/>
  <c r="B14" i="9" l="1"/>
  <c r="B8" i="9"/>
  <c r="B13" i="9"/>
  <c r="B6" i="9"/>
  <c r="B16" i="9"/>
  <c r="B11" i="9"/>
  <c r="B3" i="9"/>
  <c r="B15" i="9"/>
  <c r="B7" i="9"/>
  <c r="B5" i="9"/>
  <c r="B4" i="9"/>
</calcChain>
</file>

<file path=xl/sharedStrings.xml><?xml version="1.0" encoding="utf-8"?>
<sst xmlns="http://schemas.openxmlformats.org/spreadsheetml/2006/main" count="5103" uniqueCount="404">
  <si>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</si>
  <si>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</si>
  <si>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</si>
  <si>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</si>
  <si>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</si>
  <si>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</si>
  <si>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</si>
  <si>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</si>
  <si>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</si>
  <si>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</si>
  <si>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</si>
  <si>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</si>
  <si>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</si>
  <si>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</si>
  <si>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</si>
  <si>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</si>
  <si>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</si>
  <si>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</si>
  <si>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</si>
  <si>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</si>
  <si>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</si>
  <si>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</si>
  <si>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</si>
  <si>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</si>
  <si>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</si>
  <si>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</si>
  <si>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</si>
  <si>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</si>
  <si>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</si>
  <si>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</si>
  <si>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</si>
  <si>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</si>
  <si>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</si>
  <si>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</si>
  <si>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</si>
  <si>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</si>
  <si>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</si>
  <si>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</si>
  <si>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</si>
  <si>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</si>
  <si>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</si>
  <si>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</si>
  <si>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</si>
  <si>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</si>
  <si>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</si>
  <si>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</si>
  <si>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</si>
  <si>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</si>
  <si>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</si>
  <si>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</si>
  <si>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</si>
  <si>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</si>
  <si>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</si>
  <si>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</si>
  <si>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</si>
  <si>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</si>
  <si>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</si>
  <si>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</si>
  <si>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</si>
  <si>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</si>
  <si>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</si>
  <si>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</si>
  <si>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</si>
  <si>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</si>
  <si>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</si>
  <si>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</si>
  <si>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</si>
  <si>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</si>
  <si>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</si>
  <si>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</si>
  <si>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</si>
  <si>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</si>
  <si>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</si>
  <si>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</si>
  <si>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</si>
  <si>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</si>
  <si>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</si>
  <si>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</si>
  <si>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</si>
  <si>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</si>
  <si>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</si>
  <si>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</si>
  <si>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</si>
  <si>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</si>
  <si>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</si>
  <si>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</si>
  <si>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</si>
  <si>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</si>
  <si>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</si>
  <si>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</si>
  <si>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</si>
  <si>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</si>
  <si>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</si>
  <si>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</si>
  <si>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</si>
  <si>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</si>
  <si>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</si>
  <si>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</si>
  <si>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</si>
  <si>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</si>
  <si>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</si>
  <si>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</si>
  <si>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</si>
  <si>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</si>
  <si>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</si>
  <si>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</si>
  <si>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</si>
  <si>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</si>
  <si>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</si>
  <si>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</si>
  <si>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</si>
  <si>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</si>
  <si>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</si>
  <si>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</si>
  <si>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</si>
  <si>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</si>
  <si>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</si>
  <si>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</si>
  <si>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</si>
  <si>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</si>
  <si>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</si>
  <si>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</si>
  <si>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</si>
  <si>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</si>
  <si>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</si>
  <si>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</si>
  <si>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</si>
  <si>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</si>
  <si>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</si>
  <si>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</si>
  <si>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</si>
  <si>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</si>
  <si>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</si>
  <si>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</si>
  <si>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</si>
  <si>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</si>
  <si>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</si>
  <si>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</si>
  <si>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</si>
  <si>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</si>
  <si>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</si>
  <si>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</si>
  <si>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</si>
  <si>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</si>
  <si>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</si>
  <si>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</si>
  <si>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</si>
  <si>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</si>
  <si>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</si>
  <si>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</si>
  <si>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</si>
  <si>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</si>
  <si>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</si>
  <si>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</si>
  <si>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</si>
  <si>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</si>
  <si>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</si>
  <si>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</si>
  <si>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</si>
  <si>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</si>
  <si>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</si>
  <si>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</si>
  <si>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</si>
  <si>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</si>
  <si>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</si>
  <si>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</si>
  <si>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</si>
  <si>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</si>
  <si>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</si>
  <si>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</si>
  <si>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</si>
  <si>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</si>
  <si>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</si>
  <si>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</si>
  <si>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</si>
  <si>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</si>
  <si>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</si>
  <si>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</si>
  <si>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</si>
  <si>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</si>
  <si>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</si>
  <si>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</si>
  <si>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</si>
  <si>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</si>
  <si>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</si>
  <si>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</si>
  <si>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</si>
  <si>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</si>
  <si>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</si>
  <si>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</si>
  <si>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</si>
  <si>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</si>
  <si>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</si>
  <si>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</si>
  <si>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</si>
  <si>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</si>
  <si>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</si>
  <si>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</si>
  <si>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</si>
  <si>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</si>
  <si>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</si>
  <si>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</si>
  <si>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</si>
  <si>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</si>
  <si>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</si>
  <si>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</si>
  <si>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</si>
  <si>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</si>
  <si>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</si>
  <si>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</si>
  <si>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</si>
  <si>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</si>
  <si>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</si>
  <si>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</si>
  <si>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</si>
  <si>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</si>
  <si>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</si>
  <si>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</si>
  <si>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</si>
  <si>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</si>
  <si>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</si>
  <si>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</si>
  <si>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</si>
  <si>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</si>
  <si>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</si>
  <si>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</si>
  <si>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</si>
  <si>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</si>
  <si>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</si>
  <si>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</si>
  <si>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</si>
  <si>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</si>
  <si>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</si>
  <si>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</si>
  <si>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</si>
  <si>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</si>
  <si>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</si>
  <si>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</si>
  <si>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</si>
  <si>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</si>
  <si>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</si>
  <si>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</si>
  <si>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</si>
  <si>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</si>
  <si>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</si>
  <si>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</si>
  <si>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</si>
  <si>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</si>
  <si>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</si>
  <si>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</si>
  <si>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</si>
  <si>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</si>
  <si>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</si>
  <si>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</si>
  <si>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</si>
  <si>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</si>
  <si>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</si>
  <si>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</si>
  <si>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</si>
  <si>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</si>
  <si>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</si>
  <si>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</si>
  <si>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</si>
  <si>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</si>
  <si>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</si>
  <si>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</si>
  <si>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</si>
  <si>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</si>
  <si>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</si>
  <si>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</si>
  <si>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</si>
  <si>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</si>
  <si>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</si>
  <si>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</si>
  <si>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</si>
  <si>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</si>
  <si>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</si>
  <si>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</si>
  <si>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</si>
  <si>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</si>
  <si>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</si>
  <si>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</si>
  <si>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</si>
  <si>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</si>
  <si>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</si>
  <si>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</si>
  <si>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</si>
  <si>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</si>
  <si>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</si>
  <si>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</si>
  <si>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</si>
  <si>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</si>
  <si>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</si>
  <si>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</si>
  <si>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</si>
  <si>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</si>
  <si>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</si>
  <si>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</si>
  <si>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</si>
  <si>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</si>
  <si>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</si>
  <si>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</si>
  <si>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</si>
  <si>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</si>
  <si>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</si>
  <si>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</si>
  <si>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</si>
  <si>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</si>
  <si>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</si>
  <si>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</si>
  <si>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</si>
  <si>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</si>
  <si>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</si>
  <si>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</si>
  <si>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</si>
  <si>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</si>
  <si>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</si>
  <si>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</si>
  <si>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</si>
  <si>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</si>
  <si>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</si>
  <si>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</si>
  <si>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</si>
  <si>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</si>
  <si>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</si>
  <si>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</si>
  <si>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</si>
  <si>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</si>
  <si>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</si>
  <si>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</si>
  <si>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</si>
  <si>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</si>
  <si>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</si>
  <si>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</si>
  <si>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</si>
  <si>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</si>
  <si>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</si>
  <si>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</si>
  <si>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</si>
  <si>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</si>
  <si>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</si>
  <si>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</si>
  <si>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</si>
  <si>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</si>
  <si>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</si>
  <si>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</si>
  <si>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</si>
  <si>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</si>
  <si>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</si>
  <si>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</si>
  <si>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</si>
  <si>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</si>
  <si>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</si>
  <si>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</si>
  <si>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</si>
  <si>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</si>
  <si>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</si>
  <si>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</si>
  <si>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</si>
  <si>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</si>
  <si>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</si>
  <si>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</si>
  <si>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</si>
  <si>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</si>
  <si>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</si>
  <si>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</si>
  <si>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</si>
  <si>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</si>
  <si>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</si>
  <si>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</si>
  <si>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</si>
  <si>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</si>
  <si>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</si>
  <si>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</si>
  <si>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</si>
  <si>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</si>
  <si>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</si>
  <si>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</si>
  <si>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</si>
  <si>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</si>
  <si>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</si>
  <si>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</si>
  <si>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</si>
  <si>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</si>
  <si>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</si>
  <si>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</si>
  <si>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</si>
  <si>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</si>
  <si>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</si>
  <si>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</si>
  <si>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</si>
  <si>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</si>
  <si>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</si>
  <si>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</si>
  <si>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</si>
  <si>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</si>
  <si>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</si>
  <si>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</si>
  <si>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</si>
  <si>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</si>
  <si>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</si>
  <si>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</si>
  <si>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</si>
  <si>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2021.05.10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</si>
</sst>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75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3" fillId="0" borderId="1" xfId="0" applyNumberFormat="1" applyFont="1" applyBorder="1" applyAlignment="1">
      <alignment vertical="center"/>
    </xf>
    <xf numFmtId="180" fontId="3" fillId="0" borderId="3" xfId="0" applyNumberFormat="1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38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44287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" t="s">
        <v>3</v>
      </c>
      <c r="B2" s="199" t="s">
        <v>4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5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4" t="s">
        <v>7</v>
      </c>
      <c r="B3" s="205" t="s">
        <v>8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9"/>
      <c r="I3" s="210"/>
      <c r="J3" s="4" t="s">
        <v>7</v>
      </c>
      <c r="K3" s="205" t="s">
        <v>9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05" t="s">
        <v>12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13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05" t="s">
        <v>16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9"/>
      <c r="I5" s="210"/>
      <c r="J5" s="4" t="s">
        <v>15</v>
      </c>
      <c r="K5" s="205" t="s">
        <v>17</v>
      </c>
      <c r="L5" s="206"/>
      <c r="M5" s="206"/>
      <c r="N5" s="206"/>
      <c r="O5" s="207"/>
    </row>
    <row r="6" spans="1:19">
      <c r="A6" s="4" t="s">
        <v>18</v>
      </c>
      <c r="B6" s="205" t="s">
        <v>19</v>
      </c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20</v>
      </c>
      <c r="L6" s="206"/>
      <c r="M6" s="206"/>
      <c r="N6" s="206"/>
      <c r="O6" s="207"/>
    </row>
    <row r="7" spans="1:19" ht="17.25" thickBot="1">
      <c r="A7" s="4" t="s">
        <v>21</v>
      </c>
      <c r="B7" s="205" t="s">
        <v>22</v>
      </c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9"/>
      <c r="I7" s="210"/>
      <c r="J7" s="4" t="s">
        <v>21</v>
      </c>
      <c r="K7" s="205" t="s">
        <v>23</v>
      </c>
      <c r="L7" s="206"/>
      <c r="M7" s="206"/>
      <c r="N7" s="206"/>
      <c r="O7" s="207"/>
    </row>
    <row r="8" spans="1:19" ht="17.25" thickBot="1">
      <c r="A8" s="4" t="s">
        <v>24</v>
      </c>
      <c r="B8" s="205" t="s">
        <v>25</v>
      </c>
      <c r="C8" s="206"/>
      <c r="D8" s="206"/>
      <c r="E8" s="206"/>
      <c r="F8" s="207"/>
      <c r="G8" s="202" t="s">
        <v>285</v>
      </c>
      <c r="H8" s="203"/>
      <c r="I8" s="204"/>
      <c r="J8" s="4" t="s">
        <v>24</v>
      </c>
      <c r="K8" s="205" t="s">
        <v>26</v>
      </c>
      <c r="L8" s="206"/>
      <c r="M8" s="206"/>
      <c r="N8" s="206"/>
      <c r="O8" s="207"/>
      <c r="Q8" s="193" t="s">
        <v>27</v>
      </c>
      <c r="R8" s="195"/>
    </row>
    <row r="9" spans="1:19" ht="17.25" thickBot="1">
      <c r="A9" s="4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9"/>
      <c r="I9" s="210"/>
      <c r="J9" s="4" t="s">
        <v>28</v>
      </c>
      <c r="K9" s="205" t="s">
        <v>293</v>
      </c>
      <c r="L9" s="206"/>
      <c r="M9" s="206"/>
      <c r="N9" s="206"/>
      <c r="O9" s="207"/>
      <c r="Q9" s="2" t="s">
        <v>29</v>
      </c>
      <c r="R9" s="6">
        <v>10</v>
      </c>
    </row>
    <row r="10" spans="1:19">
      <c r="A10" s="4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/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7" t="s">
        <v>32</v>
      </c>
      <c r="B11" s="211"/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11"/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11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72158000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9.1322285000000007E-3</v>
      </c>
      <c r="N14" s="224"/>
      <c r="O14" s="225"/>
      <c r="Q14" s="214"/>
      <c r="R14" s="214"/>
      <c r="S14" s="214"/>
    </row>
    <row r="15" spans="1:19" ht="17.25" customHeight="1" thickBot="1">
      <c r="A15" s="215" t="s">
        <v>39</v>
      </c>
      <c r="B15" s="226" t="str">
        <f>TEXT($G$1, "[$-ko-KR]yyyy-mm-dd(ddd) ") &amp; "오전 00:00"</f>
        <v>2021-04-01(목) 오전 00:00</v>
      </c>
      <c r="C15" s="227"/>
      <c r="D15" s="216" t="str">
        <f>TEXT($G$1, "[$-ko-KR]yyyy-mm-dd(ddd) ") &amp; "오후 14:00"</f>
        <v>2021-04-01(목) 오후 14:00</v>
      </c>
      <c r="E15" s="217"/>
      <c r="F15" s="218"/>
      <c r="G15" s="216" t="str">
        <f>TEXT($G$1, "[$-ko-KR]yyyy-mm-dd(ddd) ") &amp; "오후 19:00"</f>
        <v>2021-04-01(목) 오후 19:00</v>
      </c>
      <c r="H15" s="217"/>
      <c r="I15" s="218"/>
      <c r="J15" s="216" t="str">
        <f>TEXT($G$1, "[$-ko-KR]yyyy-mm-dd(ddd) ") &amp; "오후 21:00"</f>
        <v>2021-04-01(목) 오후 21:00</v>
      </c>
      <c r="K15" s="217"/>
      <c r="L15" s="218"/>
      <c r="M15" s="216" t="str">
        <f>TEXT($G$1+1, "[$-ko-KR]yyyy-mm-dd(ddd) ") &amp; "오전 00:00"</f>
        <v>2021-04-02(금) 오전 00:00</v>
      </c>
      <c r="N15" s="217"/>
      <c r="O15" s="218"/>
      <c r="Q15" s="214"/>
      <c r="R15" s="214"/>
      <c r="S15" s="214"/>
    </row>
    <row r="16" spans="1:19" ht="17.25" customHeight="1" thickBot="1">
      <c r="A16" s="21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26" t="s">
        <v>42</v>
      </c>
      <c r="B37" s="250">
        <v>300000</v>
      </c>
      <c r="C37" s="25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11" t="s">
        <v>298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72158000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9.1322285000000007E-3</v>
      </c>
      <c r="N41" s="224"/>
      <c r="O41" s="225"/>
      <c r="Q41" s="214"/>
      <c r="R41" s="214"/>
      <c r="S41" s="214"/>
    </row>
    <row r="42" spans="1:19" ht="17.25" customHeight="1" thickBot="1">
      <c r="A42" s="237" t="s">
        <v>55</v>
      </c>
      <c r="B42" s="239" t="str">
        <f>TEXT($G$1, "[$-ko-KR]yyyy-mm-dd(ddd) ") &amp; "오전 00:00"</f>
        <v>2021-04-01(목) 오전 00:00</v>
      </c>
      <c r="C42" s="240"/>
      <c r="D42" s="216" t="str">
        <f>TEXT($G$1, "[$-ko-KR]yyyy-mm-dd(ddd) ") &amp; "오후 14:00"</f>
        <v>2021-04-01(목) 오후 14:00</v>
      </c>
      <c r="E42" s="217"/>
      <c r="F42" s="218"/>
      <c r="G42" s="216" t="str">
        <f>TEXT($G$1, "[$-ko-KR]yyyy-mm-dd(ddd) ") &amp; "오후 19:00"</f>
        <v>2021-04-01(목) 오후 19:00</v>
      </c>
      <c r="H42" s="217"/>
      <c r="I42" s="218"/>
      <c r="J42" s="216" t="str">
        <f>TEXT($G$1, "[$-ko-KR]yyyy-mm-dd(ddd) ") &amp; "오후 21:00"</f>
        <v>2021-04-01(목) 오후 21:00</v>
      </c>
      <c r="K42" s="217"/>
      <c r="L42" s="218"/>
      <c r="M42" s="216" t="str">
        <f>TEXT($G$1+1, "[$-ko-KR]yyyy-mm-dd(ddd) ") &amp; "오전 00:00"</f>
        <v>2021-04-02(금) 오전 00:00</v>
      </c>
      <c r="N42" s="217"/>
      <c r="O42" s="218"/>
      <c r="Q42" s="214"/>
      <c r="R42" s="214"/>
      <c r="S42" s="214"/>
    </row>
    <row r="43" spans="1:19" ht="17.25" customHeight="1" thickBot="1">
      <c r="A43" s="238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219"/>
      <c r="R43" s="219"/>
      <c r="S43" s="219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4"/>
      <c r="R44" s="214"/>
      <c r="S44" s="21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4"/>
      <c r="R45" s="214"/>
      <c r="S45" s="21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9"/>
      <c r="R46" s="219"/>
      <c r="S46" s="219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9"/>
      <c r="R47" s="219"/>
      <c r="S47" s="219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9"/>
      <c r="R48" s="219"/>
      <c r="S48" s="219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9"/>
      <c r="R49" s="219"/>
      <c r="S49" s="219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9"/>
      <c r="R50" s="219"/>
      <c r="S50" s="219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9"/>
      <c r="R51" s="219"/>
      <c r="S51" s="219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8"/>
      <c r="R53" s="229"/>
      <c r="S53" s="230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1"/>
      <c r="R54" s="232"/>
      <c r="S54" s="233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4"/>
      <c r="R55" s="235"/>
      <c r="S55" s="236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9"/>
      <c r="R56" s="219"/>
      <c r="S56" s="219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4"/>
      <c r="R57" s="214"/>
      <c r="S57" s="21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4"/>
      <c r="R58" s="214"/>
      <c r="S58" s="214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9"/>
      <c r="R59" s="219"/>
      <c r="S59" s="219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9"/>
      <c r="R60" s="219"/>
      <c r="S60" s="219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9"/>
      <c r="R61" s="219"/>
      <c r="S61" s="219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26" t="s">
        <v>301</v>
      </c>
      <c r="B64" s="250">
        <f>$B$37</f>
        <v>300000</v>
      </c>
      <c r="C64" s="251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11" t="s">
        <v>298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72158000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9.1322285000000007E-3</v>
      </c>
      <c r="N68" s="224"/>
      <c r="O68" s="225"/>
      <c r="Q68" s="214"/>
      <c r="R68" s="214"/>
      <c r="S68" s="214"/>
    </row>
    <row r="69" spans="1:19" ht="17.25" thickBot="1">
      <c r="A69" s="237" t="s">
        <v>55</v>
      </c>
      <c r="B69" s="239" t="str">
        <f>TEXT($G$1, "[$-ko-KR]yyyy-mm-dd(ddd) ") &amp; "오전 00:00"</f>
        <v>2021-04-01(목) 오전 00:00</v>
      </c>
      <c r="C69" s="240"/>
      <c r="D69" s="216" t="str">
        <f>TEXT($G$1, "[$-ko-KR]yyyy-mm-dd(ddd) ") &amp; "오후 14:00"</f>
        <v>2021-04-01(목) 오후 14:00</v>
      </c>
      <c r="E69" s="217"/>
      <c r="F69" s="218"/>
      <c r="G69" s="216" t="str">
        <f>TEXT($G$1, "[$-ko-KR]yyyy-mm-dd(ddd) ") &amp; "오후 19:00"</f>
        <v>2021-04-01(목) 오후 19:00</v>
      </c>
      <c r="H69" s="217"/>
      <c r="I69" s="218"/>
      <c r="J69" s="216" t="str">
        <f>TEXT($G$1, "[$-ko-KR]yyyy-mm-dd(ddd) ") &amp; "오후 21:00"</f>
        <v>2021-04-01(목) 오후 21:00</v>
      </c>
      <c r="K69" s="217"/>
      <c r="L69" s="218"/>
      <c r="M69" s="216" t="str">
        <f>TEXT($G$1+1, "[$-ko-KR]yyyy-mm-dd(ddd) ") &amp; "오전 00:00"</f>
        <v>2021-04-02(금) 오전 00:00</v>
      </c>
      <c r="N69" s="217"/>
      <c r="O69" s="218"/>
      <c r="Q69" s="214"/>
      <c r="R69" s="214"/>
      <c r="S69" s="214"/>
    </row>
    <row r="70" spans="1:19" ht="17.25" thickBot="1">
      <c r="A70" s="238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219"/>
      <c r="R70" s="219"/>
      <c r="S70" s="219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4"/>
      <c r="R71" s="214"/>
      <c r="S71" s="21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4"/>
      <c r="R72" s="214"/>
      <c r="S72" s="21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9"/>
      <c r="R73" s="219"/>
      <c r="S73" s="219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9"/>
      <c r="R74" s="219"/>
      <c r="S74" s="219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9"/>
      <c r="R75" s="219"/>
      <c r="S75" s="219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9"/>
      <c r="R76" s="219"/>
      <c r="S76" s="219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9"/>
      <c r="R77" s="219"/>
      <c r="S77" s="219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9"/>
      <c r="R78" s="219"/>
      <c r="S78" s="219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8"/>
      <c r="R80" s="229"/>
      <c r="S80" s="230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1"/>
      <c r="R81" s="232"/>
      <c r="S81" s="233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4"/>
      <c r="R82" s="235"/>
      <c r="S82" s="236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9"/>
      <c r="R83" s="219"/>
      <c r="S83" s="219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4"/>
      <c r="R84" s="214"/>
      <c r="S84" s="21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4"/>
      <c r="R85" s="214"/>
      <c r="S85" s="214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9"/>
      <c r="R86" s="219"/>
      <c r="S86" s="219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9"/>
      <c r="R87" s="219"/>
      <c r="S87" s="219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9"/>
      <c r="R88" s="219"/>
      <c r="S88" s="219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1"/>
      <c r="R89" s="242"/>
      <c r="S89" s="24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4"/>
      <c r="R90" s="245"/>
      <c r="S90" s="246"/>
    </row>
    <row r="91" spans="1:19" ht="17.25" thickBot="1">
      <c r="A91" s="26" t="s">
        <v>301</v>
      </c>
      <c r="B91" s="250">
        <f>$B$37</f>
        <v>300000</v>
      </c>
      <c r="C91" s="251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11" t="s">
        <v>298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72158000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9.1322285000000007E-3</v>
      </c>
      <c r="N95" s="224"/>
      <c r="O95" s="225"/>
      <c r="Q95" s="214"/>
      <c r="R95" s="214"/>
      <c r="S95" s="214"/>
    </row>
    <row r="96" spans="1:19" ht="17.25" thickBot="1">
      <c r="A96" s="237" t="s">
        <v>55</v>
      </c>
      <c r="B96" s="239" t="str">
        <f>TEXT($G$1, "[$-ko-KR]yyyy-mm-dd(ddd) ") &amp; "오전 00:00"</f>
        <v>2021-04-01(목) 오전 00:00</v>
      </c>
      <c r="C96" s="240"/>
      <c r="D96" s="216" t="str">
        <f>TEXT($G$1, "[$-ko-KR]yyyy-mm-dd(ddd) ") &amp; "오후 14:00"</f>
        <v>2021-04-01(목) 오후 14:00</v>
      </c>
      <c r="E96" s="217"/>
      <c r="F96" s="218"/>
      <c r="G96" s="216" t="str">
        <f>TEXT($G$1, "[$-ko-KR]yyyy-mm-dd(ddd) ") &amp; "오후 19:00"</f>
        <v>2021-04-01(목) 오후 19:00</v>
      </c>
      <c r="H96" s="217"/>
      <c r="I96" s="218"/>
      <c r="J96" s="216" t="str">
        <f>TEXT($G$1, "[$-ko-KR]yyyy-mm-dd(ddd) ") &amp; "오후 21:00"</f>
        <v>2021-04-01(목) 오후 21:00</v>
      </c>
      <c r="K96" s="217"/>
      <c r="L96" s="218"/>
      <c r="M96" s="216" t="str">
        <f>TEXT($G$1+1, "[$-ko-KR]yyyy-mm-dd(ddd) ") &amp; "오전 00:00"</f>
        <v>2021-04-02(금) 오전 00:00</v>
      </c>
      <c r="N96" s="217"/>
      <c r="O96" s="218"/>
      <c r="Q96" s="214"/>
      <c r="R96" s="214"/>
      <c r="S96" s="214"/>
    </row>
    <row r="97" spans="1:19" ht="17.25" thickBot="1">
      <c r="A97" s="238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219"/>
      <c r="R97" s="219"/>
      <c r="S97" s="219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4"/>
      <c r="R98" s="214"/>
      <c r="S98" s="21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4"/>
      <c r="R99" s="214"/>
      <c r="S99" s="21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9"/>
      <c r="R100" s="219"/>
      <c r="S100" s="219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9"/>
      <c r="R101" s="219"/>
      <c r="S101" s="219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9"/>
      <c r="R102" s="219"/>
      <c r="S102" s="219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9"/>
      <c r="R103" s="219"/>
      <c r="S103" s="219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9"/>
      <c r="R104" s="219"/>
      <c r="S104" s="219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9"/>
      <c r="R105" s="219"/>
      <c r="S105" s="219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8"/>
      <c r="R107" s="229"/>
      <c r="S107" s="230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1"/>
      <c r="R108" s="232"/>
      <c r="S108" s="233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4"/>
      <c r="R109" s="235"/>
      <c r="S109" s="236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9"/>
      <c r="R110" s="219"/>
      <c r="S110" s="219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4"/>
      <c r="R111" s="214"/>
      <c r="S111" s="21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4"/>
      <c r="R112" s="214"/>
      <c r="S112" s="214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9"/>
      <c r="R113" s="219"/>
      <c r="S113" s="219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9"/>
      <c r="R114" s="219"/>
      <c r="S114" s="219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9"/>
      <c r="R115" s="219"/>
      <c r="S115" s="219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1"/>
      <c r="R116" s="242"/>
      <c r="S116" s="24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4"/>
      <c r="R117" s="245"/>
      <c r="S117" s="246"/>
    </row>
    <row r="118" spans="1:19" ht="17.25" thickBot="1">
      <c r="A118" s="26" t="s">
        <v>301</v>
      </c>
      <c r="B118" s="250">
        <f>$B$37</f>
        <v>300000</v>
      </c>
      <c r="C118" s="251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47"/>
      <c r="R118" s="248"/>
      <c r="S118" s="249"/>
    </row>
    <row r="120" spans="1:19" ht="17.25" thickBot="1"/>
    <row r="121" spans="1:19" ht="17.25" thickBot="1">
      <c r="A121" s="193" t="s">
        <v>288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11" t="s">
        <v>298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72158000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9.1322285000000007E-3</v>
      </c>
      <c r="N122" s="224"/>
      <c r="O122" s="225"/>
      <c r="Q122" s="214"/>
      <c r="R122" s="214"/>
      <c r="S122" s="214"/>
    </row>
    <row r="123" spans="1:19" ht="17.25" thickBot="1">
      <c r="A123" s="237" t="s">
        <v>55</v>
      </c>
      <c r="B123" s="239" t="str">
        <f>TEXT($G$1, "[$-ko-KR]yyyy-mm-dd(ddd) ") &amp; "오전 00:00"</f>
        <v>2021-04-01(목) 오전 00:00</v>
      </c>
      <c r="C123" s="240"/>
      <c r="D123" s="216" t="str">
        <f>TEXT($G$1, "[$-ko-KR]yyyy-mm-dd(ddd) ") &amp; "오후 14:00"</f>
        <v>2021-04-01(목) 오후 14:00</v>
      </c>
      <c r="E123" s="217"/>
      <c r="F123" s="218"/>
      <c r="G123" s="216" t="str">
        <f>TEXT($G$1, "[$-ko-KR]yyyy-mm-dd(ddd) ") &amp; "오후 19:00"</f>
        <v>2021-04-01(목) 오후 19:00</v>
      </c>
      <c r="H123" s="217"/>
      <c r="I123" s="218"/>
      <c r="J123" s="216" t="str">
        <f>TEXT($G$1, "[$-ko-KR]yyyy-mm-dd(ddd) ") &amp; "오후 21:00"</f>
        <v>2021-04-01(목) 오후 21:00</v>
      </c>
      <c r="K123" s="217"/>
      <c r="L123" s="218"/>
      <c r="M123" s="216" t="str">
        <f>TEXT($G$1+1, "[$-ko-KR]yyyy-mm-dd(ddd) ") &amp; "오전 00:00"</f>
        <v>2021-04-02(금) 오전 00:00</v>
      </c>
      <c r="N123" s="217"/>
      <c r="O123" s="218"/>
      <c r="Q123" s="214"/>
      <c r="R123" s="214"/>
      <c r="S123" s="214"/>
    </row>
    <row r="124" spans="1:19" ht="17.25" thickBot="1">
      <c r="A124" s="238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219"/>
      <c r="R124" s="219"/>
      <c r="S124" s="219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4"/>
      <c r="R125" s="214"/>
      <c r="S125" s="21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4"/>
      <c r="R126" s="214"/>
      <c r="S126" s="21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9"/>
      <c r="R127" s="219"/>
      <c r="S127" s="219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9"/>
      <c r="R128" s="219"/>
      <c r="S128" s="219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9"/>
      <c r="R129" s="219"/>
      <c r="S129" s="219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9"/>
      <c r="R130" s="219"/>
      <c r="S130" s="219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9"/>
      <c r="R131" s="219"/>
      <c r="S131" s="219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9"/>
      <c r="R132" s="219"/>
      <c r="S132" s="219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8"/>
      <c r="R134" s="229"/>
      <c r="S134" s="230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1"/>
      <c r="R135" s="232"/>
      <c r="S135" s="233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4"/>
      <c r="R136" s="235"/>
      <c r="S136" s="236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9"/>
      <c r="R137" s="219"/>
      <c r="S137" s="219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4"/>
      <c r="R138" s="214"/>
      <c r="S138" s="21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4"/>
      <c r="R139" s="214"/>
      <c r="S139" s="214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9"/>
      <c r="R140" s="219"/>
      <c r="S140" s="219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9"/>
      <c r="R141" s="219"/>
      <c r="S141" s="219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9"/>
      <c r="R142" s="219"/>
      <c r="S142" s="219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26" t="s">
        <v>301</v>
      </c>
      <c r="B145" s="250">
        <f>$B$37</f>
        <v>300000</v>
      </c>
      <c r="C145" s="251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47"/>
      <c r="R145" s="248"/>
      <c r="S145" s="249"/>
    </row>
    <row r="147" spans="1:19" ht="17.25" thickBot="1"/>
    <row r="148" spans="1:19" ht="17.25" thickBot="1">
      <c r="A148" s="193" t="s">
        <v>289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11" t="s">
        <v>298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72158000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9.1322285000000007E-3</v>
      </c>
      <c r="N149" s="224"/>
      <c r="O149" s="225"/>
      <c r="Q149" s="214"/>
      <c r="R149" s="214"/>
      <c r="S149" s="214"/>
    </row>
    <row r="150" spans="1:19" ht="17.25" thickBot="1">
      <c r="A150" s="237" t="s">
        <v>55</v>
      </c>
      <c r="B150" s="239" t="str">
        <f>TEXT($G$1, "[$-ko-KR]yyyy-mm-dd(ddd) ") &amp; "오전 00:00"</f>
        <v>2021-04-01(목) 오전 00:00</v>
      </c>
      <c r="C150" s="240"/>
      <c r="D150" s="216" t="str">
        <f>TEXT($G$1, "[$-ko-KR]yyyy-mm-dd(ddd) ") &amp; "오후 14:00"</f>
        <v>2021-04-01(목) 오후 14:00</v>
      </c>
      <c r="E150" s="217"/>
      <c r="F150" s="218"/>
      <c r="G150" s="216" t="str">
        <f>TEXT($G$1, "[$-ko-KR]yyyy-mm-dd(ddd) ") &amp; "오후 19:00"</f>
        <v>2021-04-01(목) 오후 19:00</v>
      </c>
      <c r="H150" s="217"/>
      <c r="I150" s="218"/>
      <c r="J150" s="216" t="str">
        <f>TEXT($G$1, "[$-ko-KR]yyyy-mm-dd(ddd) ") &amp; "오후 21:00"</f>
        <v>2021-04-01(목) 오후 21:00</v>
      </c>
      <c r="K150" s="217"/>
      <c r="L150" s="218"/>
      <c r="M150" s="216" t="str">
        <f>TEXT($G$1+1, "[$-ko-KR]yyyy-mm-dd(ddd) ") &amp; "오전 00:00"</f>
        <v>2021-04-02(금) 오전 00:00</v>
      </c>
      <c r="N150" s="217"/>
      <c r="O150" s="218"/>
      <c r="Q150" s="214"/>
      <c r="R150" s="214"/>
      <c r="S150" s="214"/>
    </row>
    <row r="151" spans="1:19" ht="17.25" thickBot="1">
      <c r="A151" s="238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219"/>
      <c r="R151" s="219"/>
      <c r="S151" s="219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4"/>
      <c r="R152" s="214"/>
      <c r="S152" s="21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4"/>
      <c r="R153" s="214"/>
      <c r="S153" s="21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9"/>
      <c r="R154" s="219"/>
      <c r="S154" s="219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9"/>
      <c r="R155" s="219"/>
      <c r="S155" s="219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9"/>
      <c r="R156" s="219"/>
      <c r="S156" s="219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9"/>
      <c r="R157" s="219"/>
      <c r="S157" s="219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9"/>
      <c r="R158" s="219"/>
      <c r="S158" s="219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9"/>
      <c r="R159" s="219"/>
      <c r="S159" s="219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8"/>
      <c r="R161" s="229"/>
      <c r="S161" s="230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1"/>
      <c r="R162" s="232"/>
      <c r="S162" s="233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4"/>
      <c r="R163" s="235"/>
      <c r="S163" s="236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9"/>
      <c r="R164" s="219"/>
      <c r="S164" s="219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4"/>
      <c r="R165" s="214"/>
      <c r="S165" s="21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4"/>
      <c r="R166" s="214"/>
      <c r="S166" s="214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9"/>
      <c r="R167" s="219"/>
      <c r="S167" s="219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9"/>
      <c r="R168" s="219"/>
      <c r="S168" s="219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9"/>
      <c r="R169" s="219"/>
      <c r="S169" s="219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1"/>
      <c r="R170" s="242"/>
      <c r="S170" s="24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4"/>
      <c r="R171" s="245"/>
      <c r="S171" s="246"/>
    </row>
    <row r="172" spans="1:19" ht="17.25" thickBot="1">
      <c r="A172" s="26" t="s">
        <v>301</v>
      </c>
      <c r="B172" s="250">
        <f>$B$37</f>
        <v>300000</v>
      </c>
      <c r="C172" s="251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47"/>
      <c r="R172" s="248"/>
      <c r="S172" s="249"/>
    </row>
    <row r="174" spans="1:19" ht="17.25" thickBot="1"/>
    <row r="175" spans="1:19" ht="17.25" thickBot="1">
      <c r="A175" s="193" t="s">
        <v>285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11" t="s">
        <v>298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72158000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9.1322285000000007E-3</v>
      </c>
      <c r="N176" s="224"/>
      <c r="O176" s="225"/>
      <c r="Q176" s="214"/>
      <c r="R176" s="214"/>
      <c r="S176" s="214"/>
    </row>
    <row r="177" spans="1:19" ht="17.25" thickBot="1">
      <c r="A177" s="237" t="s">
        <v>55</v>
      </c>
      <c r="B177" s="239" t="str">
        <f>TEXT($G$1, "[$-ko-KR]yyyy-mm-dd(ddd) ") &amp; "오전 00:00"</f>
        <v>2021-04-01(목) 오전 00:00</v>
      </c>
      <c r="C177" s="240"/>
      <c r="D177" s="216" t="str">
        <f>TEXT($G$1, "[$-ko-KR]yyyy-mm-dd(ddd) ") &amp; "오후 14:00"</f>
        <v>2021-04-01(목) 오후 14:00</v>
      </c>
      <c r="E177" s="217"/>
      <c r="F177" s="218"/>
      <c r="G177" s="216" t="str">
        <f>TEXT($G$1, "[$-ko-KR]yyyy-mm-dd(ddd) ") &amp; "오후 19:00"</f>
        <v>2021-04-01(목) 오후 19:00</v>
      </c>
      <c r="H177" s="217"/>
      <c r="I177" s="218"/>
      <c r="J177" s="216" t="str">
        <f>TEXT($G$1, "[$-ko-KR]yyyy-mm-dd(ddd) ") &amp; "오후 21:00"</f>
        <v>2021-04-01(목) 오후 21:00</v>
      </c>
      <c r="K177" s="217"/>
      <c r="L177" s="218"/>
      <c r="M177" s="216" t="str">
        <f>TEXT($G$1+1, "[$-ko-KR]yyyy-mm-dd(ddd) ") &amp; "오전 00:00"</f>
        <v>2021-04-02(금) 오전 00:00</v>
      </c>
      <c r="N177" s="217"/>
      <c r="O177" s="218"/>
      <c r="Q177" s="214"/>
      <c r="R177" s="214"/>
      <c r="S177" s="214"/>
    </row>
    <row r="178" spans="1:19" ht="17.25" thickBot="1">
      <c r="A178" s="238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219"/>
      <c r="R178" s="219"/>
      <c r="S178" s="219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4"/>
      <c r="R179" s="214"/>
      <c r="S179" s="21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4"/>
      <c r="R180" s="214"/>
      <c r="S180" s="21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9"/>
      <c r="R181" s="219"/>
      <c r="S181" s="219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9"/>
      <c r="R182" s="219"/>
      <c r="S182" s="219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9"/>
      <c r="R183" s="219"/>
      <c r="S183" s="219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9"/>
      <c r="R184" s="219"/>
      <c r="S184" s="219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9"/>
      <c r="R185" s="219"/>
      <c r="S185" s="219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9"/>
      <c r="R186" s="219"/>
      <c r="S186" s="219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8"/>
      <c r="R188" s="229"/>
      <c r="S188" s="230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1"/>
      <c r="R189" s="232"/>
      <c r="S189" s="233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4"/>
      <c r="R190" s="235"/>
      <c r="S190" s="236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9"/>
      <c r="R191" s="219"/>
      <c r="S191" s="219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4"/>
      <c r="R192" s="214"/>
      <c r="S192" s="21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4"/>
      <c r="R193" s="214"/>
      <c r="S193" s="214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9"/>
      <c r="R194" s="219"/>
      <c r="S194" s="219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9"/>
      <c r="R195" s="219"/>
      <c r="S195" s="219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9"/>
      <c r="R196" s="219"/>
      <c r="S196" s="219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1"/>
      <c r="R197" s="242"/>
      <c r="S197" s="24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4"/>
      <c r="R198" s="245"/>
      <c r="S198" s="246"/>
    </row>
    <row r="199" spans="1:19" ht="17.25" thickBot="1">
      <c r="A199" s="26" t="s">
        <v>301</v>
      </c>
      <c r="B199" s="250">
        <f>$B$37</f>
        <v>300000</v>
      </c>
      <c r="C199" s="251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8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8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8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8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8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8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8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8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7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7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77" priority="157">
      <formula>AND($N17 &gt; 0, ISNUMBER($N17))</formula>
    </cfRule>
    <cfRule type="expression" dxfId="2376" priority="158">
      <formula>AND($N17 = 0 * ISNUMBER($N17))</formula>
    </cfRule>
    <cfRule type="expression" dxfId="2375" priority="159">
      <formula>AND($N17 &lt; 0, ISNUMBER($N17))</formula>
    </cfRule>
  </conditionalFormatting>
  <conditionalFormatting sqref="A17:F36">
    <cfRule type="expression" dxfId="2374" priority="166">
      <formula>AND($E17 &gt; 0, ISNUMBER($E17))</formula>
    </cfRule>
    <cfRule type="expression" dxfId="2373" priority="167">
      <formula>AND($E17 = 0 * ISNUMBER($E17))</formula>
    </cfRule>
    <cfRule type="expression" dxfId="2372" priority="168">
      <formula>AND($E17 &lt; 0, ISNUMBER($E17))</formula>
    </cfRule>
  </conditionalFormatting>
  <conditionalFormatting sqref="A17:C36 G17:I36">
    <cfRule type="expression" dxfId="2371" priority="163">
      <formula>AND($H17 &gt; 0, ISNUMBER($H17))</formula>
    </cfRule>
    <cfRule type="expression" dxfId="2370" priority="164">
      <formula>AND($H17 = 0 * ISNUMBER($H17))</formula>
    </cfRule>
    <cfRule type="expression" dxfId="2369" priority="165">
      <formula>AND($H17 &lt; 0, ISNUMBER($H17))</formula>
    </cfRule>
  </conditionalFormatting>
  <conditionalFormatting sqref="A17:C36 J17:L36">
    <cfRule type="expression" dxfId="2368" priority="160">
      <formula>AND($K17 &gt; 0, ISNUMBER($K17))</formula>
    </cfRule>
    <cfRule type="expression" dxfId="2367" priority="161">
      <formula>AND($K17 = 0 * ISNUMBER($K17))</formula>
    </cfRule>
    <cfRule type="expression" dxfId="2366" priority="162">
      <formula>AND($K17 &lt; 0, ISNUMBER($K17))</formula>
    </cfRule>
  </conditionalFormatting>
  <conditionalFormatting sqref="D15:F16 E37:F37">
    <cfRule type="expression" dxfId="2365" priority="154">
      <formula>$E$37 &gt; 0</formula>
    </cfRule>
    <cfRule type="expression" dxfId="2364" priority="155">
      <formula>$E$37 = 0</formula>
    </cfRule>
    <cfRule type="expression" dxfId="2363" priority="156">
      <formula>$E$37 &lt; 0</formula>
    </cfRule>
  </conditionalFormatting>
  <conditionalFormatting sqref="G15:I16 H37:I37">
    <cfRule type="expression" dxfId="2362" priority="151">
      <formula>$H$37 &gt; 0</formula>
    </cfRule>
    <cfRule type="expression" dxfId="2361" priority="152">
      <formula>$H$37 = 0</formula>
    </cfRule>
    <cfRule type="expression" dxfId="2360" priority="153">
      <formula>$H$37 &lt; 0</formula>
    </cfRule>
  </conditionalFormatting>
  <conditionalFormatting sqref="J15:L16 K37:L37">
    <cfRule type="expression" dxfId="2359" priority="148">
      <formula>$K$37 &gt; 0</formula>
    </cfRule>
    <cfRule type="expression" dxfId="2358" priority="149">
      <formula>$K$37 = 0</formula>
    </cfRule>
    <cfRule type="expression" dxfId="2357" priority="150">
      <formula>$K$37 &lt; 0</formula>
    </cfRule>
  </conditionalFormatting>
  <conditionalFormatting sqref="M15:O16 N37:O37">
    <cfRule type="expression" dxfId="2356" priority="145">
      <formula>$N$37 &gt; 0</formula>
    </cfRule>
    <cfRule type="expression" dxfId="2355" priority="146">
      <formula>$N$37 = 0</formula>
    </cfRule>
    <cfRule type="expression" dxfId="2354" priority="147">
      <formula>$N$37 &lt; 0</formula>
    </cfRule>
  </conditionalFormatting>
  <conditionalFormatting sqref="A44:C63 M44:O63">
    <cfRule type="expression" dxfId="2353" priority="133">
      <formula>AND($N44 &gt; 0, ISNUMBER($N44))</formula>
    </cfRule>
    <cfRule type="expression" dxfId="2352" priority="134">
      <formula>AND($N44 = 0 * ISNUMBER($N44))</formula>
    </cfRule>
    <cfRule type="expression" dxfId="2351" priority="135">
      <formula>AND($N44 &lt; 0, ISNUMBER($N44))</formula>
    </cfRule>
  </conditionalFormatting>
  <conditionalFormatting sqref="A44:F63">
    <cfRule type="expression" dxfId="2350" priority="142">
      <formula>AND($E44 &gt; 0, ISNUMBER($E44))</formula>
    </cfRule>
    <cfRule type="expression" dxfId="2349" priority="143">
      <formula>AND($E44 = 0 * ISNUMBER($E44))</formula>
    </cfRule>
    <cfRule type="expression" dxfId="2348" priority="144">
      <formula>AND($E44 &lt; 0, ISNUMBER($E44))</formula>
    </cfRule>
  </conditionalFormatting>
  <conditionalFormatting sqref="A44:C63 G44:I63">
    <cfRule type="expression" dxfId="2347" priority="139">
      <formula>AND($H44 &gt; 0, ISNUMBER($H44))</formula>
    </cfRule>
    <cfRule type="expression" dxfId="2346" priority="140">
      <formula>AND($H44 = 0 * ISNUMBER($H44))</formula>
    </cfRule>
    <cfRule type="expression" dxfId="2345" priority="141">
      <formula>AND($H44 &lt; 0, ISNUMBER($H44))</formula>
    </cfRule>
  </conditionalFormatting>
  <conditionalFormatting sqref="A44:C63 J44:L63">
    <cfRule type="expression" dxfId="2344" priority="136">
      <formula>AND($K44 &gt; 0, ISNUMBER($K44))</formula>
    </cfRule>
    <cfRule type="expression" dxfId="2343" priority="137">
      <formula>AND($K44 = 0 * ISNUMBER($K44))</formula>
    </cfRule>
    <cfRule type="expression" dxfId="2342" priority="138">
      <formula>AND($K44 &lt; 0, ISNUMBER($K44))</formula>
    </cfRule>
  </conditionalFormatting>
  <conditionalFormatting sqref="D42:F43 E64:F64">
    <cfRule type="expression" dxfId="2341" priority="130">
      <formula>$E$64 &gt; 0</formula>
    </cfRule>
    <cfRule type="expression" dxfId="2340" priority="131">
      <formula>$E$64 = 0</formula>
    </cfRule>
    <cfRule type="expression" dxfId="2339" priority="132">
      <formula>$E$64 &lt; 0</formula>
    </cfRule>
  </conditionalFormatting>
  <conditionalFormatting sqref="G42:I43 H64:I64">
    <cfRule type="expression" dxfId="2338" priority="127">
      <formula>$H$64 &gt; 0</formula>
    </cfRule>
    <cfRule type="expression" dxfId="2337" priority="128">
      <formula>$H$64 = 0</formula>
    </cfRule>
    <cfRule type="expression" dxfId="2336" priority="129">
      <formula>$H$64 &lt; 0</formula>
    </cfRule>
  </conditionalFormatting>
  <conditionalFormatting sqref="J42:L43 K64:L64">
    <cfRule type="expression" dxfId="2335" priority="124">
      <formula>$K$64 &gt; 0</formula>
    </cfRule>
    <cfRule type="expression" dxfId="2334" priority="125">
      <formula>$K$64 = 0</formula>
    </cfRule>
    <cfRule type="expression" dxfId="2333" priority="126">
      <formula>$K$64 &lt; 0</formula>
    </cfRule>
  </conditionalFormatting>
  <conditionalFormatting sqref="M42:O43 N64:O64">
    <cfRule type="expression" dxfId="2332" priority="121">
      <formula>$N$64 &gt; 0</formula>
    </cfRule>
    <cfRule type="expression" dxfId="2331" priority="122">
      <formula>$N$64 = 0</formula>
    </cfRule>
    <cfRule type="expression" dxfId="2330" priority="123">
      <formula>$N$64 &lt; 0</formula>
    </cfRule>
  </conditionalFormatting>
  <conditionalFormatting sqref="A71:C90 M71:O90">
    <cfRule type="expression" dxfId="2329" priority="109">
      <formula>AND($N71 &gt; 0, ISNUMBER($N71))</formula>
    </cfRule>
    <cfRule type="expression" dxfId="2328" priority="110">
      <formula>AND($N71 = 0 * ISNUMBER($N71))</formula>
    </cfRule>
    <cfRule type="expression" dxfId="2327" priority="111">
      <formula>AND($N71 &lt; 0, ISNUMBER($N71))</formula>
    </cfRule>
  </conditionalFormatting>
  <conditionalFormatting sqref="A71:F90">
    <cfRule type="expression" dxfId="2326" priority="118">
      <formula>AND($E71 &gt; 0, ISNUMBER($E71))</formula>
    </cfRule>
    <cfRule type="expression" dxfId="2325" priority="119">
      <formula>AND($E71 = 0 * ISNUMBER($E71))</formula>
    </cfRule>
    <cfRule type="expression" dxfId="2324" priority="120">
      <formula>AND($E71 &lt; 0, ISNUMBER($E71))</formula>
    </cfRule>
  </conditionalFormatting>
  <conditionalFormatting sqref="A71:C90 G71:I90">
    <cfRule type="expression" dxfId="2323" priority="115">
      <formula>AND($H71 &gt; 0, ISNUMBER($H71))</formula>
    </cfRule>
    <cfRule type="expression" dxfId="2322" priority="116">
      <formula>AND($H71 = 0 * ISNUMBER($H71))</formula>
    </cfRule>
    <cfRule type="expression" dxfId="2321" priority="117">
      <formula>AND($H71 &lt; 0, ISNUMBER($H71))</formula>
    </cfRule>
  </conditionalFormatting>
  <conditionalFormatting sqref="A71:C90 J71:L90">
    <cfRule type="expression" dxfId="2320" priority="112">
      <formula>AND($K71 &gt; 0, ISNUMBER($K71))</formula>
    </cfRule>
    <cfRule type="expression" dxfId="2319" priority="113">
      <formula>AND($K71 = 0 * ISNUMBER($K71))</formula>
    </cfRule>
    <cfRule type="expression" dxfId="2318" priority="114">
      <formula>AND($K71 &lt; 0, ISNUMBER($K71))</formula>
    </cfRule>
  </conditionalFormatting>
  <conditionalFormatting sqref="D69:F70 E91:F91">
    <cfRule type="expression" dxfId="2317" priority="106">
      <formula>$E$91 &gt; 0</formula>
    </cfRule>
    <cfRule type="expression" dxfId="2316" priority="107">
      <formula>$E$91 = 0</formula>
    </cfRule>
    <cfRule type="expression" dxfId="2315" priority="108">
      <formula>$E$91 &lt; 0</formula>
    </cfRule>
  </conditionalFormatting>
  <conditionalFormatting sqref="G69:I70 H91:I91">
    <cfRule type="expression" dxfId="2314" priority="103">
      <formula>$H$91 &gt; 0</formula>
    </cfRule>
    <cfRule type="expression" dxfId="2313" priority="104">
      <formula>$H$91 = 0</formula>
    </cfRule>
    <cfRule type="expression" dxfId="2312" priority="105">
      <formula>$H$91 &lt; 0</formula>
    </cfRule>
  </conditionalFormatting>
  <conditionalFormatting sqref="J69:L70 K91:L91">
    <cfRule type="expression" dxfId="2311" priority="100">
      <formula>$K$91 &gt; 0</formula>
    </cfRule>
    <cfRule type="expression" dxfId="2310" priority="101">
      <formula>$K$91 = 0</formula>
    </cfRule>
    <cfRule type="expression" dxfId="2309" priority="102">
      <formula>$K$91 &lt; 0</formula>
    </cfRule>
  </conditionalFormatting>
  <conditionalFormatting sqref="M69:O70 N91:O91">
    <cfRule type="expression" dxfId="2308" priority="97">
      <formula>$N$91 &gt; 0</formula>
    </cfRule>
    <cfRule type="expression" dxfId="2307" priority="98">
      <formula>$N$91 = 0</formula>
    </cfRule>
    <cfRule type="expression" dxfId="2306" priority="99">
      <formula>$N$91 &lt; 0</formula>
    </cfRule>
  </conditionalFormatting>
  <conditionalFormatting sqref="A98:C117 M98:O117">
    <cfRule type="expression" dxfId="2305" priority="85">
      <formula>AND($N98 &gt; 0, ISNUMBER($N98))</formula>
    </cfRule>
    <cfRule type="expression" dxfId="2304" priority="86">
      <formula>AND($N98 = 0 * ISNUMBER($N98))</formula>
    </cfRule>
    <cfRule type="expression" dxfId="2303" priority="87">
      <formula>AND($N98 &lt; 0, ISNUMBER($N98))</formula>
    </cfRule>
  </conditionalFormatting>
  <conditionalFormatting sqref="A98:F117">
    <cfRule type="expression" dxfId="2302" priority="94">
      <formula>AND($E98 &gt; 0, ISNUMBER($E98))</formula>
    </cfRule>
    <cfRule type="expression" dxfId="2301" priority="95">
      <formula>AND($E98 = 0 * ISNUMBER($E98))</formula>
    </cfRule>
    <cfRule type="expression" dxfId="2300" priority="96">
      <formula>AND($E98 &lt; 0, ISNUMBER($E98))</formula>
    </cfRule>
  </conditionalFormatting>
  <conditionalFormatting sqref="A98:C117 G98:I117">
    <cfRule type="expression" dxfId="2299" priority="91">
      <formula>AND($H98 &gt; 0, ISNUMBER($H98))</formula>
    </cfRule>
    <cfRule type="expression" dxfId="2298" priority="92">
      <formula>AND($H98 = 0 * ISNUMBER($H98))</formula>
    </cfRule>
    <cfRule type="expression" dxfId="2297" priority="93">
      <formula>AND($H98 &lt; 0, ISNUMBER($H98))</formula>
    </cfRule>
  </conditionalFormatting>
  <conditionalFormatting sqref="A98:C117 J98:L117">
    <cfRule type="expression" dxfId="2296" priority="88">
      <formula>AND($K98 &gt; 0, ISNUMBER($K98))</formula>
    </cfRule>
    <cfRule type="expression" dxfId="2295" priority="89">
      <formula>AND($K98 = 0 * ISNUMBER($K98))</formula>
    </cfRule>
    <cfRule type="expression" dxfId="2294" priority="90">
      <formula>AND($K98 &lt; 0, ISNUMBER($K98))</formula>
    </cfRule>
  </conditionalFormatting>
  <conditionalFormatting sqref="D96:F97 E118:F118">
    <cfRule type="expression" dxfId="2293" priority="82">
      <formula>$E$118 &gt; 0</formula>
    </cfRule>
    <cfRule type="expression" dxfId="2292" priority="83">
      <formula>$E$118 = 0</formula>
    </cfRule>
    <cfRule type="expression" dxfId="2291" priority="84">
      <formula>$E$118 &lt; 0</formula>
    </cfRule>
  </conditionalFormatting>
  <conditionalFormatting sqref="G96:I97 H118:I118">
    <cfRule type="expression" dxfId="2290" priority="79">
      <formula>$H$118 &gt; 0</formula>
    </cfRule>
    <cfRule type="expression" dxfId="2289" priority="80">
      <formula>$H$118 = 0</formula>
    </cfRule>
    <cfRule type="expression" dxfId="2288" priority="81">
      <formula>$H$118 &lt; 0</formula>
    </cfRule>
  </conditionalFormatting>
  <conditionalFormatting sqref="J96:L97 K118:L118">
    <cfRule type="expression" dxfId="2287" priority="76">
      <formula>$K$118 &gt; 0</formula>
    </cfRule>
    <cfRule type="expression" dxfId="2286" priority="77">
      <formula>$K$118 = 0</formula>
    </cfRule>
    <cfRule type="expression" dxfId="2285" priority="78">
      <formula>$K$118 &lt; 0</formula>
    </cfRule>
  </conditionalFormatting>
  <conditionalFormatting sqref="M96:O97 N118:O118">
    <cfRule type="expression" dxfId="2284" priority="73">
      <formula>$N$118 &gt; 0</formula>
    </cfRule>
    <cfRule type="expression" dxfId="2283" priority="74">
      <formula>$N$118 = 0</formula>
    </cfRule>
    <cfRule type="expression" dxfId="2282" priority="75">
      <formula>$N$118 &lt; 0</formula>
    </cfRule>
  </conditionalFormatting>
  <conditionalFormatting sqref="A125:C144 M125:O144">
    <cfRule type="expression" dxfId="2281" priority="61">
      <formula>AND($N125 &gt; 0, ISNUMBER($N125))</formula>
    </cfRule>
    <cfRule type="expression" dxfId="2280" priority="62">
      <formula>AND($N125 = 0 * ISNUMBER($N125))</formula>
    </cfRule>
    <cfRule type="expression" dxfId="2279" priority="63">
      <formula>AND($N125 &lt; 0, ISNUMBER($N125))</formula>
    </cfRule>
  </conditionalFormatting>
  <conditionalFormatting sqref="A125:F144">
    <cfRule type="expression" dxfId="2278" priority="70">
      <formula>AND($E125 &gt; 0, ISNUMBER($E125))</formula>
    </cfRule>
    <cfRule type="expression" dxfId="2277" priority="71">
      <formula>AND($E125 = 0 * ISNUMBER($E125))</formula>
    </cfRule>
    <cfRule type="expression" dxfId="2276" priority="72">
      <formula>AND($E125 &lt; 0, ISNUMBER($E125))</formula>
    </cfRule>
  </conditionalFormatting>
  <conditionalFormatting sqref="A125:C144 G125:I144">
    <cfRule type="expression" dxfId="2275" priority="67">
      <formula>AND($H125 &gt; 0, ISNUMBER($H125))</formula>
    </cfRule>
    <cfRule type="expression" dxfId="2274" priority="68">
      <formula>AND($H125 = 0 * ISNUMBER($H125))</formula>
    </cfRule>
    <cfRule type="expression" dxfId="2273" priority="69">
      <formula>AND($H125 &lt; 0, ISNUMBER($H125))</formula>
    </cfRule>
  </conditionalFormatting>
  <conditionalFormatting sqref="A125:C144 J125:L144">
    <cfRule type="expression" dxfId="2272" priority="64">
      <formula>AND($K125 &gt; 0, ISNUMBER($K125))</formula>
    </cfRule>
    <cfRule type="expression" dxfId="2271" priority="65">
      <formula>AND($K125 = 0 * ISNUMBER($K125))</formula>
    </cfRule>
    <cfRule type="expression" dxfId="2270" priority="66">
      <formula>AND($K125 &lt; 0, ISNUMBER($K125))</formula>
    </cfRule>
  </conditionalFormatting>
  <conditionalFormatting sqref="D123:F124 E145:F145">
    <cfRule type="expression" dxfId="2269" priority="58">
      <formula>$E$145 &gt; 0</formula>
    </cfRule>
    <cfRule type="expression" dxfId="2268" priority="59">
      <formula>$E$145 = 0</formula>
    </cfRule>
    <cfRule type="expression" dxfId="2267" priority="60">
      <formula>$E$145 &lt; 0</formula>
    </cfRule>
  </conditionalFormatting>
  <conditionalFormatting sqref="G123:I124 H145:I145">
    <cfRule type="expression" dxfId="2266" priority="55">
      <formula>$H$145 &gt; 0</formula>
    </cfRule>
    <cfRule type="expression" dxfId="2265" priority="56">
      <formula>$H$145 = 0</formula>
    </cfRule>
    <cfRule type="expression" dxfId="2264" priority="57">
      <formula>$H$145 &lt; 0</formula>
    </cfRule>
  </conditionalFormatting>
  <conditionalFormatting sqref="J123:L124 K145:L145">
    <cfRule type="expression" dxfId="2263" priority="52">
      <formula>$K$145 &gt; 0</formula>
    </cfRule>
    <cfRule type="expression" dxfId="2262" priority="53">
      <formula>$K$145 = 0</formula>
    </cfRule>
    <cfRule type="expression" dxfId="2261" priority="54">
      <formula>$K$145 &lt; 0</formula>
    </cfRule>
  </conditionalFormatting>
  <conditionalFormatting sqref="M123:O124 N145:O145">
    <cfRule type="expression" dxfId="2260" priority="49">
      <formula>$N$145 &gt; 0</formula>
    </cfRule>
    <cfRule type="expression" dxfId="2259" priority="50">
      <formula>$N$145 = 0</formula>
    </cfRule>
    <cfRule type="expression" dxfId="2258" priority="51">
      <formula>$N$145 &lt; 0</formula>
    </cfRule>
  </conditionalFormatting>
  <conditionalFormatting sqref="A152:C171 M152:O171">
    <cfRule type="expression" dxfId="2257" priority="37">
      <formula>AND($N152 &gt; 0, ISNUMBER($N152))</formula>
    </cfRule>
    <cfRule type="expression" dxfId="2256" priority="38">
      <formula>AND($N152 = 0 * ISNUMBER($N152))</formula>
    </cfRule>
    <cfRule type="expression" dxfId="2255" priority="39">
      <formula>AND($N152 &lt; 0, ISNUMBER($N152))</formula>
    </cfRule>
  </conditionalFormatting>
  <conditionalFormatting sqref="A152:F171">
    <cfRule type="expression" dxfId="2254" priority="46">
      <formula>AND($E152 &gt; 0, ISNUMBER($E152))</formula>
    </cfRule>
    <cfRule type="expression" dxfId="2253" priority="47">
      <formula>AND($E152 = 0 * ISNUMBER($E152))</formula>
    </cfRule>
    <cfRule type="expression" dxfId="2252" priority="48">
      <formula>AND($E152 &lt; 0, ISNUMBER($E152))</formula>
    </cfRule>
  </conditionalFormatting>
  <conditionalFormatting sqref="A152:C171 G152:I171">
    <cfRule type="expression" dxfId="2251" priority="43">
      <formula>AND($H152 &gt; 0, ISNUMBER($H152))</formula>
    </cfRule>
    <cfRule type="expression" dxfId="2250" priority="44">
      <formula>AND($H152 = 0 * ISNUMBER($H152))</formula>
    </cfRule>
    <cfRule type="expression" dxfId="2249" priority="45">
      <formula>AND($H152 &lt; 0, ISNUMBER($H152))</formula>
    </cfRule>
  </conditionalFormatting>
  <conditionalFormatting sqref="A152:C171 J152:L171">
    <cfRule type="expression" dxfId="2248" priority="40">
      <formula>AND($K152 &gt; 0, ISNUMBER($K152))</formula>
    </cfRule>
    <cfRule type="expression" dxfId="2247" priority="41">
      <formula>AND($K152 = 0 * ISNUMBER($K152))</formula>
    </cfRule>
    <cfRule type="expression" dxfId="2246" priority="42">
      <formula>AND($K152 &lt; 0, ISNUMBER($K152))</formula>
    </cfRule>
  </conditionalFormatting>
  <conditionalFormatting sqref="D150:F151 E172:F172">
    <cfRule type="expression" dxfId="2245" priority="34">
      <formula>$E$172 &gt; 0</formula>
    </cfRule>
    <cfRule type="expression" dxfId="2244" priority="35">
      <formula>$E$172 = 0</formula>
    </cfRule>
    <cfRule type="expression" dxfId="2243" priority="36">
      <formula>$E$172 &lt; 0</formula>
    </cfRule>
  </conditionalFormatting>
  <conditionalFormatting sqref="G150:I151 H172:I172">
    <cfRule type="expression" dxfId="2242" priority="31">
      <formula>$H$172 &gt; 0</formula>
    </cfRule>
    <cfRule type="expression" dxfId="2241" priority="32">
      <formula>$H$172 = 0</formula>
    </cfRule>
    <cfRule type="expression" dxfId="2240" priority="33">
      <formula>$H$172 &lt; 0</formula>
    </cfRule>
  </conditionalFormatting>
  <conditionalFormatting sqref="J150:L151 K172:L172">
    <cfRule type="expression" dxfId="2239" priority="28">
      <formula>$K$172 &gt; 0</formula>
    </cfRule>
    <cfRule type="expression" dxfId="2238" priority="29">
      <formula>$K$172 = 0</formula>
    </cfRule>
    <cfRule type="expression" dxfId="2237" priority="30">
      <formula>$K$172 &lt; 0</formula>
    </cfRule>
  </conditionalFormatting>
  <conditionalFormatting sqref="M150:O151 N172:O172">
    <cfRule type="expression" dxfId="2236" priority="25">
      <formula>$N$172 &gt; 0</formula>
    </cfRule>
    <cfRule type="expression" dxfId="2235" priority="26">
      <formula>$N$172 = 0</formula>
    </cfRule>
    <cfRule type="expression" dxfId="2234" priority="27">
      <formula>$N$172 &lt; 0</formula>
    </cfRule>
  </conditionalFormatting>
  <conditionalFormatting sqref="A179:C198 M179:O198">
    <cfRule type="expression" dxfId="2233" priority="13">
      <formula>AND($N179 &gt; 0, ISNUMBER($N179))</formula>
    </cfRule>
    <cfRule type="expression" dxfId="2232" priority="14">
      <formula>AND($N179 = 0 * ISNUMBER($N179))</formula>
    </cfRule>
    <cfRule type="expression" dxfId="2231" priority="15">
      <formula>AND($N179 &lt; 0, ISNUMBER($N179))</formula>
    </cfRule>
  </conditionalFormatting>
  <conditionalFormatting sqref="A179:F198">
    <cfRule type="expression" dxfId="2230" priority="22">
      <formula>AND($E179 &gt; 0, ISNUMBER($E179))</formula>
    </cfRule>
    <cfRule type="expression" dxfId="2229" priority="23">
      <formula>AND($E179 = 0 * ISNUMBER($E179))</formula>
    </cfRule>
    <cfRule type="expression" dxfId="2228" priority="24">
      <formula>AND($E179 &lt; 0, ISNUMBER($E179))</formula>
    </cfRule>
  </conditionalFormatting>
  <conditionalFormatting sqref="A179:C198 G179:I198">
    <cfRule type="expression" dxfId="2227" priority="19">
      <formula>AND($H179 &gt; 0, ISNUMBER($H179))</formula>
    </cfRule>
    <cfRule type="expression" dxfId="2226" priority="20">
      <formula>AND($H179 = 0 * ISNUMBER($H179))</formula>
    </cfRule>
    <cfRule type="expression" dxfId="2225" priority="21">
      <formula>AND($H179 &lt; 0, ISNUMBER($H179))</formula>
    </cfRule>
  </conditionalFormatting>
  <conditionalFormatting sqref="A179:C198 J179:L198">
    <cfRule type="expression" dxfId="2224" priority="16">
      <formula>AND($K179 &gt; 0, ISNUMBER($K179))</formula>
    </cfRule>
    <cfRule type="expression" dxfId="2223" priority="17">
      <formula>AND($K179 = 0 * ISNUMBER($K179))</formula>
    </cfRule>
    <cfRule type="expression" dxfId="2222" priority="18">
      <formula>AND($K179 &lt; 0, ISNUMBER($K179))</formula>
    </cfRule>
  </conditionalFormatting>
  <conditionalFormatting sqref="D177:F178 E199:F199">
    <cfRule type="expression" dxfId="2221" priority="10">
      <formula>$E$199 &gt; 0</formula>
    </cfRule>
    <cfRule type="expression" dxfId="2220" priority="11">
      <formula>$E$199 = 0</formula>
    </cfRule>
    <cfRule type="expression" dxfId="2219" priority="12">
      <formula>$E$199 &lt; 0</formula>
    </cfRule>
  </conditionalFormatting>
  <conditionalFormatting sqref="G177:I178 H199:I199">
    <cfRule type="expression" dxfId="2218" priority="7">
      <formula>$H$199 &gt; 0</formula>
    </cfRule>
    <cfRule type="expression" dxfId="2217" priority="8">
      <formula>$H$199 = 0</formula>
    </cfRule>
    <cfRule type="expression" dxfId="2216" priority="9">
      <formula>$H$199 &lt; 0</formula>
    </cfRule>
  </conditionalFormatting>
  <conditionalFormatting sqref="J177:L178 K199:L199">
    <cfRule type="expression" dxfId="2215" priority="4">
      <formula>$K$199 &gt; 0</formula>
    </cfRule>
    <cfRule type="expression" dxfId="2214" priority="5">
      <formula>$K$199 = 0</formula>
    </cfRule>
    <cfRule type="expression" dxfId="2213" priority="6">
      <formula>$K$199 &lt; 0</formula>
    </cfRule>
  </conditionalFormatting>
  <conditionalFormatting sqref="M177:O178 N199:O199">
    <cfRule type="expression" dxfId="2212" priority="1">
      <formula>$N$199 &gt; 0</formula>
    </cfRule>
    <cfRule type="expression" dxfId="2211" priority="2">
      <formula>$N$199 = 0</formula>
    </cfRule>
    <cfRule type="expression" dxfId="221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44317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20" t="s">
        <v>3</v>
      </c>
      <c r="B2" s="199" t="s">
        <v>8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376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21" t="s">
        <v>7</v>
      </c>
      <c r="B3" s="205" t="s">
        <v>384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9"/>
      <c r="I3" s="210"/>
      <c r="J3" s="4" t="s">
        <v>7</v>
      </c>
      <c r="K3" s="205" t="s">
        <v>377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05" t="s">
        <v>16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378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05" t="s">
        <v>374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9"/>
      <c r="I5" s="210"/>
      <c r="J5" s="4" t="s">
        <v>15</v>
      </c>
      <c r="K5" s="205" t="s">
        <v>379</v>
      </c>
      <c r="L5" s="206"/>
      <c r="M5" s="206"/>
      <c r="N5" s="206"/>
      <c r="O5" s="207"/>
    </row>
    <row r="6" spans="1:19">
      <c r="A6" s="121" t="s">
        <v>18</v>
      </c>
      <c r="B6" s="205"/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380</v>
      </c>
      <c r="L6" s="206"/>
      <c r="M6" s="206"/>
      <c r="N6" s="206"/>
      <c r="O6" s="207"/>
    </row>
    <row r="7" spans="1:19" ht="17.25" thickBot="1">
      <c r="A7" s="121" t="s">
        <v>21</v>
      </c>
      <c r="B7" s="205"/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9"/>
      <c r="I7" s="210"/>
      <c r="J7" s="4" t="s">
        <v>21</v>
      </c>
      <c r="K7" s="205" t="s">
        <v>381</v>
      </c>
      <c r="L7" s="206"/>
      <c r="M7" s="206"/>
      <c r="N7" s="206"/>
      <c r="O7" s="207"/>
    </row>
    <row r="8" spans="1:19" ht="17.25" thickBot="1">
      <c r="A8" s="121" t="s">
        <v>24</v>
      </c>
      <c r="B8" s="205"/>
      <c r="C8" s="206"/>
      <c r="D8" s="206"/>
      <c r="E8" s="206"/>
      <c r="F8" s="207"/>
      <c r="G8" s="202" t="s">
        <v>285</v>
      </c>
      <c r="H8" s="203"/>
      <c r="I8" s="204"/>
      <c r="J8" s="4" t="s">
        <v>24</v>
      </c>
      <c r="K8" s="205"/>
      <c r="L8" s="206"/>
      <c r="M8" s="206"/>
      <c r="N8" s="206"/>
      <c r="O8" s="207"/>
      <c r="Q8" s="193" t="s">
        <v>27</v>
      </c>
      <c r="R8" s="195"/>
    </row>
    <row r="9" spans="1:19" ht="17.25" thickBot="1">
      <c r="A9" s="121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9"/>
      <c r="I9" s="210"/>
      <c r="J9" s="4" t="s">
        <v>28</v>
      </c>
      <c r="K9" s="205"/>
      <c r="L9" s="206"/>
      <c r="M9" s="206"/>
      <c r="N9" s="206"/>
      <c r="O9" s="207"/>
      <c r="Q9" s="2" t="s">
        <v>29</v>
      </c>
      <c r="R9" s="6">
        <v>10</v>
      </c>
    </row>
    <row r="10" spans="1:19">
      <c r="A10" s="121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 t="s">
        <v>382</v>
      </c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22" t="s">
        <v>32</v>
      </c>
      <c r="B11" s="211" t="s">
        <v>383</v>
      </c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11" t="s">
        <v>373</v>
      </c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16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72158000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9.1322285000000007E-3</v>
      </c>
      <c r="N14" s="224"/>
      <c r="O14" s="225"/>
      <c r="Q14" s="214"/>
      <c r="R14" s="214"/>
      <c r="S14" s="214"/>
    </row>
    <row r="15" spans="1:19" ht="17.25" customHeight="1" thickBot="1">
      <c r="A15" s="258" t="s">
        <v>39</v>
      </c>
      <c r="B15" s="259" t="str">
        <f>TEXT($G$1, "[$-ko-KR]yyyy-mm-dd(ddd) ") &amp; "오전 00:00"</f>
        <v>2021-05-01(토) 오전 00:00</v>
      </c>
      <c r="C15" s="260"/>
      <c r="D15" s="216" t="str">
        <f>TEXT($G$1, "[$-ko-KR]yyyy-mm-dd(ddd) ") &amp; "오후 14:00"</f>
        <v>2021-05-01(토) 오후 14:00</v>
      </c>
      <c r="E15" s="217"/>
      <c r="F15" s="218"/>
      <c r="G15" s="216" t="str">
        <f>TEXT($G$1, "[$-ko-KR]yyyy-mm-dd(ddd) ") &amp; "오후 19:00"</f>
        <v>2021-05-01(토) 오후 19:00</v>
      </c>
      <c r="H15" s="217"/>
      <c r="I15" s="218"/>
      <c r="J15" s="216" t="str">
        <f>TEXT($G$1, "[$-ko-KR]yyyy-mm-dd(ddd) ") &amp; "오후 21:00"</f>
        <v>2021-05-01(토) 오후 21:00</v>
      </c>
      <c r="K15" s="217"/>
      <c r="L15" s="218"/>
      <c r="M15" s="216" t="str">
        <f>TEXT($G$1+1, "[$-ko-KR]yyyy-mm-dd(ddd) ") &amp; "오전 00:00"</f>
        <v>2021-05-02(일) 오전 00:00</v>
      </c>
      <c r="N15" s="217"/>
      <c r="O15" s="218"/>
      <c r="Q15" s="214"/>
      <c r="R15" s="214"/>
      <c r="S15" s="214"/>
    </row>
    <row r="16" spans="1:19" ht="17.25" customHeight="1" thickBot="1">
      <c r="A16" s="258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6"/>
      <c r="B17" s="127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8"/>
      <c r="B18" s="129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8"/>
      <c r="B19" s="129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28"/>
      <c r="B20" s="129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30"/>
      <c r="B21" s="131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5" t="s">
        <v>42</v>
      </c>
      <c r="B37" s="252">
        <v>150000</v>
      </c>
      <c r="C37" s="25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16" t="s">
        <v>298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72158000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9.1322285000000007E-3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2021-05-01(토) 오전 00:00</v>
      </c>
      <c r="C42" s="257"/>
      <c r="D42" s="216" t="str">
        <f>TEXT($G$1, "[$-ko-KR]yyyy-mm-dd(ddd) ") &amp; "오후 14:00"</f>
        <v>2021-05-01(토) 오후 14:00</v>
      </c>
      <c r="E42" s="217"/>
      <c r="F42" s="218"/>
      <c r="G42" s="216" t="str">
        <f>TEXT($G$1, "[$-ko-KR]yyyy-mm-dd(ddd) ") &amp; "오후 19:00"</f>
        <v>2021-05-01(토) 오후 19:00</v>
      </c>
      <c r="H42" s="217"/>
      <c r="I42" s="218"/>
      <c r="J42" s="216" t="str">
        <f>TEXT($G$1, "[$-ko-KR]yyyy-mm-dd(ddd) ") &amp; "오후 21:00"</f>
        <v>2021-05-01(토) 오후 21:00</v>
      </c>
      <c r="K42" s="217"/>
      <c r="L42" s="218"/>
      <c r="M42" s="216" t="str">
        <f>TEXT($G$1+1, "[$-ko-KR]yyyy-mm-dd(ddd) ") &amp; "오전 00:00"</f>
        <v>2021-05-02(일)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219"/>
      <c r="R43" s="219"/>
      <c r="S43" s="219"/>
    </row>
    <row r="44" spans="1:19" ht="17.25" customHeight="1" thickBot="1">
      <c r="A44" s="126"/>
      <c r="B44" s="127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4"/>
      <c r="R44" s="214"/>
      <c r="S44" s="214"/>
    </row>
    <row r="45" spans="1:19" ht="17.25" customHeight="1" thickBot="1">
      <c r="A45" s="128"/>
      <c r="B45" s="129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4"/>
      <c r="R45" s="214"/>
      <c r="S45" s="214"/>
    </row>
    <row r="46" spans="1:19" ht="17.25" customHeight="1" thickBot="1">
      <c r="A46" s="128"/>
      <c r="B46" s="129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9"/>
      <c r="R46" s="219"/>
      <c r="S46" s="219"/>
    </row>
    <row r="47" spans="1:19" ht="17.25" customHeight="1" thickBot="1">
      <c r="A47" s="128"/>
      <c r="B47" s="129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9"/>
      <c r="R47" s="219"/>
      <c r="S47" s="219"/>
    </row>
    <row r="48" spans="1:19" ht="17.25" customHeight="1" thickBot="1">
      <c r="A48" s="130"/>
      <c r="B48" s="131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9"/>
      <c r="R48" s="219"/>
      <c r="S48" s="219"/>
    </row>
    <row r="49" spans="1:19" ht="17.25" customHeight="1" thickBot="1">
      <c r="A49" s="128"/>
      <c r="B49" s="132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9"/>
      <c r="R49" s="219"/>
      <c r="S49" s="219"/>
    </row>
    <row r="50" spans="1:19" ht="17.25" customHeight="1" thickBot="1">
      <c r="A50" s="128"/>
      <c r="B50" s="129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9"/>
      <c r="R50" s="219"/>
      <c r="S50" s="219"/>
    </row>
    <row r="51" spans="1:19" ht="17.25" customHeight="1" thickBot="1">
      <c r="A51" s="128"/>
      <c r="B51" s="129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9"/>
      <c r="R51" s="219"/>
      <c r="S51" s="219"/>
    </row>
    <row r="52" spans="1:19" ht="17.25" customHeight="1" thickBot="1">
      <c r="A52" s="128"/>
      <c r="B52" s="129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3"/>
      <c r="B53" s="134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8"/>
      <c r="R53" s="229"/>
      <c r="S53" s="230"/>
    </row>
    <row r="54" spans="1:19" ht="17.25" customHeight="1">
      <c r="A54" s="126"/>
      <c r="B54" s="127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1"/>
      <c r="R54" s="232"/>
      <c r="S54" s="233"/>
    </row>
    <row r="55" spans="1:19" ht="17.25" customHeight="1" thickBot="1">
      <c r="A55" s="128"/>
      <c r="B55" s="129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4"/>
      <c r="R55" s="235"/>
      <c r="S55" s="236"/>
    </row>
    <row r="56" spans="1:19" ht="17.25" customHeight="1" thickBot="1">
      <c r="A56" s="128"/>
      <c r="B56" s="129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9"/>
      <c r="R56" s="219"/>
      <c r="S56" s="219"/>
    </row>
    <row r="57" spans="1:19" ht="17.25" customHeight="1" thickBot="1">
      <c r="A57" s="128"/>
      <c r="B57" s="129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4"/>
      <c r="R57" s="214"/>
      <c r="S57" s="214"/>
    </row>
    <row r="58" spans="1:19" ht="17.25" customHeight="1" thickBot="1">
      <c r="A58" s="130"/>
      <c r="B58" s="131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4"/>
      <c r="R58" s="214"/>
      <c r="S58" s="214"/>
    </row>
    <row r="59" spans="1:19" ht="17.25" customHeight="1" thickBot="1">
      <c r="A59" s="128"/>
      <c r="B59" s="132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9"/>
      <c r="R59" s="219"/>
      <c r="S59" s="219"/>
    </row>
    <row r="60" spans="1:19" ht="17.25" customHeight="1" thickBot="1">
      <c r="A60" s="128"/>
      <c r="B60" s="129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9"/>
      <c r="R60" s="219"/>
      <c r="S60" s="219"/>
    </row>
    <row r="61" spans="1:19" ht="17.25" customHeight="1" thickBot="1">
      <c r="A61" s="128"/>
      <c r="B61" s="129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9"/>
      <c r="R61" s="219"/>
      <c r="S61" s="219"/>
    </row>
    <row r="62" spans="1:19" ht="17.25" customHeight="1">
      <c r="A62" s="128"/>
      <c r="B62" s="129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3"/>
      <c r="B63" s="134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5" t="s">
        <v>301</v>
      </c>
      <c r="B64" s="252">
        <f>$B$37</f>
        <v>150000</v>
      </c>
      <c r="C64" s="253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16" t="s">
        <v>298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72158000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9.1322285000000007E-3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2021-05-01(토) 오전 00:00</v>
      </c>
      <c r="C69" s="257"/>
      <c r="D69" s="216" t="str">
        <f>TEXT($G$1, "[$-ko-KR]yyyy-mm-dd(ddd) ") &amp; "오후 14:00"</f>
        <v>2021-05-01(토) 오후 14:00</v>
      </c>
      <c r="E69" s="217"/>
      <c r="F69" s="218"/>
      <c r="G69" s="216" t="str">
        <f>TEXT($G$1, "[$-ko-KR]yyyy-mm-dd(ddd) ") &amp; "오후 19:00"</f>
        <v>2021-05-01(토) 오후 19:00</v>
      </c>
      <c r="H69" s="217"/>
      <c r="I69" s="218"/>
      <c r="J69" s="216" t="str">
        <f>TEXT($G$1, "[$-ko-KR]yyyy-mm-dd(ddd) ") &amp; "오후 21:00"</f>
        <v>2021-05-01(토) 오후 21:00</v>
      </c>
      <c r="K69" s="217"/>
      <c r="L69" s="218"/>
      <c r="M69" s="216" t="str">
        <f>TEXT($G$1+1, "[$-ko-KR]yyyy-mm-dd(ddd) ") &amp; "오전 00:00"</f>
        <v>2021-05-02(일) 오전 00:00</v>
      </c>
      <c r="N69" s="217"/>
      <c r="O69" s="218"/>
      <c r="Q69" s="214"/>
      <c r="R69" s="214"/>
      <c r="S69" s="214"/>
    </row>
    <row r="70" spans="1:19" ht="17.25" thickBot="1">
      <c r="A70" s="255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219"/>
      <c r="R70" s="219"/>
      <c r="S70" s="219"/>
    </row>
    <row r="71" spans="1:19" ht="17.25" thickBot="1">
      <c r="A71" s="126"/>
      <c r="B71" s="127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4"/>
      <c r="R71" s="214"/>
      <c r="S71" s="214"/>
    </row>
    <row r="72" spans="1:19" ht="17.25" thickBot="1">
      <c r="A72" s="128"/>
      <c r="B72" s="129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4"/>
      <c r="R72" s="214"/>
      <c r="S72" s="214"/>
    </row>
    <row r="73" spans="1:19" ht="17.25" thickBot="1">
      <c r="A73" s="128"/>
      <c r="B73" s="129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9"/>
      <c r="R73" s="219"/>
      <c r="S73" s="219"/>
    </row>
    <row r="74" spans="1:19" ht="17.25" thickBot="1">
      <c r="A74" s="128"/>
      <c r="B74" s="129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9"/>
      <c r="R74" s="219"/>
      <c r="S74" s="219"/>
    </row>
    <row r="75" spans="1:19" ht="17.25" thickBot="1">
      <c r="A75" s="130"/>
      <c r="B75" s="131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9"/>
      <c r="R75" s="219"/>
      <c r="S75" s="219"/>
    </row>
    <row r="76" spans="1:19" ht="17.25" thickBot="1">
      <c r="A76" s="128"/>
      <c r="B76" s="132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9"/>
      <c r="R76" s="219"/>
      <c r="S76" s="219"/>
    </row>
    <row r="77" spans="1:19" ht="17.25" thickBot="1">
      <c r="A77" s="128"/>
      <c r="B77" s="129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9"/>
      <c r="R77" s="219"/>
      <c r="S77" s="219"/>
    </row>
    <row r="78" spans="1:19" ht="17.25" thickBot="1">
      <c r="A78" s="128"/>
      <c r="B78" s="129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9"/>
      <c r="R78" s="219"/>
      <c r="S78" s="219"/>
    </row>
    <row r="79" spans="1:19" ht="17.25" thickBot="1">
      <c r="A79" s="128"/>
      <c r="B79" s="129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3"/>
      <c r="B80" s="134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8"/>
      <c r="R80" s="229"/>
      <c r="S80" s="230"/>
    </row>
    <row r="81" spans="1:19">
      <c r="A81" s="126"/>
      <c r="B81" s="127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1"/>
      <c r="R81" s="232"/>
      <c r="S81" s="233"/>
    </row>
    <row r="82" spans="1:19" ht="17.25" thickBot="1">
      <c r="A82" s="128"/>
      <c r="B82" s="129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4"/>
      <c r="R82" s="235"/>
      <c r="S82" s="236"/>
    </row>
    <row r="83" spans="1:19" ht="17.25" thickBot="1">
      <c r="A83" s="128"/>
      <c r="B83" s="129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9"/>
      <c r="R83" s="219"/>
      <c r="S83" s="219"/>
    </row>
    <row r="84" spans="1:19" ht="17.25" thickBot="1">
      <c r="A84" s="128"/>
      <c r="B84" s="129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4"/>
      <c r="R84" s="214"/>
      <c r="S84" s="214"/>
    </row>
    <row r="85" spans="1:19" ht="17.25" thickBot="1">
      <c r="A85" s="130"/>
      <c r="B85" s="131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4"/>
      <c r="R85" s="214"/>
      <c r="S85" s="214"/>
    </row>
    <row r="86" spans="1:19" ht="17.25" thickBot="1">
      <c r="A86" s="128"/>
      <c r="B86" s="132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9"/>
      <c r="R86" s="219"/>
      <c r="S86" s="219"/>
    </row>
    <row r="87" spans="1:19" ht="17.25" thickBot="1">
      <c r="A87" s="128"/>
      <c r="B87" s="129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9"/>
      <c r="R87" s="219"/>
      <c r="S87" s="219"/>
    </row>
    <row r="88" spans="1:19" ht="17.25" thickBot="1">
      <c r="A88" s="128"/>
      <c r="B88" s="129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9"/>
      <c r="R88" s="219"/>
      <c r="S88" s="219"/>
    </row>
    <row r="89" spans="1:19">
      <c r="A89" s="128"/>
      <c r="B89" s="129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1"/>
      <c r="R89" s="242"/>
      <c r="S89" s="243"/>
    </row>
    <row r="90" spans="1:19" ht="17.25" thickBot="1">
      <c r="A90" s="133"/>
      <c r="B90" s="134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4"/>
      <c r="R90" s="245"/>
      <c r="S90" s="246"/>
    </row>
    <row r="91" spans="1:19" ht="17.25" thickBot="1">
      <c r="A91" s="135" t="s">
        <v>301</v>
      </c>
      <c r="B91" s="252">
        <f>$B$37</f>
        <v>150000</v>
      </c>
      <c r="C91" s="253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16" t="s">
        <v>298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72158000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9.1322285000000007E-3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2021-05-01(토) 오전 00:00</v>
      </c>
      <c r="C96" s="257"/>
      <c r="D96" s="216" t="str">
        <f>TEXT($G$1, "[$-ko-KR]yyyy-mm-dd(ddd) ") &amp; "오후 14:00"</f>
        <v>2021-05-01(토) 오후 14:00</v>
      </c>
      <c r="E96" s="217"/>
      <c r="F96" s="218"/>
      <c r="G96" s="216" t="str">
        <f>TEXT($G$1, "[$-ko-KR]yyyy-mm-dd(ddd) ") &amp; "오후 19:00"</f>
        <v>2021-05-01(토) 오후 19:00</v>
      </c>
      <c r="H96" s="217"/>
      <c r="I96" s="218"/>
      <c r="J96" s="216" t="str">
        <f>TEXT($G$1, "[$-ko-KR]yyyy-mm-dd(ddd) ") &amp; "오후 21:00"</f>
        <v>2021-05-01(토) 오후 21:00</v>
      </c>
      <c r="K96" s="217"/>
      <c r="L96" s="218"/>
      <c r="M96" s="216" t="str">
        <f>TEXT($G$1+1, "[$-ko-KR]yyyy-mm-dd(ddd) ") &amp; "오전 00:00"</f>
        <v>2021-05-02(일) 오전 00:00</v>
      </c>
      <c r="N96" s="217"/>
      <c r="O96" s="218"/>
      <c r="Q96" s="214"/>
      <c r="R96" s="214"/>
      <c r="S96" s="214"/>
    </row>
    <row r="97" spans="1:19" ht="17.25" thickBot="1">
      <c r="A97" s="255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219"/>
      <c r="R97" s="219"/>
      <c r="S97" s="219"/>
    </row>
    <row r="98" spans="1:19" ht="17.25" thickBot="1">
      <c r="A98" s="126"/>
      <c r="B98" s="127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4"/>
      <c r="R98" s="214"/>
      <c r="S98" s="214"/>
    </row>
    <row r="99" spans="1:19" ht="17.25" thickBot="1">
      <c r="A99" s="128"/>
      <c r="B99" s="129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4"/>
      <c r="R99" s="214"/>
      <c r="S99" s="214"/>
    </row>
    <row r="100" spans="1:19" ht="17.25" thickBot="1">
      <c r="A100" s="128"/>
      <c r="B100" s="129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9"/>
      <c r="R100" s="219"/>
      <c r="S100" s="219"/>
    </row>
    <row r="101" spans="1:19" ht="17.25" thickBot="1">
      <c r="A101" s="128"/>
      <c r="B101" s="129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9"/>
      <c r="R101" s="219"/>
      <c r="S101" s="219"/>
    </row>
    <row r="102" spans="1:19" ht="17.25" thickBot="1">
      <c r="A102" s="130"/>
      <c r="B102" s="131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9"/>
      <c r="R102" s="219"/>
      <c r="S102" s="219"/>
    </row>
    <row r="103" spans="1:19" ht="17.25" thickBot="1">
      <c r="A103" s="128"/>
      <c r="B103" s="132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9"/>
      <c r="R103" s="219"/>
      <c r="S103" s="219"/>
    </row>
    <row r="104" spans="1:19" ht="17.25" thickBot="1">
      <c r="A104" s="128"/>
      <c r="B104" s="129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9"/>
      <c r="R104" s="219"/>
      <c r="S104" s="219"/>
    </row>
    <row r="105" spans="1:19" ht="17.25" thickBot="1">
      <c r="A105" s="128"/>
      <c r="B105" s="129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9"/>
      <c r="R105" s="219"/>
      <c r="S105" s="219"/>
    </row>
    <row r="106" spans="1:19" ht="17.25" thickBot="1">
      <c r="A106" s="128"/>
      <c r="B106" s="129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3"/>
      <c r="B107" s="134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8"/>
      <c r="R107" s="229"/>
      <c r="S107" s="230"/>
    </row>
    <row r="108" spans="1:19">
      <c r="A108" s="126"/>
      <c r="B108" s="127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1"/>
      <c r="R108" s="232"/>
      <c r="S108" s="233"/>
    </row>
    <row r="109" spans="1:19" ht="17.25" thickBot="1">
      <c r="A109" s="128"/>
      <c r="B109" s="129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4"/>
      <c r="R109" s="235"/>
      <c r="S109" s="236"/>
    </row>
    <row r="110" spans="1:19" ht="17.25" thickBot="1">
      <c r="A110" s="128"/>
      <c r="B110" s="129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9"/>
      <c r="R110" s="219"/>
      <c r="S110" s="219"/>
    </row>
    <row r="111" spans="1:19" ht="17.25" thickBot="1">
      <c r="A111" s="128"/>
      <c r="B111" s="129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4"/>
      <c r="R111" s="214"/>
      <c r="S111" s="214"/>
    </row>
    <row r="112" spans="1:19" ht="17.25" thickBot="1">
      <c r="A112" s="130"/>
      <c r="B112" s="131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4"/>
      <c r="R112" s="214"/>
      <c r="S112" s="214"/>
    </row>
    <row r="113" spans="1:19" ht="17.25" thickBot="1">
      <c r="A113" s="128"/>
      <c r="B113" s="132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9"/>
      <c r="R113" s="219"/>
      <c r="S113" s="219"/>
    </row>
    <row r="114" spans="1:19" ht="17.25" thickBot="1">
      <c r="A114" s="128"/>
      <c r="B114" s="129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9"/>
      <c r="R114" s="219"/>
      <c r="S114" s="219"/>
    </row>
    <row r="115" spans="1:19" ht="17.25" thickBot="1">
      <c r="A115" s="128"/>
      <c r="B115" s="129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9"/>
      <c r="R115" s="219"/>
      <c r="S115" s="219"/>
    </row>
    <row r="116" spans="1:19">
      <c r="A116" s="128"/>
      <c r="B116" s="129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1"/>
      <c r="R116" s="242"/>
      <c r="S116" s="243"/>
    </row>
    <row r="117" spans="1:19" ht="17.25" thickBot="1">
      <c r="A117" s="133"/>
      <c r="B117" s="134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4"/>
      <c r="R117" s="245"/>
      <c r="S117" s="246"/>
    </row>
    <row r="118" spans="1:19" ht="17.25" thickBot="1">
      <c r="A118" s="135" t="s">
        <v>301</v>
      </c>
      <c r="B118" s="252">
        <f>$B$37</f>
        <v>150000</v>
      </c>
      <c r="C118" s="253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47"/>
      <c r="R118" s="248"/>
      <c r="S118" s="249"/>
    </row>
    <row r="120" spans="1:19" ht="17.25" thickBot="1"/>
    <row r="121" spans="1:19" ht="17.25" thickBot="1">
      <c r="A121" s="193" t="s">
        <v>288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16" t="s">
        <v>298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72158000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9.1322285000000007E-3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2021-05-01(토) 오전 00:00</v>
      </c>
      <c r="C123" s="257"/>
      <c r="D123" s="216" t="str">
        <f>TEXT($G$1, "[$-ko-KR]yyyy-mm-dd(ddd) ") &amp; "오후 14:00"</f>
        <v>2021-05-01(토) 오후 14:00</v>
      </c>
      <c r="E123" s="217"/>
      <c r="F123" s="218"/>
      <c r="G123" s="216" t="str">
        <f>TEXT($G$1, "[$-ko-KR]yyyy-mm-dd(ddd) ") &amp; "오후 19:00"</f>
        <v>2021-05-01(토) 오후 19:00</v>
      </c>
      <c r="H123" s="217"/>
      <c r="I123" s="218"/>
      <c r="J123" s="216" t="str">
        <f>TEXT($G$1, "[$-ko-KR]yyyy-mm-dd(ddd) ") &amp; "오후 21:00"</f>
        <v>2021-05-01(토) 오후 21:00</v>
      </c>
      <c r="K123" s="217"/>
      <c r="L123" s="218"/>
      <c r="M123" s="216" t="str">
        <f>TEXT($G$1+1, "[$-ko-KR]yyyy-mm-dd(ddd) ") &amp; "오전 00:00"</f>
        <v>2021-05-02(일)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219"/>
      <c r="R124" s="219"/>
      <c r="S124" s="219"/>
    </row>
    <row r="125" spans="1:19" ht="17.25" thickBot="1">
      <c r="A125" s="126"/>
      <c r="B125" s="127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4"/>
      <c r="R125" s="214"/>
      <c r="S125" s="214"/>
    </row>
    <row r="126" spans="1:19" ht="17.25" thickBot="1">
      <c r="A126" s="128"/>
      <c r="B126" s="129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4"/>
      <c r="R126" s="214"/>
      <c r="S126" s="214"/>
    </row>
    <row r="127" spans="1:19" ht="17.25" thickBot="1">
      <c r="A127" s="128"/>
      <c r="B127" s="129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9"/>
      <c r="R127" s="219"/>
      <c r="S127" s="219"/>
    </row>
    <row r="128" spans="1:19" ht="17.25" thickBot="1">
      <c r="A128" s="128"/>
      <c r="B128" s="129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9"/>
      <c r="R128" s="219"/>
      <c r="S128" s="219"/>
    </row>
    <row r="129" spans="1:19" ht="17.25" thickBot="1">
      <c r="A129" s="130"/>
      <c r="B129" s="131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9"/>
      <c r="R129" s="219"/>
      <c r="S129" s="219"/>
    </row>
    <row r="130" spans="1:19" ht="17.25" thickBot="1">
      <c r="A130" s="128"/>
      <c r="B130" s="132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9"/>
      <c r="R130" s="219"/>
      <c r="S130" s="219"/>
    </row>
    <row r="131" spans="1:19" ht="17.25" thickBot="1">
      <c r="A131" s="128"/>
      <c r="B131" s="129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9"/>
      <c r="R131" s="219"/>
      <c r="S131" s="219"/>
    </row>
    <row r="132" spans="1:19" ht="17.25" thickBot="1">
      <c r="A132" s="128"/>
      <c r="B132" s="129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9"/>
      <c r="R132" s="219"/>
      <c r="S132" s="219"/>
    </row>
    <row r="133" spans="1:19" ht="17.25" thickBot="1">
      <c r="A133" s="128"/>
      <c r="B133" s="129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3"/>
      <c r="B134" s="134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8"/>
      <c r="R134" s="229"/>
      <c r="S134" s="230"/>
    </row>
    <row r="135" spans="1:19">
      <c r="A135" s="126"/>
      <c r="B135" s="127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1"/>
      <c r="R135" s="232"/>
      <c r="S135" s="233"/>
    </row>
    <row r="136" spans="1:19" ht="17.25" thickBot="1">
      <c r="A136" s="128"/>
      <c r="B136" s="129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4"/>
      <c r="R136" s="235"/>
      <c r="S136" s="236"/>
    </row>
    <row r="137" spans="1:19" ht="17.25" thickBot="1">
      <c r="A137" s="128"/>
      <c r="B137" s="129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9"/>
      <c r="R137" s="219"/>
      <c r="S137" s="219"/>
    </row>
    <row r="138" spans="1:19" ht="17.25" thickBot="1">
      <c r="A138" s="128"/>
      <c r="B138" s="129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4"/>
      <c r="R138" s="214"/>
      <c r="S138" s="214"/>
    </row>
    <row r="139" spans="1:19" ht="17.25" thickBot="1">
      <c r="A139" s="130"/>
      <c r="B139" s="131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4"/>
      <c r="R139" s="214"/>
      <c r="S139" s="214"/>
    </row>
    <row r="140" spans="1:19" ht="17.25" thickBot="1">
      <c r="A140" s="128"/>
      <c r="B140" s="132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9"/>
      <c r="R140" s="219"/>
      <c r="S140" s="219"/>
    </row>
    <row r="141" spans="1:19" ht="17.25" thickBot="1">
      <c r="A141" s="128"/>
      <c r="B141" s="129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9"/>
      <c r="R141" s="219"/>
      <c r="S141" s="219"/>
    </row>
    <row r="142" spans="1:19" ht="17.25" thickBot="1">
      <c r="A142" s="128"/>
      <c r="B142" s="129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9"/>
      <c r="R142" s="219"/>
      <c r="S142" s="219"/>
    </row>
    <row r="143" spans="1:19">
      <c r="A143" s="128"/>
      <c r="B143" s="129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3"/>
      <c r="B144" s="134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5" t="s">
        <v>301</v>
      </c>
      <c r="B145" s="252">
        <f>$B$37</f>
        <v>150000</v>
      </c>
      <c r="C145" s="253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47"/>
      <c r="R145" s="248"/>
      <c r="S145" s="249"/>
    </row>
    <row r="147" spans="1:19" ht="17.25" thickBot="1"/>
    <row r="148" spans="1:19" ht="17.25" thickBot="1">
      <c r="A148" s="193" t="s">
        <v>289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16" t="s">
        <v>298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72158000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9.1322285000000007E-3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2021-05-01(토) 오전 00:00</v>
      </c>
      <c r="C150" s="257"/>
      <c r="D150" s="216" t="str">
        <f>TEXT($G$1, "[$-ko-KR]yyyy-mm-dd(ddd) ") &amp; "오후 14:00"</f>
        <v>2021-05-01(토) 오후 14:00</v>
      </c>
      <c r="E150" s="217"/>
      <c r="F150" s="218"/>
      <c r="G150" s="216" t="str">
        <f>TEXT($G$1, "[$-ko-KR]yyyy-mm-dd(ddd) ") &amp; "오후 19:00"</f>
        <v>2021-05-01(토) 오후 19:00</v>
      </c>
      <c r="H150" s="217"/>
      <c r="I150" s="218"/>
      <c r="J150" s="216" t="str">
        <f>TEXT($G$1, "[$-ko-KR]yyyy-mm-dd(ddd) ") &amp; "오후 21:00"</f>
        <v>2021-05-01(토) 오후 21:00</v>
      </c>
      <c r="K150" s="217"/>
      <c r="L150" s="218"/>
      <c r="M150" s="216" t="str">
        <f>TEXT($G$1+1, "[$-ko-KR]yyyy-mm-dd(ddd) ") &amp; "오전 00:00"</f>
        <v>2021-05-02(일)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219"/>
      <c r="R151" s="219"/>
      <c r="S151" s="219"/>
    </row>
    <row r="152" spans="1:19" ht="17.25" thickBot="1">
      <c r="A152" s="126"/>
      <c r="B152" s="127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4"/>
      <c r="R152" s="214"/>
      <c r="S152" s="214"/>
    </row>
    <row r="153" spans="1:19" ht="17.25" thickBot="1">
      <c r="A153" s="128"/>
      <c r="B153" s="129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4"/>
      <c r="R153" s="214"/>
      <c r="S153" s="214"/>
    </row>
    <row r="154" spans="1:19" ht="17.25" thickBot="1">
      <c r="A154" s="128"/>
      <c r="B154" s="129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9"/>
      <c r="R154" s="219"/>
      <c r="S154" s="219"/>
    </row>
    <row r="155" spans="1:19" ht="17.25" thickBot="1">
      <c r="A155" s="128"/>
      <c r="B155" s="129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9"/>
      <c r="R155" s="219"/>
      <c r="S155" s="219"/>
    </row>
    <row r="156" spans="1:19" ht="17.25" thickBot="1">
      <c r="A156" s="130"/>
      <c r="B156" s="131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9"/>
      <c r="R156" s="219"/>
      <c r="S156" s="219"/>
    </row>
    <row r="157" spans="1:19" ht="17.25" thickBot="1">
      <c r="A157" s="128"/>
      <c r="B157" s="132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9"/>
      <c r="R157" s="219"/>
      <c r="S157" s="219"/>
    </row>
    <row r="158" spans="1:19" ht="17.25" thickBot="1">
      <c r="A158" s="128"/>
      <c r="B158" s="129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9"/>
      <c r="R158" s="219"/>
      <c r="S158" s="219"/>
    </row>
    <row r="159" spans="1:19" ht="17.25" thickBot="1">
      <c r="A159" s="128"/>
      <c r="B159" s="129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9"/>
      <c r="R159" s="219"/>
      <c r="S159" s="219"/>
    </row>
    <row r="160" spans="1:19" ht="17.25" thickBot="1">
      <c r="A160" s="128"/>
      <c r="B160" s="129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3"/>
      <c r="B161" s="134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8"/>
      <c r="R161" s="229"/>
      <c r="S161" s="230"/>
    </row>
    <row r="162" spans="1:19">
      <c r="A162" s="126"/>
      <c r="B162" s="127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1"/>
      <c r="R162" s="232"/>
      <c r="S162" s="233"/>
    </row>
    <row r="163" spans="1:19" ht="17.25" thickBot="1">
      <c r="A163" s="128"/>
      <c r="B163" s="129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4"/>
      <c r="R163" s="235"/>
      <c r="S163" s="236"/>
    </row>
    <row r="164" spans="1:19" ht="17.25" thickBot="1">
      <c r="A164" s="128"/>
      <c r="B164" s="129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9"/>
      <c r="R164" s="219"/>
      <c r="S164" s="219"/>
    </row>
    <row r="165" spans="1:19" ht="17.25" thickBot="1">
      <c r="A165" s="128"/>
      <c r="B165" s="129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4"/>
      <c r="R165" s="214"/>
      <c r="S165" s="214"/>
    </row>
    <row r="166" spans="1:19" ht="17.25" thickBot="1">
      <c r="A166" s="130"/>
      <c r="B166" s="131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4"/>
      <c r="R166" s="214"/>
      <c r="S166" s="214"/>
    </row>
    <row r="167" spans="1:19" ht="17.25" thickBot="1">
      <c r="A167" s="128"/>
      <c r="B167" s="132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9"/>
      <c r="R167" s="219"/>
      <c r="S167" s="219"/>
    </row>
    <row r="168" spans="1:19" ht="17.25" thickBot="1">
      <c r="A168" s="128"/>
      <c r="B168" s="129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9"/>
      <c r="R168" s="219"/>
      <c r="S168" s="219"/>
    </row>
    <row r="169" spans="1:19" ht="17.25" thickBot="1">
      <c r="A169" s="128"/>
      <c r="B169" s="129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9"/>
      <c r="R169" s="219"/>
      <c r="S169" s="219"/>
    </row>
    <row r="170" spans="1:19">
      <c r="A170" s="128"/>
      <c r="B170" s="129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1"/>
      <c r="R170" s="242"/>
      <c r="S170" s="243"/>
    </row>
    <row r="171" spans="1:19" ht="17.25" thickBot="1">
      <c r="A171" s="133"/>
      <c r="B171" s="134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4"/>
      <c r="R171" s="245"/>
      <c r="S171" s="246"/>
    </row>
    <row r="172" spans="1:19" ht="17.25" thickBot="1">
      <c r="A172" s="135" t="s">
        <v>301</v>
      </c>
      <c r="B172" s="252">
        <f>$B$37</f>
        <v>150000</v>
      </c>
      <c r="C172" s="253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47"/>
      <c r="R172" s="248"/>
      <c r="S172" s="249"/>
    </row>
    <row r="174" spans="1:19" ht="17.25" thickBot="1"/>
    <row r="175" spans="1:19" ht="17.25" thickBot="1">
      <c r="A175" s="193" t="s">
        <v>285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16" t="s">
        <v>298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72158000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9.1322285000000007E-3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2021-05-01(토) 오전 00:00</v>
      </c>
      <c r="C177" s="257"/>
      <c r="D177" s="216" t="str">
        <f>TEXT($G$1, "[$-ko-KR]yyyy-mm-dd(ddd) ") &amp; "오후 14:00"</f>
        <v>2021-05-01(토) 오후 14:00</v>
      </c>
      <c r="E177" s="217"/>
      <c r="F177" s="218"/>
      <c r="G177" s="216" t="str">
        <f>TEXT($G$1, "[$-ko-KR]yyyy-mm-dd(ddd) ") &amp; "오후 19:00"</f>
        <v>2021-05-01(토) 오후 19:00</v>
      </c>
      <c r="H177" s="217"/>
      <c r="I177" s="218"/>
      <c r="J177" s="216" t="str">
        <f>TEXT($G$1, "[$-ko-KR]yyyy-mm-dd(ddd) ") &amp; "오후 21:00"</f>
        <v>2021-05-01(토) 오후 21:00</v>
      </c>
      <c r="K177" s="217"/>
      <c r="L177" s="218"/>
      <c r="M177" s="216" t="str">
        <f>TEXT($G$1+1, "[$-ko-KR]yyyy-mm-dd(ddd) ") &amp; "오전 00:00"</f>
        <v>2021-05-02(일)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219"/>
      <c r="R178" s="219"/>
      <c r="S178" s="219"/>
    </row>
    <row r="179" spans="1:19" ht="17.25" thickBot="1">
      <c r="A179" s="126"/>
      <c r="B179" s="127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4"/>
      <c r="R179" s="214"/>
      <c r="S179" s="214"/>
    </row>
    <row r="180" spans="1:19" ht="17.25" thickBot="1">
      <c r="A180" s="128"/>
      <c r="B180" s="129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4"/>
      <c r="R180" s="214"/>
      <c r="S180" s="214"/>
    </row>
    <row r="181" spans="1:19" ht="17.25" thickBot="1">
      <c r="A181" s="128"/>
      <c r="B181" s="129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9"/>
      <c r="R181" s="219"/>
      <c r="S181" s="219"/>
    </row>
    <row r="182" spans="1:19" ht="17.25" thickBot="1">
      <c r="A182" s="128"/>
      <c r="B182" s="129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9"/>
      <c r="R182" s="219"/>
      <c r="S182" s="219"/>
    </row>
    <row r="183" spans="1:19" ht="17.25" thickBot="1">
      <c r="A183" s="130"/>
      <c r="B183" s="131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9"/>
      <c r="R183" s="219"/>
      <c r="S183" s="219"/>
    </row>
    <row r="184" spans="1:19" ht="17.25" thickBot="1">
      <c r="A184" s="128"/>
      <c r="B184" s="132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9"/>
      <c r="R184" s="219"/>
      <c r="S184" s="219"/>
    </row>
    <row r="185" spans="1:19" ht="17.25" thickBot="1">
      <c r="A185" s="128"/>
      <c r="B185" s="129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9"/>
      <c r="R185" s="219"/>
      <c r="S185" s="219"/>
    </row>
    <row r="186" spans="1:19" ht="17.25" thickBot="1">
      <c r="A186" s="128"/>
      <c r="B186" s="129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9"/>
      <c r="R186" s="219"/>
      <c r="S186" s="219"/>
    </row>
    <row r="187" spans="1:19" ht="17.25" thickBot="1">
      <c r="A187" s="128"/>
      <c r="B187" s="129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3"/>
      <c r="B188" s="134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8"/>
      <c r="R188" s="229"/>
      <c r="S188" s="230"/>
    </row>
    <row r="189" spans="1:19">
      <c r="A189" s="126"/>
      <c r="B189" s="127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1"/>
      <c r="R189" s="232"/>
      <c r="S189" s="233"/>
    </row>
    <row r="190" spans="1:19" ht="17.25" thickBot="1">
      <c r="A190" s="128"/>
      <c r="B190" s="129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4"/>
      <c r="R190" s="235"/>
      <c r="S190" s="236"/>
    </row>
    <row r="191" spans="1:19" ht="17.25" thickBot="1">
      <c r="A191" s="128"/>
      <c r="B191" s="129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9"/>
      <c r="R191" s="219"/>
      <c r="S191" s="219"/>
    </row>
    <row r="192" spans="1:19" ht="17.25" thickBot="1">
      <c r="A192" s="128"/>
      <c r="B192" s="129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4"/>
      <c r="R192" s="214"/>
      <c r="S192" s="214"/>
    </row>
    <row r="193" spans="1:19" ht="17.25" thickBot="1">
      <c r="A193" s="130"/>
      <c r="B193" s="131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4"/>
      <c r="R193" s="214"/>
      <c r="S193" s="214"/>
    </row>
    <row r="194" spans="1:19" ht="17.25" thickBot="1">
      <c r="A194" s="128"/>
      <c r="B194" s="132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9"/>
      <c r="R194" s="219"/>
      <c r="S194" s="219"/>
    </row>
    <row r="195" spans="1:19" ht="17.25" thickBot="1">
      <c r="A195" s="128"/>
      <c r="B195" s="129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9"/>
      <c r="R195" s="219"/>
      <c r="S195" s="219"/>
    </row>
    <row r="196" spans="1:19" ht="17.25" thickBot="1">
      <c r="A196" s="128"/>
      <c r="B196" s="129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9"/>
      <c r="R196" s="219"/>
      <c r="S196" s="219"/>
    </row>
    <row r="197" spans="1:19">
      <c r="A197" s="128"/>
      <c r="B197" s="129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1"/>
      <c r="R197" s="242"/>
      <c r="S197" s="243"/>
    </row>
    <row r="198" spans="1:19" ht="17.25" thickBot="1">
      <c r="A198" s="133"/>
      <c r="B198" s="134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4"/>
      <c r="R198" s="245"/>
      <c r="S198" s="246"/>
    </row>
    <row r="199" spans="1:19" ht="17.25" thickBot="1">
      <c r="A199" s="135" t="s">
        <v>301</v>
      </c>
      <c r="B199" s="252">
        <f>$B$37</f>
        <v>150000</v>
      </c>
      <c r="C199" s="253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47"/>
      <c r="R199" s="248"/>
      <c r="S199" s="249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220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20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20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20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20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20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20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20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20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20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99" priority="289">
      <formula>AND($N17 &gt; 0, ISNUMBER($N17))</formula>
    </cfRule>
    <cfRule type="expression" dxfId="2198" priority="290">
      <formula>AND($N17 = 0 * ISNUMBER($N17))</formula>
    </cfRule>
    <cfRule type="expression" dxfId="2197" priority="291">
      <formula>AND($N17 &lt; 0, ISNUMBER($N17))</formula>
    </cfRule>
  </conditionalFormatting>
  <conditionalFormatting sqref="A17:C36 D17:F36">
    <cfRule type="expression" dxfId="2196" priority="298">
      <formula>AND($E17 &gt; 0, ISNUMBER($E17))</formula>
    </cfRule>
    <cfRule type="expression" dxfId="2195" priority="299">
      <formula>AND($E17 = 0 * ISNUMBER($E17))</formula>
    </cfRule>
    <cfRule type="expression" dxfId="2194" priority="300">
      <formula>AND($E17 &lt; 0, ISNUMBER($E17))</formula>
    </cfRule>
  </conditionalFormatting>
  <conditionalFormatting sqref="A17:C36 G17:I36">
    <cfRule type="expression" dxfId="2193" priority="295">
      <formula>AND($H17 &gt; 0, ISNUMBER($H17))</formula>
    </cfRule>
    <cfRule type="expression" dxfId="2192" priority="296">
      <formula>AND($H17 = 0 * ISNUMBER($H17))</formula>
    </cfRule>
    <cfRule type="expression" dxfId="2191" priority="297">
      <formula>AND($H17 &lt; 0, ISNUMBER($H17))</formula>
    </cfRule>
  </conditionalFormatting>
  <conditionalFormatting sqref="A17:C36 J17:L36">
    <cfRule type="expression" dxfId="2190" priority="292">
      <formula>AND($K17 &gt; 0, ISNUMBER($K17))</formula>
    </cfRule>
    <cfRule type="expression" dxfId="2189" priority="293">
      <formula>AND($K17 = 0 * ISNUMBER($K17))</formula>
    </cfRule>
    <cfRule type="expression" dxfId="2188" priority="294">
      <formula>AND($K17 &lt; 0, ISNUMBER($K17))</formula>
    </cfRule>
  </conditionalFormatting>
  <conditionalFormatting sqref="D15:F16 E37:F37">
    <cfRule type="expression" dxfId="2187" priority="286">
      <formula>$E$37 &gt; 0</formula>
    </cfRule>
    <cfRule type="expression" dxfId="2186" priority="287">
      <formula>$E$37 = 0</formula>
    </cfRule>
    <cfRule type="expression" dxfId="2185" priority="288">
      <formula>$E$37 &lt; 0</formula>
    </cfRule>
  </conditionalFormatting>
  <conditionalFormatting sqref="G15:I16 H37:I37">
    <cfRule type="expression" dxfId="2184" priority="283">
      <formula>$H$37 &gt; 0</formula>
    </cfRule>
    <cfRule type="expression" dxfId="2183" priority="284">
      <formula>$H$37 = 0</formula>
    </cfRule>
    <cfRule type="expression" dxfId="2182" priority="285">
      <formula>$H$37 &lt; 0</formula>
    </cfRule>
  </conditionalFormatting>
  <conditionalFormatting sqref="J15:L16 K37:L37">
    <cfRule type="expression" dxfId="2181" priority="280">
      <formula>$K$37 &gt; 0</formula>
    </cfRule>
    <cfRule type="expression" dxfId="2180" priority="281">
      <formula>$K$37 = 0</formula>
    </cfRule>
    <cfRule type="expression" dxfId="2179" priority="282">
      <formula>$K$37 &lt; 0</formula>
    </cfRule>
  </conditionalFormatting>
  <conditionalFormatting sqref="M15:O16 N37:O37">
    <cfRule type="expression" dxfId="2178" priority="277">
      <formula>$N$37 &gt; 0</formula>
    </cfRule>
    <cfRule type="expression" dxfId="2177" priority="278">
      <formula>$N$37 = 0</formula>
    </cfRule>
    <cfRule type="expression" dxfId="2176" priority="279">
      <formula>$N$37 &lt; 0</formula>
    </cfRule>
  </conditionalFormatting>
  <conditionalFormatting sqref="A44:C63 M44:O63">
    <cfRule type="expression" dxfId="2175" priority="265">
      <formula>AND($N44 &gt; 0, ISNUMBER($N44))</formula>
    </cfRule>
    <cfRule type="expression" dxfId="2174" priority="266">
      <formula>AND($N44 = 0 * ISNUMBER($N44))</formula>
    </cfRule>
    <cfRule type="expression" dxfId="2173" priority="267">
      <formula>AND($N44 &lt; 0, ISNUMBER($N44))</formula>
    </cfRule>
  </conditionalFormatting>
  <conditionalFormatting sqref="A44:F63">
    <cfRule type="expression" dxfId="2172" priority="274">
      <formula>AND($E44 &gt; 0, ISNUMBER($E44))</formula>
    </cfRule>
    <cfRule type="expression" dxfId="2171" priority="275">
      <formula>AND($E44 = 0 * ISNUMBER($E44))</formula>
    </cfRule>
    <cfRule type="expression" dxfId="2170" priority="276">
      <formula>AND($E44 &lt; 0, ISNUMBER($E44))</formula>
    </cfRule>
  </conditionalFormatting>
  <conditionalFormatting sqref="A44:C63 G44:I63">
    <cfRule type="expression" dxfId="2169" priority="271">
      <formula>AND($H44 &gt; 0, ISNUMBER($H44))</formula>
    </cfRule>
    <cfRule type="expression" dxfId="2168" priority="272">
      <formula>AND($H44 = 0 * ISNUMBER($H44))</formula>
    </cfRule>
    <cfRule type="expression" dxfId="2167" priority="273">
      <formula>AND($H44 &lt; 0, ISNUMBER($H44))</formula>
    </cfRule>
  </conditionalFormatting>
  <conditionalFormatting sqref="A44:C63 J44:L63">
    <cfRule type="expression" dxfId="2166" priority="268">
      <formula>AND($K44 &gt; 0, ISNUMBER($K44))</formula>
    </cfRule>
    <cfRule type="expression" dxfId="2165" priority="269">
      <formula>AND($K44 = 0 * ISNUMBER($K44))</formula>
    </cfRule>
    <cfRule type="expression" dxfId="2164" priority="270">
      <formula>AND($K44 &lt; 0, ISNUMBER($K44))</formula>
    </cfRule>
  </conditionalFormatting>
  <conditionalFormatting sqref="D42:F43 E64:F64">
    <cfRule type="expression" dxfId="2163" priority="262">
      <formula>$E$64 &gt; 0</formula>
    </cfRule>
    <cfRule type="expression" dxfId="2162" priority="263">
      <formula>$E$64 = 0</formula>
    </cfRule>
    <cfRule type="expression" dxfId="2161" priority="264">
      <formula>$E$64 &lt; 0</formula>
    </cfRule>
  </conditionalFormatting>
  <conditionalFormatting sqref="G42:I43 H64:I64">
    <cfRule type="expression" dxfId="2160" priority="259">
      <formula>$H$64 &gt; 0</formula>
    </cfRule>
    <cfRule type="expression" dxfId="2159" priority="260">
      <formula>$H$64 = 0</formula>
    </cfRule>
    <cfRule type="expression" dxfId="2158" priority="261">
      <formula>$H$64 &lt; 0</formula>
    </cfRule>
  </conditionalFormatting>
  <conditionalFormatting sqref="J42:L43 K64:L64">
    <cfRule type="expression" dxfId="2157" priority="256">
      <formula>$K$64 &gt; 0</formula>
    </cfRule>
    <cfRule type="expression" dxfId="2156" priority="257">
      <formula>$K$64 = 0</formula>
    </cfRule>
    <cfRule type="expression" dxfId="2155" priority="258">
      <formula>$K$64 &lt; 0</formula>
    </cfRule>
  </conditionalFormatting>
  <conditionalFormatting sqref="M42:O43 N64:O64">
    <cfRule type="expression" dxfId="2154" priority="253">
      <formula>$N$64 &gt; 0</formula>
    </cfRule>
    <cfRule type="expression" dxfId="2153" priority="254">
      <formula>$N$64 = 0</formula>
    </cfRule>
    <cfRule type="expression" dxfId="2152" priority="255">
      <formula>$N$64 &lt; 0</formula>
    </cfRule>
  </conditionalFormatting>
  <conditionalFormatting sqref="A71:C90 M71:O90">
    <cfRule type="expression" dxfId="2151" priority="109">
      <formula>AND($N71 &gt; 0, ISNUMBER($N71))</formula>
    </cfRule>
    <cfRule type="expression" dxfId="2150" priority="110">
      <formula>AND($N71 = 0 * ISNUMBER($N71))</formula>
    </cfRule>
    <cfRule type="expression" dxfId="2149" priority="111">
      <formula>AND($N71 &lt; 0, ISNUMBER($N71))</formula>
    </cfRule>
  </conditionalFormatting>
  <conditionalFormatting sqref="A71:F90">
    <cfRule type="expression" dxfId="2148" priority="118">
      <formula>AND($E71 &gt; 0, ISNUMBER($E71))</formula>
    </cfRule>
    <cfRule type="expression" dxfId="2147" priority="119">
      <formula>AND($E71 = 0 * ISNUMBER($E71))</formula>
    </cfRule>
    <cfRule type="expression" dxfId="2146" priority="120">
      <formula>AND($E71 &lt; 0, ISNUMBER($E71))</formula>
    </cfRule>
  </conditionalFormatting>
  <conditionalFormatting sqref="A71:C90 G71:I90">
    <cfRule type="expression" dxfId="2145" priority="115">
      <formula>AND($H71 &gt; 0, ISNUMBER($H71))</formula>
    </cfRule>
    <cfRule type="expression" dxfId="2144" priority="116">
      <formula>AND($H71 = 0 * ISNUMBER($H71))</formula>
    </cfRule>
    <cfRule type="expression" dxfId="2143" priority="117">
      <formula>AND($H71 &lt; 0, ISNUMBER($H71))</formula>
    </cfRule>
  </conditionalFormatting>
  <conditionalFormatting sqref="A71:C90 J71:L90">
    <cfRule type="expression" dxfId="2142" priority="112">
      <formula>AND($K71 &gt; 0, ISNUMBER($K71))</formula>
    </cfRule>
    <cfRule type="expression" dxfId="2141" priority="113">
      <formula>AND($K71 = 0 * ISNUMBER($K71))</formula>
    </cfRule>
    <cfRule type="expression" dxfId="2140" priority="114">
      <formula>AND($K71 &lt; 0, ISNUMBER($K71))</formula>
    </cfRule>
  </conditionalFormatting>
  <conditionalFormatting sqref="D69:F70 E91:F91">
    <cfRule type="expression" dxfId="2139" priority="106">
      <formula>$E$91 &gt; 0</formula>
    </cfRule>
    <cfRule type="expression" dxfId="2138" priority="107">
      <formula>$E$91 = 0</formula>
    </cfRule>
    <cfRule type="expression" dxfId="2137" priority="108">
      <formula>$E$91 &lt; 0</formula>
    </cfRule>
  </conditionalFormatting>
  <conditionalFormatting sqref="G69:I70 H91:I91">
    <cfRule type="expression" dxfId="2136" priority="103">
      <formula>$H$91 &gt; 0</formula>
    </cfRule>
    <cfRule type="expression" dxfId="2135" priority="104">
      <formula>$H$91 = 0</formula>
    </cfRule>
    <cfRule type="expression" dxfId="2134" priority="105">
      <formula>$H$91 &lt; 0</formula>
    </cfRule>
  </conditionalFormatting>
  <conditionalFormatting sqref="J69:L70 K91:L91">
    <cfRule type="expression" dxfId="2133" priority="100">
      <formula>$K$91 &gt; 0</formula>
    </cfRule>
    <cfRule type="expression" dxfId="2132" priority="101">
      <formula>$K$91 = 0</formula>
    </cfRule>
    <cfRule type="expression" dxfId="2131" priority="102">
      <formula>$K$91 &lt; 0</formula>
    </cfRule>
  </conditionalFormatting>
  <conditionalFormatting sqref="M69:O70 N91:O91">
    <cfRule type="expression" dxfId="2130" priority="97">
      <formula>$N$91 &gt; 0</formula>
    </cfRule>
    <cfRule type="expression" dxfId="2129" priority="98">
      <formula>$N$91 = 0</formula>
    </cfRule>
    <cfRule type="expression" dxfId="2128" priority="99">
      <formula>$N$91 &lt; 0</formula>
    </cfRule>
  </conditionalFormatting>
  <conditionalFormatting sqref="A98:C117 M98:O117">
    <cfRule type="expression" dxfId="2127" priority="85">
      <formula>AND($N98 &gt; 0, ISNUMBER($N98))</formula>
    </cfRule>
    <cfRule type="expression" dxfId="2126" priority="86">
      <formula>AND($N98 = 0 * ISNUMBER($N98))</formula>
    </cfRule>
    <cfRule type="expression" dxfId="2125" priority="87">
      <formula>AND($N98 &lt; 0, ISNUMBER($N98))</formula>
    </cfRule>
  </conditionalFormatting>
  <conditionalFormatting sqref="A98:F117">
    <cfRule type="expression" dxfId="2124" priority="94">
      <formula>AND($E98 &gt; 0, ISNUMBER($E98))</formula>
    </cfRule>
    <cfRule type="expression" dxfId="2123" priority="95">
      <formula>AND($E98 = 0 * ISNUMBER($E98))</formula>
    </cfRule>
    <cfRule type="expression" dxfId="2122" priority="96">
      <formula>AND($E98 &lt; 0, ISNUMBER($E98))</formula>
    </cfRule>
  </conditionalFormatting>
  <conditionalFormatting sqref="A98:C117 G98:I117">
    <cfRule type="expression" dxfId="2121" priority="91">
      <formula>AND($H98 &gt; 0, ISNUMBER($H98))</formula>
    </cfRule>
    <cfRule type="expression" dxfId="2120" priority="92">
      <formula>AND($H98 = 0 * ISNUMBER($H98))</formula>
    </cfRule>
    <cfRule type="expression" dxfId="2119" priority="93">
      <formula>AND($H98 &lt; 0, ISNUMBER($H98))</formula>
    </cfRule>
  </conditionalFormatting>
  <conditionalFormatting sqref="A98:C117 J98:L117">
    <cfRule type="expression" dxfId="2118" priority="88">
      <formula>AND($K98 &gt; 0, ISNUMBER($K98))</formula>
    </cfRule>
    <cfRule type="expression" dxfId="2117" priority="89">
      <formula>AND($K98 = 0 * ISNUMBER($K98))</formula>
    </cfRule>
    <cfRule type="expression" dxfId="2116" priority="90">
      <formula>AND($K98 &lt; 0, ISNUMBER($K98))</formula>
    </cfRule>
  </conditionalFormatting>
  <conditionalFormatting sqref="D96:F97 E118:F118">
    <cfRule type="expression" dxfId="2115" priority="82">
      <formula>$E$118 &gt; 0</formula>
    </cfRule>
    <cfRule type="expression" dxfId="2114" priority="83">
      <formula>$E$118 = 0</formula>
    </cfRule>
    <cfRule type="expression" dxfId="2113" priority="84">
      <formula>$E$118 &lt; 0</formula>
    </cfRule>
  </conditionalFormatting>
  <conditionalFormatting sqref="G96:I97 H118:I118">
    <cfRule type="expression" dxfId="2112" priority="79">
      <formula>$H$118 &gt; 0</formula>
    </cfRule>
    <cfRule type="expression" dxfId="2111" priority="80">
      <formula>$H$118 = 0</formula>
    </cfRule>
    <cfRule type="expression" dxfId="2110" priority="81">
      <formula>$H$118 &lt; 0</formula>
    </cfRule>
  </conditionalFormatting>
  <conditionalFormatting sqref="J96:L97 K118:L118">
    <cfRule type="expression" dxfId="2109" priority="76">
      <formula>$K$118 &gt; 0</formula>
    </cfRule>
    <cfRule type="expression" dxfId="2108" priority="77">
      <formula>$K$118 = 0</formula>
    </cfRule>
    <cfRule type="expression" dxfId="2107" priority="78">
      <formula>$K$118 &lt; 0</formula>
    </cfRule>
  </conditionalFormatting>
  <conditionalFormatting sqref="M96:O97 N118:O118">
    <cfRule type="expression" dxfId="2106" priority="73">
      <formula>$N$118 &gt; 0</formula>
    </cfRule>
    <cfRule type="expression" dxfId="2105" priority="74">
      <formula>$N$118 = 0</formula>
    </cfRule>
    <cfRule type="expression" dxfId="2104" priority="75">
      <formula>$N$118 &lt; 0</formula>
    </cfRule>
  </conditionalFormatting>
  <conditionalFormatting sqref="A125:C144 M125:O144">
    <cfRule type="expression" dxfId="2103" priority="61">
      <formula>AND($N125 &gt; 0, ISNUMBER($N125))</formula>
    </cfRule>
    <cfRule type="expression" dxfId="2102" priority="62">
      <formula>AND($N125 = 0 * ISNUMBER($N125))</formula>
    </cfRule>
    <cfRule type="expression" dxfId="2101" priority="63">
      <formula>AND($N125 &lt; 0, ISNUMBER($N125))</formula>
    </cfRule>
  </conditionalFormatting>
  <conditionalFormatting sqref="A125:F144">
    <cfRule type="expression" dxfId="2100" priority="70">
      <formula>AND($E125 &gt; 0, ISNUMBER($E125))</formula>
    </cfRule>
    <cfRule type="expression" dxfId="2099" priority="71">
      <formula>AND($E125 = 0 * ISNUMBER($E125))</formula>
    </cfRule>
    <cfRule type="expression" dxfId="2098" priority="72">
      <formula>AND($E125 &lt; 0, ISNUMBER($E125))</formula>
    </cfRule>
  </conditionalFormatting>
  <conditionalFormatting sqref="A125:C144 G125:I144">
    <cfRule type="expression" dxfId="2097" priority="67">
      <formula>AND($H125 &gt; 0, ISNUMBER($H125))</formula>
    </cfRule>
    <cfRule type="expression" dxfId="2096" priority="68">
      <formula>AND($H125 = 0 * ISNUMBER($H125))</formula>
    </cfRule>
    <cfRule type="expression" dxfId="2095" priority="69">
      <formula>AND($H125 &lt; 0, ISNUMBER($H125))</formula>
    </cfRule>
  </conditionalFormatting>
  <conditionalFormatting sqref="A125:C144 J125:L144">
    <cfRule type="expression" dxfId="2094" priority="64">
      <formula>AND($K125 &gt; 0, ISNUMBER($K125))</formula>
    </cfRule>
    <cfRule type="expression" dxfId="2093" priority="65">
      <formula>AND($K125 = 0 * ISNUMBER($K125))</formula>
    </cfRule>
    <cfRule type="expression" dxfId="2092" priority="66">
      <formula>AND($K125 &lt; 0, ISNUMBER($K125))</formula>
    </cfRule>
  </conditionalFormatting>
  <conditionalFormatting sqref="D123:F124 E145:F145">
    <cfRule type="expression" dxfId="2091" priority="58">
      <formula>$E$145 &gt; 0</formula>
    </cfRule>
    <cfRule type="expression" dxfId="2090" priority="59">
      <formula>$E$145 = 0</formula>
    </cfRule>
    <cfRule type="expression" dxfId="2089" priority="60">
      <formula>$E$145 &lt; 0</formula>
    </cfRule>
  </conditionalFormatting>
  <conditionalFormatting sqref="G123:I124 H145:I145">
    <cfRule type="expression" dxfId="2088" priority="55">
      <formula>$H$145 &gt; 0</formula>
    </cfRule>
    <cfRule type="expression" dxfId="2087" priority="56">
      <formula>$H$145 = 0</formula>
    </cfRule>
    <cfRule type="expression" dxfId="2086" priority="57">
      <formula>$H$145 &lt; 0</formula>
    </cfRule>
  </conditionalFormatting>
  <conditionalFormatting sqref="J123:L124 K145:L145">
    <cfRule type="expression" dxfId="2085" priority="52">
      <formula>$K$145 &gt; 0</formula>
    </cfRule>
    <cfRule type="expression" dxfId="2084" priority="53">
      <formula>$K$145 = 0</formula>
    </cfRule>
    <cfRule type="expression" dxfId="2083" priority="54">
      <formula>$K$145 &lt; 0</formula>
    </cfRule>
  </conditionalFormatting>
  <conditionalFormatting sqref="M123:O124 N145:O145">
    <cfRule type="expression" dxfId="2082" priority="49">
      <formula>$N$145 &gt; 0</formula>
    </cfRule>
    <cfRule type="expression" dxfId="2081" priority="50">
      <formula>$N$145 = 0</formula>
    </cfRule>
    <cfRule type="expression" dxfId="2080" priority="51">
      <formula>$N$145 &lt; 0</formula>
    </cfRule>
  </conditionalFormatting>
  <conditionalFormatting sqref="A152:C171 M152:O171">
    <cfRule type="expression" dxfId="2079" priority="37">
      <formula>AND($N152 &gt; 0, ISNUMBER($N152))</formula>
    </cfRule>
    <cfRule type="expression" dxfId="2078" priority="38">
      <formula>AND($N152 = 0 * ISNUMBER($N152))</formula>
    </cfRule>
    <cfRule type="expression" dxfId="2077" priority="39">
      <formula>AND($N152 &lt; 0, ISNUMBER($N152))</formula>
    </cfRule>
  </conditionalFormatting>
  <conditionalFormatting sqref="A152:F171">
    <cfRule type="expression" dxfId="2076" priority="46">
      <formula>AND($E152 &gt; 0, ISNUMBER($E152))</formula>
    </cfRule>
    <cfRule type="expression" dxfId="2075" priority="47">
      <formula>AND($E152 = 0 * ISNUMBER($E152))</formula>
    </cfRule>
    <cfRule type="expression" dxfId="2074" priority="48">
      <formula>AND($E152 &lt; 0, ISNUMBER($E152))</formula>
    </cfRule>
  </conditionalFormatting>
  <conditionalFormatting sqref="A152:C171 G152:I171">
    <cfRule type="expression" dxfId="2073" priority="43">
      <formula>AND($H152 &gt; 0, ISNUMBER($H152))</formula>
    </cfRule>
    <cfRule type="expression" dxfId="2072" priority="44">
      <formula>AND($H152 = 0 * ISNUMBER($H152))</formula>
    </cfRule>
    <cfRule type="expression" dxfId="2071" priority="45">
      <formula>AND($H152 &lt; 0, ISNUMBER($H152))</formula>
    </cfRule>
  </conditionalFormatting>
  <conditionalFormatting sqref="A152:C171 J152:L171">
    <cfRule type="expression" dxfId="2070" priority="40">
      <formula>AND($K152 &gt; 0, ISNUMBER($K152))</formula>
    </cfRule>
    <cfRule type="expression" dxfId="2069" priority="41">
      <formula>AND($K152 = 0 * ISNUMBER($K152))</formula>
    </cfRule>
    <cfRule type="expression" dxfId="2068" priority="42">
      <formula>AND($K152 &lt; 0, ISNUMBER($K152))</formula>
    </cfRule>
  </conditionalFormatting>
  <conditionalFormatting sqref="D150:F151 E172:F172">
    <cfRule type="expression" dxfId="2067" priority="34">
      <formula>$E$172 &gt; 0</formula>
    </cfRule>
    <cfRule type="expression" dxfId="2066" priority="35">
      <formula>$E$172 = 0</formula>
    </cfRule>
    <cfRule type="expression" dxfId="2065" priority="36">
      <formula>$E$172 &lt; 0</formula>
    </cfRule>
  </conditionalFormatting>
  <conditionalFormatting sqref="G150:I151 H172:I172">
    <cfRule type="expression" dxfId="2064" priority="31">
      <formula>$H$172 &gt; 0</formula>
    </cfRule>
    <cfRule type="expression" dxfId="2063" priority="32">
      <formula>$H$172 = 0</formula>
    </cfRule>
    <cfRule type="expression" dxfId="2062" priority="33">
      <formula>$H$172 &lt; 0</formula>
    </cfRule>
  </conditionalFormatting>
  <conditionalFormatting sqref="J150:L151 K172:L172">
    <cfRule type="expression" dxfId="2061" priority="28">
      <formula>$K$172 &gt; 0</formula>
    </cfRule>
    <cfRule type="expression" dxfId="2060" priority="29">
      <formula>$K$172 = 0</formula>
    </cfRule>
    <cfRule type="expression" dxfId="2059" priority="30">
      <formula>$K$172 &lt; 0</formula>
    </cfRule>
  </conditionalFormatting>
  <conditionalFormatting sqref="M150:O151 N172:O172">
    <cfRule type="expression" dxfId="2058" priority="25">
      <formula>$N$172 &gt; 0</formula>
    </cfRule>
    <cfRule type="expression" dxfId="2057" priority="26">
      <formula>$N$172 = 0</formula>
    </cfRule>
    <cfRule type="expression" dxfId="2056" priority="27">
      <formula>$N$172 &lt; 0</formula>
    </cfRule>
  </conditionalFormatting>
  <conditionalFormatting sqref="A179:C198 M179:O198">
    <cfRule type="expression" dxfId="2055" priority="13">
      <formula>AND($N179 &gt; 0, ISNUMBER($N179))</formula>
    </cfRule>
    <cfRule type="expression" dxfId="2054" priority="14">
      <formula>AND($N179 = 0 * ISNUMBER($N179))</formula>
    </cfRule>
    <cfRule type="expression" dxfId="2053" priority="15">
      <formula>AND($N179 &lt; 0, ISNUMBER($N179))</formula>
    </cfRule>
  </conditionalFormatting>
  <conditionalFormatting sqref="A179:F198">
    <cfRule type="expression" dxfId="2052" priority="22">
      <formula>AND($E179 &gt; 0, ISNUMBER($E179))</formula>
    </cfRule>
    <cfRule type="expression" dxfId="2051" priority="23">
      <formula>AND($E179 = 0 * ISNUMBER($E179))</formula>
    </cfRule>
    <cfRule type="expression" dxfId="2050" priority="24">
      <formula>AND($E179 &lt; 0, ISNUMBER($E179))</formula>
    </cfRule>
  </conditionalFormatting>
  <conditionalFormatting sqref="A179:C198 G179:I198">
    <cfRule type="expression" dxfId="2049" priority="19">
      <formula>AND($H179 &gt; 0, ISNUMBER($H179))</formula>
    </cfRule>
    <cfRule type="expression" dxfId="2048" priority="20">
      <formula>AND($H179 = 0 * ISNUMBER($H179))</formula>
    </cfRule>
    <cfRule type="expression" dxfId="2047" priority="21">
      <formula>AND($H179 &lt; 0, ISNUMBER($H179))</formula>
    </cfRule>
  </conditionalFormatting>
  <conditionalFormatting sqref="A179:C198 J179:L198">
    <cfRule type="expression" dxfId="2046" priority="16">
      <formula>AND($K179 &gt; 0, ISNUMBER($K179))</formula>
    </cfRule>
    <cfRule type="expression" dxfId="2045" priority="17">
      <formula>AND($K179 = 0 * ISNUMBER($K179))</formula>
    </cfRule>
    <cfRule type="expression" dxfId="2044" priority="18">
      <formula>AND($K179 &lt; 0, ISNUMBER($K179))</formula>
    </cfRule>
  </conditionalFormatting>
  <conditionalFormatting sqref="D177:F178 E199:F199">
    <cfRule type="expression" dxfId="2043" priority="10">
      <formula>$E$199 &gt; 0</formula>
    </cfRule>
    <cfRule type="expression" dxfId="2042" priority="11">
      <formula>$E$199 = 0</formula>
    </cfRule>
    <cfRule type="expression" dxfId="2041" priority="12">
      <formula>$E$199 &lt; 0</formula>
    </cfRule>
  </conditionalFormatting>
  <conditionalFormatting sqref="G177:I178 H199:I199">
    <cfRule type="expression" dxfId="2040" priority="7">
      <formula>$H$199 &gt; 0</formula>
    </cfRule>
    <cfRule type="expression" dxfId="2039" priority="8">
      <formula>$H$199 = 0</formula>
    </cfRule>
    <cfRule type="expression" dxfId="2038" priority="9">
      <formula>$H$199 &lt; 0</formula>
    </cfRule>
  </conditionalFormatting>
  <conditionalFormatting sqref="J177:L178 K199:L199">
    <cfRule type="expression" dxfId="2037" priority="4">
      <formula>$K$199 &gt; 0</formula>
    </cfRule>
    <cfRule type="expression" dxfId="2036" priority="5">
      <formula>$K$199 = 0</formula>
    </cfRule>
    <cfRule type="expression" dxfId="2035" priority="6">
      <formula>$K$199 &lt; 0</formula>
    </cfRule>
  </conditionalFormatting>
  <conditionalFormatting sqref="M177:O178 N199:O199">
    <cfRule type="expression" dxfId="2034" priority="1">
      <formula>$N$199 &gt; 0</formula>
    </cfRule>
    <cfRule type="expression" dxfId="2033" priority="2">
      <formula>$N$199 = 0</formula>
    </cfRule>
    <cfRule type="expression" dxfId="203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50</v>
      </c>
      <c r="B2" s="11" t="s">
        <v>51</v>
      </c>
      <c r="C2" s="95">
        <v>897</v>
      </c>
      <c r="D2" s="92">
        <v>0.16493506490000001</v>
      </c>
      <c r="E2" s="93">
        <v>860420131.83293164</v>
      </c>
      <c r="F2" s="35"/>
      <c r="G2" s="54"/>
      <c r="H2" s="35"/>
      <c r="I2" s="35"/>
    </row>
    <row r="3" spans="1:18" ht="17.25" thickBot="1">
      <c r="A3" s="40" t="s">
        <v>163</v>
      </c>
      <c r="B3" s="11" t="s">
        <v>164</v>
      </c>
      <c r="C3" s="95">
        <v>44290</v>
      </c>
      <c r="D3" s="92">
        <v>0.14267285860000001</v>
      </c>
      <c r="E3" s="93">
        <v>6849254.1821326502</v>
      </c>
      <c r="F3" s="35"/>
      <c r="G3" s="254" t="s">
        <v>290</v>
      </c>
      <c r="H3" s="266" t="s">
        <v>403</v>
      </c>
      <c r="I3" s="266"/>
      <c r="K3" s="193" t="s">
        <v>34</v>
      </c>
      <c r="L3" s="194"/>
      <c r="M3" s="194"/>
      <c r="N3" s="195"/>
      <c r="O3" s="193" t="s">
        <v>292</v>
      </c>
      <c r="P3" s="194"/>
      <c r="Q3" s="194"/>
      <c r="R3" s="195"/>
    </row>
    <row r="4" spans="1:18" ht="17.25" thickBot="1">
      <c r="A4" s="40" t="s">
        <v>241</v>
      </c>
      <c r="B4" s="11" t="s">
        <v>242</v>
      </c>
      <c r="C4" s="95">
        <v>11200</v>
      </c>
      <c r="D4" s="92">
        <v>0.1045364892</v>
      </c>
      <c r="E4" s="93">
        <v>30915313.42977852</v>
      </c>
      <c r="F4" s="35"/>
      <c r="G4" s="255"/>
      <c r="H4" s="267"/>
      <c r="I4" s="267"/>
      <c r="K4" s="258" t="s">
        <v>55</v>
      </c>
      <c r="L4" s="270">
        <f ca="1">NOW()</f>
        <v>44326.912283217593</v>
      </c>
      <c r="M4" s="271"/>
      <c r="N4" s="272"/>
      <c r="O4" s="261" t="s">
        <v>55</v>
      </c>
      <c r="P4" s="270">
        <f ca="1">NOW()</f>
        <v>44326.912283217593</v>
      </c>
      <c r="Q4" s="271"/>
      <c r="R4" s="272"/>
    </row>
    <row r="5" spans="1:18" ht="17.25" thickBot="1">
      <c r="A5" s="40" t="s">
        <v>167</v>
      </c>
      <c r="B5" s="11" t="s">
        <v>168</v>
      </c>
      <c r="C5" s="95">
        <v>261</v>
      </c>
      <c r="D5" s="92">
        <v>8.7499999999999994E-2</v>
      </c>
      <c r="E5" s="93">
        <v>758231992.44971585</v>
      </c>
      <c r="F5" s="35"/>
      <c r="K5" s="255"/>
      <c r="L5" s="36" t="s">
        <v>58</v>
      </c>
      <c r="M5" s="73" t="s">
        <v>59</v>
      </c>
      <c r="N5" s="69" t="s">
        <v>294</v>
      </c>
      <c r="O5" s="255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117</v>
      </c>
      <c r="B6" s="11" t="s">
        <v>118</v>
      </c>
      <c r="C6" s="95">
        <v>8215</v>
      </c>
      <c r="D6" s="92">
        <v>8.7359364699999997E-2</v>
      </c>
      <c r="E6" s="93">
        <v>4071499.41276694</v>
      </c>
      <c r="F6" s="35"/>
      <c r="G6" s="193" t="s">
        <v>52</v>
      </c>
      <c r="H6" s="194"/>
      <c r="I6" s="195"/>
      <c r="K6" s="55" t="str">
        <f ca="1">IFERROR(OFFSET(INDIRECT($H$3 &amp; "!A17"), 0, 0), "")</f>
        <v>모스코인</v>
      </c>
      <c r="L6" s="38">
        <f t="shared" ref="L6:L24" ca="1" si="0">_xlfn.IFNA(VLOOKUP(K6, $B$2:$E$200, 2, FALSE), "")</f>
        <v>177</v>
      </c>
      <c r="M6" s="76">
        <f t="shared" ref="M6:M25" ca="1" si="1">_xlfn.IFNA(VLOOKUP(K6, $B$2:$E$200, 3, FALSE), "")</f>
        <v>-3.8043478300000003E-2</v>
      </c>
      <c r="N6" s="85">
        <f ca="1">_xlfn.IFNA(VLOOKUP(K6, $B$2:$E$200, 4, FALSE), "")</f>
        <v>38954956.834313013</v>
      </c>
      <c r="O6" s="46" t="str">
        <f>INDEX($A$2:$D$200, MATCH(LARGE($D$2:$D$200, 1), $D$2:$D$200, 0), 2)</f>
        <v>스텔라루멘</v>
      </c>
      <c r="P6" s="38">
        <f t="shared" ref="P6:P25" si="2">_xlfn.IFNA(VLOOKUP(O6, $B$2:$D$200, 2, FALSE), "")</f>
        <v>897</v>
      </c>
      <c r="Q6" s="76">
        <f t="shared" ref="Q6:Q25" si="3">_xlfn.IFNA(VLOOKUP(O6, $B$2:$D$200, 3, FALSE), "")</f>
        <v>0.16493506490000001</v>
      </c>
      <c r="R6" s="85">
        <f>_xlfn.IFNA(VLOOKUP(O6, $B$2:$E$200, 4, FALSE), "")</f>
        <v>860420131.83293164</v>
      </c>
    </row>
    <row r="7" spans="1:18">
      <c r="A7" s="40" t="s">
        <v>95</v>
      </c>
      <c r="B7" s="11" t="s">
        <v>96</v>
      </c>
      <c r="C7" s="95">
        <v>5192000</v>
      </c>
      <c r="D7" s="92">
        <v>7.8969243600000003E-2</v>
      </c>
      <c r="E7" s="93">
        <v>174212.61377137</v>
      </c>
      <c r="F7" s="35"/>
      <c r="G7" s="202" t="s">
        <v>36</v>
      </c>
      <c r="H7" s="203"/>
      <c r="I7" s="204"/>
      <c r="K7" s="56" t="str">
        <f ca="1">IFERROR(OFFSET(INDIRECT($H$3 &amp; "!A17"), 1, 0), "")</f>
        <v>마로</v>
      </c>
      <c r="L7" s="39">
        <f t="shared" ca="1" si="0"/>
        <v>477</v>
      </c>
      <c r="M7" s="77">
        <f t="shared" ca="1" si="1"/>
        <v>-3.0487804899999998E-2</v>
      </c>
      <c r="N7" s="86">
        <f t="shared" ref="N7:N25" ca="1" si="4">_xlfn.IFNA(VLOOKUP(K7, $B$2:$E$200, 4, FALSE), "")</f>
        <v>33658470.579479948</v>
      </c>
      <c r="O7" s="47" t="str">
        <f>INDEX($A$2:$D$200, MATCH(LARGE($D$2:$D$200, 2), $D$2:$D$200, 0), 2)</f>
        <v>웨이브</v>
      </c>
      <c r="P7" s="39">
        <f t="shared" si="2"/>
        <v>44290</v>
      </c>
      <c r="Q7" s="77">
        <f t="shared" si="3"/>
        <v>0.14267285860000001</v>
      </c>
      <c r="R7" s="86">
        <f t="shared" ref="R7:R25" si="5">_xlfn.IFNA(VLOOKUP(O7, $B$2:$E$200, 4, FALSE), "")</f>
        <v>6849254.1821326502</v>
      </c>
    </row>
    <row r="8" spans="1:18" ht="17.25" thickBot="1">
      <c r="A8" s="40" t="s">
        <v>169</v>
      </c>
      <c r="B8" s="11" t="s">
        <v>170</v>
      </c>
      <c r="C8" s="95">
        <v>588</v>
      </c>
      <c r="D8" s="92">
        <v>6.3291139199999999E-2</v>
      </c>
      <c r="E8" s="93">
        <v>33487978.928860281</v>
      </c>
      <c r="F8" s="35"/>
      <c r="G8" s="208"/>
      <c r="H8" s="209"/>
      <c r="I8" s="210"/>
      <c r="K8" s="56" t="str">
        <f ca="1">IFERROR(OFFSET(INDIRECT($H$3 &amp; "!A17"), 2, 0), "")</f>
        <v>비체인</v>
      </c>
      <c r="L8" s="39">
        <f t="shared" ca="1" si="0"/>
        <v>278</v>
      </c>
      <c r="M8" s="77">
        <f t="shared" ca="1" si="1"/>
        <v>-2.7972027999999999E-2</v>
      </c>
      <c r="N8" s="86">
        <f t="shared" ca="1" si="4"/>
        <v>505482663.27365595</v>
      </c>
      <c r="O8" s="47" t="str">
        <f>INDEX($A$2:$D$200, MATCH(LARGE($D$2:$D$200, 3), $D$2:$D$200, 0), 2)</f>
        <v>리스크</v>
      </c>
      <c r="P8" s="39">
        <f t="shared" si="2"/>
        <v>11200</v>
      </c>
      <c r="Q8" s="77">
        <f t="shared" si="3"/>
        <v>0.1045364892</v>
      </c>
      <c r="R8" s="86">
        <f t="shared" si="5"/>
        <v>30915313.42977852</v>
      </c>
    </row>
    <row r="9" spans="1:18" ht="17.25" thickBot="1">
      <c r="A9" s="40" t="s">
        <v>139</v>
      </c>
      <c r="B9" s="11" t="s">
        <v>140</v>
      </c>
      <c r="C9" s="95">
        <v>4370</v>
      </c>
      <c r="D9" s="92">
        <v>5.8111380099999999E-2</v>
      </c>
      <c r="E9" s="93">
        <v>2243424.93580592</v>
      </c>
      <c r="F9" s="35"/>
      <c r="G9" s="9" t="s">
        <v>38</v>
      </c>
      <c r="H9" s="194" t="s">
        <v>37</v>
      </c>
      <c r="I9" s="195"/>
      <c r="K9" s="56" t="str">
        <f ca="1">IFERROR(OFFSET(INDIRECT($H$3 &amp; "!A17"), 3, 0), "")</f>
        <v>스텔라루멘</v>
      </c>
      <c r="L9" s="39">
        <f t="shared" ca="1" si="0"/>
        <v>897</v>
      </c>
      <c r="M9" s="77">
        <f t="shared" ca="1" si="1"/>
        <v>0.16493506490000001</v>
      </c>
      <c r="N9" s="86">
        <f t="shared" ca="1" si="4"/>
        <v>860420131.83293164</v>
      </c>
      <c r="O9" s="47" t="str">
        <f>INDEX($A$2:$D$200, MATCH(LARGE($D$2:$D$200, 4), $D$2:$D$200, 0), 2)</f>
        <v>스테이터스네트워크토큰</v>
      </c>
      <c r="P9" s="39">
        <f t="shared" si="2"/>
        <v>261</v>
      </c>
      <c r="Q9" s="77">
        <f t="shared" si="3"/>
        <v>8.7499999999999994E-2</v>
      </c>
      <c r="R9" s="86">
        <f t="shared" si="5"/>
        <v>758231992.44971585</v>
      </c>
    </row>
    <row r="10" spans="1:18">
      <c r="A10" s="40" t="s">
        <v>215</v>
      </c>
      <c r="B10" s="11" t="s">
        <v>216</v>
      </c>
      <c r="C10" s="95">
        <v>532</v>
      </c>
      <c r="D10" s="92">
        <v>5.7654075499999999E-2</v>
      </c>
      <c r="E10" s="93">
        <v>33474020.686380848</v>
      </c>
      <c r="F10" s="35"/>
      <c r="G10" s="268">
        <f>_xlfn.IFNA(VLOOKUP(G7, $B$2:$D$200, 3, FALSE), "-")</f>
        <v>9.1322285000000007E-3</v>
      </c>
      <c r="H10" s="262">
        <f>_xlfn.IFNA(VLOOKUP(G7, $B$2:$D$200, 2, FALSE), "-")</f>
        <v>72158000</v>
      </c>
      <c r="I10" s="263"/>
      <c r="K10" s="58" t="str">
        <f ca="1">IFERROR(OFFSET(INDIRECT($H$3 &amp; "!A17"), 4, 0), "")</f>
        <v>플레이댑</v>
      </c>
      <c r="L10" s="44">
        <f t="shared" ca="1" si="0"/>
        <v>494</v>
      </c>
      <c r="M10" s="78">
        <f t="shared" ca="1" si="1"/>
        <v>-2.1782178199999998E-2</v>
      </c>
      <c r="N10" s="90">
        <f t="shared" ca="1" si="4"/>
        <v>8158316.6001805896</v>
      </c>
      <c r="O10" s="47" t="str">
        <f>INDEX($A$2:$D$200, MATCH(LARGE($D$2:$D$200, 5), $D$2:$D$200, 0), 2)</f>
        <v>카바</v>
      </c>
      <c r="P10" s="39">
        <f t="shared" si="2"/>
        <v>8215</v>
      </c>
      <c r="Q10" s="77">
        <f t="shared" si="3"/>
        <v>8.7359364699999997E-2</v>
      </c>
      <c r="R10" s="90">
        <f t="shared" si="5"/>
        <v>4071499.41276694</v>
      </c>
    </row>
    <row r="11" spans="1:18" ht="17.25" thickBot="1">
      <c r="A11" s="40" t="s">
        <v>109</v>
      </c>
      <c r="B11" s="11" t="s">
        <v>110</v>
      </c>
      <c r="C11" s="95">
        <v>3420</v>
      </c>
      <c r="D11" s="92">
        <v>5.5555555600000001E-2</v>
      </c>
      <c r="E11" s="93">
        <v>13698326.31032549</v>
      </c>
      <c r="F11" s="35"/>
      <c r="G11" s="269"/>
      <c r="H11" s="264"/>
      <c r="I11" s="265"/>
      <c r="K11" s="56" t="str">
        <f ca="1">IFERROR(OFFSET(INDIRECT($H$3 &amp; "!A17"), 5, 0), "")</f>
        <v>앵커</v>
      </c>
      <c r="L11" s="39">
        <f t="shared" ca="1" si="0"/>
        <v>194</v>
      </c>
      <c r="M11" s="77">
        <f t="shared" ca="1" si="1"/>
        <v>-5.1282050999999999E-3</v>
      </c>
      <c r="N11" s="99">
        <f t="shared" ca="1" si="4"/>
        <v>60107359.287693202</v>
      </c>
      <c r="O11" s="49" t="str">
        <f>INDEX($A$2:$D$200, MATCH(LARGE($D$2:$D$200, 6), $D$2:$D$200, 0), 2)</f>
        <v>이더리움</v>
      </c>
      <c r="P11" s="45">
        <f t="shared" si="2"/>
        <v>5192000</v>
      </c>
      <c r="Q11" s="80">
        <f t="shared" si="3"/>
        <v>7.8969243600000003E-2</v>
      </c>
      <c r="R11" s="99">
        <f t="shared" si="5"/>
        <v>174212.61377137</v>
      </c>
    </row>
    <row r="12" spans="1:18" ht="17.25" thickBot="1">
      <c r="A12" s="40" t="s">
        <v>227</v>
      </c>
      <c r="B12" s="11" t="s">
        <v>228</v>
      </c>
      <c r="C12" s="95">
        <v>18.399999999999999</v>
      </c>
      <c r="D12" s="92">
        <v>4.5454545499999999E-2</v>
      </c>
      <c r="E12" s="93">
        <v>2868073234.6391463</v>
      </c>
      <c r="F12" s="35"/>
      <c r="K12" s="56" t="str">
        <f ca="1">IFERROR(OFFSET(INDIRECT($H$3 &amp; "!A17"), 6, 0), "")</f>
        <v>트론</v>
      </c>
      <c r="L12" s="39">
        <f t="shared" ca="1" si="0"/>
        <v>177</v>
      </c>
      <c r="M12" s="77">
        <f t="shared" ca="1" si="1"/>
        <v>1.14285714E-2</v>
      </c>
      <c r="N12" s="86">
        <f t="shared" ca="1" si="4"/>
        <v>556978391.79204321</v>
      </c>
      <c r="O12" s="47" t="str">
        <f>INDEX($A$2:$D$200, MATCH(LARGE($D$2:$D$200, 7), $D$2:$D$200, 0), 2)</f>
        <v>엘프</v>
      </c>
      <c r="P12" s="39">
        <f t="shared" si="2"/>
        <v>588</v>
      </c>
      <c r="Q12" s="77">
        <f t="shared" si="3"/>
        <v>6.3291139199999999E-2</v>
      </c>
      <c r="R12" s="86">
        <f t="shared" si="5"/>
        <v>33487978.928860281</v>
      </c>
    </row>
    <row r="13" spans="1:18" ht="17.25" thickBot="1">
      <c r="A13" s="40" t="s">
        <v>275</v>
      </c>
      <c r="B13" s="11" t="s">
        <v>276</v>
      </c>
      <c r="C13" s="95">
        <v>5385</v>
      </c>
      <c r="D13" s="92">
        <v>4.1586073500000001E-2</v>
      </c>
      <c r="E13" s="93">
        <v>6873659.4966936102</v>
      </c>
      <c r="F13" s="35"/>
      <c r="G13" s="193" t="s">
        <v>70</v>
      </c>
      <c r="H13" s="194"/>
      <c r="I13" s="195"/>
      <c r="K13" s="56" t="str">
        <f ca="1">IFERROR(OFFSET(INDIRECT($H$3 &amp; "!A17"), 7, 0), "")</f>
        <v>디카르고</v>
      </c>
      <c r="L13" s="39">
        <f t="shared" ca="1" si="0"/>
        <v>254</v>
      </c>
      <c r="M13" s="77">
        <f t="shared" ca="1" si="1"/>
        <v>-3.0534351099999999E-2</v>
      </c>
      <c r="N13" s="86">
        <f t="shared" ca="1" si="4"/>
        <v>37151521.824633427</v>
      </c>
      <c r="O13" s="47" t="str">
        <f>INDEX($A$2:$D$200, MATCH(LARGE($D$2:$D$200, 8), $D$2:$D$200, 0), 2)</f>
        <v>카이버네트워크</v>
      </c>
      <c r="P13" s="39">
        <f t="shared" si="2"/>
        <v>4370</v>
      </c>
      <c r="Q13" s="77">
        <f t="shared" si="3"/>
        <v>5.8111380099999999E-2</v>
      </c>
      <c r="R13" s="86">
        <f t="shared" si="5"/>
        <v>2243424.93580592</v>
      </c>
    </row>
    <row r="14" spans="1:18">
      <c r="A14" s="40" t="s">
        <v>79</v>
      </c>
      <c r="B14" s="11" t="s">
        <v>80</v>
      </c>
      <c r="C14" s="95">
        <v>1805</v>
      </c>
      <c r="D14" s="92">
        <v>4.0345821300000001E-2</v>
      </c>
      <c r="E14" s="93">
        <v>15957342.330561001</v>
      </c>
      <c r="F14" s="35"/>
      <c r="G14" s="202" t="s">
        <v>36</v>
      </c>
      <c r="H14" s="203"/>
      <c r="I14" s="204"/>
      <c r="K14" s="56" t="str">
        <f ca="1">IFERROR(OFFSET(INDIRECT($H$3 &amp; "!A17"), 8, 0), "")</f>
        <v>헤데라해시그래프</v>
      </c>
      <c r="L14" s="39">
        <f t="shared" ca="1" si="0"/>
        <v>354</v>
      </c>
      <c r="M14" s="77">
        <f t="shared" ca="1" si="1"/>
        <v>-1.39275766E-2</v>
      </c>
      <c r="N14" s="86">
        <f t="shared" ca="1" si="4"/>
        <v>13045630.796741661</v>
      </c>
      <c r="O14" s="47" t="str">
        <f>INDEX($A$2:$D$200, MATCH(LARGE($D$2:$D$200, 9), $D$2:$D$200, 0), 2)</f>
        <v>폴리매쓰</v>
      </c>
      <c r="P14" s="39">
        <f t="shared" si="2"/>
        <v>532</v>
      </c>
      <c r="Q14" s="77">
        <f t="shared" si="3"/>
        <v>5.7654075499999999E-2</v>
      </c>
      <c r="R14" s="86">
        <f t="shared" si="5"/>
        <v>33474020.686380848</v>
      </c>
    </row>
    <row r="15" spans="1:18" ht="17.25" thickBot="1">
      <c r="A15" s="40" t="s">
        <v>179</v>
      </c>
      <c r="B15" s="11" t="s">
        <v>180</v>
      </c>
      <c r="C15" s="95">
        <v>5055</v>
      </c>
      <c r="D15" s="92">
        <v>3.6923076899999997E-2</v>
      </c>
      <c r="E15" s="93">
        <v>19642240.070041891</v>
      </c>
      <c r="F15" s="35"/>
      <c r="G15" s="208"/>
      <c r="H15" s="209"/>
      <c r="I15" s="210"/>
      <c r="K15" s="57" t="str">
        <f ca="1">IFERROR(OFFSET(INDIRECT($H$3 &amp; "!A17"), 9, 0), "")</f>
        <v>저스트</v>
      </c>
      <c r="L15" s="37">
        <f t="shared" ca="1" si="0"/>
        <v>164</v>
      </c>
      <c r="M15" s="79">
        <f t="shared" ca="1" si="1"/>
        <v>-1.20481928E-2</v>
      </c>
      <c r="N15" s="87">
        <f t="shared" ca="1" si="4"/>
        <v>35724734.648433939</v>
      </c>
      <c r="O15" s="48" t="str">
        <f>INDEX($A$2:$D$200, MATCH(LARGE($D$2:$D$200, 10), $D$2:$D$200, 0), 2)</f>
        <v>아이콘</v>
      </c>
      <c r="P15" s="37">
        <f t="shared" si="2"/>
        <v>3420</v>
      </c>
      <c r="Q15" s="79">
        <f t="shared" si="3"/>
        <v>5.5555555600000001E-2</v>
      </c>
      <c r="R15" s="87">
        <f t="shared" si="5"/>
        <v>13698326.31032549</v>
      </c>
    </row>
    <row r="16" spans="1:18" ht="17.25" thickBot="1">
      <c r="A16" s="40" t="s">
        <v>77</v>
      </c>
      <c r="B16" s="11" t="s">
        <v>78</v>
      </c>
      <c r="C16" s="95">
        <v>1830000</v>
      </c>
      <c r="D16" s="92">
        <v>3.3314511599999999E-2</v>
      </c>
      <c r="E16" s="93">
        <v>290085.36687058001</v>
      </c>
      <c r="F16" s="35"/>
      <c r="G16" s="9" t="s">
        <v>38</v>
      </c>
      <c r="H16" s="194" t="s">
        <v>37</v>
      </c>
      <c r="I16" s="195"/>
      <c r="K16" s="55" t="str">
        <f ca="1">IFERROR(OFFSET(INDIRECT($H$3 &amp; "!A17"), 10, 0), "")</f>
        <v>칠리즈</v>
      </c>
      <c r="L16" s="38">
        <f t="shared" ca="1" si="0"/>
        <v>592</v>
      </c>
      <c r="M16" s="76">
        <f t="shared" ca="1" si="1"/>
        <v>-5.0420168000000001E-3</v>
      </c>
      <c r="N16" s="85">
        <f t="shared" ca="1" si="4"/>
        <v>66833069.341704391</v>
      </c>
      <c r="O16" s="46" t="str">
        <f>INDEX($A$2:$D$200, MATCH(LARGE($D$2:$D$200, 11), $D$2:$D$200, 0), 2)</f>
        <v>무비블록</v>
      </c>
      <c r="P16" s="38">
        <f t="shared" si="2"/>
        <v>18.399999999999999</v>
      </c>
      <c r="Q16" s="76">
        <f t="shared" si="3"/>
        <v>4.5454545499999999E-2</v>
      </c>
      <c r="R16" s="85">
        <f t="shared" si="5"/>
        <v>2868073234.6391463</v>
      </c>
    </row>
    <row r="17" spans="1:18">
      <c r="A17" s="40" t="s">
        <v>129</v>
      </c>
      <c r="B17" s="11" t="s">
        <v>130</v>
      </c>
      <c r="C17" s="95">
        <v>493850</v>
      </c>
      <c r="D17" s="92">
        <v>3.2403052199999997E-2</v>
      </c>
      <c r="E17" s="93">
        <v>834565.70857143996</v>
      </c>
      <c r="F17" s="35"/>
      <c r="G17" s="268">
        <f>_xlfn.IFNA(VLOOKUP(G14, $B$2:$D$200, 3, FALSE), "-")</f>
        <v>9.1322285000000007E-3</v>
      </c>
      <c r="H17" s="262">
        <f>_xlfn.IFNA(VLOOKUP(G14, $B$2:$D$200, 2, FALSE), "-")</f>
        <v>72158000</v>
      </c>
      <c r="I17" s="263"/>
      <c r="K17" s="56" t="str">
        <f ca="1">IFERROR(OFFSET(INDIRECT($H$3 &amp; "!A17"), 11, 0), "")</f>
        <v>시빅</v>
      </c>
      <c r="L17" s="39">
        <f t="shared" ca="1" si="0"/>
        <v>697</v>
      </c>
      <c r="M17" s="77">
        <f t="shared" ca="1" si="1"/>
        <v>-3.4626038800000002E-2</v>
      </c>
      <c r="N17" s="86">
        <f t="shared" ca="1" si="4"/>
        <v>8660420.3958646506</v>
      </c>
      <c r="O17" s="47" t="str">
        <f>INDEX($A$2:$D$200, MATCH(LARGE($D$2:$D$200, 12), $D$2:$D$200, 0), 2)</f>
        <v>스트라티스</v>
      </c>
      <c r="P17" s="39">
        <f t="shared" si="2"/>
        <v>5385</v>
      </c>
      <c r="Q17" s="77">
        <f t="shared" si="3"/>
        <v>4.1586073500000001E-2</v>
      </c>
      <c r="R17" s="86">
        <f t="shared" si="5"/>
        <v>6873659.4966936102</v>
      </c>
    </row>
    <row r="18" spans="1:18" ht="17.25" thickBot="1">
      <c r="A18" s="40" t="s">
        <v>91</v>
      </c>
      <c r="B18" s="11" t="s">
        <v>92</v>
      </c>
      <c r="C18" s="95">
        <v>1945</v>
      </c>
      <c r="D18" s="92">
        <v>3.1830238699999999E-2</v>
      </c>
      <c r="E18" s="93">
        <v>456989160.27146602</v>
      </c>
      <c r="F18" s="35"/>
      <c r="G18" s="269"/>
      <c r="H18" s="264"/>
      <c r="I18" s="265"/>
      <c r="K18" s="56" t="str">
        <f ca="1">IFERROR(OFFSET(INDIRECT($H$3 &amp; "!A17"), 12, 0), "")</f>
        <v>샌드박스</v>
      </c>
      <c r="L18" s="39">
        <f t="shared" ca="1" si="0"/>
        <v>648</v>
      </c>
      <c r="M18" s="77">
        <f t="shared" ca="1" si="1"/>
        <v>-2.7027026999999999E-2</v>
      </c>
      <c r="N18" s="86">
        <f t="shared" ca="1" si="4"/>
        <v>8908159.9690215494</v>
      </c>
      <c r="O18" s="47" t="str">
        <f>INDEX($A$2:$D$200, MATCH(LARGE($D$2:$D$200, 13), $D$2:$D$200, 0), 2)</f>
        <v>베이직어텐션토큰</v>
      </c>
      <c r="P18" s="39">
        <f t="shared" si="2"/>
        <v>1805</v>
      </c>
      <c r="Q18" s="77">
        <f t="shared" si="3"/>
        <v>4.0345821300000001E-2</v>
      </c>
      <c r="R18" s="86">
        <f t="shared" si="5"/>
        <v>15957342.330561001</v>
      </c>
    </row>
    <row r="19" spans="1:18" ht="17.25" thickBot="1">
      <c r="A19" s="40" t="s">
        <v>101</v>
      </c>
      <c r="B19" s="11" t="s">
        <v>102</v>
      </c>
      <c r="C19" s="95">
        <v>149200</v>
      </c>
      <c r="D19" s="92">
        <v>2.8256374899999999E-2</v>
      </c>
      <c r="E19" s="93">
        <v>9516881.8525080997</v>
      </c>
      <c r="F19" s="35"/>
      <c r="K19" s="56" t="str">
        <f ca="1">IFERROR(OFFSET(INDIRECT($H$3 &amp; "!A17"), 13, 0), "")</f>
        <v>메타디움</v>
      </c>
      <c r="L19" s="39">
        <f t="shared" ca="1" si="0"/>
        <v>195</v>
      </c>
      <c r="M19" s="77">
        <f t="shared" ca="1" si="1"/>
        <v>-2.9850746300000001E-2</v>
      </c>
      <c r="N19" s="86">
        <f t="shared" ca="1" si="4"/>
        <v>82338264.729467154</v>
      </c>
      <c r="O19" s="47" t="str">
        <f>INDEX($A$2:$D$200, MATCH(LARGE($D$2:$D$200, 14), $D$2:$D$200, 0), 2)</f>
        <v>메탈</v>
      </c>
      <c r="P19" s="39">
        <f t="shared" si="2"/>
        <v>5055</v>
      </c>
      <c r="Q19" s="77">
        <f t="shared" si="3"/>
        <v>3.6923076899999997E-2</v>
      </c>
      <c r="R19" s="86">
        <f t="shared" si="5"/>
        <v>19642240.070041891</v>
      </c>
    </row>
    <row r="20" spans="1:18" ht="17.25" thickBot="1">
      <c r="A20" s="40" t="s">
        <v>271</v>
      </c>
      <c r="B20" s="11" t="s">
        <v>272</v>
      </c>
      <c r="C20" s="95">
        <v>2885</v>
      </c>
      <c r="D20" s="92">
        <v>2.6690391500000001E-2</v>
      </c>
      <c r="E20" s="93">
        <v>9527856.4030775409</v>
      </c>
      <c r="F20" s="35"/>
      <c r="G20" s="193" t="s">
        <v>286</v>
      </c>
      <c r="H20" s="194"/>
      <c r="I20" s="195"/>
      <c r="K20" s="58" t="str">
        <f ca="1">IFERROR(OFFSET(INDIRECT($H$3 &amp; "!A17"), 14, 0), "")</f>
        <v>질리카</v>
      </c>
      <c r="L20" s="44">
        <f t="shared" ca="1" si="0"/>
        <v>293</v>
      </c>
      <c r="M20" s="78">
        <f t="shared" ca="1" si="1"/>
        <v>1.38408304E-2</v>
      </c>
      <c r="N20" s="90">
        <f t="shared" ca="1" si="4"/>
        <v>55428930.104287364</v>
      </c>
      <c r="O20" s="47" t="str">
        <f>INDEX($A$2:$D$200, MATCH(LARGE($D$2:$D$200, 15), $D$2:$D$200, 0), 2)</f>
        <v>비트코인캐시</v>
      </c>
      <c r="P20" s="39">
        <f t="shared" si="2"/>
        <v>1830000</v>
      </c>
      <c r="Q20" s="77">
        <f t="shared" si="3"/>
        <v>3.3314511599999999E-2</v>
      </c>
      <c r="R20" s="90">
        <f t="shared" si="5"/>
        <v>290085.36687058001</v>
      </c>
    </row>
    <row r="21" spans="1:18">
      <c r="A21" s="40" t="s">
        <v>259</v>
      </c>
      <c r="B21" s="11" t="s">
        <v>260</v>
      </c>
      <c r="C21" s="95">
        <v>119</v>
      </c>
      <c r="D21" s="92">
        <v>2.5862069000000001E-2</v>
      </c>
      <c r="E21" s="93">
        <v>105218095.99052505</v>
      </c>
      <c r="F21" s="35"/>
      <c r="G21" s="202" t="s">
        <v>36</v>
      </c>
      <c r="H21" s="203"/>
      <c r="I21" s="204"/>
      <c r="K21" s="56" t="str">
        <f ca="1">IFERROR(OFFSET(INDIRECT($H$3 &amp; "!A17"), 15, 0), "")</f>
        <v>크립토닷컴체인</v>
      </c>
      <c r="L21" s="39">
        <f t="shared" ca="1" si="0"/>
        <v>219</v>
      </c>
      <c r="M21" s="77">
        <f t="shared" ca="1" si="1"/>
        <v>0</v>
      </c>
      <c r="N21" s="99">
        <f t="shared" ca="1" si="4"/>
        <v>89216697.976487085</v>
      </c>
      <c r="O21" s="49" t="str">
        <f>INDEX($A$2:$D$200, MATCH(LARGE($D$2:$D$200, 16), $D$2:$D$200, 0), 2)</f>
        <v>라이트코인</v>
      </c>
      <c r="P21" s="45">
        <f t="shared" si="2"/>
        <v>493850</v>
      </c>
      <c r="Q21" s="80">
        <f t="shared" si="3"/>
        <v>3.2403052199999997E-2</v>
      </c>
      <c r="R21" s="99">
        <f t="shared" si="5"/>
        <v>834565.70857143996</v>
      </c>
    </row>
    <row r="22" spans="1:18" ht="17.25" thickBot="1">
      <c r="A22" s="40" t="s">
        <v>105</v>
      </c>
      <c r="B22" s="11" t="s">
        <v>106</v>
      </c>
      <c r="C22" s="95">
        <v>2460</v>
      </c>
      <c r="D22" s="92">
        <v>2.5000000000000001E-2</v>
      </c>
      <c r="E22" s="93">
        <v>3980054.3425416201</v>
      </c>
      <c r="F22" s="35"/>
      <c r="G22" s="208"/>
      <c r="H22" s="209"/>
      <c r="I22" s="210"/>
      <c r="K22" s="56" t="str">
        <f ca="1">IFERROR(OFFSET(INDIRECT($H$3 &amp; "!A17"), 16, 0), "")</f>
        <v>쎄타퓨엘</v>
      </c>
      <c r="L22" s="39">
        <f t="shared" ca="1" si="0"/>
        <v>457</v>
      </c>
      <c r="M22" s="77">
        <f t="shared" ca="1" si="1"/>
        <v>-3.7894736800000002E-2</v>
      </c>
      <c r="N22" s="86">
        <f t="shared" ca="1" si="4"/>
        <v>15807674.580539539</v>
      </c>
      <c r="O22" s="47" t="str">
        <f>INDEX($A$2:$D$200, MATCH(LARGE($D$2:$D$200, 17), $D$2:$D$200, 0), 2)</f>
        <v>리플</v>
      </c>
      <c r="P22" s="39">
        <f t="shared" si="2"/>
        <v>1945</v>
      </c>
      <c r="Q22" s="77">
        <f t="shared" si="3"/>
        <v>3.1830238699999999E-2</v>
      </c>
      <c r="R22" s="86">
        <f t="shared" si="5"/>
        <v>456989160.27146602</v>
      </c>
    </row>
    <row r="23" spans="1:18" ht="17.25" thickBot="1">
      <c r="A23" s="40" t="s">
        <v>107</v>
      </c>
      <c r="B23" s="11" t="s">
        <v>108</v>
      </c>
      <c r="C23" s="95">
        <v>62260</v>
      </c>
      <c r="D23" s="92">
        <v>1.8318613000000001E-2</v>
      </c>
      <c r="E23" s="93">
        <v>1844981.6413718499</v>
      </c>
      <c r="F23" s="35"/>
      <c r="G23" s="9" t="s">
        <v>38</v>
      </c>
      <c r="H23" s="194" t="s">
        <v>37</v>
      </c>
      <c r="I23" s="195"/>
      <c r="K23" s="56" t="str">
        <f ca="1">IFERROR(OFFSET(INDIRECT($H$3 &amp; "!A17"), 17, 0), "")</f>
        <v>아더</v>
      </c>
      <c r="L23" s="39">
        <f t="shared" ca="1" si="0"/>
        <v>504</v>
      </c>
      <c r="M23" s="77">
        <f t="shared" ca="1" si="1"/>
        <v>-3.2629558500000003E-2</v>
      </c>
      <c r="N23" s="86">
        <f t="shared" ca="1" si="4"/>
        <v>18167540.901957039</v>
      </c>
      <c r="O23" s="47" t="str">
        <f>INDEX($A$2:$D$200, MATCH(LARGE($D$2:$D$200, 18), $D$2:$D$200, 0), 2)</f>
        <v>이더리움클래식</v>
      </c>
      <c r="P23" s="39">
        <f t="shared" si="2"/>
        <v>149200</v>
      </c>
      <c r="Q23" s="77">
        <f t="shared" si="3"/>
        <v>2.8256374899999999E-2</v>
      </c>
      <c r="R23" s="86">
        <f t="shared" si="5"/>
        <v>9516881.8525080997</v>
      </c>
    </row>
    <row r="24" spans="1:18">
      <c r="A24" s="40" t="s">
        <v>135</v>
      </c>
      <c r="B24" s="11" t="s">
        <v>136</v>
      </c>
      <c r="C24" s="95">
        <v>293</v>
      </c>
      <c r="D24" s="92">
        <v>1.38408304E-2</v>
      </c>
      <c r="E24" s="93">
        <v>55428930.104287364</v>
      </c>
      <c r="F24" s="35"/>
      <c r="G24" s="268">
        <f>_xlfn.IFNA(VLOOKUP(G21, $B$2:$D$200, 3, FALSE), "-")</f>
        <v>9.1322285000000007E-3</v>
      </c>
      <c r="H24" s="262">
        <f>_xlfn.IFNA(VLOOKUP(G21, $B$2:$D$200, 2, FALSE), "-")</f>
        <v>72158000</v>
      </c>
      <c r="I24" s="263"/>
      <c r="K24" s="56" t="str">
        <f ca="1">IFERROR(OFFSET(INDIRECT($H$3 &amp; "!A17"), 18, 0), "")</f>
        <v>아르고</v>
      </c>
      <c r="L24" s="39">
        <f t="shared" ca="1" si="0"/>
        <v>345</v>
      </c>
      <c r="M24" s="77">
        <f t="shared" ca="1" si="1"/>
        <v>-1.7094017100000001E-2</v>
      </c>
      <c r="N24" s="86">
        <f t="shared" ca="1" si="4"/>
        <v>10475996.93566802</v>
      </c>
      <c r="O24" s="47" t="str">
        <f>INDEX($A$2:$D$200, MATCH(LARGE($D$2:$D$200, 19), $D$2:$D$200, 0), 2)</f>
        <v>아크</v>
      </c>
      <c r="P24" s="39">
        <f t="shared" si="2"/>
        <v>2885</v>
      </c>
      <c r="Q24" s="77">
        <f t="shared" si="3"/>
        <v>2.6690391500000001E-2</v>
      </c>
      <c r="R24" s="86">
        <f t="shared" si="5"/>
        <v>9527856.4030775409</v>
      </c>
    </row>
    <row r="25" spans="1:18" ht="17.25" thickBot="1">
      <c r="A25" s="40" t="s">
        <v>171</v>
      </c>
      <c r="B25" s="11" t="s">
        <v>172</v>
      </c>
      <c r="C25" s="95">
        <v>24</v>
      </c>
      <c r="D25" s="92">
        <v>1.26582278E-2</v>
      </c>
      <c r="E25" s="93">
        <v>335461477.93693566</v>
      </c>
      <c r="F25" s="35"/>
      <c r="G25" s="269"/>
      <c r="H25" s="264"/>
      <c r="I25" s="265"/>
      <c r="K25" s="57" t="str">
        <f ca="1">IFERROR(OFFSET(INDIRECT($H$3 &amp; "!A17"), 19, 0), "")</f>
        <v>썸씽</v>
      </c>
      <c r="L25" s="37">
        <f t="shared" ref="L25" ca="1" si="6">_xlfn.IFNA(VLOOKUP(K25, $B$2:$D$200, 2, FALSE), "")</f>
        <v>119</v>
      </c>
      <c r="M25" s="79">
        <f t="shared" ca="1" si="1"/>
        <v>2.5862069000000001E-2</v>
      </c>
      <c r="N25" s="87">
        <f t="shared" ca="1" si="4"/>
        <v>105218095.99052505</v>
      </c>
      <c r="O25" s="48" t="str">
        <f>INDEX($A$2:$D$200, MATCH(LARGE($D$2:$D$200, 20), $D$2:$D$200, 0), 2)</f>
        <v>썸씽</v>
      </c>
      <c r="P25" s="37">
        <f t="shared" si="2"/>
        <v>119</v>
      </c>
      <c r="Q25" s="79">
        <f t="shared" si="3"/>
        <v>2.5862069000000001E-2</v>
      </c>
      <c r="R25" s="87">
        <f t="shared" si="5"/>
        <v>105218095.99052505</v>
      </c>
    </row>
    <row r="26" spans="1:18">
      <c r="A26" s="40" t="s">
        <v>205</v>
      </c>
      <c r="B26" s="11" t="s">
        <v>206</v>
      </c>
      <c r="C26" s="95">
        <v>34580</v>
      </c>
      <c r="D26" s="92">
        <v>1.2295082000000001E-2</v>
      </c>
      <c r="E26" s="93">
        <v>1022430.80702191</v>
      </c>
      <c r="F26" s="35"/>
    </row>
    <row r="27" spans="1:18" ht="17.25" thickBot="1">
      <c r="A27" s="40" t="s">
        <v>269</v>
      </c>
      <c r="B27" s="11" t="s">
        <v>270</v>
      </c>
      <c r="C27" s="95">
        <v>608</v>
      </c>
      <c r="D27" s="92">
        <v>1.16472546E-2</v>
      </c>
      <c r="E27" s="93">
        <v>12223343.54381861</v>
      </c>
      <c r="F27" s="35"/>
    </row>
    <row r="28" spans="1:18" ht="17.25" thickBot="1">
      <c r="A28" s="40" t="s">
        <v>155</v>
      </c>
      <c r="B28" s="11" t="s">
        <v>156</v>
      </c>
      <c r="C28" s="95">
        <v>177</v>
      </c>
      <c r="D28" s="92">
        <v>1.14285714E-2</v>
      </c>
      <c r="E28" s="93">
        <v>556978391.79204321</v>
      </c>
      <c r="F28" s="35"/>
      <c r="G28" s="193" t="s">
        <v>46</v>
      </c>
      <c r="H28" s="194"/>
      <c r="I28" s="194"/>
      <c r="J28" s="195"/>
      <c r="K28" s="193" t="s">
        <v>44</v>
      </c>
      <c r="L28" s="194"/>
      <c r="M28" s="194"/>
      <c r="N28" s="195"/>
      <c r="O28" s="193" t="s">
        <v>45</v>
      </c>
      <c r="P28" s="194"/>
      <c r="Q28" s="194"/>
      <c r="R28" s="195"/>
    </row>
    <row r="29" spans="1:18" ht="17.25" thickBot="1">
      <c r="A29" s="40" t="s">
        <v>221</v>
      </c>
      <c r="B29" s="11" t="s">
        <v>222</v>
      </c>
      <c r="C29" s="95">
        <v>18.2</v>
      </c>
      <c r="D29" s="92">
        <v>1.11111111E-2</v>
      </c>
      <c r="E29" s="93">
        <v>439609394.43809867</v>
      </c>
      <c r="F29" s="35"/>
      <c r="G29" s="258" t="s">
        <v>55</v>
      </c>
      <c r="H29" s="270">
        <f ca="1">NOW()</f>
        <v>44326.912283217593</v>
      </c>
      <c r="I29" s="271"/>
      <c r="J29" s="272"/>
      <c r="K29" s="261" t="s">
        <v>55</v>
      </c>
      <c r="L29" s="270">
        <f ca="1">NOW()</f>
        <v>44326.912283217593</v>
      </c>
      <c r="M29" s="271"/>
      <c r="N29" s="272"/>
      <c r="O29" s="261" t="s">
        <v>55</v>
      </c>
      <c r="P29" s="270">
        <f ca="1">NOW()</f>
        <v>44326.912283217593</v>
      </c>
      <c r="Q29" s="271"/>
      <c r="R29" s="272"/>
    </row>
    <row r="30" spans="1:18" ht="17.25" thickBot="1">
      <c r="A30" s="40" t="s">
        <v>48</v>
      </c>
      <c r="B30" s="11" t="s">
        <v>49</v>
      </c>
      <c r="C30" s="95">
        <v>72158000</v>
      </c>
      <c r="D30" s="92">
        <v>9.1322285000000007E-3</v>
      </c>
      <c r="E30" s="93">
        <v>6540.6477819199999</v>
      </c>
      <c r="F30" s="35"/>
      <c r="G30" s="255"/>
      <c r="H30" s="36" t="s">
        <v>58</v>
      </c>
      <c r="I30" s="73" t="s">
        <v>59</v>
      </c>
      <c r="J30" s="69" t="s">
        <v>294</v>
      </c>
      <c r="K30" s="255"/>
      <c r="L30" s="36" t="s">
        <v>58</v>
      </c>
      <c r="M30" s="73" t="s">
        <v>59</v>
      </c>
      <c r="N30" s="69" t="s">
        <v>294</v>
      </c>
      <c r="O30" s="255"/>
      <c r="P30" s="36" t="s">
        <v>58</v>
      </c>
      <c r="Q30" s="73" t="s">
        <v>59</v>
      </c>
      <c r="R30" s="69" t="s">
        <v>294</v>
      </c>
    </row>
    <row r="31" spans="1:18">
      <c r="A31" s="40" t="s">
        <v>177</v>
      </c>
      <c r="B31" s="11" t="s">
        <v>178</v>
      </c>
      <c r="C31" s="95">
        <v>57140</v>
      </c>
      <c r="D31" s="92">
        <v>4.9243756999999997E-3</v>
      </c>
      <c r="E31" s="93">
        <v>242643.61662953999</v>
      </c>
      <c r="F31" s="35"/>
      <c r="G31" s="55" t="str">
        <f ca="1">IFERROR(OFFSET(INDIRECT($H$3 &amp; "!A98"), 0, 0), "")</f>
        <v>에이다</v>
      </c>
      <c r="H31" s="38">
        <f t="shared" ref="H31:H50" ca="1" si="7">_xlfn.IFNA(VLOOKUP(G31, $B$2:$D$200, 2, FALSE), "")</f>
        <v>2175</v>
      </c>
      <c r="I31" s="76">
        <f t="shared" ref="I31:I50" ca="1" si="8">_xlfn.IFNA(VLOOKUP(G31, $B$2:$D$200, 3, FALSE), "")</f>
        <v>2.3041475E-3</v>
      </c>
      <c r="J31" s="85">
        <f ca="1">_xlfn.IFNA(VLOOKUP(G31, $B$2:$E$200, 4, FALSE), "")</f>
        <v>90396118.928242519</v>
      </c>
      <c r="K31" s="55" t="str">
        <f ca="1">IFERROR(OFFSET(INDIRECT($H$3 &amp; "!A44"), 0, 0), "")</f>
        <v>아이오에스티</v>
      </c>
      <c r="L31" s="38">
        <f t="shared" ref="L31:L50" ca="1" si="9">_xlfn.IFNA(VLOOKUP(K31, $B$2:$D$200, 2, FALSE), "")</f>
        <v>76.7</v>
      </c>
      <c r="M31" s="76">
        <f t="shared" ref="M31:M50" ca="1" si="10">_xlfn.IFNA(VLOOKUP(K31, $B$2:$D$200, 3, FALSE), "")</f>
        <v>-1.54043646E-2</v>
      </c>
      <c r="N31" s="85">
        <f ca="1">_xlfn.IFNA(VLOOKUP(K31, $B$2:$E$200, 4, FALSE), "")</f>
        <v>79450561.398230359</v>
      </c>
      <c r="O31" s="55" t="str">
        <f ca="1">IFERROR(OFFSET(INDIRECT($H$3 &amp; "!A71"), 0, 0), "")</f>
        <v>모스코인</v>
      </c>
      <c r="P31" s="38">
        <f t="shared" ref="P31:P50" ca="1" si="11">_xlfn.IFNA(VLOOKUP(O31, $B$2:$D$200, 2, FALSE), "")</f>
        <v>177</v>
      </c>
      <c r="Q31" s="76">
        <f t="shared" ref="Q31:Q50" ca="1" si="12">_xlfn.IFNA(VLOOKUP(O31, $B$2:$D$200, 3, FALSE), "")</f>
        <v>-3.8043478300000003E-2</v>
      </c>
      <c r="R31" s="85">
        <f ca="1">_xlfn.IFNA(VLOOKUP(O31, $B$2:$E$200, 4, FALSE), "")</f>
        <v>38954956.834313013</v>
      </c>
    </row>
    <row r="32" spans="1:18">
      <c r="A32" s="40" t="s">
        <v>159</v>
      </c>
      <c r="B32" s="11" t="s">
        <v>160</v>
      </c>
      <c r="C32" s="95">
        <v>3005</v>
      </c>
      <c r="D32" s="92">
        <v>3.3388981999999999E-3</v>
      </c>
      <c r="E32" s="93">
        <v>3417517.49363465</v>
      </c>
      <c r="F32" s="35"/>
      <c r="G32" s="56" t="str">
        <f ca="1">IFERROR(OFFSET(INDIRECT($H$3 &amp; "!A98"), 1, 0), "")</f>
        <v>온톨로지</v>
      </c>
      <c r="H32" s="39">
        <f t="shared" ca="1" si="7"/>
        <v>3235</v>
      </c>
      <c r="I32" s="77">
        <f t="shared" ca="1" si="8"/>
        <v>-2.26586103E-2</v>
      </c>
      <c r="J32" s="86">
        <f t="shared" ref="J32:J50" ca="1" si="13">_xlfn.IFNA(VLOOKUP(G32, $B$2:$E$200, 4, FALSE), "")</f>
        <v>15689859.396040371</v>
      </c>
      <c r="K32" s="56" t="str">
        <f ca="1">IFERROR(OFFSET(INDIRECT($H$3 &amp; "!A44"), 1, 0), "")</f>
        <v>캐리프로토콜</v>
      </c>
      <c r="L32" s="39">
        <f t="shared" ca="1" si="9"/>
        <v>20.2</v>
      </c>
      <c r="M32" s="77">
        <f t="shared" ca="1" si="10"/>
        <v>-3.3492822999999998E-2</v>
      </c>
      <c r="N32" s="86">
        <f t="shared" ref="N32:N50" ca="1" si="14">_xlfn.IFNA(VLOOKUP(K32, $B$2:$E$200, 4, FALSE), "")</f>
        <v>399414540.94325894</v>
      </c>
      <c r="O32" s="56" t="str">
        <f ca="1">IFERROR(OFFSET(INDIRECT($H$3 &amp; "!A71"), 1, 0), "")</f>
        <v>마로</v>
      </c>
      <c r="P32" s="39">
        <f t="shared" ca="1" si="11"/>
        <v>477</v>
      </c>
      <c r="Q32" s="77">
        <f t="shared" ca="1" si="12"/>
        <v>-3.0487804899999998E-2</v>
      </c>
      <c r="R32" s="86">
        <f t="shared" ref="R32:R50" ca="1" si="15">_xlfn.IFNA(VLOOKUP(O32, $B$2:$E$200, 4, FALSE), "")</f>
        <v>33658470.579479948</v>
      </c>
    </row>
    <row r="33" spans="1:18">
      <c r="A33" s="40" t="s">
        <v>68</v>
      </c>
      <c r="B33" s="11" t="s">
        <v>69</v>
      </c>
      <c r="C33" s="95">
        <v>12670</v>
      </c>
      <c r="D33" s="92">
        <v>3.1670625000000002E-3</v>
      </c>
      <c r="E33" s="93">
        <v>1060343.4705131601</v>
      </c>
      <c r="F33" s="35"/>
      <c r="G33" s="56" t="str">
        <f ca="1">IFERROR(OFFSET(INDIRECT($H$3 &amp; "!A98"), 2, 0), "")</f>
        <v>그로스톨코인</v>
      </c>
      <c r="H33" s="39">
        <f t="shared" ca="1" si="7"/>
        <v>2010</v>
      </c>
      <c r="I33" s="77">
        <f t="shared" ca="1" si="8"/>
        <v>-2.42718447E-2</v>
      </c>
      <c r="J33" s="86">
        <f t="shared" ca="1" si="13"/>
        <v>29957691.601894971</v>
      </c>
      <c r="K33" s="56" t="str">
        <f ca="1">IFERROR(OFFSET(INDIRECT($H$3 &amp; "!A44"), 2, 0), "")</f>
        <v>메인프레임</v>
      </c>
      <c r="L33" s="39">
        <f t="shared" ca="1" si="9"/>
        <v>19.7</v>
      </c>
      <c r="M33" s="77">
        <f t="shared" ca="1" si="10"/>
        <v>-2.9556650199999999E-2</v>
      </c>
      <c r="N33" s="86">
        <f t="shared" ca="1" si="14"/>
        <v>227891038.69594601</v>
      </c>
      <c r="O33" s="56" t="str">
        <f ca="1">IFERROR(OFFSET(INDIRECT($H$3 &amp; "!A71"), 2, 0), "")</f>
        <v>비체인</v>
      </c>
      <c r="P33" s="39">
        <f t="shared" ca="1" si="11"/>
        <v>278</v>
      </c>
      <c r="Q33" s="77">
        <f t="shared" ca="1" si="12"/>
        <v>-2.7972027999999999E-2</v>
      </c>
      <c r="R33" s="86">
        <f t="shared" ca="1" si="15"/>
        <v>505482663.27365595</v>
      </c>
    </row>
    <row r="34" spans="1:18">
      <c r="A34" s="40" t="s">
        <v>83</v>
      </c>
      <c r="B34" s="11" t="s">
        <v>84</v>
      </c>
      <c r="C34" s="95">
        <v>2175</v>
      </c>
      <c r="D34" s="92">
        <v>2.3041475E-3</v>
      </c>
      <c r="E34" s="93">
        <v>90396118.928242519</v>
      </c>
      <c r="F34" s="35"/>
      <c r="G34" s="56" t="str">
        <f ca="1">IFERROR(OFFSET(INDIRECT($H$3 &amp; "!A98"), 3, 0), "")</f>
        <v>체인링크</v>
      </c>
      <c r="H34" s="39">
        <f t="shared" ca="1" si="7"/>
        <v>62970</v>
      </c>
      <c r="I34" s="77">
        <f t="shared" ca="1" si="8"/>
        <v>-2.5081281899999999E-2</v>
      </c>
      <c r="J34" s="86">
        <f t="shared" ca="1" si="13"/>
        <v>1509613.3647445401</v>
      </c>
      <c r="K34" s="56" t="str">
        <f ca="1">IFERROR(OFFSET(INDIRECT($H$3 &amp; "!A44"), 3, 0), "")</f>
        <v>스톰엑스</v>
      </c>
      <c r="L34" s="39">
        <f t="shared" ca="1" si="9"/>
        <v>58.2</v>
      </c>
      <c r="M34" s="77">
        <f t="shared" ca="1" si="10"/>
        <v>-1.3559322E-2</v>
      </c>
      <c r="N34" s="86">
        <f t="shared" ca="1" si="14"/>
        <v>73755466.501238257</v>
      </c>
      <c r="O34" s="56" t="str">
        <f ca="1">IFERROR(OFFSET(INDIRECT($H$3 &amp; "!A71"), 3, 0), "")</f>
        <v>스텔라루멘</v>
      </c>
      <c r="P34" s="39">
        <f t="shared" ca="1" si="11"/>
        <v>897</v>
      </c>
      <c r="Q34" s="77">
        <f t="shared" ca="1" si="12"/>
        <v>0.16493506490000001</v>
      </c>
      <c r="R34" s="86">
        <f t="shared" ca="1" si="15"/>
        <v>860420131.83293164</v>
      </c>
    </row>
    <row r="35" spans="1:18">
      <c r="A35" s="40" t="s">
        <v>137</v>
      </c>
      <c r="B35" s="11" t="s">
        <v>138</v>
      </c>
      <c r="C35" s="95">
        <v>49720</v>
      </c>
      <c r="D35" s="92">
        <v>2.0153164000000002E-3</v>
      </c>
      <c r="E35" s="93">
        <v>1131074.02775265</v>
      </c>
      <c r="F35" s="35"/>
      <c r="G35" s="58" t="str">
        <f ca="1">IFERROR(OFFSET(INDIRECT($H$3 &amp; "!A98"), 4, 0), "")</f>
        <v>밀크</v>
      </c>
      <c r="H35" s="44">
        <f t="shared" ca="1" si="7"/>
        <v>2120</v>
      </c>
      <c r="I35" s="78">
        <f t="shared" ca="1" si="8"/>
        <v>-4.7191011200000001E-2</v>
      </c>
      <c r="J35" s="90">
        <f t="shared" ca="1" si="13"/>
        <v>11309368.96807842</v>
      </c>
      <c r="K35" s="58" t="str">
        <f ca="1">IFERROR(OFFSET(INDIRECT($H$3 &amp; "!A44"), 4, 0), "")</f>
        <v>에스티피</v>
      </c>
      <c r="L35" s="44">
        <f t="shared" ca="1" si="9"/>
        <v>91.3</v>
      </c>
      <c r="M35" s="78">
        <f t="shared" ca="1" si="10"/>
        <v>-3.2838983099999997E-2</v>
      </c>
      <c r="N35" s="90">
        <f t="shared" ca="1" si="14"/>
        <v>33737978.762301639</v>
      </c>
      <c r="O35" s="58" t="str">
        <f ca="1">IFERROR(OFFSET(INDIRECT($H$3 &amp; "!A71"), 4, 0), "")</f>
        <v>플레이댑</v>
      </c>
      <c r="P35" s="44">
        <f t="shared" ca="1" si="11"/>
        <v>494</v>
      </c>
      <c r="Q35" s="78">
        <f t="shared" ca="1" si="12"/>
        <v>-2.1782178199999998E-2</v>
      </c>
      <c r="R35" s="90">
        <f t="shared" ca="1" si="15"/>
        <v>8158316.6001805896</v>
      </c>
    </row>
    <row r="36" spans="1:18">
      <c r="A36" s="40" t="s">
        <v>89</v>
      </c>
      <c r="B36" s="11" t="s">
        <v>90</v>
      </c>
      <c r="C36" s="95">
        <v>441150</v>
      </c>
      <c r="D36" s="92">
        <v>1.4755959E-3</v>
      </c>
      <c r="E36" s="93">
        <v>84058.342121669994</v>
      </c>
      <c r="F36" s="35"/>
      <c r="G36" s="56" t="str">
        <f ca="1">IFERROR(OFFSET(INDIRECT($H$3 &amp; "!A98"), 5, 0), "")</f>
        <v>퀀텀</v>
      </c>
      <c r="H36" s="39">
        <f t="shared" ca="1" si="7"/>
        <v>32200</v>
      </c>
      <c r="I36" s="77">
        <f t="shared" ca="1" si="8"/>
        <v>-4.0810247199999997E-2</v>
      </c>
      <c r="J36" s="99">
        <f t="shared" ca="1" si="13"/>
        <v>13481575.216287229</v>
      </c>
      <c r="K36" s="56" t="str">
        <f ca="1">IFERROR(OFFSET(INDIRECT($H$3 &amp; "!A44"), 5, 0), "")</f>
        <v>시아코인</v>
      </c>
      <c r="L36" s="39">
        <f t="shared" ca="1" si="9"/>
        <v>47.4</v>
      </c>
      <c r="M36" s="77">
        <f t="shared" ca="1" si="10"/>
        <v>-1.8633540399999999E-2</v>
      </c>
      <c r="N36" s="99">
        <f t="shared" ca="1" si="14"/>
        <v>380617287.22368187</v>
      </c>
      <c r="O36" s="56" t="str">
        <f ca="1">IFERROR(OFFSET(INDIRECT($H$3 &amp; "!A71"), 5, 0), "")</f>
        <v>앵커</v>
      </c>
      <c r="P36" s="39">
        <f t="shared" ca="1" si="11"/>
        <v>194</v>
      </c>
      <c r="Q36" s="77">
        <f t="shared" ca="1" si="12"/>
        <v>-5.1282050999999999E-3</v>
      </c>
      <c r="R36" s="99">
        <f t="shared" ca="1" si="15"/>
        <v>60107359.287693202</v>
      </c>
    </row>
    <row r="37" spans="1:18">
      <c r="A37" s="40" t="s">
        <v>119</v>
      </c>
      <c r="B37" s="11" t="s">
        <v>120</v>
      </c>
      <c r="C37" s="95">
        <v>219</v>
      </c>
      <c r="D37" s="92">
        <v>0</v>
      </c>
      <c r="E37" s="93">
        <v>89216697.976487085</v>
      </c>
      <c r="F37" s="35"/>
      <c r="G37" s="56" t="str">
        <f ca="1">IFERROR(OFFSET(INDIRECT($H$3 &amp; "!A98"), 6, 0), "")</f>
        <v>라이트코인</v>
      </c>
      <c r="H37" s="39">
        <f t="shared" ca="1" si="7"/>
        <v>493850</v>
      </c>
      <c r="I37" s="77">
        <f t="shared" ca="1" si="8"/>
        <v>3.2403052199999997E-2</v>
      </c>
      <c r="J37" s="86">
        <f t="shared" ca="1" si="13"/>
        <v>834565.70857143996</v>
      </c>
      <c r="K37" s="56" t="str">
        <f ca="1">IFERROR(OFFSET(INDIRECT($H$3 &amp; "!A44"), 6, 0), "")</f>
        <v>에브리피디아</v>
      </c>
      <c r="L37" s="39">
        <f t="shared" ca="1" si="9"/>
        <v>24</v>
      </c>
      <c r="M37" s="77">
        <f t="shared" ca="1" si="10"/>
        <v>-2.0408163300000001E-2</v>
      </c>
      <c r="N37" s="86">
        <f t="shared" ca="1" si="14"/>
        <v>149052548.22775614</v>
      </c>
      <c r="O37" s="56" t="str">
        <f ca="1">IFERROR(OFFSET(INDIRECT($H$3 &amp; "!A71"), 6, 0), "")</f>
        <v>트론</v>
      </c>
      <c r="P37" s="39">
        <f t="shared" ca="1" si="11"/>
        <v>177</v>
      </c>
      <c r="Q37" s="77">
        <f t="shared" ca="1" si="12"/>
        <v>1.14285714E-2</v>
      </c>
      <c r="R37" s="86">
        <f t="shared" ca="1" si="15"/>
        <v>556978391.79204321</v>
      </c>
    </row>
    <row r="38" spans="1:18">
      <c r="A38" s="40" t="s">
        <v>209</v>
      </c>
      <c r="B38" s="11" t="s">
        <v>210</v>
      </c>
      <c r="C38" s="95">
        <v>180</v>
      </c>
      <c r="D38" s="92">
        <v>0</v>
      </c>
      <c r="E38" s="93">
        <v>29395515.465784311</v>
      </c>
      <c r="F38" s="35"/>
      <c r="G38" s="56" t="str">
        <f ca="1">IFERROR(OFFSET(INDIRECT($H$3 &amp; "!A98"), 7, 0), "")</f>
        <v>모스코인</v>
      </c>
      <c r="H38" s="39">
        <f t="shared" ca="1" si="7"/>
        <v>177</v>
      </c>
      <c r="I38" s="77">
        <f t="shared" ca="1" si="8"/>
        <v>-3.8043478300000003E-2</v>
      </c>
      <c r="J38" s="86">
        <f t="shared" ca="1" si="13"/>
        <v>38954956.834313013</v>
      </c>
      <c r="K38" s="56" t="str">
        <f ca="1">IFERROR(OFFSET(INDIRECT($H$3 &amp; "!A44"), 7, 0), "")</f>
        <v>람다</v>
      </c>
      <c r="L38" s="39">
        <f t="shared" ca="1" si="9"/>
        <v>89</v>
      </c>
      <c r="M38" s="77">
        <f t="shared" ca="1" si="10"/>
        <v>-8.9086860000000007E-3</v>
      </c>
      <c r="N38" s="86">
        <f t="shared" ca="1" si="14"/>
        <v>52101861.949850321</v>
      </c>
      <c r="O38" s="56" t="str">
        <f ca="1">IFERROR(OFFSET(INDIRECT($H$3 &amp; "!A71"), 7, 0), "")</f>
        <v>디카르고</v>
      </c>
      <c r="P38" s="39">
        <f t="shared" ca="1" si="11"/>
        <v>254</v>
      </c>
      <c r="Q38" s="77">
        <f t="shared" ca="1" si="12"/>
        <v>-3.0534351099999999E-2</v>
      </c>
      <c r="R38" s="86">
        <f t="shared" ca="1" si="15"/>
        <v>37151521.824633427</v>
      </c>
    </row>
    <row r="39" spans="1:18">
      <c r="A39" s="40" t="s">
        <v>56</v>
      </c>
      <c r="B39" s="11" t="s">
        <v>57</v>
      </c>
      <c r="C39" s="95">
        <v>461</v>
      </c>
      <c r="D39" s="92">
        <v>-2.1645022000000001E-3</v>
      </c>
      <c r="E39" s="93">
        <v>91481260.896824509</v>
      </c>
      <c r="F39" s="35"/>
      <c r="G39" s="56" t="str">
        <f ca="1">IFERROR(OFFSET(INDIRECT($H$3 &amp; "!A98"), 8, 0), "")</f>
        <v>마로</v>
      </c>
      <c r="H39" s="39">
        <f t="shared" ca="1" si="7"/>
        <v>477</v>
      </c>
      <c r="I39" s="77">
        <f t="shared" ca="1" si="8"/>
        <v>-3.0487804899999998E-2</v>
      </c>
      <c r="J39" s="86">
        <f t="shared" ca="1" si="13"/>
        <v>33658470.579479948</v>
      </c>
      <c r="K39" s="56" t="str">
        <f ca="1">IFERROR(OFFSET(INDIRECT($H$3 &amp; "!A44"), 8, 0), "")</f>
        <v>아하토큰</v>
      </c>
      <c r="L39" s="39">
        <f t="shared" ca="1" si="9"/>
        <v>18.2</v>
      </c>
      <c r="M39" s="77">
        <f t="shared" ca="1" si="10"/>
        <v>1.11111111E-2</v>
      </c>
      <c r="N39" s="86">
        <f t="shared" ca="1" si="14"/>
        <v>439609394.43809867</v>
      </c>
      <c r="O39" s="56" t="str">
        <f ca="1">IFERROR(OFFSET(INDIRECT($H$3 &amp; "!A71"), 8, 0), "")</f>
        <v>헤데라해시그래프</v>
      </c>
      <c r="P39" s="39">
        <f t="shared" ca="1" si="11"/>
        <v>354</v>
      </c>
      <c r="Q39" s="77">
        <f t="shared" ca="1" si="12"/>
        <v>-1.39275766E-2</v>
      </c>
      <c r="R39" s="86">
        <f t="shared" ca="1" si="15"/>
        <v>13045630.796741661</v>
      </c>
    </row>
    <row r="40" spans="1:18" ht="17.25" thickBot="1">
      <c r="A40" s="40" t="s">
        <v>183</v>
      </c>
      <c r="B40" s="11" t="s">
        <v>184</v>
      </c>
      <c r="C40" s="95">
        <v>2820</v>
      </c>
      <c r="D40" s="92">
        <v>-3.5335688999999998E-3</v>
      </c>
      <c r="E40" s="93">
        <v>1832608.9501469999</v>
      </c>
      <c r="F40" s="35"/>
      <c r="G40" s="57" t="str">
        <f ca="1">IFERROR(OFFSET(INDIRECT($H$3 &amp; "!A98"), 9, 0), "")</f>
        <v>폴카닷</v>
      </c>
      <c r="H40" s="37">
        <f t="shared" ca="1" si="7"/>
        <v>49720</v>
      </c>
      <c r="I40" s="79">
        <f t="shared" ca="1" si="8"/>
        <v>2.0153164000000002E-3</v>
      </c>
      <c r="J40" s="87">
        <f t="shared" ca="1" si="13"/>
        <v>1131074.02775265</v>
      </c>
      <c r="K40" s="57" t="str">
        <f ca="1">IFERROR(OFFSET(INDIRECT($H$3 &amp; "!A44"), 9, 0), "")</f>
        <v>무비블록</v>
      </c>
      <c r="L40" s="37">
        <f t="shared" ca="1" si="9"/>
        <v>18.399999999999999</v>
      </c>
      <c r="M40" s="79">
        <f t="shared" ca="1" si="10"/>
        <v>4.5454545499999999E-2</v>
      </c>
      <c r="N40" s="87">
        <f t="shared" ca="1" si="14"/>
        <v>2868073234.6391463</v>
      </c>
      <c r="O40" s="57" t="str">
        <f ca="1">IFERROR(OFFSET(INDIRECT($H$3 &amp; "!A71"), 9, 0), "")</f>
        <v>저스트</v>
      </c>
      <c r="P40" s="37">
        <f t="shared" ca="1" si="11"/>
        <v>164</v>
      </c>
      <c r="Q40" s="79">
        <f t="shared" ca="1" si="12"/>
        <v>-1.20481928E-2</v>
      </c>
      <c r="R40" s="87">
        <f t="shared" ca="1" si="15"/>
        <v>35724734.648433939</v>
      </c>
    </row>
    <row r="41" spans="1:18">
      <c r="A41" s="40" t="s">
        <v>143</v>
      </c>
      <c r="B41" s="11" t="s">
        <v>144</v>
      </c>
      <c r="C41" s="95">
        <v>14220</v>
      </c>
      <c r="D41" s="92">
        <v>-4.2016807E-3</v>
      </c>
      <c r="E41" s="93">
        <v>3039377.3818189502</v>
      </c>
      <c r="F41" s="35"/>
      <c r="G41" s="59" t="str">
        <f ca="1">IFERROR(OFFSET(INDIRECT($H$3 &amp; "!A98"), 10, 0), "")</f>
        <v>스토리지</v>
      </c>
      <c r="H41" s="38">
        <f t="shared" ca="1" si="7"/>
        <v>2580</v>
      </c>
      <c r="I41" s="76">
        <f t="shared" ca="1" si="8"/>
        <v>-2.82485876E-2</v>
      </c>
      <c r="J41" s="85">
        <f t="shared" ca="1" si="13"/>
        <v>3574621.35128078</v>
      </c>
      <c r="K41" s="55" t="str">
        <f ca="1">IFERROR(OFFSET(INDIRECT($H$3 &amp; "!A44"), 10, 0), "")</f>
        <v>썬더토큰</v>
      </c>
      <c r="L41" s="38">
        <f t="shared" ca="1" si="9"/>
        <v>19.2</v>
      </c>
      <c r="M41" s="76">
        <f t="shared" ca="1" si="10"/>
        <v>-1.5384615399999999E-2</v>
      </c>
      <c r="N41" s="85">
        <f t="shared" ca="1" si="14"/>
        <v>349574774.26787001</v>
      </c>
      <c r="O41" s="55" t="str">
        <f ca="1">IFERROR(OFFSET(INDIRECT($H$3 &amp; "!A71"), 10, 0), "")</f>
        <v>칠리즈</v>
      </c>
      <c r="P41" s="38">
        <f t="shared" ca="1" si="11"/>
        <v>592</v>
      </c>
      <c r="Q41" s="76">
        <f t="shared" ca="1" si="12"/>
        <v>-5.0420168000000001E-3</v>
      </c>
      <c r="R41" s="85">
        <f t="shared" ca="1" si="15"/>
        <v>66833069.341704391</v>
      </c>
    </row>
    <row r="42" spans="1:18">
      <c r="A42" s="40" t="s">
        <v>87</v>
      </c>
      <c r="B42" s="11" t="s">
        <v>88</v>
      </c>
      <c r="C42" s="95">
        <v>592</v>
      </c>
      <c r="D42" s="92">
        <v>-5.0420168000000001E-3</v>
      </c>
      <c r="E42" s="93">
        <v>66833069.341704391</v>
      </c>
      <c r="F42" s="35"/>
      <c r="G42" s="56" t="str">
        <f ca="1">IFERROR(OFFSET(INDIRECT($H$3 &amp; "!A98"), 11, 0), "")</f>
        <v>스와이프</v>
      </c>
      <c r="H42" s="39">
        <f t="shared" ca="1" si="7"/>
        <v>6060</v>
      </c>
      <c r="I42" s="77">
        <f t="shared" ca="1" si="8"/>
        <v>-2.57234727E-2</v>
      </c>
      <c r="J42" s="86">
        <f t="shared" ca="1" si="13"/>
        <v>4737536.7029237896</v>
      </c>
      <c r="K42" s="56" t="str">
        <f ca="1">IFERROR(OFFSET(INDIRECT($H$3 &amp; "!A44"), 11, 0), "")</f>
        <v>비트토렌트</v>
      </c>
      <c r="L42" s="39">
        <f t="shared" ca="1" si="9"/>
        <v>8.76</v>
      </c>
      <c r="M42" s="77">
        <f t="shared" ca="1" si="10"/>
        <v>-2.88248337E-2</v>
      </c>
      <c r="N42" s="86">
        <f t="shared" ca="1" si="14"/>
        <v>19875877314.887863</v>
      </c>
      <c r="O42" s="56" t="str">
        <f ca="1">IFERROR(OFFSET(INDIRECT($H$3 &amp; "!A71"), 11, 0), "")</f>
        <v>시빅</v>
      </c>
      <c r="P42" s="39">
        <f t="shared" ca="1" si="11"/>
        <v>697</v>
      </c>
      <c r="Q42" s="77">
        <f t="shared" ca="1" si="12"/>
        <v>-3.4626038800000002E-2</v>
      </c>
      <c r="R42" s="86">
        <f t="shared" ca="1" si="15"/>
        <v>8660420.3958646506</v>
      </c>
    </row>
    <row r="43" spans="1:18">
      <c r="A43" s="40" t="s">
        <v>147</v>
      </c>
      <c r="B43" s="11" t="s">
        <v>148</v>
      </c>
      <c r="C43" s="95">
        <v>194</v>
      </c>
      <c r="D43" s="92">
        <v>-5.1282050999999999E-3</v>
      </c>
      <c r="E43" s="93">
        <v>60107359.287693202</v>
      </c>
      <c r="F43" s="35"/>
      <c r="G43" s="56" t="str">
        <f ca="1">IFERROR(OFFSET(INDIRECT($H$3 &amp; "!A98"), 12, 0), "")</f>
        <v>네오</v>
      </c>
      <c r="H43" s="39">
        <f t="shared" ca="1" si="7"/>
        <v>144650</v>
      </c>
      <c r="I43" s="77">
        <f t="shared" ca="1" si="8"/>
        <v>-1.26279863E-2</v>
      </c>
      <c r="J43" s="86">
        <f t="shared" ca="1" si="13"/>
        <v>738411.35169695003</v>
      </c>
      <c r="K43" s="56" t="str">
        <f ca="1">IFERROR(OFFSET(INDIRECT($H$3 &amp; "!A44"), 12, 0), "")</f>
        <v>퀴즈톡</v>
      </c>
      <c r="L43" s="39">
        <f t="shared" ca="1" si="9"/>
        <v>80.2</v>
      </c>
      <c r="M43" s="77">
        <f t="shared" ca="1" si="10"/>
        <v>-1.7156862700000001E-2</v>
      </c>
      <c r="N43" s="86">
        <f t="shared" ca="1" si="14"/>
        <v>21574273.03197854</v>
      </c>
      <c r="O43" s="56" t="str">
        <f ca="1">IFERROR(OFFSET(INDIRECT($H$3 &amp; "!A71"), 12, 0), "")</f>
        <v>샌드박스</v>
      </c>
      <c r="P43" s="39">
        <f t="shared" ca="1" si="11"/>
        <v>648</v>
      </c>
      <c r="Q43" s="77">
        <f t="shared" ca="1" si="12"/>
        <v>-2.7027026999999999E-2</v>
      </c>
      <c r="R43" s="86">
        <f t="shared" ca="1" si="15"/>
        <v>8908159.9690215494</v>
      </c>
    </row>
    <row r="44" spans="1:18">
      <c r="A44" s="40" t="s">
        <v>145</v>
      </c>
      <c r="B44" s="11" t="s">
        <v>146</v>
      </c>
      <c r="C44" s="95">
        <v>18560</v>
      </c>
      <c r="D44" s="92">
        <v>-5.3590568000000003E-3</v>
      </c>
      <c r="E44" s="93">
        <v>666336.53984322003</v>
      </c>
      <c r="F44" s="35"/>
      <c r="G44" s="56" t="str">
        <f ca="1">IFERROR(OFFSET(INDIRECT($H$3 &amp; "!A98"), 13, 0), "")</f>
        <v>이더리움</v>
      </c>
      <c r="H44" s="39">
        <f t="shared" ca="1" si="7"/>
        <v>5192000</v>
      </c>
      <c r="I44" s="77">
        <f t="shared" ca="1" si="8"/>
        <v>7.8969243600000003E-2</v>
      </c>
      <c r="J44" s="86">
        <f t="shared" ca="1" si="13"/>
        <v>174212.61377137</v>
      </c>
      <c r="K44" s="56" t="str">
        <f ca="1">IFERROR(OFFSET(INDIRECT($H$3 &amp; "!A44"), 13, 0), "")</f>
        <v>엔도르</v>
      </c>
      <c r="L44" s="39">
        <f t="shared" ca="1" si="9"/>
        <v>64.3</v>
      </c>
      <c r="M44" s="77">
        <f t="shared" ca="1" si="10"/>
        <v>-2.27963526E-2</v>
      </c>
      <c r="N44" s="86">
        <f t="shared" ca="1" si="14"/>
        <v>46869866.110371612</v>
      </c>
      <c r="O44" s="56" t="str">
        <f ca="1">IFERROR(OFFSET(INDIRECT($H$3 &amp; "!A71"), 13, 0), "")</f>
        <v>메타디움</v>
      </c>
      <c r="P44" s="39">
        <f t="shared" ca="1" si="11"/>
        <v>195</v>
      </c>
      <c r="Q44" s="77">
        <f t="shared" ca="1" si="12"/>
        <v>-2.9850746300000001E-2</v>
      </c>
      <c r="R44" s="86">
        <f t="shared" ca="1" si="15"/>
        <v>82338264.729467154</v>
      </c>
    </row>
    <row r="45" spans="1:18">
      <c r="A45" s="40" t="s">
        <v>229</v>
      </c>
      <c r="B45" s="11" t="s">
        <v>230</v>
      </c>
      <c r="C45" s="95">
        <v>164</v>
      </c>
      <c r="D45" s="92">
        <v>-6.0606061000000001E-3</v>
      </c>
      <c r="E45" s="93">
        <v>20677748.870305508</v>
      </c>
      <c r="F45" s="35"/>
      <c r="G45" s="58" t="str">
        <f ca="1">IFERROR(OFFSET(INDIRECT($H$3 &amp; "!A98"), 14, 0), "")</f>
        <v>비체인</v>
      </c>
      <c r="H45" s="44">
        <f t="shared" ca="1" si="7"/>
        <v>278</v>
      </c>
      <c r="I45" s="78">
        <f t="shared" ca="1" si="8"/>
        <v>-2.7972027999999999E-2</v>
      </c>
      <c r="J45" s="90">
        <f t="shared" ca="1" si="13"/>
        <v>505482663.27365595</v>
      </c>
      <c r="K45" s="58" t="str">
        <f ca="1">IFERROR(OFFSET(INDIRECT($H$3 &amp; "!A44"), 14, 0), "")</f>
        <v>트웰브쉽스</v>
      </c>
      <c r="L45" s="44">
        <f t="shared" ca="1" si="9"/>
        <v>24</v>
      </c>
      <c r="M45" s="78">
        <f t="shared" ca="1" si="10"/>
        <v>1.26582278E-2</v>
      </c>
      <c r="N45" s="90">
        <f t="shared" ca="1" si="14"/>
        <v>335461477.93693566</v>
      </c>
      <c r="O45" s="58" t="str">
        <f ca="1">IFERROR(OFFSET(INDIRECT($H$3 &amp; "!A71"), 14, 0), "")</f>
        <v>질리카</v>
      </c>
      <c r="P45" s="44">
        <f t="shared" ca="1" si="11"/>
        <v>293</v>
      </c>
      <c r="Q45" s="78">
        <f t="shared" ca="1" si="12"/>
        <v>1.38408304E-2</v>
      </c>
      <c r="R45" s="90">
        <f t="shared" ca="1" si="15"/>
        <v>55428930.104287364</v>
      </c>
    </row>
    <row r="46" spans="1:18">
      <c r="A46" s="40" t="s">
        <v>121</v>
      </c>
      <c r="B46" s="11" t="s">
        <v>122</v>
      </c>
      <c r="C46" s="95">
        <v>113</v>
      </c>
      <c r="D46" s="92">
        <v>-8.7719297999999998E-3</v>
      </c>
      <c r="E46" s="93">
        <v>91733237.013234422</v>
      </c>
      <c r="F46" s="35"/>
      <c r="G46" s="56" t="str">
        <f ca="1">IFERROR(OFFSET(INDIRECT($H$3 &amp; "!A98"), 15, 0), "")</f>
        <v>아이오에스티</v>
      </c>
      <c r="H46" s="39">
        <f t="shared" ca="1" si="7"/>
        <v>76.7</v>
      </c>
      <c r="I46" s="77">
        <f t="shared" ca="1" si="8"/>
        <v>-1.54043646E-2</v>
      </c>
      <c r="J46" s="99">
        <f t="shared" ca="1" si="13"/>
        <v>79450561.398230359</v>
      </c>
      <c r="K46" s="56" t="str">
        <f ca="1">IFERROR(OFFSET(INDIRECT($H$3 &amp; "!A44"), 15, 0), "")</f>
        <v>옵저버</v>
      </c>
      <c r="L46" s="39">
        <f t="shared" ca="1" si="9"/>
        <v>26.6</v>
      </c>
      <c r="M46" s="77">
        <f t="shared" ca="1" si="10"/>
        <v>-1.4814814799999999E-2</v>
      </c>
      <c r="N46" s="99">
        <f t="shared" ca="1" si="14"/>
        <v>161469810.78106838</v>
      </c>
      <c r="O46" s="56" t="str">
        <f ca="1">IFERROR(OFFSET(INDIRECT($H$3 &amp; "!A71"), 15, 0), "")</f>
        <v>크립토닷컴체인</v>
      </c>
      <c r="P46" s="39">
        <f t="shared" ca="1" si="11"/>
        <v>219</v>
      </c>
      <c r="Q46" s="77">
        <f t="shared" ca="1" si="12"/>
        <v>0</v>
      </c>
      <c r="R46" s="99">
        <f t="shared" ca="1" si="15"/>
        <v>89216697.976487085</v>
      </c>
    </row>
    <row r="47" spans="1:18">
      <c r="A47" s="40" t="s">
        <v>267</v>
      </c>
      <c r="B47" s="11" t="s">
        <v>268</v>
      </c>
      <c r="C47" s="95">
        <v>89</v>
      </c>
      <c r="D47" s="92">
        <v>-8.9086860000000007E-3</v>
      </c>
      <c r="E47" s="93">
        <v>52101861.949850321</v>
      </c>
      <c r="F47" s="35"/>
      <c r="G47" s="56" t="str">
        <f ca="1">IFERROR(OFFSET(INDIRECT($H$3 &amp; "!A98"), 16, 0), "")</f>
        <v>스텔라루멘</v>
      </c>
      <c r="H47" s="39">
        <f t="shared" ca="1" si="7"/>
        <v>897</v>
      </c>
      <c r="I47" s="77">
        <f t="shared" ca="1" si="8"/>
        <v>0.16493506490000001</v>
      </c>
      <c r="J47" s="86">
        <f t="shared" ca="1" si="13"/>
        <v>860420131.83293164</v>
      </c>
      <c r="K47" s="56" t="str">
        <f ca="1">IFERROR(OFFSET(INDIRECT($H$3 &amp; "!A44"), 16, 0), "")</f>
        <v>엠블</v>
      </c>
      <c r="L47" s="39">
        <f t="shared" ca="1" si="9"/>
        <v>26.6</v>
      </c>
      <c r="M47" s="77">
        <f t="shared" ca="1" si="10"/>
        <v>-1.4814814799999999E-2</v>
      </c>
      <c r="N47" s="86">
        <f t="shared" ca="1" si="14"/>
        <v>401579310.33830988</v>
      </c>
      <c r="O47" s="56" t="str">
        <f ca="1">IFERROR(OFFSET(INDIRECT($H$3 &amp; "!A71"), 16, 0), "")</f>
        <v>쎄타퓨엘</v>
      </c>
      <c r="P47" s="39">
        <f t="shared" ca="1" si="11"/>
        <v>457</v>
      </c>
      <c r="Q47" s="77">
        <f t="shared" ca="1" si="12"/>
        <v>-3.7894736800000002E-2</v>
      </c>
      <c r="R47" s="86">
        <f t="shared" ca="1" si="15"/>
        <v>15807674.580539539</v>
      </c>
    </row>
    <row r="48" spans="1:18">
      <c r="A48" s="40" t="s">
        <v>157</v>
      </c>
      <c r="B48" s="11" t="s">
        <v>158</v>
      </c>
      <c r="C48" s="95">
        <v>9755</v>
      </c>
      <c r="D48" s="92">
        <v>-9.1416963E-3</v>
      </c>
      <c r="E48" s="93">
        <v>640364.11493182997</v>
      </c>
      <c r="F48" s="35"/>
      <c r="G48" s="56" t="str">
        <f ca="1">IFERROR(OFFSET(INDIRECT($H$3 &amp; "!A98"), 17, 0), "")</f>
        <v>플레이댑</v>
      </c>
      <c r="H48" s="39">
        <f t="shared" ca="1" si="7"/>
        <v>494</v>
      </c>
      <c r="I48" s="77">
        <f t="shared" ca="1" si="8"/>
        <v>-2.1782178199999998E-2</v>
      </c>
      <c r="J48" s="86">
        <f t="shared" ca="1" si="13"/>
        <v>8158316.6001805896</v>
      </c>
      <c r="K48" s="56" t="str">
        <f ca="1">IFERROR(OFFSET(INDIRECT($H$3 &amp; "!A44"), 17, 0), "")</f>
        <v>리퍼리움</v>
      </c>
      <c r="L48" s="39">
        <f t="shared" ca="1" si="9"/>
        <v>20.5</v>
      </c>
      <c r="M48" s="77">
        <f t="shared" ca="1" si="10"/>
        <v>-2.3809523799999999E-2</v>
      </c>
      <c r="N48" s="86">
        <f t="shared" ca="1" si="14"/>
        <v>214523791.63941556</v>
      </c>
      <c r="O48" s="56" t="str">
        <f ca="1">IFERROR(OFFSET(INDIRECT($H$3 &amp; "!A71"), 17, 0), "")</f>
        <v>아더</v>
      </c>
      <c r="P48" s="39">
        <f t="shared" ca="1" si="11"/>
        <v>504</v>
      </c>
      <c r="Q48" s="77">
        <f t="shared" ca="1" si="12"/>
        <v>-3.2629558500000003E-2</v>
      </c>
      <c r="R48" s="86">
        <f t="shared" ca="1" si="15"/>
        <v>18167540.901957039</v>
      </c>
    </row>
    <row r="49" spans="1:18">
      <c r="A49" s="40" t="s">
        <v>71</v>
      </c>
      <c r="B49" s="11" t="s">
        <v>72</v>
      </c>
      <c r="C49" s="95">
        <v>37.200000000000003</v>
      </c>
      <c r="D49" s="92">
        <v>-1.06382979E-2</v>
      </c>
      <c r="E49" s="93">
        <v>98175062.134223193</v>
      </c>
      <c r="F49" s="35"/>
      <c r="G49" s="56" t="str">
        <f ca="1">IFERROR(OFFSET(INDIRECT($H$3 &amp; "!A98"), 18, 0), "")</f>
        <v>앵커</v>
      </c>
      <c r="H49" s="39">
        <f t="shared" ca="1" si="7"/>
        <v>194</v>
      </c>
      <c r="I49" s="77">
        <f t="shared" ca="1" si="8"/>
        <v>-5.1282050999999999E-3</v>
      </c>
      <c r="J49" s="86">
        <f t="shared" ca="1" si="13"/>
        <v>60107359.287693202</v>
      </c>
      <c r="K49" s="56" t="str">
        <f ca="1">IFERROR(OFFSET(INDIRECT($H$3 &amp; "!A44"), 18, 0), "")</f>
        <v>쿼크체인</v>
      </c>
      <c r="L49" s="39">
        <f t="shared" ca="1" si="9"/>
        <v>37.200000000000003</v>
      </c>
      <c r="M49" s="77">
        <f t="shared" ca="1" si="10"/>
        <v>-1.06382979E-2</v>
      </c>
      <c r="N49" s="86">
        <f t="shared" ca="1" si="14"/>
        <v>98175062.134223193</v>
      </c>
      <c r="O49" s="56" t="str">
        <f ca="1">IFERROR(OFFSET(INDIRECT($H$3 &amp; "!A71"), 18, 0), "")</f>
        <v>아르고</v>
      </c>
      <c r="P49" s="39">
        <f t="shared" ca="1" si="11"/>
        <v>345</v>
      </c>
      <c r="Q49" s="77">
        <f t="shared" ca="1" si="12"/>
        <v>-1.7094017100000001E-2</v>
      </c>
      <c r="R49" s="86">
        <f t="shared" ca="1" si="15"/>
        <v>10475996.93566802</v>
      </c>
    </row>
    <row r="50" spans="1:18" ht="17.25" thickBot="1">
      <c r="A50" s="40" t="s">
        <v>263</v>
      </c>
      <c r="B50" s="11" t="s">
        <v>264</v>
      </c>
      <c r="C50" s="95">
        <v>174</v>
      </c>
      <c r="D50" s="92">
        <v>-1.13636364E-2</v>
      </c>
      <c r="E50" s="93">
        <v>25769644.676789101</v>
      </c>
      <c r="F50" s="35"/>
      <c r="G50" s="57" t="str">
        <f ca="1">IFERROR(OFFSET(INDIRECT($H$3 &amp; "!A98"), 19, 0), "")</f>
        <v>카바</v>
      </c>
      <c r="H50" s="37">
        <f t="shared" ca="1" si="7"/>
        <v>8215</v>
      </c>
      <c r="I50" s="79">
        <f t="shared" ca="1" si="8"/>
        <v>8.7359364699999997E-2</v>
      </c>
      <c r="J50" s="87">
        <f t="shared" ca="1" si="13"/>
        <v>4071499.41276694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썸씽</v>
      </c>
      <c r="P50" s="37">
        <f t="shared" ca="1" si="11"/>
        <v>119</v>
      </c>
      <c r="Q50" s="79">
        <f t="shared" ca="1" si="12"/>
        <v>2.5862069000000001E-2</v>
      </c>
      <c r="R50" s="87">
        <f t="shared" ca="1" si="15"/>
        <v>105218095.99052505</v>
      </c>
    </row>
    <row r="51" spans="1:18">
      <c r="A51" s="40" t="s">
        <v>85</v>
      </c>
      <c r="B51" s="11" t="s">
        <v>86</v>
      </c>
      <c r="C51" s="95">
        <v>12740</v>
      </c>
      <c r="D51" s="92">
        <v>-1.16369279E-2</v>
      </c>
      <c r="E51" s="93">
        <v>24136269.90660267</v>
      </c>
      <c r="F51" s="35"/>
    </row>
    <row r="52" spans="1:18" ht="17.25" thickBot="1">
      <c r="A52" s="40" t="s">
        <v>277</v>
      </c>
      <c r="B52" s="11" t="s">
        <v>278</v>
      </c>
      <c r="C52" s="95">
        <v>164</v>
      </c>
      <c r="D52" s="92">
        <v>-1.20481928E-2</v>
      </c>
      <c r="E52" s="93">
        <v>35724734.648433939</v>
      </c>
      <c r="F52" s="35"/>
    </row>
    <row r="53" spans="1:18" ht="17.25" thickBot="1">
      <c r="A53" s="40" t="s">
        <v>62</v>
      </c>
      <c r="B53" s="11" t="s">
        <v>63</v>
      </c>
      <c r="C53" s="95">
        <v>144650</v>
      </c>
      <c r="D53" s="92">
        <v>-1.26279863E-2</v>
      </c>
      <c r="E53" s="93">
        <v>738411.35169695003</v>
      </c>
      <c r="F53" s="35"/>
      <c r="G53" s="193" t="s">
        <v>285</v>
      </c>
      <c r="H53" s="194"/>
      <c r="I53" s="194"/>
      <c r="J53" s="195"/>
      <c r="K53" s="193" t="s">
        <v>288</v>
      </c>
      <c r="L53" s="194"/>
      <c r="M53" s="194"/>
      <c r="N53" s="195"/>
      <c r="O53" s="193" t="s">
        <v>289</v>
      </c>
      <c r="P53" s="194"/>
      <c r="Q53" s="194"/>
      <c r="R53" s="195"/>
    </row>
    <row r="54" spans="1:18" ht="17.25" thickBot="1">
      <c r="A54" s="40" t="s">
        <v>133</v>
      </c>
      <c r="B54" s="11" t="s">
        <v>134</v>
      </c>
      <c r="C54" s="95">
        <v>155</v>
      </c>
      <c r="D54" s="92">
        <v>-1.2738853499999999E-2</v>
      </c>
      <c r="E54" s="93">
        <v>48028566.762840368</v>
      </c>
      <c r="F54" s="35"/>
      <c r="G54" s="258" t="s">
        <v>55</v>
      </c>
      <c r="H54" s="270">
        <f ca="1">NOW()</f>
        <v>44326.912283217593</v>
      </c>
      <c r="I54" s="271"/>
      <c r="J54" s="272"/>
      <c r="K54" s="261" t="s">
        <v>55</v>
      </c>
      <c r="L54" s="270">
        <f ca="1">NOW()</f>
        <v>44326.912283217593</v>
      </c>
      <c r="M54" s="271"/>
      <c r="N54" s="272"/>
      <c r="O54" s="261" t="s">
        <v>55</v>
      </c>
      <c r="P54" s="270">
        <f ca="1">NOW()</f>
        <v>44326.912283217593</v>
      </c>
      <c r="Q54" s="271"/>
      <c r="R54" s="272"/>
    </row>
    <row r="55" spans="1:18" ht="17.25" thickBot="1">
      <c r="A55" s="40" t="s">
        <v>125</v>
      </c>
      <c r="B55" s="11" t="s">
        <v>126</v>
      </c>
      <c r="C55" s="95">
        <v>58.2</v>
      </c>
      <c r="D55" s="92">
        <v>-1.3559322E-2</v>
      </c>
      <c r="E55" s="93">
        <v>73755466.501238257</v>
      </c>
      <c r="F55" s="35"/>
      <c r="G55" s="255"/>
      <c r="H55" s="36" t="s">
        <v>58</v>
      </c>
      <c r="I55" s="73" t="s">
        <v>59</v>
      </c>
      <c r="J55" s="69" t="s">
        <v>294</v>
      </c>
      <c r="K55" s="255"/>
      <c r="L55" s="36" t="s">
        <v>58</v>
      </c>
      <c r="M55" s="73" t="s">
        <v>59</v>
      </c>
      <c r="N55" s="69" t="s">
        <v>294</v>
      </c>
      <c r="O55" s="255"/>
      <c r="P55" s="36" t="s">
        <v>58</v>
      </c>
      <c r="Q55" s="73" t="s">
        <v>59</v>
      </c>
      <c r="R55" s="69" t="s">
        <v>294</v>
      </c>
    </row>
    <row r="56" spans="1:18">
      <c r="A56" s="40" t="s">
        <v>211</v>
      </c>
      <c r="B56" s="11" t="s">
        <v>212</v>
      </c>
      <c r="C56" s="95">
        <v>144</v>
      </c>
      <c r="D56" s="92">
        <v>-1.3698630099999999E-2</v>
      </c>
      <c r="E56" s="93">
        <v>496852850.76217914</v>
      </c>
      <c r="F56" s="35"/>
      <c r="G56" s="55" t="str">
        <f ca="1">IFERROR(OFFSET(INDIRECT($H$3 &amp; "!A179"), 0, 0), "")</f>
        <v>메디블록</v>
      </c>
      <c r="H56" s="38">
        <f t="shared" ref="H56:H65" ca="1" si="16">_xlfn.IFNA(VLOOKUP(G56, $B$2:$D$200, 2, FALSE), "")</f>
        <v>144</v>
      </c>
      <c r="I56" s="76">
        <f t="shared" ref="I56:I65" ca="1" si="17">_xlfn.IFNA(VLOOKUP(G56, $B$2:$D$200, 3, FALSE), "")</f>
        <v>-1.3698630099999999E-2</v>
      </c>
      <c r="J56" s="85">
        <f ca="1">_xlfn.IFNA(VLOOKUP(G56, $B$2:$E$200, 4, FALSE), "")</f>
        <v>496852850.76217914</v>
      </c>
      <c r="K56" s="55" t="str">
        <f ca="1">IFERROR(OFFSET(INDIRECT($H$3 &amp; "!A125"), 0, 0), "")</f>
        <v>아이오에스티</v>
      </c>
      <c r="L56" s="38">
        <f t="shared" ref="L56:L75" ca="1" si="18">_xlfn.IFNA(VLOOKUP(K56, $B$2:$D$200, 2, FALSE), "")</f>
        <v>76.7</v>
      </c>
      <c r="M56" s="76">
        <f t="shared" ref="M56:M75" ca="1" si="19">_xlfn.IFNA(VLOOKUP(K56, $B$2:$D$200, 3, FALSE), "")</f>
        <v>-1.54043646E-2</v>
      </c>
      <c r="N56" s="85">
        <f ca="1">_xlfn.IFNA(VLOOKUP(K56, $B$2:$E$200, 4, FALSE), "")</f>
        <v>79450561.398230359</v>
      </c>
      <c r="O56" s="55" t="str">
        <f ca="1">IFERROR(OFFSET(INDIRECT($H$3 &amp; "!A152"), 0, 0), "")</f>
        <v>폴리매쓰</v>
      </c>
      <c r="P56" s="38">
        <f t="shared" ref="P56:P75" ca="1" si="20">_xlfn.IFNA(VLOOKUP(O56, $B$2:$D$200, 2, FALSE), "")</f>
        <v>532</v>
      </c>
      <c r="Q56" s="76">
        <f t="shared" ref="Q56:Q75" ca="1" si="21">_xlfn.IFNA(VLOOKUP(O56, $B$2:$D$200, 3, FALSE), "")</f>
        <v>5.7654075499999999E-2</v>
      </c>
      <c r="R56" s="85">
        <f ca="1">_xlfn.IFNA(VLOOKUP(O56, $B$2:$E$200, 4, FALSE), "")</f>
        <v>33474020.686380848</v>
      </c>
    </row>
    <row r="57" spans="1:18">
      <c r="A57" s="40" t="s">
        <v>53</v>
      </c>
      <c r="B57" s="11" t="s">
        <v>54</v>
      </c>
      <c r="C57" s="95">
        <v>354</v>
      </c>
      <c r="D57" s="92">
        <v>-1.39275766E-2</v>
      </c>
      <c r="E57" s="93">
        <v>13045630.796741661</v>
      </c>
      <c r="F57" s="35"/>
      <c r="G57" s="56" t="str">
        <f ca="1">IFERROR(OFFSET(INDIRECT($H$3 &amp; "!A179"), 1, 0), "")</f>
        <v>디마켓</v>
      </c>
      <c r="H57" s="39">
        <f t="shared" ca="1" si="16"/>
        <v>1320</v>
      </c>
      <c r="I57" s="77">
        <f t="shared" ca="1" si="17"/>
        <v>-3.2967033E-2</v>
      </c>
      <c r="J57" s="86">
        <f t="shared" ref="J57:J75" ca="1" si="22">_xlfn.IFNA(VLOOKUP(G57, $B$2:$E$200, 4, FALSE), "")</f>
        <v>2236457.6897324501</v>
      </c>
      <c r="K57" s="56" t="str">
        <f ca="1">IFERROR(OFFSET(INDIRECT($H$3 &amp; "!A125"), 1, 0), "")</f>
        <v>캐리프로토콜</v>
      </c>
      <c r="L57" s="39">
        <f t="shared" ca="1" si="18"/>
        <v>20.2</v>
      </c>
      <c r="M57" s="77">
        <f t="shared" ca="1" si="19"/>
        <v>-3.3492822999999998E-2</v>
      </c>
      <c r="N57" s="86">
        <f t="shared" ref="N57:N75" ca="1" si="23">_xlfn.IFNA(VLOOKUP(K57, $B$2:$E$200, 4, FALSE), "")</f>
        <v>399414540.94325894</v>
      </c>
      <c r="O57" s="56" t="str">
        <f ca="1">IFERROR(OFFSET(INDIRECT($H$3 &amp; "!A152"), 1, 0), "")</f>
        <v>오브스</v>
      </c>
      <c r="P57" s="39">
        <f t="shared" ca="1" si="20"/>
        <v>155</v>
      </c>
      <c r="Q57" s="77">
        <f t="shared" ca="1" si="21"/>
        <v>-1.2738853499999999E-2</v>
      </c>
      <c r="R57" s="86">
        <f t="shared" ref="R57:R75" ca="1" si="24">_xlfn.IFNA(VLOOKUP(O57, $B$2:$E$200, 4, FALSE), "")</f>
        <v>48028566.762840368</v>
      </c>
    </row>
    <row r="58" spans="1:18">
      <c r="A58" s="40" t="s">
        <v>93</v>
      </c>
      <c r="B58" s="11" t="s">
        <v>94</v>
      </c>
      <c r="C58" s="95">
        <v>152100</v>
      </c>
      <c r="D58" s="92">
        <v>-1.39384117E-2</v>
      </c>
      <c r="E58" s="93">
        <v>870088.32996165997</v>
      </c>
      <c r="F58" s="35"/>
      <c r="G58" s="56" t="str">
        <f ca="1">IFERROR(OFFSET(INDIRECT($H$3 &amp; "!A179"), 2, 0), "")</f>
        <v>메탈</v>
      </c>
      <c r="H58" s="39">
        <f t="shared" ca="1" si="16"/>
        <v>5055</v>
      </c>
      <c r="I58" s="77">
        <f t="shared" ca="1" si="17"/>
        <v>3.6923076899999997E-2</v>
      </c>
      <c r="J58" s="86">
        <f t="shared" ca="1" si="22"/>
        <v>19642240.070041891</v>
      </c>
      <c r="K58" s="56" t="str">
        <f ca="1">IFERROR(OFFSET(INDIRECT($H$3 &amp; "!A125"), 2, 0), "")</f>
        <v>메인프레임</v>
      </c>
      <c r="L58" s="39">
        <f t="shared" ca="1" si="18"/>
        <v>19.7</v>
      </c>
      <c r="M58" s="77">
        <f t="shared" ca="1" si="19"/>
        <v>-2.9556650199999999E-2</v>
      </c>
      <c r="N58" s="86">
        <f t="shared" ca="1" si="23"/>
        <v>227891038.69594601</v>
      </c>
      <c r="O58" s="56" t="str">
        <f ca="1">IFERROR(OFFSET(INDIRECT($H$3 &amp; "!A152"), 2, 0), "")</f>
        <v>넴</v>
      </c>
      <c r="P58" s="39">
        <f t="shared" ca="1" si="20"/>
        <v>461</v>
      </c>
      <c r="Q58" s="77">
        <f t="shared" ca="1" si="21"/>
        <v>-2.1645022000000001E-3</v>
      </c>
      <c r="R58" s="86">
        <f t="shared" ca="1" si="24"/>
        <v>91481260.896824509</v>
      </c>
    </row>
    <row r="59" spans="1:18">
      <c r="A59" s="40" t="s">
        <v>197</v>
      </c>
      <c r="B59" s="11" t="s">
        <v>198</v>
      </c>
      <c r="C59" s="95">
        <v>26.6</v>
      </c>
      <c r="D59" s="92">
        <v>-1.4814814799999999E-2</v>
      </c>
      <c r="E59" s="93">
        <v>401579310.33830988</v>
      </c>
      <c r="F59" s="35"/>
      <c r="G59" s="56" t="str">
        <f ca="1">IFERROR(OFFSET(INDIRECT($H$3 &amp; "!A179"), 3, 0), "")</f>
        <v>톤</v>
      </c>
      <c r="H59" s="39">
        <f t="shared" ca="1" si="16"/>
        <v>13320</v>
      </c>
      <c r="I59" s="77">
        <f t="shared" ca="1" si="17"/>
        <v>-3.4082668599999998E-2</v>
      </c>
      <c r="J59" s="86">
        <f t="shared" ca="1" si="22"/>
        <v>612574.11413667002</v>
      </c>
      <c r="K59" s="56" t="str">
        <f ca="1">IFERROR(OFFSET(INDIRECT($H$3 &amp; "!A125"), 3, 0), "")</f>
        <v>스톰엑스</v>
      </c>
      <c r="L59" s="39">
        <f t="shared" ca="1" si="18"/>
        <v>58.2</v>
      </c>
      <c r="M59" s="77">
        <f t="shared" ca="1" si="19"/>
        <v>-1.3559322E-2</v>
      </c>
      <c r="N59" s="86">
        <f t="shared" ca="1" si="23"/>
        <v>73755466.501238257</v>
      </c>
      <c r="O59" s="56" t="str">
        <f ca="1">IFERROR(OFFSET(INDIRECT($H$3 &amp; "!A152"), 3, 0), "")</f>
        <v>보라</v>
      </c>
      <c r="P59" s="39">
        <f t="shared" ca="1" si="20"/>
        <v>264</v>
      </c>
      <c r="Q59" s="77">
        <f t="shared" ca="1" si="21"/>
        <v>-2.2222222199999999E-2</v>
      </c>
      <c r="R59" s="86">
        <f t="shared" ca="1" si="24"/>
        <v>20870324.43562039</v>
      </c>
    </row>
    <row r="60" spans="1:18">
      <c r="A60" s="40" t="s">
        <v>217</v>
      </c>
      <c r="B60" s="11" t="s">
        <v>218</v>
      </c>
      <c r="C60" s="95">
        <v>26.6</v>
      </c>
      <c r="D60" s="92">
        <v>-1.4814814799999999E-2</v>
      </c>
      <c r="E60" s="93">
        <v>161469810.78106838</v>
      </c>
      <c r="F60" s="35"/>
      <c r="G60" s="56" t="str">
        <f ca="1">IFERROR(OFFSET(INDIRECT($H$3 &amp; "!A179"), 4, 0), "")</f>
        <v>골렘</v>
      </c>
      <c r="H60" s="39">
        <f t="shared" ca="1" si="16"/>
        <v>608</v>
      </c>
      <c r="I60" s="77">
        <f t="shared" ca="1" si="17"/>
        <v>1.16472546E-2</v>
      </c>
      <c r="J60" s="90">
        <f t="shared" ca="1" si="22"/>
        <v>12223343.54381861</v>
      </c>
      <c r="K60" s="58" t="str">
        <f ca="1">IFERROR(OFFSET(INDIRECT($H$3 &amp; "!A125"), 4, 0), "")</f>
        <v>에스티피</v>
      </c>
      <c r="L60" s="44">
        <f t="shared" ca="1" si="18"/>
        <v>91.3</v>
      </c>
      <c r="M60" s="78">
        <f t="shared" ca="1" si="19"/>
        <v>-3.2838983099999997E-2</v>
      </c>
      <c r="N60" s="90">
        <f t="shared" ca="1" si="23"/>
        <v>33737978.762301639</v>
      </c>
      <c r="O60" s="58" t="str">
        <f ca="1">IFERROR(OFFSET(INDIRECT($H$3 &amp; "!A152"), 4, 0), "")</f>
        <v>솔브케어</v>
      </c>
      <c r="P60" s="44">
        <f t="shared" ca="1" si="20"/>
        <v>277</v>
      </c>
      <c r="Q60" s="78">
        <f t="shared" ca="1" si="21"/>
        <v>-2.4647887300000001E-2</v>
      </c>
      <c r="R60" s="90">
        <f t="shared" ca="1" si="24"/>
        <v>12552059.33175168</v>
      </c>
    </row>
    <row r="61" spans="1:18">
      <c r="A61" s="40" t="s">
        <v>123</v>
      </c>
      <c r="B61" s="11" t="s">
        <v>124</v>
      </c>
      <c r="C61" s="95">
        <v>6755</v>
      </c>
      <c r="D61" s="92">
        <v>-1.53061224E-2</v>
      </c>
      <c r="E61" s="93">
        <v>853338.76395822002</v>
      </c>
      <c r="F61" s="35"/>
      <c r="G61" s="60" t="str">
        <f ca="1">IFERROR(OFFSET(INDIRECT($H$3 &amp; "!A179"), 5, 0), "")</f>
        <v>헌트</v>
      </c>
      <c r="H61" s="45">
        <f t="shared" ca="1" si="16"/>
        <v>368</v>
      </c>
      <c r="I61" s="80">
        <f t="shared" ca="1" si="17"/>
        <v>-2.9023746699999999E-2</v>
      </c>
      <c r="J61" s="99">
        <f t="shared" ca="1" si="22"/>
        <v>6382993.9889633805</v>
      </c>
      <c r="K61" s="56" t="str">
        <f ca="1">IFERROR(OFFSET(INDIRECT($H$3 &amp; "!A125"), 5, 0), "")</f>
        <v>시아코인</v>
      </c>
      <c r="L61" s="39">
        <f t="shared" ca="1" si="18"/>
        <v>47.4</v>
      </c>
      <c r="M61" s="77">
        <f t="shared" ca="1" si="19"/>
        <v>-1.8633540399999999E-2</v>
      </c>
      <c r="N61" s="99">
        <f t="shared" ca="1" si="23"/>
        <v>380617287.22368187</v>
      </c>
      <c r="O61" s="56" t="str">
        <f ca="1">IFERROR(OFFSET(INDIRECT($H$3 &amp; "!A152"), 5, 0), "")</f>
        <v>피르마체인</v>
      </c>
      <c r="P61" s="39">
        <f t="shared" ca="1" si="20"/>
        <v>180</v>
      </c>
      <c r="Q61" s="77">
        <f t="shared" ca="1" si="21"/>
        <v>0</v>
      </c>
      <c r="R61" s="99">
        <f t="shared" ca="1" si="24"/>
        <v>29395515.465784311</v>
      </c>
    </row>
    <row r="62" spans="1:18">
      <c r="A62" s="40" t="s">
        <v>195</v>
      </c>
      <c r="B62" s="11" t="s">
        <v>196</v>
      </c>
      <c r="C62" s="95">
        <v>19.2</v>
      </c>
      <c r="D62" s="92">
        <v>-1.5384615399999999E-2</v>
      </c>
      <c r="E62" s="93">
        <v>349574774.26787001</v>
      </c>
      <c r="F62" s="35"/>
      <c r="G62" s="56" t="str">
        <f ca="1">IFERROR(OFFSET(INDIRECT($H$3 &amp; "!A179"), 6, 0), "")</f>
        <v>세럼</v>
      </c>
      <c r="H62" s="39">
        <f t="shared" ca="1" si="16"/>
        <v>12670</v>
      </c>
      <c r="I62" s="77">
        <f t="shared" ca="1" si="17"/>
        <v>3.1670625000000002E-3</v>
      </c>
      <c r="J62" s="86">
        <f t="shared" ca="1" si="22"/>
        <v>1060343.4705131601</v>
      </c>
      <c r="K62" s="56" t="str">
        <f ca="1">IFERROR(OFFSET(INDIRECT($H$3 &amp; "!A125"), 6, 0), "")</f>
        <v>에브리피디아</v>
      </c>
      <c r="L62" s="39">
        <f t="shared" ca="1" si="18"/>
        <v>24</v>
      </c>
      <c r="M62" s="77">
        <f t="shared" ca="1" si="19"/>
        <v>-2.0408163300000001E-2</v>
      </c>
      <c r="N62" s="86">
        <f t="shared" ca="1" si="23"/>
        <v>149052548.22775614</v>
      </c>
      <c r="O62" s="56" t="str">
        <f ca="1">IFERROR(OFFSET(INDIRECT($H$3 &amp; "!A152"), 6, 0), "")</f>
        <v>센티넬프로토콜</v>
      </c>
      <c r="P62" s="39">
        <f t="shared" ca="1" si="20"/>
        <v>175</v>
      </c>
      <c r="Q62" s="77">
        <f t="shared" ca="1" si="21"/>
        <v>-2.77777778E-2</v>
      </c>
      <c r="R62" s="86">
        <f t="shared" ca="1" si="24"/>
        <v>23601104.467501771</v>
      </c>
    </row>
    <row r="63" spans="1:18">
      <c r="A63" s="40" t="s">
        <v>64</v>
      </c>
      <c r="B63" s="11" t="s">
        <v>65</v>
      </c>
      <c r="C63" s="95">
        <v>76.7</v>
      </c>
      <c r="D63" s="92">
        <v>-1.54043646E-2</v>
      </c>
      <c r="E63" s="93">
        <v>79450561.398230359</v>
      </c>
      <c r="F63" s="35"/>
      <c r="G63" s="56" t="str">
        <f ca="1">IFERROR(OFFSET(INDIRECT($H$3 &amp; "!A179"), 7, 0), "")</f>
        <v>아크</v>
      </c>
      <c r="H63" s="39">
        <f t="shared" ca="1" si="16"/>
        <v>2885</v>
      </c>
      <c r="I63" s="77">
        <f t="shared" ca="1" si="17"/>
        <v>2.6690391500000001E-2</v>
      </c>
      <c r="J63" s="86">
        <f t="shared" ca="1" si="22"/>
        <v>9527856.4030775409</v>
      </c>
      <c r="K63" s="56" t="str">
        <f ca="1">IFERROR(OFFSET(INDIRECT($H$3 &amp; "!A125"), 7, 0), "")</f>
        <v>람다</v>
      </c>
      <c r="L63" s="39">
        <f t="shared" ca="1" si="18"/>
        <v>89</v>
      </c>
      <c r="M63" s="77">
        <f t="shared" ca="1" si="19"/>
        <v>-8.9086860000000007E-3</v>
      </c>
      <c r="N63" s="86">
        <f t="shared" ca="1" si="23"/>
        <v>52101861.949850321</v>
      </c>
      <c r="O63" s="56" t="str">
        <f ca="1">IFERROR(OFFSET(INDIRECT($H$3 &amp; "!A152"), 7, 0), "")</f>
        <v>룸네트워크</v>
      </c>
      <c r="P63" s="39">
        <f t="shared" ca="1" si="20"/>
        <v>174</v>
      </c>
      <c r="Q63" s="77">
        <f t="shared" ca="1" si="21"/>
        <v>-1.13636364E-2</v>
      </c>
      <c r="R63" s="86">
        <f t="shared" ca="1" si="24"/>
        <v>25769644.676789101</v>
      </c>
    </row>
    <row r="64" spans="1:18">
      <c r="A64" s="40" t="s">
        <v>60</v>
      </c>
      <c r="B64" s="11" t="s">
        <v>61</v>
      </c>
      <c r="C64" s="95">
        <v>1800</v>
      </c>
      <c r="D64" s="92">
        <v>-1.6393442599999999E-2</v>
      </c>
      <c r="E64" s="93">
        <v>21553899.89722101</v>
      </c>
      <c r="F64" s="35"/>
      <c r="G64" s="56" t="str">
        <f ca="1">IFERROR(OFFSET(INDIRECT($H$3 &amp; "!A179"), 8, 0), "")</f>
        <v>코박토큰</v>
      </c>
      <c r="H64" s="39">
        <f t="shared" ca="1" si="16"/>
        <v>7980</v>
      </c>
      <c r="I64" s="77">
        <f t="shared" ca="1" si="17"/>
        <v>-3.85542169E-2</v>
      </c>
      <c r="J64" s="86">
        <f t="shared" ca="1" si="22"/>
        <v>807325.68953439</v>
      </c>
      <c r="K64" s="56" t="str">
        <f ca="1">IFERROR(OFFSET(INDIRECT($H$3 &amp; "!A125"), 8, 0), "")</f>
        <v>아하토큰</v>
      </c>
      <c r="L64" s="39">
        <f t="shared" ca="1" si="18"/>
        <v>18.2</v>
      </c>
      <c r="M64" s="77">
        <f t="shared" ca="1" si="19"/>
        <v>1.11111111E-2</v>
      </c>
      <c r="N64" s="86">
        <f t="shared" ca="1" si="23"/>
        <v>439609394.43809867</v>
      </c>
      <c r="O64" s="56" t="str">
        <f ca="1">IFERROR(OFFSET(INDIRECT($H$3 &amp; "!A152"), 8, 0), "")</f>
        <v>엘프</v>
      </c>
      <c r="P64" s="39">
        <f t="shared" ca="1" si="20"/>
        <v>588</v>
      </c>
      <c r="Q64" s="77">
        <f t="shared" ca="1" si="21"/>
        <v>6.3291139199999999E-2</v>
      </c>
      <c r="R64" s="86">
        <f t="shared" ca="1" si="24"/>
        <v>33487978.928860281</v>
      </c>
    </row>
    <row r="65" spans="1:18" ht="17.25" thickBot="1">
      <c r="A65" s="40" t="s">
        <v>199</v>
      </c>
      <c r="B65" s="11" t="s">
        <v>200</v>
      </c>
      <c r="C65" s="95">
        <v>345</v>
      </c>
      <c r="D65" s="92">
        <v>-1.7094017100000001E-2</v>
      </c>
      <c r="E65" s="93">
        <v>10475996.93566802</v>
      </c>
      <c r="F65" s="35"/>
      <c r="G65" s="57" t="str">
        <f ca="1">IFERROR(OFFSET(INDIRECT($H$3 &amp; "!A179"), 9, 0), "")</f>
        <v>이그니스</v>
      </c>
      <c r="H65" s="37">
        <f t="shared" ca="1" si="16"/>
        <v>171</v>
      </c>
      <c r="I65" s="79">
        <f t="shared" ca="1" si="17"/>
        <v>-2.2857142899999999E-2</v>
      </c>
      <c r="J65" s="87">
        <f t="shared" ca="1" si="22"/>
        <v>14109648.770062121</v>
      </c>
      <c r="K65" s="57" t="str">
        <f ca="1">IFERROR(OFFSET(INDIRECT($H$3 &amp; "!A125"), 9, 0), "")</f>
        <v>무비블록</v>
      </c>
      <c r="L65" s="37">
        <f t="shared" ca="1" si="18"/>
        <v>18.399999999999999</v>
      </c>
      <c r="M65" s="79">
        <f t="shared" ca="1" si="19"/>
        <v>4.5454545499999999E-2</v>
      </c>
      <c r="N65" s="87">
        <f t="shared" ca="1" si="23"/>
        <v>2868073234.6391463</v>
      </c>
      <c r="O65" s="57" t="str">
        <f ca="1">IFERROR(OFFSET(INDIRECT($H$3 &amp; "!A152"), 9, 0), "")</f>
        <v>엘비알와이크레딧</v>
      </c>
      <c r="P65" s="37">
        <f t="shared" ca="1" si="20"/>
        <v>201</v>
      </c>
      <c r="Q65" s="79">
        <f t="shared" ca="1" si="21"/>
        <v>-1.9512195100000001E-2</v>
      </c>
      <c r="R65" s="87">
        <f t="shared" ca="1" si="24"/>
        <v>6704884.4524053195</v>
      </c>
    </row>
    <row r="66" spans="1:18">
      <c r="A66" s="40" t="s">
        <v>253</v>
      </c>
      <c r="B66" s="11" t="s">
        <v>254</v>
      </c>
      <c r="C66" s="95">
        <v>80.2</v>
      </c>
      <c r="D66" s="92">
        <v>-1.7156862700000001E-2</v>
      </c>
      <c r="E66" s="93">
        <v>21574273.03197854</v>
      </c>
      <c r="F66" s="35"/>
      <c r="G66" s="56" t="str">
        <f ca="1">IFERROR(OFFSET(INDIRECT($H$3 &amp; "!A179"), 10, 0), "")</f>
        <v>하이브</v>
      </c>
      <c r="H66" s="38">
        <f t="shared" ref="H66:H75" ca="1" si="25">_xlfn.IFNA(VLOOKUP(G66, $B$2:$D$200, 2, FALSE), "")</f>
        <v>676</v>
      </c>
      <c r="I66" s="76">
        <f t="shared" ref="I66:I75" ca="1" si="26">_xlfn.IFNA(VLOOKUP(G66, $B$2:$D$200, 3, FALSE), "")</f>
        <v>-2.3121387300000001E-2</v>
      </c>
      <c r="J66" s="85">
        <f t="shared" ca="1" si="22"/>
        <v>4160482.8676360301</v>
      </c>
      <c r="K66" s="55" t="str">
        <f ca="1">IFERROR(OFFSET(INDIRECT($H$3 &amp; "!A125"), 10, 0), "")</f>
        <v>썬더토큰</v>
      </c>
      <c r="L66" s="38">
        <f t="shared" ca="1" si="18"/>
        <v>19.2</v>
      </c>
      <c r="M66" s="76">
        <f t="shared" ca="1" si="19"/>
        <v>-1.5384615399999999E-2</v>
      </c>
      <c r="N66" s="85">
        <f t="shared" ca="1" si="23"/>
        <v>349574774.26787001</v>
      </c>
      <c r="O66" s="55" t="str">
        <f ca="1">IFERROR(OFFSET(INDIRECT($H$3 &amp; "!A152"), 10, 0), "")</f>
        <v>휴먼스케이프</v>
      </c>
      <c r="P66" s="38">
        <f t="shared" ca="1" si="20"/>
        <v>164</v>
      </c>
      <c r="Q66" s="76">
        <f t="shared" ca="1" si="21"/>
        <v>-6.0606061000000001E-3</v>
      </c>
      <c r="R66" s="85">
        <f t="shared" ca="1" si="24"/>
        <v>20677748.870305508</v>
      </c>
    </row>
    <row r="67" spans="1:18">
      <c r="A67" s="40" t="s">
        <v>151</v>
      </c>
      <c r="B67" s="11" t="s">
        <v>152</v>
      </c>
      <c r="C67" s="95">
        <v>47.4</v>
      </c>
      <c r="D67" s="92">
        <v>-1.8633540399999999E-2</v>
      </c>
      <c r="E67" s="93">
        <v>380617287.22368187</v>
      </c>
      <c r="F67" s="35"/>
      <c r="G67" s="56" t="str">
        <f ca="1">IFERROR(OFFSET(INDIRECT($H$3 &amp; "!A179"), 11, 0), "")</f>
        <v>스팀달러</v>
      </c>
      <c r="H67" s="39">
        <f t="shared" ca="1" si="25"/>
        <v>8970</v>
      </c>
      <c r="I67" s="77">
        <f t="shared" ca="1" si="26"/>
        <v>-2.02075369E-2</v>
      </c>
      <c r="J67" s="86">
        <f t="shared" ca="1" si="22"/>
        <v>259598.74501797999</v>
      </c>
      <c r="K67" s="56" t="str">
        <f ca="1">IFERROR(OFFSET(INDIRECT($H$3 &amp; "!A125"), 11, 0), "")</f>
        <v>비트토렌트</v>
      </c>
      <c r="L67" s="39">
        <f t="shared" ca="1" si="18"/>
        <v>8.76</v>
      </c>
      <c r="M67" s="77">
        <f t="shared" ca="1" si="19"/>
        <v>-2.88248337E-2</v>
      </c>
      <c r="N67" s="86">
        <f t="shared" ca="1" si="23"/>
        <v>19875877314.887863</v>
      </c>
      <c r="O67" s="56" t="str">
        <f ca="1">IFERROR(OFFSET(INDIRECT($H$3 &amp; "!A152"), 11, 0), "")</f>
        <v>스테이터스네트워크토큰</v>
      </c>
      <c r="P67" s="39">
        <f t="shared" ca="1" si="20"/>
        <v>261</v>
      </c>
      <c r="Q67" s="77">
        <f t="shared" ca="1" si="21"/>
        <v>8.7499999999999994E-2</v>
      </c>
      <c r="R67" s="86">
        <f t="shared" ca="1" si="24"/>
        <v>758231992.44971585</v>
      </c>
    </row>
    <row r="68" spans="1:18">
      <c r="A68" s="40" t="s">
        <v>249</v>
      </c>
      <c r="B68" s="11" t="s">
        <v>250</v>
      </c>
      <c r="C68" s="95">
        <v>201</v>
      </c>
      <c r="D68" s="92">
        <v>-1.9512195100000001E-2</v>
      </c>
      <c r="E68" s="93">
        <v>6704884.4524053195</v>
      </c>
      <c r="F68" s="35"/>
      <c r="G68" s="56" t="str">
        <f ca="1">IFERROR(OFFSET(INDIRECT($H$3 &amp; "!A179"), 12, 0), "")</f>
        <v>비트코인골드</v>
      </c>
      <c r="H68" s="39">
        <f t="shared" ca="1" si="25"/>
        <v>152100</v>
      </c>
      <c r="I68" s="77">
        <f t="shared" ca="1" si="26"/>
        <v>-1.39384117E-2</v>
      </c>
      <c r="J68" s="86">
        <f t="shared" ca="1" si="22"/>
        <v>870088.32996165997</v>
      </c>
      <c r="K68" s="56" t="str">
        <f ca="1">IFERROR(OFFSET(INDIRECT($H$3 &amp; "!A125"), 12, 0), "")</f>
        <v>퀴즈톡</v>
      </c>
      <c r="L68" s="39">
        <f t="shared" ca="1" si="18"/>
        <v>80.2</v>
      </c>
      <c r="M68" s="77">
        <f t="shared" ca="1" si="19"/>
        <v>-1.7156862700000001E-2</v>
      </c>
      <c r="N68" s="86">
        <f t="shared" ca="1" si="23"/>
        <v>21574273.03197854</v>
      </c>
      <c r="O68" s="56" t="str">
        <f ca="1">IFERROR(OFFSET(INDIRECT($H$3 &amp; "!A152"), 12, 0), "")</f>
        <v>아인스타이늄</v>
      </c>
      <c r="P68" s="39">
        <f t="shared" ca="1" si="20"/>
        <v>541</v>
      </c>
      <c r="Q68" s="77">
        <f t="shared" ca="1" si="21"/>
        <v>-2.6978417300000002E-2</v>
      </c>
      <c r="R68" s="86">
        <f t="shared" ca="1" si="24"/>
        <v>9135378.3990690205</v>
      </c>
    </row>
    <row r="69" spans="1:18">
      <c r="A69" s="40" t="s">
        <v>97</v>
      </c>
      <c r="B69" s="11" t="s">
        <v>98</v>
      </c>
      <c r="C69" s="95">
        <v>8515</v>
      </c>
      <c r="D69" s="92">
        <v>-1.95739781E-2</v>
      </c>
      <c r="E69" s="93">
        <v>2420146.1471563098</v>
      </c>
      <c r="F69" s="35"/>
      <c r="G69" s="56" t="str">
        <f ca="1">IFERROR(OFFSET(INDIRECT($H$3 &amp; "!A179"), 13, 0), "")</f>
        <v>스팀</v>
      </c>
      <c r="H69" s="39">
        <f t="shared" ca="1" si="25"/>
        <v>1415</v>
      </c>
      <c r="I69" s="77">
        <f t="shared" ca="1" si="26"/>
        <v>-4.7138047099999997E-2</v>
      </c>
      <c r="J69" s="86">
        <f t="shared" ca="1" si="22"/>
        <v>14321793.32223995</v>
      </c>
      <c r="K69" s="56" t="str">
        <f ca="1">IFERROR(OFFSET(INDIRECT($H$3 &amp; "!A125"), 13, 0), "")</f>
        <v>엔도르</v>
      </c>
      <c r="L69" s="39">
        <f t="shared" ca="1" si="18"/>
        <v>64.3</v>
      </c>
      <c r="M69" s="77">
        <f t="shared" ca="1" si="19"/>
        <v>-2.27963526E-2</v>
      </c>
      <c r="N69" s="86">
        <f t="shared" ca="1" si="23"/>
        <v>46869866.110371612</v>
      </c>
      <c r="O69" s="56" t="str">
        <f ca="1">IFERROR(OFFSET(INDIRECT($H$3 &amp; "!A152"), 13, 0), "")</f>
        <v>메디블록</v>
      </c>
      <c r="P69" s="39">
        <f t="shared" ca="1" si="20"/>
        <v>144</v>
      </c>
      <c r="Q69" s="77">
        <f t="shared" ca="1" si="21"/>
        <v>-1.3698630099999999E-2</v>
      </c>
      <c r="R69" s="86">
        <f t="shared" ca="1" si="24"/>
        <v>496852850.76217914</v>
      </c>
    </row>
    <row r="70" spans="1:18">
      <c r="A70" s="40" t="s">
        <v>189</v>
      </c>
      <c r="B70" s="11" t="s">
        <v>190</v>
      </c>
      <c r="C70" s="95">
        <v>66600</v>
      </c>
      <c r="D70" s="92">
        <v>-2.0155951200000001E-2</v>
      </c>
      <c r="E70" s="93">
        <v>121922.77120292</v>
      </c>
      <c r="F70" s="35"/>
      <c r="G70" s="56" t="str">
        <f ca="1">IFERROR(OFFSET(INDIRECT($H$3 &amp; "!A179"), 14, 0), "")</f>
        <v>비트코인캐시에이비씨</v>
      </c>
      <c r="H70" s="39">
        <f t="shared" ca="1" si="25"/>
        <v>62260</v>
      </c>
      <c r="I70" s="77">
        <f t="shared" ca="1" si="26"/>
        <v>1.8318613000000001E-2</v>
      </c>
      <c r="J70" s="90">
        <f t="shared" ca="1" si="22"/>
        <v>1844981.6413718499</v>
      </c>
      <c r="K70" s="58" t="str">
        <f ca="1">IFERROR(OFFSET(INDIRECT($H$3 &amp; "!A125"), 14, 0), "")</f>
        <v>트웰브쉽스</v>
      </c>
      <c r="L70" s="44">
        <f t="shared" ca="1" si="18"/>
        <v>24</v>
      </c>
      <c r="M70" s="78">
        <f t="shared" ca="1" si="19"/>
        <v>1.26582278E-2</v>
      </c>
      <c r="N70" s="90">
        <f t="shared" ca="1" si="23"/>
        <v>335461477.93693566</v>
      </c>
      <c r="O70" s="58" t="str">
        <f ca="1">IFERROR(OFFSET(INDIRECT($H$3 &amp; "!A152"), 14, 0), "")</f>
        <v>골렘</v>
      </c>
      <c r="P70" s="44">
        <f t="shared" ca="1" si="20"/>
        <v>608</v>
      </c>
      <c r="Q70" s="78">
        <f t="shared" ca="1" si="21"/>
        <v>1.16472546E-2</v>
      </c>
      <c r="R70" s="90">
        <f t="shared" ca="1" si="24"/>
        <v>12223343.54381861</v>
      </c>
    </row>
    <row r="71" spans="1:18">
      <c r="A71" s="40" t="s">
        <v>273</v>
      </c>
      <c r="B71" s="11" t="s">
        <v>274</v>
      </c>
      <c r="C71" s="95">
        <v>8970</v>
      </c>
      <c r="D71" s="92">
        <v>-2.02075369E-2</v>
      </c>
      <c r="E71" s="93">
        <v>259598.74501797999</v>
      </c>
      <c r="F71" s="35"/>
      <c r="G71" s="60" t="str">
        <f ca="1">IFERROR(OFFSET(INDIRECT($H$3 &amp; "!A179"), 15, 0), "")</f>
        <v>던프로토콜</v>
      </c>
      <c r="H71" s="45">
        <f t="shared" ca="1" si="25"/>
        <v>7835</v>
      </c>
      <c r="I71" s="80">
        <f t="shared" ca="1" si="26"/>
        <v>-2.24578915E-2</v>
      </c>
      <c r="J71" s="99">
        <f t="shared" ca="1" si="22"/>
        <v>10036466.15717791</v>
      </c>
      <c r="K71" s="56" t="str">
        <f ca="1">IFERROR(OFFSET(INDIRECT($H$3 &amp; "!A125"), 15, 0), "")</f>
        <v>옵저버</v>
      </c>
      <c r="L71" s="39">
        <f t="shared" ca="1" si="18"/>
        <v>26.6</v>
      </c>
      <c r="M71" s="77">
        <f t="shared" ca="1" si="19"/>
        <v>-1.4814814799999999E-2</v>
      </c>
      <c r="N71" s="99">
        <f t="shared" ca="1" si="23"/>
        <v>161469810.78106838</v>
      </c>
      <c r="O71" s="56" t="str">
        <f ca="1">IFERROR(OFFSET(INDIRECT($H$3 &amp; "!A152"), 15, 0), "")</f>
        <v>헌트</v>
      </c>
      <c r="P71" s="39">
        <f t="shared" ca="1" si="20"/>
        <v>368</v>
      </c>
      <c r="Q71" s="77">
        <f t="shared" ca="1" si="21"/>
        <v>-2.9023746699999999E-2</v>
      </c>
      <c r="R71" s="99">
        <f t="shared" ca="1" si="24"/>
        <v>6382993.9889633805</v>
      </c>
    </row>
    <row r="72" spans="1:18">
      <c r="A72" s="40" t="s">
        <v>185</v>
      </c>
      <c r="B72" s="11" t="s">
        <v>186</v>
      </c>
      <c r="C72" s="95">
        <v>24</v>
      </c>
      <c r="D72" s="92">
        <v>-2.0408163300000001E-2</v>
      </c>
      <c r="E72" s="93">
        <v>149052548.22775614</v>
      </c>
      <c r="F72" s="35"/>
      <c r="G72" s="56" t="str">
        <f ca="1">IFERROR(OFFSET(INDIRECT($H$3 &amp; "!A179"), 16, 0), "")</f>
        <v>스트라티스</v>
      </c>
      <c r="H72" s="39">
        <f t="shared" ca="1" si="25"/>
        <v>5385</v>
      </c>
      <c r="I72" s="77">
        <f t="shared" ca="1" si="26"/>
        <v>4.1586073500000001E-2</v>
      </c>
      <c r="J72" s="86">
        <f t="shared" ca="1" si="22"/>
        <v>6873659.4966936102</v>
      </c>
      <c r="K72" s="56" t="str">
        <f ca="1">IFERROR(OFFSET(INDIRECT($H$3 &amp; "!A125"), 16, 0), "")</f>
        <v>엠블</v>
      </c>
      <c r="L72" s="39">
        <f t="shared" ca="1" si="18"/>
        <v>26.6</v>
      </c>
      <c r="M72" s="77">
        <f t="shared" ca="1" si="19"/>
        <v>-1.4814814799999999E-2</v>
      </c>
      <c r="N72" s="86">
        <f t="shared" ca="1" si="23"/>
        <v>401579310.33830988</v>
      </c>
      <c r="O72" s="56" t="str">
        <f ca="1">IFERROR(OFFSET(INDIRECT($H$3 &amp; "!A152"), 16, 0), "")</f>
        <v>이그니스</v>
      </c>
      <c r="P72" s="39">
        <f t="shared" ca="1" si="20"/>
        <v>171</v>
      </c>
      <c r="Q72" s="77">
        <f t="shared" ca="1" si="21"/>
        <v>-2.2857142899999999E-2</v>
      </c>
      <c r="R72" s="86">
        <f t="shared" ca="1" si="24"/>
        <v>14109648.770062121</v>
      </c>
    </row>
    <row r="73" spans="1:18">
      <c r="A73" s="40" t="s">
        <v>175</v>
      </c>
      <c r="B73" s="11" t="s">
        <v>176</v>
      </c>
      <c r="C73" s="95">
        <v>2330</v>
      </c>
      <c r="D73" s="92">
        <v>-2.10084034E-2</v>
      </c>
      <c r="E73" s="93">
        <v>3151469.7169723599</v>
      </c>
      <c r="F73" s="35"/>
      <c r="G73" s="56" t="str">
        <f ca="1">IFERROR(OFFSET(INDIRECT($H$3 &amp; "!A179"), 17, 0), "")</f>
        <v>이더리움클래식</v>
      </c>
      <c r="H73" s="39">
        <f t="shared" ca="1" si="25"/>
        <v>149200</v>
      </c>
      <c r="I73" s="77">
        <f t="shared" ca="1" si="26"/>
        <v>2.8256374899999999E-2</v>
      </c>
      <c r="J73" s="86">
        <f t="shared" ca="1" si="22"/>
        <v>9516881.8525080997</v>
      </c>
      <c r="K73" s="56" t="str">
        <f ca="1">IFERROR(OFFSET(INDIRECT($H$3 &amp; "!A125"), 17, 0), "")</f>
        <v>리퍼리움</v>
      </c>
      <c r="L73" s="39">
        <f t="shared" ca="1" si="18"/>
        <v>20.5</v>
      </c>
      <c r="M73" s="77">
        <f t="shared" ca="1" si="19"/>
        <v>-2.3809523799999999E-2</v>
      </c>
      <c r="N73" s="86">
        <f t="shared" ca="1" si="23"/>
        <v>214523791.63941556</v>
      </c>
      <c r="O73" s="56" t="str">
        <f ca="1">IFERROR(OFFSET(INDIRECT($H$3 &amp; "!A152"), 17, 0), "")</f>
        <v>하이브</v>
      </c>
      <c r="P73" s="39">
        <f t="shared" ca="1" si="20"/>
        <v>676</v>
      </c>
      <c r="Q73" s="77">
        <f t="shared" ca="1" si="21"/>
        <v>-2.3121387300000001E-2</v>
      </c>
      <c r="R73" s="86">
        <f t="shared" ca="1" si="24"/>
        <v>4160482.8676360301</v>
      </c>
    </row>
    <row r="74" spans="1:18">
      <c r="A74" s="40" t="s">
        <v>81</v>
      </c>
      <c r="B74" s="11" t="s">
        <v>82</v>
      </c>
      <c r="C74" s="95">
        <v>1610</v>
      </c>
      <c r="D74" s="92">
        <v>-2.1276595700000001E-2</v>
      </c>
      <c r="E74" s="93">
        <v>1606788.8079124501</v>
      </c>
      <c r="F74" s="35"/>
      <c r="G74" s="56" t="str">
        <f ca="1">IFERROR(OFFSET(INDIRECT($H$3 &amp; "!A179"), 18, 0), "")</f>
        <v>파워렛저</v>
      </c>
      <c r="H74" s="39">
        <f t="shared" ca="1" si="25"/>
        <v>544</v>
      </c>
      <c r="I74" s="77">
        <f t="shared" ca="1" si="26"/>
        <v>-3.8869257999999997E-2</v>
      </c>
      <c r="J74" s="86">
        <f t="shared" ca="1" si="22"/>
        <v>14945473.73385388</v>
      </c>
      <c r="K74" s="56" t="str">
        <f ca="1">IFERROR(OFFSET(INDIRECT($H$3 &amp; "!A125"), 18, 0), "")</f>
        <v>쿼크체인</v>
      </c>
      <c r="L74" s="39">
        <f t="shared" ca="1" si="18"/>
        <v>37.200000000000003</v>
      </c>
      <c r="M74" s="77">
        <f t="shared" ca="1" si="19"/>
        <v>-1.06382979E-2</v>
      </c>
      <c r="N74" s="86">
        <f t="shared" ca="1" si="23"/>
        <v>98175062.134223193</v>
      </c>
      <c r="O74" s="56" t="str">
        <f ca="1">IFERROR(OFFSET(INDIRECT($H$3 &amp; "!A152"), 18, 0), "")</f>
        <v>파워렛저</v>
      </c>
      <c r="P74" s="39">
        <f t="shared" ca="1" si="20"/>
        <v>544</v>
      </c>
      <c r="Q74" s="77">
        <f t="shared" ca="1" si="21"/>
        <v>-3.8869257999999997E-2</v>
      </c>
      <c r="R74" s="86">
        <f t="shared" ca="1" si="24"/>
        <v>14945473.73385388</v>
      </c>
    </row>
    <row r="75" spans="1:18" ht="17.25" thickBot="1">
      <c r="A75" s="40" t="s">
        <v>73</v>
      </c>
      <c r="B75" s="11" t="s">
        <v>74</v>
      </c>
      <c r="C75" s="95">
        <v>34440</v>
      </c>
      <c r="D75" s="92">
        <v>-2.1312873E-2</v>
      </c>
      <c r="E75" s="93">
        <v>378259.40125672001</v>
      </c>
      <c r="F75" s="35"/>
      <c r="G75" s="57" t="str">
        <f ca="1">IFERROR(OFFSET(INDIRECT($H$3 &amp; "!A179"), 19, 0), "")</f>
        <v>도지코인</v>
      </c>
      <c r="H75" s="37">
        <f t="shared" ca="1" si="25"/>
        <v>636</v>
      </c>
      <c r="I75" s="79">
        <f t="shared" ca="1" si="26"/>
        <v>-9.5305832100000001E-2</v>
      </c>
      <c r="J75" s="87">
        <f t="shared" ca="1" si="22"/>
        <v>3003960422.8867307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도지코인</v>
      </c>
      <c r="P75" s="37">
        <f t="shared" ca="1" si="20"/>
        <v>636</v>
      </c>
      <c r="Q75" s="79">
        <f t="shared" ca="1" si="21"/>
        <v>-9.5305832100000001E-2</v>
      </c>
      <c r="R75" s="87">
        <f t="shared" ca="1" si="24"/>
        <v>3003960422.8867307</v>
      </c>
    </row>
    <row r="76" spans="1:18">
      <c r="A76" s="40" t="s">
        <v>225</v>
      </c>
      <c r="B76" s="11" t="s">
        <v>226</v>
      </c>
      <c r="C76" s="95">
        <v>494</v>
      </c>
      <c r="D76" s="92">
        <v>-2.1782178199999998E-2</v>
      </c>
      <c r="E76" s="93">
        <v>8158316.6001805896</v>
      </c>
      <c r="F76" s="35"/>
      <c r="G76" s="35"/>
      <c r="H76" s="35"/>
      <c r="I76" s="35"/>
    </row>
    <row r="77" spans="1:18">
      <c r="A77" s="40" t="s">
        <v>173</v>
      </c>
      <c r="B77" s="11" t="s">
        <v>174</v>
      </c>
      <c r="C77" s="95">
        <v>264</v>
      </c>
      <c r="D77" s="92">
        <v>-2.2222222199999999E-2</v>
      </c>
      <c r="E77" s="93">
        <v>20870324.43562039</v>
      </c>
      <c r="F77" s="35"/>
      <c r="G77" s="35"/>
      <c r="H77" s="35"/>
      <c r="I77" s="35"/>
    </row>
    <row r="78" spans="1:18">
      <c r="A78" s="40" t="s">
        <v>203</v>
      </c>
      <c r="B78" s="11" t="s">
        <v>204</v>
      </c>
      <c r="C78" s="95">
        <v>7835</v>
      </c>
      <c r="D78" s="92">
        <v>-2.24578915E-2</v>
      </c>
      <c r="E78" s="93">
        <v>10036466.15717791</v>
      </c>
      <c r="F78" s="35"/>
      <c r="G78" s="35"/>
      <c r="H78" s="35"/>
      <c r="I78" s="35"/>
    </row>
    <row r="79" spans="1:18">
      <c r="A79" s="40" t="s">
        <v>113</v>
      </c>
      <c r="B79" s="11" t="s">
        <v>114</v>
      </c>
      <c r="C79" s="95">
        <v>14340</v>
      </c>
      <c r="D79" s="92">
        <v>-2.2494887500000001E-2</v>
      </c>
      <c r="E79" s="93">
        <v>1046043.26739349</v>
      </c>
      <c r="F79" s="35"/>
      <c r="G79" s="35"/>
      <c r="H79" s="35"/>
      <c r="I79" s="35"/>
    </row>
    <row r="80" spans="1:18">
      <c r="A80" s="40" t="s">
        <v>103</v>
      </c>
      <c r="B80" s="11" t="s">
        <v>104</v>
      </c>
      <c r="C80" s="95">
        <v>3235</v>
      </c>
      <c r="D80" s="92">
        <v>-2.26586103E-2</v>
      </c>
      <c r="E80" s="93">
        <v>15689859.396040371</v>
      </c>
      <c r="F80" s="35"/>
      <c r="G80" s="35"/>
      <c r="H80" s="35"/>
      <c r="I80" s="35"/>
    </row>
    <row r="81" spans="1:9">
      <c r="A81" s="40" t="s">
        <v>235</v>
      </c>
      <c r="B81" s="11" t="s">
        <v>236</v>
      </c>
      <c r="C81" s="95">
        <v>64.3</v>
      </c>
      <c r="D81" s="92">
        <v>-2.27963526E-2</v>
      </c>
      <c r="E81" s="93">
        <v>46869866.110371612</v>
      </c>
      <c r="F81" s="35"/>
      <c r="G81" s="35"/>
      <c r="H81" s="35"/>
      <c r="I81" s="35"/>
    </row>
    <row r="82" spans="1:9">
      <c r="A82" s="40" t="s">
        <v>281</v>
      </c>
      <c r="B82" s="11" t="s">
        <v>282</v>
      </c>
      <c r="C82" s="95">
        <v>171</v>
      </c>
      <c r="D82" s="92">
        <v>-2.2857142899999999E-2</v>
      </c>
      <c r="E82" s="93">
        <v>14109648.770062121</v>
      </c>
      <c r="F82" s="35"/>
      <c r="G82" s="35"/>
      <c r="H82" s="35"/>
      <c r="I82" s="35"/>
    </row>
    <row r="83" spans="1:9">
      <c r="A83" s="40" t="s">
        <v>161</v>
      </c>
      <c r="B83" s="11" t="s">
        <v>162</v>
      </c>
      <c r="C83" s="95">
        <v>1905</v>
      </c>
      <c r="D83" s="92">
        <v>-2.3076923100000001E-2</v>
      </c>
      <c r="E83" s="93">
        <v>4324796.8687593201</v>
      </c>
      <c r="F83" s="35"/>
      <c r="G83" s="35"/>
      <c r="H83" s="35"/>
      <c r="I83" s="35"/>
    </row>
    <row r="84" spans="1:9">
      <c r="A84" s="40" t="s">
        <v>257</v>
      </c>
      <c r="B84" s="11" t="s">
        <v>258</v>
      </c>
      <c r="C84" s="95">
        <v>676</v>
      </c>
      <c r="D84" s="92">
        <v>-2.3121387300000001E-2</v>
      </c>
      <c r="E84" s="93">
        <v>4160482.8676360301</v>
      </c>
      <c r="F84" s="35"/>
      <c r="G84" s="35"/>
      <c r="H84" s="35"/>
      <c r="I84" s="35"/>
    </row>
    <row r="85" spans="1:9">
      <c r="A85" s="40" t="s">
        <v>255</v>
      </c>
      <c r="B85" s="11" t="s">
        <v>256</v>
      </c>
      <c r="C85" s="95">
        <v>247</v>
      </c>
      <c r="D85" s="92">
        <v>-2.3715415E-2</v>
      </c>
      <c r="E85" s="93">
        <v>7651006.22582814</v>
      </c>
      <c r="F85" s="35"/>
      <c r="G85" s="35"/>
      <c r="H85" s="35"/>
      <c r="I85" s="35"/>
    </row>
    <row r="86" spans="1:9">
      <c r="A86" s="40" t="s">
        <v>213</v>
      </c>
      <c r="B86" s="11" t="s">
        <v>214</v>
      </c>
      <c r="C86" s="95">
        <v>20.5</v>
      </c>
      <c r="D86" s="92">
        <v>-2.3809523799999999E-2</v>
      </c>
      <c r="E86" s="93">
        <v>214523791.63941556</v>
      </c>
      <c r="F86" s="35"/>
      <c r="G86" s="35"/>
      <c r="H86" s="35"/>
      <c r="I86" s="35"/>
    </row>
    <row r="87" spans="1:9">
      <c r="A87" s="40" t="s">
        <v>279</v>
      </c>
      <c r="B87" s="11" t="s">
        <v>280</v>
      </c>
      <c r="C87" s="95">
        <v>2010</v>
      </c>
      <c r="D87" s="92">
        <v>-2.42718447E-2</v>
      </c>
      <c r="E87" s="93">
        <v>29957691.601894971</v>
      </c>
      <c r="F87" s="35"/>
      <c r="G87" s="35"/>
      <c r="H87" s="35"/>
      <c r="I87" s="35"/>
    </row>
    <row r="88" spans="1:9">
      <c r="A88" s="40" t="s">
        <v>237</v>
      </c>
      <c r="B88" s="11" t="s">
        <v>238</v>
      </c>
      <c r="C88" s="95">
        <v>277</v>
      </c>
      <c r="D88" s="92">
        <v>-2.4647887300000001E-2</v>
      </c>
      <c r="E88" s="93">
        <v>12552059.33175168</v>
      </c>
      <c r="F88" s="35"/>
      <c r="G88" s="35"/>
      <c r="H88" s="35"/>
      <c r="I88" s="35"/>
    </row>
    <row r="89" spans="1:9">
      <c r="A89" s="40" t="s">
        <v>75</v>
      </c>
      <c r="B89" s="11" t="s">
        <v>76</v>
      </c>
      <c r="C89" s="95">
        <v>62970</v>
      </c>
      <c r="D89" s="92">
        <v>-2.5081281899999999E-2</v>
      </c>
      <c r="E89" s="93">
        <v>1509613.3647445401</v>
      </c>
      <c r="F89" s="35"/>
      <c r="G89" s="35"/>
      <c r="H89" s="35"/>
      <c r="I89" s="35"/>
    </row>
    <row r="90" spans="1:9">
      <c r="A90" s="40" t="s">
        <v>149</v>
      </c>
      <c r="B90" s="11" t="s">
        <v>150</v>
      </c>
      <c r="C90" s="95">
        <v>6060</v>
      </c>
      <c r="D90" s="92">
        <v>-2.57234727E-2</v>
      </c>
      <c r="E90" s="93">
        <v>4737536.7029237896</v>
      </c>
      <c r="F90" s="35"/>
      <c r="G90" s="35"/>
      <c r="H90" s="35"/>
      <c r="I90" s="35"/>
    </row>
    <row r="91" spans="1:9">
      <c r="A91" s="40" t="s">
        <v>251</v>
      </c>
      <c r="B91" s="11" t="s">
        <v>252</v>
      </c>
      <c r="C91" s="95">
        <v>541</v>
      </c>
      <c r="D91" s="92">
        <v>-2.6978417300000002E-2</v>
      </c>
      <c r="E91" s="93">
        <v>9135378.3990690205</v>
      </c>
      <c r="F91" s="35"/>
      <c r="G91" s="35"/>
      <c r="H91" s="35"/>
      <c r="I91" s="35"/>
    </row>
    <row r="92" spans="1:9">
      <c r="A92" s="40" t="s">
        <v>115</v>
      </c>
      <c r="B92" s="11" t="s">
        <v>116</v>
      </c>
      <c r="C92" s="95">
        <v>648</v>
      </c>
      <c r="D92" s="92">
        <v>-2.7027026999999999E-2</v>
      </c>
      <c r="E92" s="93">
        <v>8908159.9690215494</v>
      </c>
      <c r="F92" s="35"/>
      <c r="G92" s="35"/>
      <c r="H92" s="35"/>
      <c r="I92" s="35"/>
    </row>
    <row r="93" spans="1:9">
      <c r="A93" s="40" t="s">
        <v>231</v>
      </c>
      <c r="B93" s="11" t="s">
        <v>232</v>
      </c>
      <c r="C93" s="95">
        <v>175</v>
      </c>
      <c r="D93" s="92">
        <v>-2.77777778E-2</v>
      </c>
      <c r="E93" s="93">
        <v>23601104.467501771</v>
      </c>
      <c r="F93" s="35"/>
      <c r="G93" s="35"/>
      <c r="H93" s="35"/>
      <c r="I93" s="35"/>
    </row>
    <row r="94" spans="1:9">
      <c r="A94" s="40" t="s">
        <v>131</v>
      </c>
      <c r="B94" s="11" t="s">
        <v>132</v>
      </c>
      <c r="C94" s="95">
        <v>278</v>
      </c>
      <c r="D94" s="92">
        <v>-2.7972027999999999E-2</v>
      </c>
      <c r="E94" s="93">
        <v>505482663.27365595</v>
      </c>
      <c r="F94" s="35"/>
      <c r="G94" s="35"/>
      <c r="H94" s="35"/>
      <c r="I94" s="35"/>
    </row>
    <row r="95" spans="1:9">
      <c r="A95" s="40" t="s">
        <v>165</v>
      </c>
      <c r="B95" s="11" t="s">
        <v>166</v>
      </c>
      <c r="C95" s="95">
        <v>2580</v>
      </c>
      <c r="D95" s="92">
        <v>-2.82485876E-2</v>
      </c>
      <c r="E95" s="93">
        <v>3574621.35128078</v>
      </c>
      <c r="F95" s="35"/>
      <c r="G95" s="35"/>
      <c r="H95" s="35"/>
      <c r="I95" s="35"/>
    </row>
    <row r="96" spans="1:9">
      <c r="A96" s="40" t="s">
        <v>99</v>
      </c>
      <c r="B96" s="11" t="s">
        <v>100</v>
      </c>
      <c r="C96" s="95">
        <v>8.76</v>
      </c>
      <c r="D96" s="92">
        <v>-2.88248337E-2</v>
      </c>
      <c r="E96" s="93">
        <v>19875877314.887863</v>
      </c>
      <c r="F96" s="35"/>
      <c r="G96" s="35"/>
      <c r="H96" s="35"/>
      <c r="I96" s="35"/>
    </row>
    <row r="97" spans="1:9">
      <c r="A97" s="40" t="s">
        <v>245</v>
      </c>
      <c r="B97" s="11" t="s">
        <v>246</v>
      </c>
      <c r="C97" s="95">
        <v>368</v>
      </c>
      <c r="D97" s="92">
        <v>-2.9023746699999999E-2</v>
      </c>
      <c r="E97" s="93">
        <v>6382993.9889633805</v>
      </c>
      <c r="F97" s="35"/>
      <c r="G97" s="35"/>
      <c r="H97" s="35"/>
      <c r="I97" s="35"/>
    </row>
    <row r="98" spans="1:9">
      <c r="A98" s="40" t="s">
        <v>219</v>
      </c>
      <c r="B98" s="11" t="s">
        <v>220</v>
      </c>
      <c r="C98" s="95">
        <v>19.7</v>
      </c>
      <c r="D98" s="92">
        <v>-2.9556650199999999E-2</v>
      </c>
      <c r="E98" s="93">
        <v>227891038.69594601</v>
      </c>
      <c r="F98" s="35"/>
      <c r="G98" s="35"/>
      <c r="H98" s="35"/>
      <c r="I98" s="35"/>
    </row>
    <row r="99" spans="1:9">
      <c r="A99" s="40" t="s">
        <v>201</v>
      </c>
      <c r="B99" s="11" t="s">
        <v>202</v>
      </c>
      <c r="C99" s="95">
        <v>195</v>
      </c>
      <c r="D99" s="92">
        <v>-2.9850746300000001E-2</v>
      </c>
      <c r="E99" s="93">
        <v>82338264.729467154</v>
      </c>
      <c r="F99" s="35"/>
      <c r="G99" s="35"/>
      <c r="H99" s="35"/>
      <c r="I99" s="35"/>
    </row>
    <row r="100" spans="1:9">
      <c r="A100" s="40" t="s">
        <v>207</v>
      </c>
      <c r="B100" s="11" t="s">
        <v>208</v>
      </c>
      <c r="C100" s="95">
        <v>477</v>
      </c>
      <c r="D100" s="92">
        <v>-3.0487804899999998E-2</v>
      </c>
      <c r="E100" s="93">
        <v>33658470.579479948</v>
      </c>
      <c r="F100" s="35"/>
      <c r="G100" s="35"/>
      <c r="H100" s="35"/>
      <c r="I100" s="35"/>
    </row>
    <row r="101" spans="1:9">
      <c r="A101" s="40" t="s">
        <v>111</v>
      </c>
      <c r="B101" s="11" t="s">
        <v>112</v>
      </c>
      <c r="C101" s="95">
        <v>254</v>
      </c>
      <c r="D101" s="92">
        <v>-3.0534351099999999E-2</v>
      </c>
      <c r="E101" s="93">
        <v>37151521.824633427</v>
      </c>
      <c r="F101" s="35"/>
      <c r="G101" s="35"/>
      <c r="H101" s="35"/>
      <c r="I101" s="35"/>
    </row>
    <row r="102" spans="1:9">
      <c r="A102" s="40" t="s">
        <v>283</v>
      </c>
      <c r="B102" s="11" t="s">
        <v>284</v>
      </c>
      <c r="C102" s="95">
        <v>504</v>
      </c>
      <c r="D102" s="92">
        <v>-3.2629558500000003E-2</v>
      </c>
      <c r="E102" s="93">
        <v>18167540.901957039</v>
      </c>
      <c r="F102" s="35"/>
      <c r="G102" s="35"/>
      <c r="H102" s="35"/>
      <c r="I102" s="35"/>
    </row>
    <row r="103" spans="1:9">
      <c r="A103" s="40" t="s">
        <v>265</v>
      </c>
      <c r="B103" s="11" t="s">
        <v>266</v>
      </c>
      <c r="C103" s="95">
        <v>91.3</v>
      </c>
      <c r="D103" s="92">
        <v>-3.2838983099999997E-2</v>
      </c>
      <c r="E103" s="93">
        <v>33737978.762301639</v>
      </c>
      <c r="F103" s="35"/>
      <c r="G103" s="35"/>
      <c r="H103" s="35"/>
      <c r="I103" s="35"/>
    </row>
    <row r="104" spans="1:9">
      <c r="A104" s="40" t="s">
        <v>233</v>
      </c>
      <c r="B104" s="11" t="s">
        <v>234</v>
      </c>
      <c r="C104" s="95">
        <v>1320</v>
      </c>
      <c r="D104" s="92">
        <v>-3.2967033E-2</v>
      </c>
      <c r="E104" s="93">
        <v>2236457.6897324501</v>
      </c>
      <c r="F104" s="35"/>
      <c r="G104" s="35"/>
      <c r="H104" s="35"/>
      <c r="I104" s="35"/>
    </row>
    <row r="105" spans="1:9">
      <c r="A105" s="40" t="s">
        <v>153</v>
      </c>
      <c r="B105" s="11" t="s">
        <v>154</v>
      </c>
      <c r="C105" s="95">
        <v>20.2</v>
      </c>
      <c r="D105" s="92">
        <v>-3.3492822999999998E-2</v>
      </c>
      <c r="E105" s="93">
        <v>399414540.94325894</v>
      </c>
      <c r="F105" s="35"/>
      <c r="G105" s="35"/>
      <c r="H105" s="35"/>
      <c r="I105" s="35"/>
    </row>
    <row r="106" spans="1:9">
      <c r="A106" s="40" t="s">
        <v>193</v>
      </c>
      <c r="B106" s="11" t="s">
        <v>194</v>
      </c>
      <c r="C106" s="95">
        <v>13320</v>
      </c>
      <c r="D106" s="92">
        <v>-3.4082668599999998E-2</v>
      </c>
      <c r="E106" s="93">
        <v>612574.11413667002</v>
      </c>
      <c r="F106" s="35"/>
      <c r="G106" s="35"/>
      <c r="H106" s="35"/>
      <c r="I106" s="35"/>
    </row>
    <row r="107" spans="1:9">
      <c r="A107" s="40" t="s">
        <v>127</v>
      </c>
      <c r="B107" s="11" t="s">
        <v>128</v>
      </c>
      <c r="C107" s="95">
        <v>697</v>
      </c>
      <c r="D107" s="92">
        <v>-3.4626038800000002E-2</v>
      </c>
      <c r="E107" s="93">
        <v>8660420.3958646506</v>
      </c>
      <c r="F107" s="35"/>
      <c r="G107" s="35"/>
      <c r="H107" s="35"/>
      <c r="I107" s="35"/>
    </row>
    <row r="108" spans="1:9">
      <c r="A108" s="40" t="s">
        <v>243</v>
      </c>
      <c r="B108" s="11" t="s">
        <v>244</v>
      </c>
      <c r="C108" s="95">
        <v>3600</v>
      </c>
      <c r="D108" s="92">
        <v>-3.6144578300000001E-2</v>
      </c>
      <c r="E108" s="93">
        <v>4946165.1146128401</v>
      </c>
      <c r="F108" s="35"/>
      <c r="G108" s="35"/>
      <c r="H108" s="35"/>
      <c r="I108" s="35"/>
    </row>
    <row r="109" spans="1:9">
      <c r="A109" s="40" t="s">
        <v>247</v>
      </c>
      <c r="B109" s="11" t="s">
        <v>248</v>
      </c>
      <c r="C109" s="95">
        <v>4050</v>
      </c>
      <c r="D109" s="92">
        <v>-3.6860879899999997E-2</v>
      </c>
      <c r="E109" s="41">
        <v>4304842.7058307296</v>
      </c>
    </row>
    <row r="110" spans="1:9">
      <c r="A110" s="40" t="s">
        <v>141</v>
      </c>
      <c r="B110" s="11" t="s">
        <v>142</v>
      </c>
      <c r="C110" s="95">
        <v>457</v>
      </c>
      <c r="D110" s="92">
        <v>-3.7894736800000002E-2</v>
      </c>
      <c r="E110" s="41">
        <v>15807674.580539539</v>
      </c>
    </row>
    <row r="111" spans="1:9">
      <c r="A111" s="40" t="s">
        <v>239</v>
      </c>
      <c r="B111" s="11" t="s">
        <v>240</v>
      </c>
      <c r="C111" s="95">
        <v>177</v>
      </c>
      <c r="D111" s="92">
        <v>-3.8043478300000003E-2</v>
      </c>
      <c r="E111" s="41">
        <v>38954956.834313013</v>
      </c>
    </row>
    <row r="112" spans="1:9">
      <c r="A112" s="40" t="s">
        <v>66</v>
      </c>
      <c r="B112" s="11" t="s">
        <v>67</v>
      </c>
      <c r="C112" s="95">
        <v>7980</v>
      </c>
      <c r="D112" s="92">
        <v>-3.85542169E-2</v>
      </c>
      <c r="E112" s="41">
        <v>807325.68953439</v>
      </c>
    </row>
    <row r="113" spans="1:5">
      <c r="A113" s="40" t="s">
        <v>181</v>
      </c>
      <c r="B113" s="11" t="s">
        <v>182</v>
      </c>
      <c r="C113" s="95">
        <v>544</v>
      </c>
      <c r="D113" s="92">
        <v>-3.8869257999999997E-2</v>
      </c>
      <c r="E113" s="41">
        <v>14945473.73385388</v>
      </c>
    </row>
    <row r="114" spans="1:5">
      <c r="A114" s="40" t="s">
        <v>191</v>
      </c>
      <c r="B114" s="11" t="s">
        <v>192</v>
      </c>
      <c r="C114" s="95">
        <v>1230</v>
      </c>
      <c r="D114" s="92">
        <v>-3.90625E-2</v>
      </c>
      <c r="E114" s="41">
        <v>3612416.9552834602</v>
      </c>
    </row>
    <row r="115" spans="1:5">
      <c r="A115" s="40" t="s">
        <v>187</v>
      </c>
      <c r="B115" s="11" t="s">
        <v>188</v>
      </c>
      <c r="C115" s="95">
        <v>32200</v>
      </c>
      <c r="D115" s="92">
        <v>-4.0810247199999997E-2</v>
      </c>
      <c r="E115" s="41">
        <v>13481575.216287229</v>
      </c>
    </row>
    <row r="116" spans="1:5">
      <c r="A116" s="40" t="s">
        <v>261</v>
      </c>
      <c r="B116" s="11" t="s">
        <v>262</v>
      </c>
      <c r="C116" s="95">
        <v>1415</v>
      </c>
      <c r="D116" s="92">
        <v>-4.7138047099999997E-2</v>
      </c>
      <c r="E116" s="41">
        <v>14321793.32223995</v>
      </c>
    </row>
    <row r="117" spans="1:5">
      <c r="A117" s="40" t="s">
        <v>223</v>
      </c>
      <c r="B117" s="11" t="s">
        <v>224</v>
      </c>
      <c r="C117" s="95">
        <v>2120</v>
      </c>
      <c r="D117" s="92">
        <v>-4.7191011200000001E-2</v>
      </c>
      <c r="E117" s="41">
        <v>11309368.96807842</v>
      </c>
    </row>
    <row r="118" spans="1:5">
      <c r="A118" s="40" t="s">
        <v>295</v>
      </c>
      <c r="B118" s="11" t="s">
        <v>296</v>
      </c>
      <c r="C118" s="95">
        <v>636</v>
      </c>
      <c r="D118" s="92">
        <v>-9.5305832100000001E-2</v>
      </c>
      <c r="E118" s="41">
        <v>3003960422.8867307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50</v>
      </c>
      <c r="B2" s="11" t="s">
        <v>51</v>
      </c>
      <c r="C2" s="95">
        <v>897</v>
      </c>
      <c r="D2" s="92">
        <v>0.16493506490000001</v>
      </c>
      <c r="E2" s="93">
        <v>860420131.83293164</v>
      </c>
      <c r="F2" s="35"/>
      <c r="G2" s="54"/>
      <c r="H2" s="35"/>
      <c r="I2" s="35"/>
    </row>
    <row r="3" spans="1:18" ht="17.25" thickBot="1">
      <c r="A3" s="40" t="s">
        <v>163</v>
      </c>
      <c r="B3" s="11" t="s">
        <v>164</v>
      </c>
      <c r="C3" s="95">
        <v>44290</v>
      </c>
      <c r="D3" s="92">
        <v>0.14267285860000001</v>
      </c>
      <c r="E3" s="93">
        <v>6849254.1821326502</v>
      </c>
      <c r="F3" s="35"/>
      <c r="G3" s="254" t="s">
        <v>290</v>
      </c>
      <c r="H3" s="266" t="s">
        <v>403</v>
      </c>
      <c r="I3" s="266"/>
      <c r="K3" s="193" t="s">
        <v>34</v>
      </c>
      <c r="L3" s="194"/>
      <c r="M3" s="194"/>
      <c r="N3" s="195"/>
      <c r="O3" s="193" t="s">
        <v>291</v>
      </c>
      <c r="P3" s="194"/>
      <c r="Q3" s="194"/>
      <c r="R3" s="195"/>
    </row>
    <row r="4" spans="1:18" ht="17.25" thickBot="1">
      <c r="A4" s="40" t="s">
        <v>241</v>
      </c>
      <c r="B4" s="11" t="s">
        <v>242</v>
      </c>
      <c r="C4" s="95">
        <v>11200</v>
      </c>
      <c r="D4" s="92">
        <v>0.1045364892</v>
      </c>
      <c r="E4" s="93">
        <v>30915313.42977852</v>
      </c>
      <c r="F4" s="35"/>
      <c r="G4" s="255"/>
      <c r="H4" s="267"/>
      <c r="I4" s="267"/>
      <c r="K4" s="258" t="s">
        <v>55</v>
      </c>
      <c r="L4" s="270">
        <f ca="1">NOW()</f>
        <v>44326.912283217593</v>
      </c>
      <c r="M4" s="271"/>
      <c r="N4" s="272"/>
      <c r="O4" s="261" t="s">
        <v>55</v>
      </c>
      <c r="P4" s="270">
        <f ca="1">NOW()</f>
        <v>44326.912283217593</v>
      </c>
      <c r="Q4" s="271"/>
      <c r="R4" s="272"/>
    </row>
    <row r="5" spans="1:18" ht="17.25" thickBot="1">
      <c r="A5" s="40" t="s">
        <v>167</v>
      </c>
      <c r="B5" s="11" t="s">
        <v>168</v>
      </c>
      <c r="C5" s="95">
        <v>261</v>
      </c>
      <c r="D5" s="92">
        <v>8.7499999999999994E-2</v>
      </c>
      <c r="E5" s="93">
        <v>758231992.44971585</v>
      </c>
      <c r="F5" s="35"/>
      <c r="K5" s="255"/>
      <c r="L5" s="51" t="s">
        <v>58</v>
      </c>
      <c r="M5" s="73" t="s">
        <v>59</v>
      </c>
      <c r="N5" s="69" t="s">
        <v>294</v>
      </c>
      <c r="O5" s="210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117</v>
      </c>
      <c r="B6" s="11" t="s">
        <v>118</v>
      </c>
      <c r="C6" s="95">
        <v>8215</v>
      </c>
      <c r="D6" s="92">
        <v>8.7359364699999997E-2</v>
      </c>
      <c r="E6" s="93">
        <v>4071499.41276694</v>
      </c>
      <c r="F6" s="35"/>
      <c r="G6" s="193" t="s">
        <v>52</v>
      </c>
      <c r="H6" s="194"/>
      <c r="I6" s="195"/>
      <c r="K6" s="55" t="str">
        <f ca="1">IFERROR(OFFSET(INDIRECT($H$3 &amp; "!A17"), 0, 0), "")</f>
        <v>모스코인</v>
      </c>
      <c r="L6" s="38">
        <f t="shared" ref="L6:L25" ca="1" si="0">_xlfn.IFNA(VLOOKUP(K6, $B$2:$D$200, 2, FALSE), "")</f>
        <v>177</v>
      </c>
      <c r="M6" s="76">
        <f t="shared" ref="M6:M25" ca="1" si="1">_xlfn.IFNA(VLOOKUP(K6, $B$2:$D$200, 3, FALSE), "")</f>
        <v>-3.8043478300000003E-2</v>
      </c>
      <c r="N6" s="85">
        <f ca="1">_xlfn.IFNA(VLOOKUP(K6, $B$2:$E$200, 4, FALSE), "")</f>
        <v>38954956.834313013</v>
      </c>
      <c r="O6" s="72" t="s">
        <v>51</v>
      </c>
      <c r="P6" s="38">
        <f t="shared" ref="P6:P25" si="2">_xlfn.IFNA(VLOOKUP(O6, $B$2:$D$200, 2, FALSE), "")</f>
        <v>897</v>
      </c>
      <c r="Q6" s="76">
        <f t="shared" ref="Q6:Q25" si="3">_xlfn.IFNA(VLOOKUP(O6, $B$2:$D$200, 3, FALSE), "")</f>
        <v>0.16493506490000001</v>
      </c>
      <c r="R6" s="85">
        <f>_xlfn.IFNA(VLOOKUP(O6, $B$2:$E$200, 4, FALSE), "")</f>
        <v>860420131.83293164</v>
      </c>
    </row>
    <row r="7" spans="1:18">
      <c r="A7" s="40" t="s">
        <v>95</v>
      </c>
      <c r="B7" s="11" t="s">
        <v>96</v>
      </c>
      <c r="C7" s="95">
        <v>5192000</v>
      </c>
      <c r="D7" s="92">
        <v>7.8969243600000003E-2</v>
      </c>
      <c r="E7" s="93">
        <v>174212.61377137</v>
      </c>
      <c r="F7" s="35"/>
      <c r="G7" s="202" t="s">
        <v>36</v>
      </c>
      <c r="H7" s="203"/>
      <c r="I7" s="204"/>
      <c r="K7" s="56" t="str">
        <f ca="1">IFERROR(OFFSET(INDIRECT($H$3 &amp; "!A17"), 1, 0), "")</f>
        <v>마로</v>
      </c>
      <c r="L7" s="39">
        <f t="shared" ca="1" si="0"/>
        <v>477</v>
      </c>
      <c r="M7" s="77">
        <f t="shared" ca="1" si="1"/>
        <v>-3.0487804899999998E-2</v>
      </c>
      <c r="N7" s="86">
        <f t="shared" ref="N7:N25" ca="1" si="4">_xlfn.IFNA(VLOOKUP(K7, $B$2:$E$200, 4, FALSE), "")</f>
        <v>33658470.579479948</v>
      </c>
      <c r="O7" s="88" t="s">
        <v>164</v>
      </c>
      <c r="P7" s="39">
        <f t="shared" si="2"/>
        <v>44290</v>
      </c>
      <c r="Q7" s="77">
        <f t="shared" si="3"/>
        <v>0.14267285860000001</v>
      </c>
      <c r="R7" s="86">
        <f t="shared" ref="R7:R25" si="5">_xlfn.IFNA(VLOOKUP(O7, $B$2:$E$200, 4, FALSE), "")</f>
        <v>6849254.1821326502</v>
      </c>
    </row>
    <row r="8" spans="1:18" ht="17.25" thickBot="1">
      <c r="A8" s="40" t="s">
        <v>169</v>
      </c>
      <c r="B8" s="11" t="s">
        <v>170</v>
      </c>
      <c r="C8" s="95">
        <v>588</v>
      </c>
      <c r="D8" s="92">
        <v>6.3291139199999999E-2</v>
      </c>
      <c r="E8" s="93">
        <v>33487978.928860281</v>
      </c>
      <c r="F8" s="35"/>
      <c r="G8" s="208"/>
      <c r="H8" s="209"/>
      <c r="I8" s="210"/>
      <c r="K8" s="56" t="str">
        <f ca="1">IFERROR(OFFSET(INDIRECT($H$3 &amp; "!A17"), 2, 0), "")</f>
        <v>비체인</v>
      </c>
      <c r="L8" s="39">
        <f t="shared" ca="1" si="0"/>
        <v>278</v>
      </c>
      <c r="M8" s="77">
        <f t="shared" ca="1" si="1"/>
        <v>-2.7972027999999999E-2</v>
      </c>
      <c r="N8" s="86">
        <f t="shared" ca="1" si="4"/>
        <v>505482663.27365595</v>
      </c>
      <c r="O8" s="88" t="s">
        <v>242</v>
      </c>
      <c r="P8" s="39">
        <f t="shared" si="2"/>
        <v>11200</v>
      </c>
      <c r="Q8" s="77">
        <f t="shared" si="3"/>
        <v>0.1045364892</v>
      </c>
      <c r="R8" s="86">
        <f t="shared" si="5"/>
        <v>30915313.42977852</v>
      </c>
    </row>
    <row r="9" spans="1:18" ht="17.25" thickBot="1">
      <c r="A9" s="40" t="s">
        <v>139</v>
      </c>
      <c r="B9" s="11" t="s">
        <v>140</v>
      </c>
      <c r="C9" s="95">
        <v>4370</v>
      </c>
      <c r="D9" s="92">
        <v>5.8111380099999999E-2</v>
      </c>
      <c r="E9" s="93">
        <v>2243424.93580592</v>
      </c>
      <c r="F9" s="35"/>
      <c r="G9" s="50" t="s">
        <v>38</v>
      </c>
      <c r="H9" s="194" t="s">
        <v>37</v>
      </c>
      <c r="I9" s="195"/>
      <c r="K9" s="56" t="str">
        <f ca="1">IFERROR(OFFSET(INDIRECT($H$3 &amp; "!A17"), 3, 0), "")</f>
        <v>스텔라루멘</v>
      </c>
      <c r="L9" s="39">
        <f t="shared" ca="1" si="0"/>
        <v>897</v>
      </c>
      <c r="M9" s="77">
        <f t="shared" ca="1" si="1"/>
        <v>0.16493506490000001</v>
      </c>
      <c r="N9" s="86">
        <f t="shared" ca="1" si="4"/>
        <v>860420131.83293164</v>
      </c>
      <c r="O9" s="88" t="s">
        <v>168</v>
      </c>
      <c r="P9" s="39">
        <f t="shared" si="2"/>
        <v>261</v>
      </c>
      <c r="Q9" s="77">
        <f t="shared" si="3"/>
        <v>8.7499999999999994E-2</v>
      </c>
      <c r="R9" s="86">
        <f t="shared" si="5"/>
        <v>758231992.44971585</v>
      </c>
    </row>
    <row r="10" spans="1:18">
      <c r="A10" s="40" t="s">
        <v>215</v>
      </c>
      <c r="B10" s="11" t="s">
        <v>216</v>
      </c>
      <c r="C10" s="95">
        <v>532</v>
      </c>
      <c r="D10" s="92">
        <v>5.7654075499999999E-2</v>
      </c>
      <c r="E10" s="93">
        <v>33474020.686380848</v>
      </c>
      <c r="F10" s="35"/>
      <c r="G10" s="268">
        <f>_xlfn.IFNA(VLOOKUP(G7, $B$2:$D$200, 3, FALSE), "-")</f>
        <v>9.1322285000000007E-3</v>
      </c>
      <c r="H10" s="262">
        <f>_xlfn.IFNA(VLOOKUP(G7, $B$2:$D$200, 2, FALSE), "-")</f>
        <v>72158000</v>
      </c>
      <c r="I10" s="263"/>
      <c r="K10" s="58" t="str">
        <f ca="1">IFERROR(OFFSET(INDIRECT($H$3 &amp; "!A17"), 4, 0), "")</f>
        <v>플레이댑</v>
      </c>
      <c r="L10" s="44">
        <f t="shared" ca="1" si="0"/>
        <v>494</v>
      </c>
      <c r="M10" s="78">
        <f t="shared" ca="1" si="1"/>
        <v>-2.1782178199999998E-2</v>
      </c>
      <c r="N10" s="90">
        <f t="shared" ca="1" si="4"/>
        <v>8158316.6001805896</v>
      </c>
      <c r="O10" s="88" t="s">
        <v>118</v>
      </c>
      <c r="P10" s="39">
        <f t="shared" si="2"/>
        <v>8215</v>
      </c>
      <c r="Q10" s="77">
        <f t="shared" si="3"/>
        <v>8.7359364699999997E-2</v>
      </c>
      <c r="R10" s="90">
        <f t="shared" si="5"/>
        <v>4071499.41276694</v>
      </c>
    </row>
    <row r="11" spans="1:18" ht="17.25" thickBot="1">
      <c r="A11" s="40" t="s">
        <v>109</v>
      </c>
      <c r="B11" s="11" t="s">
        <v>110</v>
      </c>
      <c r="C11" s="95">
        <v>3420</v>
      </c>
      <c r="D11" s="92">
        <v>5.5555555600000001E-2</v>
      </c>
      <c r="E11" s="93">
        <v>13698326.31032549</v>
      </c>
      <c r="F11" s="35"/>
      <c r="G11" s="269"/>
      <c r="H11" s="264"/>
      <c r="I11" s="265"/>
      <c r="K11" s="56" t="str">
        <f ca="1">IFERROR(OFFSET(INDIRECT($H$3 &amp; "!A17"), 5, 0), "")</f>
        <v>앵커</v>
      </c>
      <c r="L11" s="39">
        <f t="shared" ca="1" si="0"/>
        <v>194</v>
      </c>
      <c r="M11" s="77">
        <f t="shared" ca="1" si="1"/>
        <v>-5.1282050999999999E-3</v>
      </c>
      <c r="N11" s="99">
        <f t="shared" ca="1" si="4"/>
        <v>60107359.287693202</v>
      </c>
      <c r="O11" s="89" t="s">
        <v>96</v>
      </c>
      <c r="P11" s="45">
        <f t="shared" si="2"/>
        <v>5192000</v>
      </c>
      <c r="Q11" s="80">
        <f t="shared" si="3"/>
        <v>7.8969243600000003E-2</v>
      </c>
      <c r="R11" s="99">
        <f t="shared" si="5"/>
        <v>174212.61377137</v>
      </c>
    </row>
    <row r="12" spans="1:18" ht="17.25" thickBot="1">
      <c r="A12" s="40" t="s">
        <v>227</v>
      </c>
      <c r="B12" s="11" t="s">
        <v>228</v>
      </c>
      <c r="C12" s="95">
        <v>18.399999999999999</v>
      </c>
      <c r="D12" s="92">
        <v>4.5454545499999999E-2</v>
      </c>
      <c r="E12" s="93">
        <v>2868073234.6391463</v>
      </c>
      <c r="F12" s="35"/>
      <c r="K12" s="56" t="str">
        <f ca="1">IFERROR(OFFSET(INDIRECT($H$3 &amp; "!A17"), 6, 0), "")</f>
        <v>트론</v>
      </c>
      <c r="L12" s="39">
        <f t="shared" ca="1" si="0"/>
        <v>177</v>
      </c>
      <c r="M12" s="77">
        <f t="shared" ca="1" si="1"/>
        <v>1.14285714E-2</v>
      </c>
      <c r="N12" s="86">
        <f t="shared" ca="1" si="4"/>
        <v>556978391.79204321</v>
      </c>
      <c r="O12" s="88" t="s">
        <v>170</v>
      </c>
      <c r="P12" s="39">
        <f t="shared" si="2"/>
        <v>588</v>
      </c>
      <c r="Q12" s="77">
        <f t="shared" si="3"/>
        <v>6.3291139199999999E-2</v>
      </c>
      <c r="R12" s="86">
        <f t="shared" si="5"/>
        <v>33487978.928860281</v>
      </c>
    </row>
    <row r="13" spans="1:18" ht="17.25" thickBot="1">
      <c r="A13" s="40" t="s">
        <v>275</v>
      </c>
      <c r="B13" s="11" t="s">
        <v>276</v>
      </c>
      <c r="C13" s="95">
        <v>5385</v>
      </c>
      <c r="D13" s="92">
        <v>4.1586073500000001E-2</v>
      </c>
      <c r="E13" s="93">
        <v>6873659.4966936102</v>
      </c>
      <c r="F13" s="35"/>
      <c r="G13" s="193" t="s">
        <v>70</v>
      </c>
      <c r="H13" s="194"/>
      <c r="I13" s="195"/>
      <c r="K13" s="56" t="str">
        <f ca="1">IFERROR(OFFSET(INDIRECT($H$3 &amp; "!A17"), 7, 0), "")</f>
        <v>디카르고</v>
      </c>
      <c r="L13" s="39">
        <f t="shared" ca="1" si="0"/>
        <v>254</v>
      </c>
      <c r="M13" s="77">
        <f t="shared" ca="1" si="1"/>
        <v>-3.0534351099999999E-2</v>
      </c>
      <c r="N13" s="86">
        <f t="shared" ca="1" si="4"/>
        <v>37151521.824633427</v>
      </c>
      <c r="O13" s="88" t="s">
        <v>140</v>
      </c>
      <c r="P13" s="39">
        <f t="shared" si="2"/>
        <v>4370</v>
      </c>
      <c r="Q13" s="77">
        <f t="shared" si="3"/>
        <v>5.8111380099999999E-2</v>
      </c>
      <c r="R13" s="86">
        <f t="shared" si="5"/>
        <v>2243424.93580592</v>
      </c>
    </row>
    <row r="14" spans="1:18">
      <c r="A14" s="40" t="s">
        <v>79</v>
      </c>
      <c r="B14" s="11" t="s">
        <v>80</v>
      </c>
      <c r="C14" s="95">
        <v>1805</v>
      </c>
      <c r="D14" s="92">
        <v>4.0345821300000001E-2</v>
      </c>
      <c r="E14" s="93">
        <v>15957342.330561001</v>
      </c>
      <c r="F14" s="35"/>
      <c r="G14" s="202" t="s">
        <v>36</v>
      </c>
      <c r="H14" s="203"/>
      <c r="I14" s="204"/>
      <c r="K14" s="56" t="str">
        <f ca="1">IFERROR(OFFSET(INDIRECT($H$3 &amp; "!A17"), 8, 0), "")</f>
        <v>헤데라해시그래프</v>
      </c>
      <c r="L14" s="39">
        <f t="shared" ca="1" si="0"/>
        <v>354</v>
      </c>
      <c r="M14" s="77">
        <f t="shared" ca="1" si="1"/>
        <v>-1.39275766E-2</v>
      </c>
      <c r="N14" s="86">
        <f t="shared" ca="1" si="4"/>
        <v>13045630.796741661</v>
      </c>
      <c r="O14" s="88" t="s">
        <v>216</v>
      </c>
      <c r="P14" s="39">
        <f t="shared" si="2"/>
        <v>532</v>
      </c>
      <c r="Q14" s="77">
        <f t="shared" si="3"/>
        <v>5.7654075499999999E-2</v>
      </c>
      <c r="R14" s="86">
        <f t="shared" si="5"/>
        <v>33474020.686380848</v>
      </c>
    </row>
    <row r="15" spans="1:18" ht="17.25" thickBot="1">
      <c r="A15" s="40" t="s">
        <v>179</v>
      </c>
      <c r="B15" s="11" t="s">
        <v>180</v>
      </c>
      <c r="C15" s="95">
        <v>5055</v>
      </c>
      <c r="D15" s="92">
        <v>3.6923076899999997E-2</v>
      </c>
      <c r="E15" s="93">
        <v>19642240.070041891</v>
      </c>
      <c r="F15" s="35"/>
      <c r="G15" s="208"/>
      <c r="H15" s="209"/>
      <c r="I15" s="210"/>
      <c r="K15" s="57" t="str">
        <f ca="1">IFERROR(OFFSET(INDIRECT($H$3 &amp; "!A17"), 9, 0), "")</f>
        <v>저스트</v>
      </c>
      <c r="L15" s="37">
        <f t="shared" ca="1" si="0"/>
        <v>164</v>
      </c>
      <c r="M15" s="79">
        <f t="shared" ca="1" si="1"/>
        <v>-1.20481928E-2</v>
      </c>
      <c r="N15" s="87">
        <f t="shared" ca="1" si="4"/>
        <v>35724734.648433939</v>
      </c>
      <c r="O15" s="74" t="s">
        <v>110</v>
      </c>
      <c r="P15" s="37">
        <f t="shared" si="2"/>
        <v>3420</v>
      </c>
      <c r="Q15" s="79">
        <f t="shared" si="3"/>
        <v>5.5555555600000001E-2</v>
      </c>
      <c r="R15" s="87">
        <f t="shared" si="5"/>
        <v>13698326.31032549</v>
      </c>
    </row>
    <row r="16" spans="1:18" ht="17.25" thickBot="1">
      <c r="A16" s="40" t="s">
        <v>77</v>
      </c>
      <c r="B16" s="11" t="s">
        <v>78</v>
      </c>
      <c r="C16" s="95">
        <v>1830000</v>
      </c>
      <c r="D16" s="92">
        <v>3.3314511599999999E-2</v>
      </c>
      <c r="E16" s="93">
        <v>290085.36687058001</v>
      </c>
      <c r="F16" s="35"/>
      <c r="G16" s="50" t="s">
        <v>38</v>
      </c>
      <c r="H16" s="194" t="s">
        <v>37</v>
      </c>
      <c r="I16" s="195"/>
      <c r="K16" s="55" t="str">
        <f ca="1">IFERROR(OFFSET(INDIRECT($H$3 &amp; "!A17"), 10, 0), "")</f>
        <v>칠리즈</v>
      </c>
      <c r="L16" s="38">
        <f t="shared" ca="1" si="0"/>
        <v>592</v>
      </c>
      <c r="M16" s="76">
        <f t="shared" ca="1" si="1"/>
        <v>-5.0420168000000001E-3</v>
      </c>
      <c r="N16" s="85">
        <f t="shared" ca="1" si="4"/>
        <v>66833069.341704391</v>
      </c>
      <c r="O16" s="72" t="s">
        <v>228</v>
      </c>
      <c r="P16" s="38">
        <f t="shared" si="2"/>
        <v>18.399999999999999</v>
      </c>
      <c r="Q16" s="76">
        <f t="shared" si="3"/>
        <v>4.5454545499999999E-2</v>
      </c>
      <c r="R16" s="85">
        <f t="shared" si="5"/>
        <v>2868073234.6391463</v>
      </c>
    </row>
    <row r="17" spans="1:18">
      <c r="A17" s="40" t="s">
        <v>129</v>
      </c>
      <c r="B17" s="11" t="s">
        <v>130</v>
      </c>
      <c r="C17" s="95">
        <v>493850</v>
      </c>
      <c r="D17" s="92">
        <v>3.2403052199999997E-2</v>
      </c>
      <c r="E17" s="93">
        <v>834565.70857143996</v>
      </c>
      <c r="F17" s="35"/>
      <c r="G17" s="268">
        <f>_xlfn.IFNA(VLOOKUP(G14, $B$2:$D$200, 3, FALSE), "-")</f>
        <v>9.1322285000000007E-3</v>
      </c>
      <c r="H17" s="262">
        <f>_xlfn.IFNA(VLOOKUP(G14, $B$2:$D$200, 2, FALSE), "-")</f>
        <v>72158000</v>
      </c>
      <c r="I17" s="263"/>
      <c r="K17" s="56" t="str">
        <f ca="1">IFERROR(OFFSET(INDIRECT($H$3 &amp; "!A17"), 11, 0), "")</f>
        <v>시빅</v>
      </c>
      <c r="L17" s="39">
        <f t="shared" ca="1" si="0"/>
        <v>697</v>
      </c>
      <c r="M17" s="77">
        <f t="shared" ca="1" si="1"/>
        <v>-3.4626038800000002E-2</v>
      </c>
      <c r="N17" s="86">
        <f t="shared" ca="1" si="4"/>
        <v>8660420.3958646506</v>
      </c>
      <c r="O17" s="88" t="s">
        <v>276</v>
      </c>
      <c r="P17" s="39">
        <f t="shared" si="2"/>
        <v>5385</v>
      </c>
      <c r="Q17" s="77">
        <f t="shared" si="3"/>
        <v>4.1586073500000001E-2</v>
      </c>
      <c r="R17" s="86">
        <f t="shared" si="5"/>
        <v>6873659.4966936102</v>
      </c>
    </row>
    <row r="18" spans="1:18" ht="17.25" thickBot="1">
      <c r="A18" s="40" t="s">
        <v>91</v>
      </c>
      <c r="B18" s="11" t="s">
        <v>92</v>
      </c>
      <c r="C18" s="95">
        <v>1945</v>
      </c>
      <c r="D18" s="92">
        <v>3.1830238699999999E-2</v>
      </c>
      <c r="E18" s="93">
        <v>456989160.27146602</v>
      </c>
      <c r="F18" s="35"/>
      <c r="G18" s="269"/>
      <c r="H18" s="264"/>
      <c r="I18" s="265"/>
      <c r="K18" s="56" t="str">
        <f ca="1">IFERROR(OFFSET(INDIRECT($H$3 &amp; "!A17"), 12, 0), "")</f>
        <v>샌드박스</v>
      </c>
      <c r="L18" s="39">
        <f t="shared" ca="1" si="0"/>
        <v>648</v>
      </c>
      <c r="M18" s="77">
        <f t="shared" ca="1" si="1"/>
        <v>-2.7027026999999999E-2</v>
      </c>
      <c r="N18" s="86">
        <f t="shared" ca="1" si="4"/>
        <v>8908159.9690215494</v>
      </c>
      <c r="O18" s="88" t="s">
        <v>80</v>
      </c>
      <c r="P18" s="39">
        <f t="shared" si="2"/>
        <v>1805</v>
      </c>
      <c r="Q18" s="77">
        <f t="shared" si="3"/>
        <v>4.0345821300000001E-2</v>
      </c>
      <c r="R18" s="86">
        <f t="shared" si="5"/>
        <v>15957342.330561001</v>
      </c>
    </row>
    <row r="19" spans="1:18" ht="17.25" thickBot="1">
      <c r="A19" s="40" t="s">
        <v>101</v>
      </c>
      <c r="B19" s="11" t="s">
        <v>102</v>
      </c>
      <c r="C19" s="95">
        <v>149200</v>
      </c>
      <c r="D19" s="92">
        <v>2.8256374899999999E-2</v>
      </c>
      <c r="E19" s="93">
        <v>9516881.8525080997</v>
      </c>
      <c r="F19" s="35"/>
      <c r="K19" s="56" t="str">
        <f ca="1">IFERROR(OFFSET(INDIRECT($H$3 &amp; "!A17"), 13, 0), "")</f>
        <v>메타디움</v>
      </c>
      <c r="L19" s="39">
        <f t="shared" ca="1" si="0"/>
        <v>195</v>
      </c>
      <c r="M19" s="77">
        <f t="shared" ca="1" si="1"/>
        <v>-2.9850746300000001E-2</v>
      </c>
      <c r="N19" s="86">
        <f t="shared" ca="1" si="4"/>
        <v>82338264.729467154</v>
      </c>
      <c r="O19" s="88" t="s">
        <v>180</v>
      </c>
      <c r="P19" s="39">
        <f t="shared" si="2"/>
        <v>5055</v>
      </c>
      <c r="Q19" s="77">
        <f t="shared" si="3"/>
        <v>3.6923076899999997E-2</v>
      </c>
      <c r="R19" s="86">
        <f t="shared" si="5"/>
        <v>19642240.070041891</v>
      </c>
    </row>
    <row r="20" spans="1:18" ht="17.25" thickBot="1">
      <c r="A20" s="40" t="s">
        <v>271</v>
      </c>
      <c r="B20" s="11" t="s">
        <v>272</v>
      </c>
      <c r="C20" s="95">
        <v>2885</v>
      </c>
      <c r="D20" s="92">
        <v>2.6690391500000001E-2</v>
      </c>
      <c r="E20" s="93">
        <v>9527856.4030775409</v>
      </c>
      <c r="F20" s="35"/>
      <c r="G20" s="193" t="s">
        <v>286</v>
      </c>
      <c r="H20" s="194"/>
      <c r="I20" s="195"/>
      <c r="K20" s="58" t="str">
        <f ca="1">IFERROR(OFFSET(INDIRECT($H$3 &amp; "!A17"), 14, 0), "")</f>
        <v>질리카</v>
      </c>
      <c r="L20" s="44">
        <f t="shared" ca="1" si="0"/>
        <v>293</v>
      </c>
      <c r="M20" s="78">
        <f t="shared" ca="1" si="1"/>
        <v>1.38408304E-2</v>
      </c>
      <c r="N20" s="90">
        <f t="shared" ca="1" si="4"/>
        <v>55428930.104287364</v>
      </c>
      <c r="O20" s="88" t="s">
        <v>78</v>
      </c>
      <c r="P20" s="39">
        <f t="shared" si="2"/>
        <v>1830000</v>
      </c>
      <c r="Q20" s="77">
        <f t="shared" si="3"/>
        <v>3.3314511599999999E-2</v>
      </c>
      <c r="R20" s="90">
        <f t="shared" si="5"/>
        <v>290085.36687058001</v>
      </c>
    </row>
    <row r="21" spans="1:18">
      <c r="A21" s="40" t="s">
        <v>259</v>
      </c>
      <c r="B21" s="11" t="s">
        <v>260</v>
      </c>
      <c r="C21" s="95">
        <v>119</v>
      </c>
      <c r="D21" s="92">
        <v>2.5862069000000001E-2</v>
      </c>
      <c r="E21" s="93">
        <v>105218095.99052505</v>
      </c>
      <c r="F21" s="35"/>
      <c r="G21" s="202" t="s">
        <v>36</v>
      </c>
      <c r="H21" s="203"/>
      <c r="I21" s="204"/>
      <c r="K21" s="56" t="str">
        <f ca="1">IFERROR(OFFSET(INDIRECT($H$3 &amp; "!A17"), 15, 0), "")</f>
        <v>크립토닷컴체인</v>
      </c>
      <c r="L21" s="39">
        <f t="shared" ca="1" si="0"/>
        <v>219</v>
      </c>
      <c r="M21" s="77">
        <f t="shared" ca="1" si="1"/>
        <v>0</v>
      </c>
      <c r="N21" s="99">
        <f t="shared" ca="1" si="4"/>
        <v>89216697.976487085</v>
      </c>
      <c r="O21" s="89" t="s">
        <v>130</v>
      </c>
      <c r="P21" s="45">
        <f t="shared" si="2"/>
        <v>493850</v>
      </c>
      <c r="Q21" s="80">
        <f t="shared" si="3"/>
        <v>3.2403052199999997E-2</v>
      </c>
      <c r="R21" s="99">
        <f t="shared" si="5"/>
        <v>834565.70857143996</v>
      </c>
    </row>
    <row r="22" spans="1:18" ht="17.25" thickBot="1">
      <c r="A22" s="40" t="s">
        <v>105</v>
      </c>
      <c r="B22" s="11" t="s">
        <v>106</v>
      </c>
      <c r="C22" s="95">
        <v>2460</v>
      </c>
      <c r="D22" s="92">
        <v>2.5000000000000001E-2</v>
      </c>
      <c r="E22" s="93">
        <v>3980054.3425416201</v>
      </c>
      <c r="F22" s="35"/>
      <c r="G22" s="208"/>
      <c r="H22" s="209"/>
      <c r="I22" s="210"/>
      <c r="K22" s="56" t="str">
        <f ca="1">IFERROR(OFFSET(INDIRECT($H$3 &amp; "!A17"), 16, 0), "")</f>
        <v>쎄타퓨엘</v>
      </c>
      <c r="L22" s="39">
        <f t="shared" ca="1" si="0"/>
        <v>457</v>
      </c>
      <c r="M22" s="77">
        <f t="shared" ca="1" si="1"/>
        <v>-3.7894736800000002E-2</v>
      </c>
      <c r="N22" s="86">
        <f t="shared" ca="1" si="4"/>
        <v>15807674.580539539</v>
      </c>
      <c r="O22" s="88" t="s">
        <v>92</v>
      </c>
      <c r="P22" s="39">
        <f t="shared" si="2"/>
        <v>1945</v>
      </c>
      <c r="Q22" s="77">
        <f t="shared" si="3"/>
        <v>3.1830238699999999E-2</v>
      </c>
      <c r="R22" s="86">
        <f t="shared" si="5"/>
        <v>456989160.27146602</v>
      </c>
    </row>
    <row r="23" spans="1:18" ht="17.25" thickBot="1">
      <c r="A23" s="40" t="s">
        <v>107</v>
      </c>
      <c r="B23" s="11" t="s">
        <v>108</v>
      </c>
      <c r="C23" s="95">
        <v>62260</v>
      </c>
      <c r="D23" s="92">
        <v>1.8318613000000001E-2</v>
      </c>
      <c r="E23" s="93">
        <v>1844981.6413718499</v>
      </c>
      <c r="F23" s="35"/>
      <c r="G23" s="50" t="s">
        <v>38</v>
      </c>
      <c r="H23" s="194" t="s">
        <v>37</v>
      </c>
      <c r="I23" s="195"/>
      <c r="K23" s="56" t="str">
        <f ca="1">IFERROR(OFFSET(INDIRECT($H$3 &amp; "!A17"), 17, 0), "")</f>
        <v>아더</v>
      </c>
      <c r="L23" s="39">
        <f t="shared" ca="1" si="0"/>
        <v>504</v>
      </c>
      <c r="M23" s="77">
        <f t="shared" ca="1" si="1"/>
        <v>-3.2629558500000003E-2</v>
      </c>
      <c r="N23" s="86">
        <f t="shared" ca="1" si="4"/>
        <v>18167540.901957039</v>
      </c>
      <c r="O23" s="88" t="s">
        <v>102</v>
      </c>
      <c r="P23" s="39">
        <f t="shared" si="2"/>
        <v>149200</v>
      </c>
      <c r="Q23" s="77">
        <f t="shared" si="3"/>
        <v>2.8256374899999999E-2</v>
      </c>
      <c r="R23" s="86">
        <f t="shared" si="5"/>
        <v>9516881.8525080997</v>
      </c>
    </row>
    <row r="24" spans="1:18">
      <c r="A24" s="40" t="s">
        <v>135</v>
      </c>
      <c r="B24" s="11" t="s">
        <v>136</v>
      </c>
      <c r="C24" s="95">
        <v>293</v>
      </c>
      <c r="D24" s="92">
        <v>1.38408304E-2</v>
      </c>
      <c r="E24" s="93">
        <v>55428930.104287364</v>
      </c>
      <c r="F24" s="35"/>
      <c r="G24" s="268">
        <f>_xlfn.IFNA(VLOOKUP(G21, $B$2:$D$200, 3, FALSE), "-")</f>
        <v>9.1322285000000007E-3</v>
      </c>
      <c r="H24" s="262">
        <f>_xlfn.IFNA(VLOOKUP(G21, $B$2:$D$200, 2, FALSE), "-")</f>
        <v>72158000</v>
      </c>
      <c r="I24" s="263"/>
      <c r="K24" s="56" t="str">
        <f ca="1">IFERROR(OFFSET(INDIRECT($H$3 &amp; "!A17"), 18, 0), "")</f>
        <v>아르고</v>
      </c>
      <c r="L24" s="39">
        <f t="shared" ca="1" si="0"/>
        <v>345</v>
      </c>
      <c r="M24" s="77">
        <f t="shared" ca="1" si="1"/>
        <v>-1.7094017100000001E-2</v>
      </c>
      <c r="N24" s="86">
        <f t="shared" ca="1" si="4"/>
        <v>10475996.93566802</v>
      </c>
      <c r="O24" s="88" t="s">
        <v>272</v>
      </c>
      <c r="P24" s="39">
        <f t="shared" si="2"/>
        <v>2885</v>
      </c>
      <c r="Q24" s="77">
        <f t="shared" si="3"/>
        <v>2.6690391500000001E-2</v>
      </c>
      <c r="R24" s="86">
        <f t="shared" si="5"/>
        <v>9527856.4030775409</v>
      </c>
    </row>
    <row r="25" spans="1:18" ht="17.25" thickBot="1">
      <c r="A25" s="40" t="s">
        <v>171</v>
      </c>
      <c r="B25" s="11" t="s">
        <v>172</v>
      </c>
      <c r="C25" s="95">
        <v>24</v>
      </c>
      <c r="D25" s="92">
        <v>1.26582278E-2</v>
      </c>
      <c r="E25" s="93">
        <v>335461477.93693566</v>
      </c>
      <c r="F25" s="35"/>
      <c r="G25" s="269"/>
      <c r="H25" s="264"/>
      <c r="I25" s="265"/>
      <c r="K25" s="57" t="str">
        <f ca="1">IFERROR(OFFSET(INDIRECT($H$3 &amp; "!A17"), 19, 0), "")</f>
        <v>썸씽</v>
      </c>
      <c r="L25" s="37">
        <f t="shared" ca="1" si="0"/>
        <v>119</v>
      </c>
      <c r="M25" s="79">
        <f t="shared" ca="1" si="1"/>
        <v>2.5862069000000001E-2</v>
      </c>
      <c r="N25" s="87">
        <f t="shared" ca="1" si="4"/>
        <v>105218095.99052505</v>
      </c>
      <c r="O25" s="74" t="s">
        <v>260</v>
      </c>
      <c r="P25" s="37">
        <f t="shared" si="2"/>
        <v>119</v>
      </c>
      <c r="Q25" s="79">
        <f t="shared" si="3"/>
        <v>2.5862069000000001E-2</v>
      </c>
      <c r="R25" s="87">
        <f t="shared" si="5"/>
        <v>105218095.99052505</v>
      </c>
    </row>
    <row r="26" spans="1:18">
      <c r="A26" s="40" t="s">
        <v>205</v>
      </c>
      <c r="B26" s="11" t="s">
        <v>206</v>
      </c>
      <c r="C26" s="95">
        <v>34580</v>
      </c>
      <c r="D26" s="92">
        <v>1.2295082000000001E-2</v>
      </c>
      <c r="E26" s="93">
        <v>1022430.80702191</v>
      </c>
      <c r="F26" s="35"/>
    </row>
    <row r="27" spans="1:18" ht="17.25" thickBot="1">
      <c r="A27" s="40" t="s">
        <v>269</v>
      </c>
      <c r="B27" s="11" t="s">
        <v>270</v>
      </c>
      <c r="C27" s="95">
        <v>608</v>
      </c>
      <c r="D27" s="92">
        <v>1.16472546E-2</v>
      </c>
      <c r="E27" s="93">
        <v>12223343.54381861</v>
      </c>
      <c r="F27" s="35"/>
    </row>
    <row r="28" spans="1:18" ht="17.25" thickBot="1">
      <c r="A28" s="40" t="s">
        <v>155</v>
      </c>
      <c r="B28" s="11" t="s">
        <v>156</v>
      </c>
      <c r="C28" s="95">
        <v>177</v>
      </c>
      <c r="D28" s="92">
        <v>1.14285714E-2</v>
      </c>
      <c r="E28" s="93">
        <v>556978391.79204321</v>
      </c>
      <c r="F28" s="35"/>
      <c r="G28" s="193" t="s">
        <v>46</v>
      </c>
      <c r="H28" s="194"/>
      <c r="I28" s="194"/>
      <c r="J28" s="195"/>
      <c r="K28" s="193" t="s">
        <v>44</v>
      </c>
      <c r="L28" s="194"/>
      <c r="M28" s="194"/>
      <c r="N28" s="195"/>
      <c r="O28" s="193" t="s">
        <v>45</v>
      </c>
      <c r="P28" s="194"/>
      <c r="Q28" s="194"/>
      <c r="R28" s="195"/>
    </row>
    <row r="29" spans="1:18" ht="17.25" thickBot="1">
      <c r="A29" s="40" t="s">
        <v>221</v>
      </c>
      <c r="B29" s="11" t="s">
        <v>222</v>
      </c>
      <c r="C29" s="95">
        <v>18.2</v>
      </c>
      <c r="D29" s="92">
        <v>1.11111111E-2</v>
      </c>
      <c r="E29" s="93">
        <v>439609394.43809867</v>
      </c>
      <c r="F29" s="35"/>
      <c r="G29" s="258" t="s">
        <v>55</v>
      </c>
      <c r="H29" s="270">
        <f ca="1">NOW()</f>
        <v>44326.912283217593</v>
      </c>
      <c r="I29" s="271"/>
      <c r="J29" s="272"/>
      <c r="K29" s="261" t="s">
        <v>55</v>
      </c>
      <c r="L29" s="270">
        <f ca="1">NOW()</f>
        <v>44326.912283217593</v>
      </c>
      <c r="M29" s="271"/>
      <c r="N29" s="272"/>
      <c r="O29" s="261" t="s">
        <v>55</v>
      </c>
      <c r="P29" s="270">
        <f ca="1">NOW()</f>
        <v>44326.912283217593</v>
      </c>
      <c r="Q29" s="271"/>
      <c r="R29" s="272"/>
    </row>
    <row r="30" spans="1:18" ht="17.25" thickBot="1">
      <c r="A30" s="40" t="s">
        <v>48</v>
      </c>
      <c r="B30" s="11" t="s">
        <v>49</v>
      </c>
      <c r="C30" s="95">
        <v>72158000</v>
      </c>
      <c r="D30" s="92">
        <v>9.1322285000000007E-3</v>
      </c>
      <c r="E30" s="93">
        <v>6540.6477819199999</v>
      </c>
      <c r="F30" s="35"/>
      <c r="G30" s="255"/>
      <c r="H30" s="51" t="s">
        <v>58</v>
      </c>
      <c r="I30" s="73" t="s">
        <v>59</v>
      </c>
      <c r="J30" s="69" t="s">
        <v>294</v>
      </c>
      <c r="K30" s="210"/>
      <c r="L30" s="51" t="s">
        <v>58</v>
      </c>
      <c r="M30" s="73" t="s">
        <v>59</v>
      </c>
      <c r="N30" s="91" t="s">
        <v>294</v>
      </c>
      <c r="O30" s="210"/>
      <c r="P30" s="51" t="s">
        <v>58</v>
      </c>
      <c r="Q30" s="73" t="s">
        <v>59</v>
      </c>
      <c r="R30" s="91" t="s">
        <v>294</v>
      </c>
    </row>
    <row r="31" spans="1:18">
      <c r="A31" s="40" t="s">
        <v>177</v>
      </c>
      <c r="B31" s="11" t="s">
        <v>178</v>
      </c>
      <c r="C31" s="95">
        <v>57140</v>
      </c>
      <c r="D31" s="92">
        <v>4.9243756999999997E-3</v>
      </c>
      <c r="E31" s="93">
        <v>242643.61662953999</v>
      </c>
      <c r="F31" s="35"/>
      <c r="G31" s="52" t="s">
        <v>51</v>
      </c>
      <c r="H31" s="38">
        <f t="shared" ref="H31:H50" si="6">_xlfn.IFNA(VLOOKUP(G31, $B$2:$D$200, 2, FALSE), "")</f>
        <v>897</v>
      </c>
      <c r="I31" s="76">
        <f t="shared" ref="I31:I50" si="7">_xlfn.IFNA(VLOOKUP(G31, $B$2:$D$200, 3, FALSE), "")</f>
        <v>0.16493506490000001</v>
      </c>
      <c r="J31" s="85">
        <f>_xlfn.IFNA(VLOOKUP(G31, $B$2:$E$200, 4, FALSE), "")</f>
        <v>860420131.83293164</v>
      </c>
      <c r="K31" s="81" t="s">
        <v>228</v>
      </c>
      <c r="L31" s="38">
        <f t="shared" ref="L31:L50" si="8">_xlfn.IFNA(VLOOKUP(K31, $B$2:$D$200, 2, FALSE), "")</f>
        <v>18.399999999999999</v>
      </c>
      <c r="M31" s="76">
        <f t="shared" ref="M31:M50" si="9">_xlfn.IFNA(VLOOKUP(K31, $B$2:$D$200, 3, FALSE), "")</f>
        <v>4.5454545499999999E-2</v>
      </c>
      <c r="N31" s="85">
        <f>_xlfn.IFNA(VLOOKUP(K31, $B$2:$E$200, 4, FALSE), "")</f>
        <v>2868073234.6391463</v>
      </c>
      <c r="O31" s="81" t="s">
        <v>51</v>
      </c>
      <c r="P31" s="38">
        <f t="shared" ref="P31:P50" si="10">_xlfn.IFNA(VLOOKUP(O31, $B$2:$D$200, 2, FALSE), "")</f>
        <v>897</v>
      </c>
      <c r="Q31" s="76">
        <f t="shared" ref="Q31:Q50" si="11">_xlfn.IFNA(VLOOKUP(O31, $B$2:$D$200, 3, FALSE), "")</f>
        <v>0.16493506490000001</v>
      </c>
      <c r="R31" s="85">
        <f>_xlfn.IFNA(VLOOKUP(O31, $B$2:$E$200, 4, FALSE), "")</f>
        <v>860420131.83293164</v>
      </c>
    </row>
    <row r="32" spans="1:18">
      <c r="A32" s="40" t="s">
        <v>159</v>
      </c>
      <c r="B32" s="11" t="s">
        <v>160</v>
      </c>
      <c r="C32" s="95">
        <v>3005</v>
      </c>
      <c r="D32" s="92">
        <v>3.3388981999999999E-3</v>
      </c>
      <c r="E32" s="93">
        <v>3417517.49363465</v>
      </c>
      <c r="F32" s="35"/>
      <c r="G32" s="47" t="s">
        <v>164</v>
      </c>
      <c r="H32" s="39">
        <f t="shared" si="6"/>
        <v>44290</v>
      </c>
      <c r="I32" s="77">
        <f t="shared" si="7"/>
        <v>0.14267285860000001</v>
      </c>
      <c r="J32" s="86">
        <f t="shared" ref="J32:J50" si="12">_xlfn.IFNA(VLOOKUP(G32, $B$2:$E$200, 4, FALSE), "")</f>
        <v>6849254.1821326502</v>
      </c>
      <c r="K32" s="82" t="s">
        <v>172</v>
      </c>
      <c r="L32" s="39">
        <f t="shared" si="8"/>
        <v>24</v>
      </c>
      <c r="M32" s="77">
        <f t="shared" si="9"/>
        <v>1.26582278E-2</v>
      </c>
      <c r="N32" s="86">
        <f t="shared" ref="N32:N50" si="13">_xlfn.IFNA(VLOOKUP(K32, $B$2:$E$200, 4, FALSE), "")</f>
        <v>335461477.93693566</v>
      </c>
      <c r="O32" s="82" t="s">
        <v>168</v>
      </c>
      <c r="P32" s="39">
        <f t="shared" si="10"/>
        <v>261</v>
      </c>
      <c r="Q32" s="77">
        <f t="shared" si="11"/>
        <v>8.7499999999999994E-2</v>
      </c>
      <c r="R32" s="86">
        <f t="shared" ref="R32:R50" si="14">_xlfn.IFNA(VLOOKUP(O32, $B$2:$E$200, 4, FALSE), "")</f>
        <v>758231992.44971585</v>
      </c>
    </row>
    <row r="33" spans="1:18">
      <c r="A33" s="40" t="s">
        <v>68</v>
      </c>
      <c r="B33" s="11" t="s">
        <v>69</v>
      </c>
      <c r="C33" s="95">
        <v>12670</v>
      </c>
      <c r="D33" s="92">
        <v>3.1670625000000002E-3</v>
      </c>
      <c r="E33" s="93">
        <v>1060343.4705131601</v>
      </c>
      <c r="F33" s="35"/>
      <c r="G33" s="47" t="s">
        <v>242</v>
      </c>
      <c r="H33" s="39">
        <f t="shared" si="6"/>
        <v>11200</v>
      </c>
      <c r="I33" s="77">
        <f t="shared" si="7"/>
        <v>0.1045364892</v>
      </c>
      <c r="J33" s="86">
        <f t="shared" si="12"/>
        <v>30915313.42977852</v>
      </c>
      <c r="K33" s="82" t="s">
        <v>222</v>
      </c>
      <c r="L33" s="39">
        <f t="shared" si="8"/>
        <v>18.2</v>
      </c>
      <c r="M33" s="77">
        <f t="shared" si="9"/>
        <v>1.11111111E-2</v>
      </c>
      <c r="N33" s="86">
        <f t="shared" si="13"/>
        <v>439609394.43809867</v>
      </c>
      <c r="O33" s="82" t="s">
        <v>170</v>
      </c>
      <c r="P33" s="39">
        <f t="shared" si="10"/>
        <v>588</v>
      </c>
      <c r="Q33" s="77">
        <f t="shared" si="11"/>
        <v>6.3291139199999999E-2</v>
      </c>
      <c r="R33" s="86">
        <f t="shared" si="14"/>
        <v>33487978.928860281</v>
      </c>
    </row>
    <row r="34" spans="1:18">
      <c r="A34" s="40" t="s">
        <v>83</v>
      </c>
      <c r="B34" s="11" t="s">
        <v>84</v>
      </c>
      <c r="C34" s="95">
        <v>2175</v>
      </c>
      <c r="D34" s="92">
        <v>2.3041475E-3</v>
      </c>
      <c r="E34" s="93">
        <v>90396118.928242519</v>
      </c>
      <c r="F34" s="35"/>
      <c r="G34" s="47" t="s">
        <v>168</v>
      </c>
      <c r="H34" s="39">
        <f t="shared" si="6"/>
        <v>261</v>
      </c>
      <c r="I34" s="77">
        <f t="shared" si="7"/>
        <v>8.7499999999999994E-2</v>
      </c>
      <c r="J34" s="86">
        <f t="shared" si="12"/>
        <v>758231992.44971585</v>
      </c>
      <c r="K34" s="82" t="s">
        <v>268</v>
      </c>
      <c r="L34" s="39">
        <f t="shared" si="8"/>
        <v>89</v>
      </c>
      <c r="M34" s="77">
        <f t="shared" si="9"/>
        <v>-8.9086860000000007E-3</v>
      </c>
      <c r="N34" s="86">
        <f t="shared" si="13"/>
        <v>52101861.949850321</v>
      </c>
      <c r="O34" s="82" t="s">
        <v>216</v>
      </c>
      <c r="P34" s="39">
        <f t="shared" si="10"/>
        <v>532</v>
      </c>
      <c r="Q34" s="77">
        <f t="shared" si="11"/>
        <v>5.7654075499999999E-2</v>
      </c>
      <c r="R34" s="86">
        <f t="shared" si="14"/>
        <v>33474020.686380848</v>
      </c>
    </row>
    <row r="35" spans="1:18">
      <c r="A35" s="40" t="s">
        <v>137</v>
      </c>
      <c r="B35" s="11" t="s">
        <v>138</v>
      </c>
      <c r="C35" s="95">
        <v>49720</v>
      </c>
      <c r="D35" s="92">
        <v>2.0153164000000002E-3</v>
      </c>
      <c r="E35" s="93">
        <v>1131074.02775265</v>
      </c>
      <c r="F35" s="35"/>
      <c r="G35" s="47" t="s">
        <v>118</v>
      </c>
      <c r="H35" s="44">
        <f t="shared" si="6"/>
        <v>8215</v>
      </c>
      <c r="I35" s="78">
        <f t="shared" si="7"/>
        <v>8.7359364699999997E-2</v>
      </c>
      <c r="J35" s="90">
        <f t="shared" si="12"/>
        <v>4071499.41276694</v>
      </c>
      <c r="K35" s="83" t="s">
        <v>72</v>
      </c>
      <c r="L35" s="44">
        <f t="shared" si="8"/>
        <v>37.200000000000003</v>
      </c>
      <c r="M35" s="78">
        <f t="shared" si="9"/>
        <v>-1.06382979E-2</v>
      </c>
      <c r="N35" s="90">
        <f t="shared" si="13"/>
        <v>98175062.134223193</v>
      </c>
      <c r="O35" s="83" t="s">
        <v>260</v>
      </c>
      <c r="P35" s="44">
        <f t="shared" si="10"/>
        <v>119</v>
      </c>
      <c r="Q35" s="78">
        <f t="shared" si="11"/>
        <v>2.5862069000000001E-2</v>
      </c>
      <c r="R35" s="90">
        <f t="shared" si="14"/>
        <v>105218095.99052505</v>
      </c>
    </row>
    <row r="36" spans="1:18">
      <c r="A36" s="40" t="s">
        <v>89</v>
      </c>
      <c r="B36" s="11" t="s">
        <v>90</v>
      </c>
      <c r="C36" s="95">
        <v>441150</v>
      </c>
      <c r="D36" s="92">
        <v>1.4755959E-3</v>
      </c>
      <c r="E36" s="93">
        <v>84058.342121669994</v>
      </c>
      <c r="F36" s="35"/>
      <c r="G36" s="49" t="s">
        <v>96</v>
      </c>
      <c r="H36" s="39">
        <f t="shared" si="6"/>
        <v>5192000</v>
      </c>
      <c r="I36" s="77">
        <f t="shared" si="7"/>
        <v>7.8969243600000003E-2</v>
      </c>
      <c r="J36" s="99">
        <f t="shared" si="12"/>
        <v>174212.61377137</v>
      </c>
      <c r="K36" s="82" t="s">
        <v>126</v>
      </c>
      <c r="L36" s="39">
        <f t="shared" si="8"/>
        <v>58.2</v>
      </c>
      <c r="M36" s="77">
        <f t="shared" si="9"/>
        <v>-1.3559322E-2</v>
      </c>
      <c r="N36" s="99">
        <f t="shared" si="13"/>
        <v>73755466.501238257</v>
      </c>
      <c r="O36" s="82" t="s">
        <v>136</v>
      </c>
      <c r="P36" s="39">
        <f t="shared" si="10"/>
        <v>293</v>
      </c>
      <c r="Q36" s="77">
        <f t="shared" si="11"/>
        <v>1.38408304E-2</v>
      </c>
      <c r="R36" s="99">
        <f t="shared" si="14"/>
        <v>55428930.104287364</v>
      </c>
    </row>
    <row r="37" spans="1:18">
      <c r="A37" s="40" t="s">
        <v>119</v>
      </c>
      <c r="B37" s="11" t="s">
        <v>120</v>
      </c>
      <c r="C37" s="95">
        <v>219</v>
      </c>
      <c r="D37" s="92">
        <v>0</v>
      </c>
      <c r="E37" s="93">
        <v>89216697.976487085</v>
      </c>
      <c r="F37" s="35"/>
      <c r="G37" s="47" t="s">
        <v>170</v>
      </c>
      <c r="H37" s="39">
        <f t="shared" si="6"/>
        <v>588</v>
      </c>
      <c r="I37" s="77">
        <f t="shared" si="7"/>
        <v>6.3291139199999999E-2</v>
      </c>
      <c r="J37" s="86">
        <f t="shared" si="12"/>
        <v>33487978.928860281</v>
      </c>
      <c r="K37" s="82" t="s">
        <v>198</v>
      </c>
      <c r="L37" s="39">
        <f t="shared" si="8"/>
        <v>26.6</v>
      </c>
      <c r="M37" s="77">
        <f t="shared" si="9"/>
        <v>-1.4814814799999999E-2</v>
      </c>
      <c r="N37" s="86">
        <f t="shared" si="13"/>
        <v>401579310.33830988</v>
      </c>
      <c r="O37" s="82" t="s">
        <v>270</v>
      </c>
      <c r="P37" s="39">
        <f t="shared" si="10"/>
        <v>608</v>
      </c>
      <c r="Q37" s="77">
        <f t="shared" si="11"/>
        <v>1.16472546E-2</v>
      </c>
      <c r="R37" s="86">
        <f t="shared" si="14"/>
        <v>12223343.54381861</v>
      </c>
    </row>
    <row r="38" spans="1:18">
      <c r="A38" s="40" t="s">
        <v>209</v>
      </c>
      <c r="B38" s="11" t="s">
        <v>210</v>
      </c>
      <c r="C38" s="95">
        <v>180</v>
      </c>
      <c r="D38" s="92">
        <v>0</v>
      </c>
      <c r="E38" s="93">
        <v>29395515.465784311</v>
      </c>
      <c r="F38" s="35"/>
      <c r="G38" s="47" t="s">
        <v>140</v>
      </c>
      <c r="H38" s="39">
        <f t="shared" si="6"/>
        <v>4370</v>
      </c>
      <c r="I38" s="77">
        <f t="shared" si="7"/>
        <v>5.8111380099999999E-2</v>
      </c>
      <c r="J38" s="86">
        <f t="shared" si="12"/>
        <v>2243424.93580592</v>
      </c>
      <c r="K38" s="82" t="s">
        <v>218</v>
      </c>
      <c r="L38" s="39">
        <f t="shared" si="8"/>
        <v>26.6</v>
      </c>
      <c r="M38" s="77">
        <f t="shared" si="9"/>
        <v>-1.4814814799999999E-2</v>
      </c>
      <c r="N38" s="86">
        <f t="shared" si="13"/>
        <v>161469810.78106838</v>
      </c>
      <c r="O38" s="82" t="s">
        <v>156</v>
      </c>
      <c r="P38" s="39">
        <f t="shared" si="10"/>
        <v>177</v>
      </c>
      <c r="Q38" s="77">
        <f t="shared" si="11"/>
        <v>1.14285714E-2</v>
      </c>
      <c r="R38" s="86">
        <f t="shared" si="14"/>
        <v>556978391.79204321</v>
      </c>
    </row>
    <row r="39" spans="1:18">
      <c r="A39" s="40" t="s">
        <v>56</v>
      </c>
      <c r="B39" s="11" t="s">
        <v>57</v>
      </c>
      <c r="C39" s="95">
        <v>461</v>
      </c>
      <c r="D39" s="92">
        <v>-2.1645022000000001E-3</v>
      </c>
      <c r="E39" s="93">
        <v>91481260.896824509</v>
      </c>
      <c r="F39" s="35"/>
      <c r="G39" s="47" t="s">
        <v>216</v>
      </c>
      <c r="H39" s="39">
        <f t="shared" si="6"/>
        <v>532</v>
      </c>
      <c r="I39" s="77">
        <f t="shared" si="7"/>
        <v>5.7654075499999999E-2</v>
      </c>
      <c r="J39" s="86">
        <f t="shared" si="12"/>
        <v>33474020.686380848</v>
      </c>
      <c r="K39" s="82" t="s">
        <v>196</v>
      </c>
      <c r="L39" s="39">
        <f t="shared" si="8"/>
        <v>19.2</v>
      </c>
      <c r="M39" s="77">
        <f t="shared" si="9"/>
        <v>-1.5384615399999999E-2</v>
      </c>
      <c r="N39" s="86">
        <f t="shared" si="13"/>
        <v>349574774.26787001</v>
      </c>
      <c r="O39" s="82" t="s">
        <v>120</v>
      </c>
      <c r="P39" s="39">
        <f t="shared" si="10"/>
        <v>219</v>
      </c>
      <c r="Q39" s="77">
        <f t="shared" si="11"/>
        <v>0</v>
      </c>
      <c r="R39" s="86">
        <f t="shared" si="14"/>
        <v>89216697.976487085</v>
      </c>
    </row>
    <row r="40" spans="1:18" ht="17.25" thickBot="1">
      <c r="A40" s="40" t="s">
        <v>183</v>
      </c>
      <c r="B40" s="11" t="s">
        <v>184</v>
      </c>
      <c r="C40" s="95">
        <v>2820</v>
      </c>
      <c r="D40" s="92">
        <v>-3.5335688999999998E-3</v>
      </c>
      <c r="E40" s="93">
        <v>1832608.9501469999</v>
      </c>
      <c r="F40" s="35"/>
      <c r="G40" s="53" t="s">
        <v>110</v>
      </c>
      <c r="H40" s="37">
        <f t="shared" si="6"/>
        <v>3420</v>
      </c>
      <c r="I40" s="79">
        <f t="shared" si="7"/>
        <v>5.5555555600000001E-2</v>
      </c>
      <c r="J40" s="87">
        <f t="shared" si="12"/>
        <v>13698326.31032549</v>
      </c>
      <c r="K40" s="84" t="s">
        <v>65</v>
      </c>
      <c r="L40" s="37">
        <f t="shared" si="8"/>
        <v>76.7</v>
      </c>
      <c r="M40" s="79">
        <f t="shared" si="9"/>
        <v>-1.54043646E-2</v>
      </c>
      <c r="N40" s="87">
        <f t="shared" si="13"/>
        <v>79450561.398230359</v>
      </c>
      <c r="O40" s="84" t="s">
        <v>210</v>
      </c>
      <c r="P40" s="37">
        <f t="shared" si="10"/>
        <v>180</v>
      </c>
      <c r="Q40" s="79">
        <f t="shared" si="11"/>
        <v>0</v>
      </c>
      <c r="R40" s="87">
        <f t="shared" si="14"/>
        <v>29395515.465784311</v>
      </c>
    </row>
    <row r="41" spans="1:18">
      <c r="A41" s="40" t="s">
        <v>143</v>
      </c>
      <c r="B41" s="11" t="s">
        <v>144</v>
      </c>
      <c r="C41" s="95">
        <v>14220</v>
      </c>
      <c r="D41" s="92">
        <v>-4.2016807E-3</v>
      </c>
      <c r="E41" s="93">
        <v>3039377.3818189502</v>
      </c>
      <c r="F41" s="35"/>
      <c r="G41" s="52" t="s">
        <v>228</v>
      </c>
      <c r="H41" s="38">
        <f t="shared" si="6"/>
        <v>18.399999999999999</v>
      </c>
      <c r="I41" s="76">
        <f t="shared" si="7"/>
        <v>4.5454545499999999E-2</v>
      </c>
      <c r="J41" s="85">
        <f t="shared" si="12"/>
        <v>2868073234.6391463</v>
      </c>
      <c r="K41" s="81" t="s">
        <v>254</v>
      </c>
      <c r="L41" s="38">
        <f t="shared" si="8"/>
        <v>80.2</v>
      </c>
      <c r="M41" s="76">
        <f t="shared" si="9"/>
        <v>-1.7156862700000001E-2</v>
      </c>
      <c r="N41" s="85">
        <f t="shared" si="13"/>
        <v>21574273.03197854</v>
      </c>
      <c r="O41" s="81" t="s">
        <v>57</v>
      </c>
      <c r="P41" s="38">
        <f t="shared" si="10"/>
        <v>461</v>
      </c>
      <c r="Q41" s="76">
        <f t="shared" si="11"/>
        <v>-2.1645022000000001E-3</v>
      </c>
      <c r="R41" s="85">
        <f t="shared" si="14"/>
        <v>91481260.896824509</v>
      </c>
    </row>
    <row r="42" spans="1:18">
      <c r="A42" s="40" t="s">
        <v>87</v>
      </c>
      <c r="B42" s="11" t="s">
        <v>88</v>
      </c>
      <c r="C42" s="95">
        <v>592</v>
      </c>
      <c r="D42" s="92">
        <v>-5.0420168000000001E-3</v>
      </c>
      <c r="E42" s="93">
        <v>66833069.341704391</v>
      </c>
      <c r="F42" s="35"/>
      <c r="G42" s="47" t="s">
        <v>276</v>
      </c>
      <c r="H42" s="39">
        <f t="shared" si="6"/>
        <v>5385</v>
      </c>
      <c r="I42" s="77">
        <f t="shared" si="7"/>
        <v>4.1586073500000001E-2</v>
      </c>
      <c r="J42" s="86">
        <f t="shared" si="12"/>
        <v>6873659.4966936102</v>
      </c>
      <c r="K42" s="82" t="s">
        <v>152</v>
      </c>
      <c r="L42" s="39">
        <f t="shared" si="8"/>
        <v>47.4</v>
      </c>
      <c r="M42" s="77">
        <f t="shared" si="9"/>
        <v>-1.8633540399999999E-2</v>
      </c>
      <c r="N42" s="86">
        <f t="shared" si="13"/>
        <v>380617287.22368187</v>
      </c>
      <c r="O42" s="82" t="s">
        <v>88</v>
      </c>
      <c r="P42" s="39">
        <f t="shared" si="10"/>
        <v>592</v>
      </c>
      <c r="Q42" s="77">
        <f t="shared" si="11"/>
        <v>-5.0420168000000001E-3</v>
      </c>
      <c r="R42" s="86">
        <f t="shared" si="14"/>
        <v>66833069.341704391</v>
      </c>
    </row>
    <row r="43" spans="1:18">
      <c r="A43" s="40" t="s">
        <v>147</v>
      </c>
      <c r="B43" s="11" t="s">
        <v>148</v>
      </c>
      <c r="C43" s="95">
        <v>194</v>
      </c>
      <c r="D43" s="92">
        <v>-5.1282050999999999E-3</v>
      </c>
      <c r="E43" s="93">
        <v>60107359.287693202</v>
      </c>
      <c r="F43" s="35"/>
      <c r="G43" s="47" t="s">
        <v>80</v>
      </c>
      <c r="H43" s="39">
        <f t="shared" si="6"/>
        <v>1805</v>
      </c>
      <c r="I43" s="77">
        <f t="shared" si="7"/>
        <v>4.0345821300000001E-2</v>
      </c>
      <c r="J43" s="86">
        <f t="shared" si="12"/>
        <v>15957342.330561001</v>
      </c>
      <c r="K43" s="82" t="s">
        <v>186</v>
      </c>
      <c r="L43" s="39">
        <f t="shared" si="8"/>
        <v>24</v>
      </c>
      <c r="M43" s="77">
        <f t="shared" si="9"/>
        <v>-2.0408163300000001E-2</v>
      </c>
      <c r="N43" s="86">
        <f t="shared" si="13"/>
        <v>149052548.22775614</v>
      </c>
      <c r="O43" s="82" t="s">
        <v>148</v>
      </c>
      <c r="P43" s="39">
        <f t="shared" si="10"/>
        <v>194</v>
      </c>
      <c r="Q43" s="77">
        <f t="shared" si="11"/>
        <v>-5.1282050999999999E-3</v>
      </c>
      <c r="R43" s="86">
        <f t="shared" si="14"/>
        <v>60107359.287693202</v>
      </c>
    </row>
    <row r="44" spans="1:18">
      <c r="A44" s="40" t="s">
        <v>145</v>
      </c>
      <c r="B44" s="11" t="s">
        <v>146</v>
      </c>
      <c r="C44" s="95">
        <v>18560</v>
      </c>
      <c r="D44" s="92">
        <v>-5.3590568000000003E-3</v>
      </c>
      <c r="E44" s="93">
        <v>666336.53984322003</v>
      </c>
      <c r="F44" s="35"/>
      <c r="G44" s="47" t="s">
        <v>180</v>
      </c>
      <c r="H44" s="39">
        <f t="shared" si="6"/>
        <v>5055</v>
      </c>
      <c r="I44" s="77">
        <f t="shared" si="7"/>
        <v>3.6923076899999997E-2</v>
      </c>
      <c r="J44" s="86">
        <f t="shared" si="12"/>
        <v>19642240.070041891</v>
      </c>
      <c r="K44" s="82" t="s">
        <v>236</v>
      </c>
      <c r="L44" s="39">
        <f t="shared" si="8"/>
        <v>64.3</v>
      </c>
      <c r="M44" s="77">
        <f t="shared" si="9"/>
        <v>-2.27963526E-2</v>
      </c>
      <c r="N44" s="86">
        <f t="shared" si="13"/>
        <v>46869866.110371612</v>
      </c>
      <c r="O44" s="82" t="s">
        <v>230</v>
      </c>
      <c r="P44" s="39">
        <f t="shared" si="10"/>
        <v>164</v>
      </c>
      <c r="Q44" s="77">
        <f t="shared" si="11"/>
        <v>-6.0606061000000001E-3</v>
      </c>
      <c r="R44" s="86">
        <f t="shared" si="14"/>
        <v>20677748.870305508</v>
      </c>
    </row>
    <row r="45" spans="1:18">
      <c r="A45" s="40" t="s">
        <v>229</v>
      </c>
      <c r="B45" s="11" t="s">
        <v>230</v>
      </c>
      <c r="C45" s="95">
        <v>164</v>
      </c>
      <c r="D45" s="92">
        <v>-6.0606061000000001E-3</v>
      </c>
      <c r="E45" s="93">
        <v>20677748.870305508</v>
      </c>
      <c r="F45" s="35"/>
      <c r="G45" s="47" t="s">
        <v>78</v>
      </c>
      <c r="H45" s="44">
        <f t="shared" si="6"/>
        <v>1830000</v>
      </c>
      <c r="I45" s="78">
        <f t="shared" si="7"/>
        <v>3.3314511599999999E-2</v>
      </c>
      <c r="J45" s="90">
        <f t="shared" si="12"/>
        <v>290085.36687058001</v>
      </c>
      <c r="K45" s="83" t="s">
        <v>214</v>
      </c>
      <c r="L45" s="44">
        <f t="shared" si="8"/>
        <v>20.5</v>
      </c>
      <c r="M45" s="78">
        <f t="shared" si="9"/>
        <v>-2.3809523799999999E-2</v>
      </c>
      <c r="N45" s="90">
        <f t="shared" si="13"/>
        <v>214523791.63941556</v>
      </c>
      <c r="O45" s="83" t="s">
        <v>122</v>
      </c>
      <c r="P45" s="44">
        <f t="shared" si="10"/>
        <v>113</v>
      </c>
      <c r="Q45" s="78">
        <f t="shared" si="11"/>
        <v>-8.7719297999999998E-3</v>
      </c>
      <c r="R45" s="90">
        <f t="shared" si="14"/>
        <v>91733237.013234422</v>
      </c>
    </row>
    <row r="46" spans="1:18">
      <c r="A46" s="40" t="s">
        <v>121</v>
      </c>
      <c r="B46" s="11" t="s">
        <v>122</v>
      </c>
      <c r="C46" s="95">
        <v>113</v>
      </c>
      <c r="D46" s="92">
        <v>-8.7719297999999998E-3</v>
      </c>
      <c r="E46" s="93">
        <v>91733237.013234422</v>
      </c>
      <c r="F46" s="35"/>
      <c r="G46" s="49" t="s">
        <v>130</v>
      </c>
      <c r="H46" s="39">
        <f t="shared" si="6"/>
        <v>493850</v>
      </c>
      <c r="I46" s="77">
        <f t="shared" si="7"/>
        <v>3.2403052199999997E-2</v>
      </c>
      <c r="J46" s="99">
        <f t="shared" si="12"/>
        <v>834565.70857143996</v>
      </c>
      <c r="K46" s="82" t="s">
        <v>100</v>
      </c>
      <c r="L46" s="39">
        <f t="shared" si="8"/>
        <v>8.76</v>
      </c>
      <c r="M46" s="77">
        <f t="shared" si="9"/>
        <v>-2.88248337E-2</v>
      </c>
      <c r="N46" s="99">
        <f t="shared" si="13"/>
        <v>19875877314.887863</v>
      </c>
      <c r="O46" s="82" t="s">
        <v>264</v>
      </c>
      <c r="P46" s="39">
        <f t="shared" si="10"/>
        <v>174</v>
      </c>
      <c r="Q46" s="77">
        <f t="shared" si="11"/>
        <v>-1.13636364E-2</v>
      </c>
      <c r="R46" s="99">
        <f t="shared" si="14"/>
        <v>25769644.676789101</v>
      </c>
    </row>
    <row r="47" spans="1:18">
      <c r="A47" s="40" t="s">
        <v>267</v>
      </c>
      <c r="B47" s="11" t="s">
        <v>268</v>
      </c>
      <c r="C47" s="95">
        <v>89</v>
      </c>
      <c r="D47" s="92">
        <v>-8.9086860000000007E-3</v>
      </c>
      <c r="E47" s="93">
        <v>52101861.949850321</v>
      </c>
      <c r="F47" s="35"/>
      <c r="G47" s="47" t="s">
        <v>92</v>
      </c>
      <c r="H47" s="39">
        <f t="shared" si="6"/>
        <v>1945</v>
      </c>
      <c r="I47" s="77">
        <f t="shared" si="7"/>
        <v>3.1830238699999999E-2</v>
      </c>
      <c r="J47" s="86">
        <f t="shared" si="12"/>
        <v>456989160.27146602</v>
      </c>
      <c r="K47" s="82" t="s">
        <v>220</v>
      </c>
      <c r="L47" s="39">
        <f t="shared" si="8"/>
        <v>19.7</v>
      </c>
      <c r="M47" s="77">
        <f t="shared" si="9"/>
        <v>-2.9556650199999999E-2</v>
      </c>
      <c r="N47" s="86">
        <f t="shared" si="13"/>
        <v>227891038.69594601</v>
      </c>
      <c r="O47" s="82" t="s">
        <v>278</v>
      </c>
      <c r="P47" s="39">
        <f t="shared" si="10"/>
        <v>164</v>
      </c>
      <c r="Q47" s="77">
        <f t="shared" si="11"/>
        <v>-1.20481928E-2</v>
      </c>
      <c r="R47" s="86">
        <f t="shared" si="14"/>
        <v>35724734.648433939</v>
      </c>
    </row>
    <row r="48" spans="1:18">
      <c r="A48" s="40" t="s">
        <v>157</v>
      </c>
      <c r="B48" s="11" t="s">
        <v>158</v>
      </c>
      <c r="C48" s="95">
        <v>9755</v>
      </c>
      <c r="D48" s="92">
        <v>-9.1416963E-3</v>
      </c>
      <c r="E48" s="93">
        <v>640364.11493182997</v>
      </c>
      <c r="F48" s="35"/>
      <c r="G48" s="47" t="s">
        <v>102</v>
      </c>
      <c r="H48" s="39">
        <f t="shared" si="6"/>
        <v>149200</v>
      </c>
      <c r="I48" s="77">
        <f t="shared" si="7"/>
        <v>2.8256374899999999E-2</v>
      </c>
      <c r="J48" s="86">
        <f t="shared" si="12"/>
        <v>9516881.8525080997</v>
      </c>
      <c r="K48" s="82" t="s">
        <v>266</v>
      </c>
      <c r="L48" s="39">
        <f t="shared" si="8"/>
        <v>91.3</v>
      </c>
      <c r="M48" s="77">
        <f t="shared" si="9"/>
        <v>-3.2838983099999997E-2</v>
      </c>
      <c r="N48" s="86">
        <f t="shared" si="13"/>
        <v>33737978.762301639</v>
      </c>
      <c r="O48" s="82" t="s">
        <v>134</v>
      </c>
      <c r="P48" s="39">
        <f t="shared" si="10"/>
        <v>155</v>
      </c>
      <c r="Q48" s="77">
        <f t="shared" si="11"/>
        <v>-1.2738853499999999E-2</v>
      </c>
      <c r="R48" s="86">
        <f t="shared" si="14"/>
        <v>48028566.762840368</v>
      </c>
    </row>
    <row r="49" spans="1:18">
      <c r="A49" s="40" t="s">
        <v>71</v>
      </c>
      <c r="B49" s="11" t="s">
        <v>72</v>
      </c>
      <c r="C49" s="95">
        <v>37.200000000000003</v>
      </c>
      <c r="D49" s="92">
        <v>-1.06382979E-2</v>
      </c>
      <c r="E49" s="93">
        <v>98175062.134223193</v>
      </c>
      <c r="F49" s="35"/>
      <c r="G49" s="47" t="s">
        <v>272</v>
      </c>
      <c r="H49" s="39">
        <f t="shared" si="6"/>
        <v>2885</v>
      </c>
      <c r="I49" s="77">
        <f t="shared" si="7"/>
        <v>2.6690391500000001E-2</v>
      </c>
      <c r="J49" s="86">
        <f t="shared" si="12"/>
        <v>9527856.4030775409</v>
      </c>
      <c r="K49" s="82" t="s">
        <v>154</v>
      </c>
      <c r="L49" s="39">
        <f t="shared" si="8"/>
        <v>20.2</v>
      </c>
      <c r="M49" s="77">
        <f t="shared" si="9"/>
        <v>-3.3492822999999998E-2</v>
      </c>
      <c r="N49" s="86">
        <f t="shared" si="13"/>
        <v>399414540.94325894</v>
      </c>
      <c r="O49" s="82" t="s">
        <v>212</v>
      </c>
      <c r="P49" s="39">
        <f t="shared" si="10"/>
        <v>144</v>
      </c>
      <c r="Q49" s="77">
        <f t="shared" si="11"/>
        <v>-1.3698630099999999E-2</v>
      </c>
      <c r="R49" s="86">
        <f t="shared" si="14"/>
        <v>496852850.76217914</v>
      </c>
    </row>
    <row r="50" spans="1:18" ht="17.25" thickBot="1">
      <c r="A50" s="40" t="s">
        <v>263</v>
      </c>
      <c r="B50" s="11" t="s">
        <v>264</v>
      </c>
      <c r="C50" s="95">
        <v>174</v>
      </c>
      <c r="D50" s="92">
        <v>-1.13636364E-2</v>
      </c>
      <c r="E50" s="93">
        <v>25769644.676789101</v>
      </c>
      <c r="F50" s="35"/>
      <c r="G50" s="53" t="s">
        <v>260</v>
      </c>
      <c r="H50" s="37">
        <f t="shared" si="6"/>
        <v>119</v>
      </c>
      <c r="I50" s="79">
        <f t="shared" si="7"/>
        <v>2.5862069000000001E-2</v>
      </c>
      <c r="J50" s="87">
        <f t="shared" si="12"/>
        <v>105218095.99052505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54</v>
      </c>
      <c r="P50" s="37">
        <f t="shared" si="10"/>
        <v>354</v>
      </c>
      <c r="Q50" s="79">
        <f t="shared" si="11"/>
        <v>-1.39275766E-2</v>
      </c>
      <c r="R50" s="87">
        <f t="shared" si="14"/>
        <v>13045630.796741661</v>
      </c>
    </row>
    <row r="51" spans="1:18">
      <c r="A51" s="40" t="s">
        <v>85</v>
      </c>
      <c r="B51" s="11" t="s">
        <v>86</v>
      </c>
      <c r="C51" s="95">
        <v>12740</v>
      </c>
      <c r="D51" s="92">
        <v>-1.16369279E-2</v>
      </c>
      <c r="E51" s="93">
        <v>24136269.90660267</v>
      </c>
      <c r="F51" s="35"/>
    </row>
    <row r="52" spans="1:18" ht="17.25" thickBot="1">
      <c r="A52" s="40" t="s">
        <v>277</v>
      </c>
      <c r="B52" s="11" t="s">
        <v>278</v>
      </c>
      <c r="C52" s="95">
        <v>164</v>
      </c>
      <c r="D52" s="92">
        <v>-1.20481928E-2</v>
      </c>
      <c r="E52" s="93">
        <v>35724734.648433939</v>
      </c>
      <c r="F52" s="35"/>
    </row>
    <row r="53" spans="1:18" ht="17.25" thickBot="1">
      <c r="A53" s="40" t="s">
        <v>62</v>
      </c>
      <c r="B53" s="11" t="s">
        <v>63</v>
      </c>
      <c r="C53" s="95">
        <v>144650</v>
      </c>
      <c r="D53" s="92">
        <v>-1.26279863E-2</v>
      </c>
      <c r="E53" s="93">
        <v>738411.35169695003</v>
      </c>
      <c r="F53" s="35"/>
      <c r="G53" s="193" t="s">
        <v>285</v>
      </c>
      <c r="H53" s="194"/>
      <c r="I53" s="194"/>
      <c r="J53" s="195"/>
      <c r="K53" s="193" t="s">
        <v>288</v>
      </c>
      <c r="L53" s="194"/>
      <c r="M53" s="194"/>
      <c r="N53" s="195"/>
      <c r="O53" s="193" t="s">
        <v>289</v>
      </c>
      <c r="P53" s="194"/>
      <c r="Q53" s="194"/>
      <c r="R53" s="195"/>
    </row>
    <row r="54" spans="1:18" ht="17.25" thickBot="1">
      <c r="A54" s="40" t="s">
        <v>133</v>
      </c>
      <c r="B54" s="11" t="s">
        <v>134</v>
      </c>
      <c r="C54" s="95">
        <v>155</v>
      </c>
      <c r="D54" s="92">
        <v>-1.2738853499999999E-2</v>
      </c>
      <c r="E54" s="93">
        <v>48028566.762840368</v>
      </c>
      <c r="F54" s="35"/>
      <c r="G54" s="258" t="s">
        <v>55</v>
      </c>
      <c r="H54" s="270">
        <f ca="1">NOW()</f>
        <v>44326.912283217593</v>
      </c>
      <c r="I54" s="271"/>
      <c r="J54" s="272"/>
      <c r="K54" s="261" t="s">
        <v>55</v>
      </c>
      <c r="L54" s="270">
        <f ca="1">NOW()</f>
        <v>44326.912283217593</v>
      </c>
      <c r="M54" s="271"/>
      <c r="N54" s="272"/>
      <c r="O54" s="261" t="s">
        <v>55</v>
      </c>
      <c r="P54" s="270">
        <f ca="1">NOW()</f>
        <v>44326.912283217593</v>
      </c>
      <c r="Q54" s="271"/>
      <c r="R54" s="272"/>
    </row>
    <row r="55" spans="1:18" ht="17.25" thickBot="1">
      <c r="A55" s="40" t="s">
        <v>125</v>
      </c>
      <c r="B55" s="11" t="s">
        <v>126</v>
      </c>
      <c r="C55" s="95">
        <v>58.2</v>
      </c>
      <c r="D55" s="92">
        <v>-1.3559322E-2</v>
      </c>
      <c r="E55" s="93">
        <v>73755466.501238257</v>
      </c>
      <c r="F55" s="35"/>
      <c r="G55" s="255"/>
      <c r="H55" s="51" t="s">
        <v>58</v>
      </c>
      <c r="I55" s="73" t="s">
        <v>59</v>
      </c>
      <c r="J55" s="69" t="s">
        <v>294</v>
      </c>
      <c r="K55" s="210"/>
      <c r="L55" s="51" t="s">
        <v>58</v>
      </c>
      <c r="M55" s="73" t="s">
        <v>59</v>
      </c>
      <c r="N55" s="69" t="s">
        <v>294</v>
      </c>
      <c r="O55" s="210"/>
      <c r="P55" s="51" t="s">
        <v>58</v>
      </c>
      <c r="Q55" s="73" t="s">
        <v>59</v>
      </c>
      <c r="R55" s="69" t="s">
        <v>294</v>
      </c>
    </row>
    <row r="56" spans="1:18">
      <c r="A56" s="40" t="s">
        <v>211</v>
      </c>
      <c r="B56" s="11" t="s">
        <v>212</v>
      </c>
      <c r="C56" s="95">
        <v>144</v>
      </c>
      <c r="D56" s="92">
        <v>-1.3698630099999999E-2</v>
      </c>
      <c r="E56" s="93">
        <v>496852850.76217914</v>
      </c>
      <c r="F56" s="35"/>
      <c r="G56" s="55" t="s">
        <v>202</v>
      </c>
      <c r="H56" s="38">
        <f t="shared" ref="H56:H75" si="15">_xlfn.IFNA(VLOOKUP(G56, $B$2:$D$200, 2, FALSE), "")</f>
        <v>195</v>
      </c>
      <c r="I56" s="76">
        <f t="shared" ref="I56:I65" si="16">_xlfn.IFNA(VLOOKUP(G56, $B$2:$D$200, 3, FALSE), "")</f>
        <v>-2.9850746300000001E-2</v>
      </c>
      <c r="J56" s="85">
        <f>_xlfn.IFNA(VLOOKUP(G56, $B$2:$E$200, 4, FALSE), "")</f>
        <v>82338264.729467154</v>
      </c>
      <c r="K56" s="81" t="s">
        <v>228</v>
      </c>
      <c r="L56" s="38">
        <f t="shared" ref="L56:L75" si="17">_xlfn.IFNA(VLOOKUP(K56, $B$2:$D$200, 2, FALSE), "")</f>
        <v>18.399999999999999</v>
      </c>
      <c r="M56" s="76">
        <f t="shared" ref="M56:M75" si="18">_xlfn.IFNA(VLOOKUP(K56, $B$2:$D$200, 3, FALSE), "")</f>
        <v>4.5454545499999999E-2</v>
      </c>
      <c r="N56" s="85">
        <f>_xlfn.IFNA(VLOOKUP(K56, $B$2:$E$200, 4, FALSE), "")</f>
        <v>2868073234.6391463</v>
      </c>
      <c r="O56" s="81" t="s">
        <v>226</v>
      </c>
      <c r="P56" s="38">
        <f t="shared" ref="P56:P75" si="19">_xlfn.IFNA(VLOOKUP(O56, $B$2:$D$200, 2, FALSE), "")</f>
        <v>494</v>
      </c>
      <c r="Q56" s="76">
        <f t="shared" ref="Q56:Q75" si="20">_xlfn.IFNA(VLOOKUP(O56, $B$2:$D$200, 3, FALSE), "")</f>
        <v>-2.1782178199999998E-2</v>
      </c>
      <c r="R56" s="85">
        <f>_xlfn.IFNA(VLOOKUP(O56, $B$2:$E$200, 4, FALSE), "")</f>
        <v>8158316.6001805896</v>
      </c>
    </row>
    <row r="57" spans="1:18">
      <c r="A57" s="40" t="s">
        <v>53</v>
      </c>
      <c r="B57" s="11" t="s">
        <v>54</v>
      </c>
      <c r="C57" s="95">
        <v>354</v>
      </c>
      <c r="D57" s="92">
        <v>-1.39275766E-2</v>
      </c>
      <c r="E57" s="93">
        <v>13045630.796741661</v>
      </c>
      <c r="F57" s="35"/>
      <c r="G57" s="56" t="s">
        <v>208</v>
      </c>
      <c r="H57" s="39">
        <f t="shared" si="15"/>
        <v>477</v>
      </c>
      <c r="I57" s="77">
        <f t="shared" si="16"/>
        <v>-3.0487804899999998E-2</v>
      </c>
      <c r="J57" s="86">
        <f t="shared" ref="J57:J75" si="21">_xlfn.IFNA(VLOOKUP(G57, $B$2:$E$200, 4, FALSE), "")</f>
        <v>33658470.579479948</v>
      </c>
      <c r="K57" s="82" t="s">
        <v>172</v>
      </c>
      <c r="L57" s="39">
        <f t="shared" si="17"/>
        <v>24</v>
      </c>
      <c r="M57" s="77">
        <f t="shared" si="18"/>
        <v>1.26582278E-2</v>
      </c>
      <c r="N57" s="86">
        <f t="shared" ref="N57:N75" si="22">_xlfn.IFNA(VLOOKUP(K57, $B$2:$E$200, 4, FALSE), "")</f>
        <v>335461477.93693566</v>
      </c>
      <c r="O57" s="82" t="s">
        <v>174</v>
      </c>
      <c r="P57" s="39">
        <f t="shared" si="19"/>
        <v>264</v>
      </c>
      <c r="Q57" s="77">
        <f t="shared" si="20"/>
        <v>-2.2222222199999999E-2</v>
      </c>
      <c r="R57" s="86">
        <f t="shared" ref="R57:R75" si="23">_xlfn.IFNA(VLOOKUP(O57, $B$2:$E$200, 4, FALSE), "")</f>
        <v>20870324.43562039</v>
      </c>
    </row>
    <row r="58" spans="1:18">
      <c r="A58" s="40" t="s">
        <v>93</v>
      </c>
      <c r="B58" s="11" t="s">
        <v>94</v>
      </c>
      <c r="C58" s="95">
        <v>152100</v>
      </c>
      <c r="D58" s="92">
        <v>-1.39384117E-2</v>
      </c>
      <c r="E58" s="93">
        <v>870088.32996165997</v>
      </c>
      <c r="F58" s="35"/>
      <c r="G58" s="56" t="s">
        <v>112</v>
      </c>
      <c r="H58" s="39">
        <f t="shared" si="15"/>
        <v>254</v>
      </c>
      <c r="I58" s="77">
        <f t="shared" si="16"/>
        <v>-3.0534351099999999E-2</v>
      </c>
      <c r="J58" s="86">
        <f t="shared" si="21"/>
        <v>37151521.824633427</v>
      </c>
      <c r="K58" s="82" t="s">
        <v>222</v>
      </c>
      <c r="L58" s="39">
        <f t="shared" si="17"/>
        <v>18.2</v>
      </c>
      <c r="M58" s="77">
        <f t="shared" si="18"/>
        <v>1.11111111E-2</v>
      </c>
      <c r="N58" s="86">
        <f t="shared" si="22"/>
        <v>439609394.43809867</v>
      </c>
      <c r="O58" s="82" t="s">
        <v>282</v>
      </c>
      <c r="P58" s="39">
        <f t="shared" si="19"/>
        <v>171</v>
      </c>
      <c r="Q58" s="77">
        <f t="shared" si="20"/>
        <v>-2.2857142899999999E-2</v>
      </c>
      <c r="R58" s="86">
        <f t="shared" si="23"/>
        <v>14109648.770062121</v>
      </c>
    </row>
    <row r="59" spans="1:18">
      <c r="A59" s="40" t="s">
        <v>197</v>
      </c>
      <c r="B59" s="11" t="s">
        <v>198</v>
      </c>
      <c r="C59" s="95">
        <v>26.6</v>
      </c>
      <c r="D59" s="92">
        <v>-1.4814814799999999E-2</v>
      </c>
      <c r="E59" s="93">
        <v>401579310.33830988</v>
      </c>
      <c r="F59" s="35"/>
      <c r="G59" s="56" t="s">
        <v>284</v>
      </c>
      <c r="H59" s="39">
        <f t="shared" si="15"/>
        <v>504</v>
      </c>
      <c r="I59" s="77">
        <f t="shared" si="16"/>
        <v>-3.2629558500000003E-2</v>
      </c>
      <c r="J59" s="86">
        <f t="shared" si="21"/>
        <v>18167540.901957039</v>
      </c>
      <c r="K59" s="82" t="s">
        <v>268</v>
      </c>
      <c r="L59" s="39">
        <f t="shared" si="17"/>
        <v>89</v>
      </c>
      <c r="M59" s="77">
        <f t="shared" si="18"/>
        <v>-8.9086860000000007E-3</v>
      </c>
      <c r="N59" s="86">
        <f t="shared" si="22"/>
        <v>52101861.949850321</v>
      </c>
      <c r="O59" s="82" t="s">
        <v>258</v>
      </c>
      <c r="P59" s="39">
        <f t="shared" si="19"/>
        <v>676</v>
      </c>
      <c r="Q59" s="77">
        <f t="shared" si="20"/>
        <v>-2.3121387300000001E-2</v>
      </c>
      <c r="R59" s="86">
        <f t="shared" si="23"/>
        <v>4160482.8676360301</v>
      </c>
    </row>
    <row r="60" spans="1:18">
      <c r="A60" s="40" t="s">
        <v>217</v>
      </c>
      <c r="B60" s="11" t="s">
        <v>218</v>
      </c>
      <c r="C60" s="95">
        <v>26.6</v>
      </c>
      <c r="D60" s="92">
        <v>-1.4814814799999999E-2</v>
      </c>
      <c r="E60" s="93">
        <v>161469810.78106838</v>
      </c>
      <c r="F60" s="35"/>
      <c r="G60" s="56" t="s">
        <v>266</v>
      </c>
      <c r="H60" s="39">
        <f t="shared" si="15"/>
        <v>91.3</v>
      </c>
      <c r="I60" s="77">
        <f t="shared" si="16"/>
        <v>-3.2838983099999997E-2</v>
      </c>
      <c r="J60" s="90">
        <f t="shared" si="21"/>
        <v>33737978.762301639</v>
      </c>
      <c r="K60" s="83" t="s">
        <v>72</v>
      </c>
      <c r="L60" s="44">
        <f t="shared" si="17"/>
        <v>37.200000000000003</v>
      </c>
      <c r="M60" s="78">
        <f t="shared" si="18"/>
        <v>-1.06382979E-2</v>
      </c>
      <c r="N60" s="90">
        <f t="shared" si="22"/>
        <v>98175062.134223193</v>
      </c>
      <c r="O60" s="83" t="s">
        <v>256</v>
      </c>
      <c r="P60" s="44">
        <f t="shared" si="19"/>
        <v>247</v>
      </c>
      <c r="Q60" s="78">
        <f t="shared" si="20"/>
        <v>-2.3715415E-2</v>
      </c>
      <c r="R60" s="90">
        <f t="shared" si="23"/>
        <v>7651006.22582814</v>
      </c>
    </row>
    <row r="61" spans="1:18">
      <c r="A61" s="40" t="s">
        <v>123</v>
      </c>
      <c r="B61" s="11" t="s">
        <v>124</v>
      </c>
      <c r="C61" s="95">
        <v>6755</v>
      </c>
      <c r="D61" s="92">
        <v>-1.53061224E-2</v>
      </c>
      <c r="E61" s="93">
        <v>853338.76395822002</v>
      </c>
      <c r="F61" s="35"/>
      <c r="G61" s="60" t="s">
        <v>234</v>
      </c>
      <c r="H61" s="45">
        <f t="shared" si="15"/>
        <v>1320</v>
      </c>
      <c r="I61" s="80">
        <f t="shared" si="16"/>
        <v>-3.2967033E-2</v>
      </c>
      <c r="J61" s="99">
        <f t="shared" si="21"/>
        <v>2236457.6897324501</v>
      </c>
      <c r="K61" s="82" t="s">
        <v>126</v>
      </c>
      <c r="L61" s="39">
        <f t="shared" si="17"/>
        <v>58.2</v>
      </c>
      <c r="M61" s="77">
        <f t="shared" si="18"/>
        <v>-1.3559322E-2</v>
      </c>
      <c r="N61" s="99">
        <f t="shared" si="22"/>
        <v>73755466.501238257</v>
      </c>
      <c r="O61" s="82" t="s">
        <v>238</v>
      </c>
      <c r="P61" s="39">
        <f t="shared" si="19"/>
        <v>277</v>
      </c>
      <c r="Q61" s="77">
        <f t="shared" si="20"/>
        <v>-2.4647887300000001E-2</v>
      </c>
      <c r="R61" s="99">
        <f t="shared" si="23"/>
        <v>12552059.33175168</v>
      </c>
    </row>
    <row r="62" spans="1:18">
      <c r="A62" s="40" t="s">
        <v>195</v>
      </c>
      <c r="B62" s="11" t="s">
        <v>196</v>
      </c>
      <c r="C62" s="95">
        <v>19.2</v>
      </c>
      <c r="D62" s="92">
        <v>-1.5384615399999999E-2</v>
      </c>
      <c r="E62" s="93">
        <v>349574774.26787001</v>
      </c>
      <c r="F62" s="35"/>
      <c r="G62" s="56" t="s">
        <v>154</v>
      </c>
      <c r="H62" s="39">
        <f t="shared" si="15"/>
        <v>20.2</v>
      </c>
      <c r="I62" s="77">
        <f t="shared" si="16"/>
        <v>-3.3492822999999998E-2</v>
      </c>
      <c r="J62" s="86">
        <f t="shared" si="21"/>
        <v>399414540.94325894</v>
      </c>
      <c r="K62" s="82" t="s">
        <v>198</v>
      </c>
      <c r="L62" s="39">
        <f t="shared" si="17"/>
        <v>26.6</v>
      </c>
      <c r="M62" s="77">
        <f t="shared" si="18"/>
        <v>-1.4814814799999999E-2</v>
      </c>
      <c r="N62" s="86">
        <f t="shared" si="22"/>
        <v>401579310.33830988</v>
      </c>
      <c r="O62" s="82" t="s">
        <v>252</v>
      </c>
      <c r="P62" s="39">
        <f t="shared" si="19"/>
        <v>541</v>
      </c>
      <c r="Q62" s="77">
        <f t="shared" si="20"/>
        <v>-2.6978417300000002E-2</v>
      </c>
      <c r="R62" s="86">
        <f t="shared" si="23"/>
        <v>9135378.3990690205</v>
      </c>
    </row>
    <row r="63" spans="1:18">
      <c r="A63" s="40" t="s">
        <v>64</v>
      </c>
      <c r="B63" s="11" t="s">
        <v>65</v>
      </c>
      <c r="C63" s="95">
        <v>76.7</v>
      </c>
      <c r="D63" s="92">
        <v>-1.54043646E-2</v>
      </c>
      <c r="E63" s="93">
        <v>79450561.398230359</v>
      </c>
      <c r="F63" s="35"/>
      <c r="G63" s="56" t="s">
        <v>194</v>
      </c>
      <c r="H63" s="39">
        <f t="shared" si="15"/>
        <v>13320</v>
      </c>
      <c r="I63" s="77">
        <f t="shared" si="16"/>
        <v>-3.4082668599999998E-2</v>
      </c>
      <c r="J63" s="86">
        <f t="shared" si="21"/>
        <v>612574.11413667002</v>
      </c>
      <c r="K63" s="82" t="s">
        <v>218</v>
      </c>
      <c r="L63" s="39">
        <f t="shared" si="17"/>
        <v>26.6</v>
      </c>
      <c r="M63" s="77">
        <f t="shared" si="18"/>
        <v>-1.4814814799999999E-2</v>
      </c>
      <c r="N63" s="86">
        <f t="shared" si="22"/>
        <v>161469810.78106838</v>
      </c>
      <c r="O63" s="82" t="s">
        <v>116</v>
      </c>
      <c r="P63" s="39">
        <f t="shared" si="19"/>
        <v>648</v>
      </c>
      <c r="Q63" s="77">
        <f t="shared" si="20"/>
        <v>-2.7027026999999999E-2</v>
      </c>
      <c r="R63" s="86">
        <f t="shared" si="23"/>
        <v>8908159.9690215494</v>
      </c>
    </row>
    <row r="64" spans="1:18">
      <c r="A64" s="40" t="s">
        <v>60</v>
      </c>
      <c r="B64" s="11" t="s">
        <v>61</v>
      </c>
      <c r="C64" s="95">
        <v>1800</v>
      </c>
      <c r="D64" s="92">
        <v>-1.6393442599999999E-2</v>
      </c>
      <c r="E64" s="93">
        <v>21553899.89722101</v>
      </c>
      <c r="F64" s="35"/>
      <c r="G64" s="56" t="s">
        <v>128</v>
      </c>
      <c r="H64" s="39">
        <f t="shared" si="15"/>
        <v>697</v>
      </c>
      <c r="I64" s="77">
        <f t="shared" si="16"/>
        <v>-3.4626038800000002E-2</v>
      </c>
      <c r="J64" s="86">
        <f t="shared" si="21"/>
        <v>8660420.3958646506</v>
      </c>
      <c r="K64" s="82" t="s">
        <v>196</v>
      </c>
      <c r="L64" s="39">
        <f t="shared" si="17"/>
        <v>19.2</v>
      </c>
      <c r="M64" s="77">
        <f t="shared" si="18"/>
        <v>-1.5384615399999999E-2</v>
      </c>
      <c r="N64" s="86">
        <f t="shared" si="22"/>
        <v>349574774.26787001</v>
      </c>
      <c r="O64" s="82" t="s">
        <v>232</v>
      </c>
      <c r="P64" s="39">
        <f t="shared" si="19"/>
        <v>175</v>
      </c>
      <c r="Q64" s="77">
        <f t="shared" si="20"/>
        <v>-2.77777778E-2</v>
      </c>
      <c r="R64" s="86">
        <f t="shared" si="23"/>
        <v>23601104.467501771</v>
      </c>
    </row>
    <row r="65" spans="1:18" ht="17.25" thickBot="1">
      <c r="A65" s="40" t="s">
        <v>199</v>
      </c>
      <c r="B65" s="11" t="s">
        <v>200</v>
      </c>
      <c r="C65" s="95">
        <v>345</v>
      </c>
      <c r="D65" s="92">
        <v>-1.7094017100000001E-2</v>
      </c>
      <c r="E65" s="93">
        <v>10475996.93566802</v>
      </c>
      <c r="F65" s="35"/>
      <c r="G65" s="57" t="s">
        <v>244</v>
      </c>
      <c r="H65" s="37">
        <f t="shared" si="15"/>
        <v>3600</v>
      </c>
      <c r="I65" s="79">
        <f t="shared" si="16"/>
        <v>-3.6144578300000001E-2</v>
      </c>
      <c r="J65" s="87">
        <f t="shared" si="21"/>
        <v>4946165.1146128401</v>
      </c>
      <c r="K65" s="84" t="s">
        <v>65</v>
      </c>
      <c r="L65" s="37">
        <f t="shared" si="17"/>
        <v>76.7</v>
      </c>
      <c r="M65" s="79">
        <f t="shared" si="18"/>
        <v>-1.54043646E-2</v>
      </c>
      <c r="N65" s="87">
        <f t="shared" si="22"/>
        <v>79450561.398230359</v>
      </c>
      <c r="O65" s="84" t="s">
        <v>132</v>
      </c>
      <c r="P65" s="37">
        <f t="shared" si="19"/>
        <v>278</v>
      </c>
      <c r="Q65" s="79">
        <f t="shared" si="20"/>
        <v>-2.7972027999999999E-2</v>
      </c>
      <c r="R65" s="87">
        <f t="shared" si="23"/>
        <v>505482663.27365595</v>
      </c>
    </row>
    <row r="66" spans="1:18">
      <c r="A66" s="40" t="s">
        <v>253</v>
      </c>
      <c r="B66" s="11" t="s">
        <v>254</v>
      </c>
      <c r="C66" s="95">
        <v>80.2</v>
      </c>
      <c r="D66" s="92">
        <v>-1.7156862700000001E-2</v>
      </c>
      <c r="E66" s="93">
        <v>21574273.03197854</v>
      </c>
      <c r="F66" s="35"/>
      <c r="G66" s="56" t="s">
        <v>248</v>
      </c>
      <c r="H66" s="38">
        <f t="shared" si="15"/>
        <v>4050</v>
      </c>
      <c r="I66" s="76">
        <f t="shared" ref="I66:I75" si="24">_xlfn.IFNA(VLOOKUP(G66, $B$2:$D$200, 3, FALSE), "")</f>
        <v>-3.6860879899999997E-2</v>
      </c>
      <c r="J66" s="85">
        <f t="shared" si="21"/>
        <v>4304842.7058307296</v>
      </c>
      <c r="K66" s="81" t="s">
        <v>254</v>
      </c>
      <c r="L66" s="38">
        <f t="shared" si="17"/>
        <v>80.2</v>
      </c>
      <c r="M66" s="76">
        <f t="shared" si="18"/>
        <v>-1.7156862700000001E-2</v>
      </c>
      <c r="N66" s="85">
        <f t="shared" si="22"/>
        <v>21574273.03197854</v>
      </c>
      <c r="O66" s="81" t="s">
        <v>246</v>
      </c>
      <c r="P66" s="38">
        <f t="shared" si="19"/>
        <v>368</v>
      </c>
      <c r="Q66" s="76">
        <f t="shared" si="20"/>
        <v>-2.9023746699999999E-2</v>
      </c>
      <c r="R66" s="85">
        <f t="shared" si="23"/>
        <v>6382993.9889633805</v>
      </c>
    </row>
    <row r="67" spans="1:18">
      <c r="A67" s="40" t="s">
        <v>151</v>
      </c>
      <c r="B67" s="11" t="s">
        <v>152</v>
      </c>
      <c r="C67" s="95">
        <v>47.4</v>
      </c>
      <c r="D67" s="92">
        <v>-1.8633540399999999E-2</v>
      </c>
      <c r="E67" s="93">
        <v>380617287.22368187</v>
      </c>
      <c r="F67" s="35"/>
      <c r="G67" s="56" t="s">
        <v>142</v>
      </c>
      <c r="H67" s="39">
        <f t="shared" si="15"/>
        <v>457</v>
      </c>
      <c r="I67" s="77">
        <f t="shared" si="24"/>
        <v>-3.7894736800000002E-2</v>
      </c>
      <c r="J67" s="86">
        <f t="shared" si="21"/>
        <v>15807674.580539539</v>
      </c>
      <c r="K67" s="82" t="s">
        <v>152</v>
      </c>
      <c r="L67" s="39">
        <f t="shared" si="17"/>
        <v>47.4</v>
      </c>
      <c r="M67" s="77">
        <f t="shared" si="18"/>
        <v>-1.8633540399999999E-2</v>
      </c>
      <c r="N67" s="86">
        <f t="shared" si="22"/>
        <v>380617287.22368187</v>
      </c>
      <c r="O67" s="82" t="s">
        <v>202</v>
      </c>
      <c r="P67" s="39">
        <f t="shared" si="19"/>
        <v>195</v>
      </c>
      <c r="Q67" s="77">
        <f t="shared" si="20"/>
        <v>-2.9850746300000001E-2</v>
      </c>
      <c r="R67" s="86">
        <f t="shared" si="23"/>
        <v>82338264.729467154</v>
      </c>
    </row>
    <row r="68" spans="1:18">
      <c r="A68" s="40" t="s">
        <v>249</v>
      </c>
      <c r="B68" s="11" t="s">
        <v>250</v>
      </c>
      <c r="C68" s="95">
        <v>201</v>
      </c>
      <c r="D68" s="92">
        <v>-1.9512195100000001E-2</v>
      </c>
      <c r="E68" s="93">
        <v>6704884.4524053195</v>
      </c>
      <c r="F68" s="35"/>
      <c r="G68" s="56" t="s">
        <v>240</v>
      </c>
      <c r="H68" s="39">
        <f t="shared" si="15"/>
        <v>177</v>
      </c>
      <c r="I68" s="77">
        <f t="shared" si="24"/>
        <v>-3.8043478300000003E-2</v>
      </c>
      <c r="J68" s="86">
        <f t="shared" si="21"/>
        <v>38954956.834313013</v>
      </c>
      <c r="K68" s="82" t="s">
        <v>186</v>
      </c>
      <c r="L68" s="39">
        <f t="shared" si="17"/>
        <v>24</v>
      </c>
      <c r="M68" s="77">
        <f t="shared" si="18"/>
        <v>-2.0408163300000001E-2</v>
      </c>
      <c r="N68" s="86">
        <f t="shared" si="22"/>
        <v>149052548.22775614</v>
      </c>
      <c r="O68" s="82" t="s">
        <v>208</v>
      </c>
      <c r="P68" s="39">
        <f t="shared" si="19"/>
        <v>477</v>
      </c>
      <c r="Q68" s="77">
        <f t="shared" si="20"/>
        <v>-3.0487804899999998E-2</v>
      </c>
      <c r="R68" s="86">
        <f t="shared" si="23"/>
        <v>33658470.579479948</v>
      </c>
    </row>
    <row r="69" spans="1:18">
      <c r="A69" s="40" t="s">
        <v>97</v>
      </c>
      <c r="B69" s="11" t="s">
        <v>98</v>
      </c>
      <c r="C69" s="95">
        <v>8515</v>
      </c>
      <c r="D69" s="92">
        <v>-1.95739781E-2</v>
      </c>
      <c r="E69" s="93">
        <v>2420146.1471563098</v>
      </c>
      <c r="F69" s="35"/>
      <c r="G69" s="56" t="s">
        <v>67</v>
      </c>
      <c r="H69" s="39">
        <f t="shared" si="15"/>
        <v>7980</v>
      </c>
      <c r="I69" s="77">
        <f t="shared" si="24"/>
        <v>-3.85542169E-2</v>
      </c>
      <c r="J69" s="86">
        <f t="shared" si="21"/>
        <v>807325.68953439</v>
      </c>
      <c r="K69" s="82" t="s">
        <v>236</v>
      </c>
      <c r="L69" s="39">
        <f t="shared" si="17"/>
        <v>64.3</v>
      </c>
      <c r="M69" s="77">
        <f t="shared" si="18"/>
        <v>-2.27963526E-2</v>
      </c>
      <c r="N69" s="86">
        <f t="shared" si="22"/>
        <v>46869866.110371612</v>
      </c>
      <c r="O69" s="82" t="s">
        <v>112</v>
      </c>
      <c r="P69" s="39">
        <f t="shared" si="19"/>
        <v>254</v>
      </c>
      <c r="Q69" s="77">
        <f t="shared" si="20"/>
        <v>-3.0534351099999999E-2</v>
      </c>
      <c r="R69" s="86">
        <f t="shared" si="23"/>
        <v>37151521.824633427</v>
      </c>
    </row>
    <row r="70" spans="1:18">
      <c r="A70" s="40" t="s">
        <v>189</v>
      </c>
      <c r="B70" s="11" t="s">
        <v>190</v>
      </c>
      <c r="C70" s="95">
        <v>66600</v>
      </c>
      <c r="D70" s="92">
        <v>-2.0155951200000001E-2</v>
      </c>
      <c r="E70" s="93">
        <v>121922.77120292</v>
      </c>
      <c r="F70" s="35"/>
      <c r="G70" s="56" t="s">
        <v>182</v>
      </c>
      <c r="H70" s="39">
        <f t="shared" si="15"/>
        <v>544</v>
      </c>
      <c r="I70" s="77">
        <f t="shared" si="24"/>
        <v>-3.8869257999999997E-2</v>
      </c>
      <c r="J70" s="90">
        <f t="shared" si="21"/>
        <v>14945473.73385388</v>
      </c>
      <c r="K70" s="83" t="s">
        <v>214</v>
      </c>
      <c r="L70" s="44">
        <f t="shared" si="17"/>
        <v>20.5</v>
      </c>
      <c r="M70" s="78">
        <f t="shared" si="18"/>
        <v>-2.3809523799999999E-2</v>
      </c>
      <c r="N70" s="90">
        <f t="shared" si="22"/>
        <v>214523791.63941556</v>
      </c>
      <c r="O70" s="83" t="s">
        <v>284</v>
      </c>
      <c r="P70" s="44">
        <f t="shared" si="19"/>
        <v>504</v>
      </c>
      <c r="Q70" s="78">
        <f t="shared" si="20"/>
        <v>-3.2629558500000003E-2</v>
      </c>
      <c r="R70" s="90">
        <f t="shared" si="23"/>
        <v>18167540.901957039</v>
      </c>
    </row>
    <row r="71" spans="1:18">
      <c r="A71" s="40" t="s">
        <v>273</v>
      </c>
      <c r="B71" s="11" t="s">
        <v>274</v>
      </c>
      <c r="C71" s="95">
        <v>8970</v>
      </c>
      <c r="D71" s="92">
        <v>-2.02075369E-2</v>
      </c>
      <c r="E71" s="93">
        <v>259598.74501797999</v>
      </c>
      <c r="F71" s="35"/>
      <c r="G71" s="60" t="s">
        <v>192</v>
      </c>
      <c r="H71" s="45">
        <f t="shared" si="15"/>
        <v>1230</v>
      </c>
      <c r="I71" s="80">
        <f t="shared" si="24"/>
        <v>-3.90625E-2</v>
      </c>
      <c r="J71" s="99">
        <f t="shared" si="21"/>
        <v>3612416.9552834602</v>
      </c>
      <c r="K71" s="82" t="s">
        <v>100</v>
      </c>
      <c r="L71" s="39">
        <f t="shared" si="17"/>
        <v>8.76</v>
      </c>
      <c r="M71" s="77">
        <f t="shared" si="18"/>
        <v>-2.88248337E-2</v>
      </c>
      <c r="N71" s="99">
        <f t="shared" si="22"/>
        <v>19875877314.887863</v>
      </c>
      <c r="O71" s="82" t="s">
        <v>128</v>
      </c>
      <c r="P71" s="39">
        <f t="shared" si="19"/>
        <v>697</v>
      </c>
      <c r="Q71" s="77">
        <f t="shared" si="20"/>
        <v>-3.4626038800000002E-2</v>
      </c>
      <c r="R71" s="99">
        <f t="shared" si="23"/>
        <v>8660420.3958646506</v>
      </c>
    </row>
    <row r="72" spans="1:18">
      <c r="A72" s="40" t="s">
        <v>185</v>
      </c>
      <c r="B72" s="11" t="s">
        <v>186</v>
      </c>
      <c r="C72" s="95">
        <v>24</v>
      </c>
      <c r="D72" s="92">
        <v>-2.0408163300000001E-2</v>
      </c>
      <c r="E72" s="93">
        <v>149052548.22775614</v>
      </c>
      <c r="F72" s="35"/>
      <c r="G72" s="56" t="s">
        <v>188</v>
      </c>
      <c r="H72" s="39">
        <f t="shared" si="15"/>
        <v>32200</v>
      </c>
      <c r="I72" s="77">
        <f t="shared" si="24"/>
        <v>-4.0810247199999997E-2</v>
      </c>
      <c r="J72" s="86">
        <f t="shared" si="21"/>
        <v>13481575.216287229</v>
      </c>
      <c r="K72" s="82" t="s">
        <v>220</v>
      </c>
      <c r="L72" s="39">
        <f t="shared" si="17"/>
        <v>19.7</v>
      </c>
      <c r="M72" s="77">
        <f t="shared" si="18"/>
        <v>-2.9556650199999999E-2</v>
      </c>
      <c r="N72" s="86">
        <f t="shared" si="22"/>
        <v>227891038.69594601</v>
      </c>
      <c r="O72" s="82" t="s">
        <v>142</v>
      </c>
      <c r="P72" s="39">
        <f t="shared" si="19"/>
        <v>457</v>
      </c>
      <c r="Q72" s="77">
        <f t="shared" si="20"/>
        <v>-3.7894736800000002E-2</v>
      </c>
      <c r="R72" s="86">
        <f t="shared" si="23"/>
        <v>15807674.580539539</v>
      </c>
    </row>
    <row r="73" spans="1:18">
      <c r="A73" s="40" t="s">
        <v>175</v>
      </c>
      <c r="B73" s="11" t="s">
        <v>176</v>
      </c>
      <c r="C73" s="95">
        <v>2330</v>
      </c>
      <c r="D73" s="92">
        <v>-2.10084034E-2</v>
      </c>
      <c r="E73" s="93">
        <v>3151469.7169723599</v>
      </c>
      <c r="F73" s="35"/>
      <c r="G73" s="56" t="s">
        <v>262</v>
      </c>
      <c r="H73" s="39">
        <f t="shared" si="15"/>
        <v>1415</v>
      </c>
      <c r="I73" s="77">
        <f t="shared" si="24"/>
        <v>-4.7138047099999997E-2</v>
      </c>
      <c r="J73" s="86">
        <f t="shared" si="21"/>
        <v>14321793.32223995</v>
      </c>
      <c r="K73" s="82" t="s">
        <v>266</v>
      </c>
      <c r="L73" s="39">
        <f t="shared" si="17"/>
        <v>91.3</v>
      </c>
      <c r="M73" s="77">
        <f t="shared" si="18"/>
        <v>-3.2838983099999997E-2</v>
      </c>
      <c r="N73" s="86">
        <f t="shared" si="22"/>
        <v>33737978.762301639</v>
      </c>
      <c r="O73" s="82" t="s">
        <v>240</v>
      </c>
      <c r="P73" s="39">
        <f t="shared" si="19"/>
        <v>177</v>
      </c>
      <c r="Q73" s="77">
        <f t="shared" si="20"/>
        <v>-3.8043478300000003E-2</v>
      </c>
      <c r="R73" s="86">
        <f t="shared" si="23"/>
        <v>38954956.834313013</v>
      </c>
    </row>
    <row r="74" spans="1:18">
      <c r="A74" s="40" t="s">
        <v>81</v>
      </c>
      <c r="B74" s="11" t="s">
        <v>82</v>
      </c>
      <c r="C74" s="95">
        <v>1610</v>
      </c>
      <c r="D74" s="92">
        <v>-2.1276595700000001E-2</v>
      </c>
      <c r="E74" s="93">
        <v>1606788.8079124501</v>
      </c>
      <c r="F74" s="35"/>
      <c r="G74" s="56" t="s">
        <v>224</v>
      </c>
      <c r="H74" s="39">
        <f t="shared" si="15"/>
        <v>2120</v>
      </c>
      <c r="I74" s="77">
        <f t="shared" si="24"/>
        <v>-4.7191011200000001E-2</v>
      </c>
      <c r="J74" s="86">
        <f t="shared" si="21"/>
        <v>11309368.96807842</v>
      </c>
      <c r="K74" s="82" t="s">
        <v>154</v>
      </c>
      <c r="L74" s="39">
        <f t="shared" si="17"/>
        <v>20.2</v>
      </c>
      <c r="M74" s="77">
        <f t="shared" si="18"/>
        <v>-3.3492822999999998E-2</v>
      </c>
      <c r="N74" s="86">
        <f t="shared" si="22"/>
        <v>399414540.94325894</v>
      </c>
      <c r="O74" s="82" t="s">
        <v>182</v>
      </c>
      <c r="P74" s="39">
        <f t="shared" si="19"/>
        <v>544</v>
      </c>
      <c r="Q74" s="77">
        <f t="shared" si="20"/>
        <v>-3.8869257999999997E-2</v>
      </c>
      <c r="R74" s="86">
        <f t="shared" si="23"/>
        <v>14945473.73385388</v>
      </c>
    </row>
    <row r="75" spans="1:18" ht="17.25" thickBot="1">
      <c r="A75" s="40" t="s">
        <v>73</v>
      </c>
      <c r="B75" s="11" t="s">
        <v>74</v>
      </c>
      <c r="C75" s="95">
        <v>34440</v>
      </c>
      <c r="D75" s="92">
        <v>-2.1312873E-2</v>
      </c>
      <c r="E75" s="93">
        <v>378259.40125672001</v>
      </c>
      <c r="F75" s="35"/>
      <c r="G75" s="57" t="s">
        <v>296</v>
      </c>
      <c r="H75" s="37">
        <f t="shared" si="15"/>
        <v>636</v>
      </c>
      <c r="I75" s="79">
        <f t="shared" si="24"/>
        <v>-9.5305832100000001E-2</v>
      </c>
      <c r="J75" s="87">
        <f t="shared" si="21"/>
        <v>3003960422.8867307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296</v>
      </c>
      <c r="P75" s="37">
        <f t="shared" si="19"/>
        <v>636</v>
      </c>
      <c r="Q75" s="79">
        <f t="shared" si="20"/>
        <v>-9.5305832100000001E-2</v>
      </c>
      <c r="R75" s="87">
        <f t="shared" si="23"/>
        <v>3003960422.8867307</v>
      </c>
    </row>
    <row r="76" spans="1:18">
      <c r="A76" s="40" t="s">
        <v>225</v>
      </c>
      <c r="B76" s="11" t="s">
        <v>226</v>
      </c>
      <c r="C76" s="95">
        <v>494</v>
      </c>
      <c r="D76" s="92">
        <v>-2.1782178199999998E-2</v>
      </c>
      <c r="E76" s="93">
        <v>8158316.6001805896</v>
      </c>
      <c r="F76" s="35"/>
      <c r="G76" s="35"/>
      <c r="H76" s="35"/>
      <c r="I76" s="35"/>
    </row>
    <row r="77" spans="1:18">
      <c r="A77" s="40" t="s">
        <v>173</v>
      </c>
      <c r="B77" s="11" t="s">
        <v>174</v>
      </c>
      <c r="C77" s="95">
        <v>264</v>
      </c>
      <c r="D77" s="92">
        <v>-2.2222222199999999E-2</v>
      </c>
      <c r="E77" s="93">
        <v>20870324.43562039</v>
      </c>
      <c r="F77" s="35"/>
      <c r="G77" s="35"/>
      <c r="H77" s="35"/>
      <c r="I77" s="35"/>
    </row>
    <row r="78" spans="1:18">
      <c r="A78" s="40" t="s">
        <v>203</v>
      </c>
      <c r="B78" s="11" t="s">
        <v>204</v>
      </c>
      <c r="C78" s="95">
        <v>7835</v>
      </c>
      <c r="D78" s="92">
        <v>-2.24578915E-2</v>
      </c>
      <c r="E78" s="93">
        <v>10036466.15717791</v>
      </c>
      <c r="F78" s="35"/>
      <c r="G78" s="35"/>
      <c r="H78" s="35"/>
      <c r="I78" s="35"/>
    </row>
    <row r="79" spans="1:18">
      <c r="A79" s="40" t="s">
        <v>113</v>
      </c>
      <c r="B79" s="11" t="s">
        <v>114</v>
      </c>
      <c r="C79" s="95">
        <v>14340</v>
      </c>
      <c r="D79" s="92">
        <v>-2.2494887500000001E-2</v>
      </c>
      <c r="E79" s="93">
        <v>1046043.26739349</v>
      </c>
      <c r="F79" s="35"/>
      <c r="G79" s="35"/>
      <c r="H79" s="35"/>
      <c r="I79" s="35"/>
    </row>
    <row r="80" spans="1:18">
      <c r="A80" s="40" t="s">
        <v>103</v>
      </c>
      <c r="B80" s="11" t="s">
        <v>104</v>
      </c>
      <c r="C80" s="95">
        <v>3235</v>
      </c>
      <c r="D80" s="92">
        <v>-2.26586103E-2</v>
      </c>
      <c r="E80" s="93">
        <v>15689859.396040371</v>
      </c>
      <c r="F80" s="35"/>
      <c r="G80" s="35"/>
      <c r="H80" s="35"/>
      <c r="I80" s="35"/>
    </row>
    <row r="81" spans="1:9">
      <c r="A81" s="40" t="s">
        <v>235</v>
      </c>
      <c r="B81" s="11" t="s">
        <v>236</v>
      </c>
      <c r="C81" s="95">
        <v>64.3</v>
      </c>
      <c r="D81" s="92">
        <v>-2.27963526E-2</v>
      </c>
      <c r="E81" s="93">
        <v>46869866.110371612</v>
      </c>
      <c r="F81" s="35"/>
      <c r="G81" s="35"/>
      <c r="H81" s="35"/>
      <c r="I81" s="35"/>
    </row>
    <row r="82" spans="1:9">
      <c r="A82" s="40" t="s">
        <v>281</v>
      </c>
      <c r="B82" s="11" t="s">
        <v>282</v>
      </c>
      <c r="C82" s="95">
        <v>171</v>
      </c>
      <c r="D82" s="92">
        <v>-2.2857142899999999E-2</v>
      </c>
      <c r="E82" s="93">
        <v>14109648.770062121</v>
      </c>
      <c r="F82" s="35"/>
      <c r="G82" s="35"/>
      <c r="H82" s="35"/>
      <c r="I82" s="35"/>
    </row>
    <row r="83" spans="1:9">
      <c r="A83" s="40" t="s">
        <v>161</v>
      </c>
      <c r="B83" s="11" t="s">
        <v>162</v>
      </c>
      <c r="C83" s="95">
        <v>1905</v>
      </c>
      <c r="D83" s="92">
        <v>-2.3076923100000001E-2</v>
      </c>
      <c r="E83" s="93">
        <v>4324796.8687593201</v>
      </c>
      <c r="F83" s="35"/>
      <c r="G83" s="35"/>
      <c r="H83" s="35"/>
      <c r="I83" s="35"/>
    </row>
    <row r="84" spans="1:9">
      <c r="A84" s="40" t="s">
        <v>257</v>
      </c>
      <c r="B84" s="11" t="s">
        <v>258</v>
      </c>
      <c r="C84" s="95">
        <v>676</v>
      </c>
      <c r="D84" s="92">
        <v>-2.3121387300000001E-2</v>
      </c>
      <c r="E84" s="93">
        <v>4160482.8676360301</v>
      </c>
      <c r="F84" s="35"/>
      <c r="G84" s="35"/>
      <c r="H84" s="35"/>
      <c r="I84" s="35"/>
    </row>
    <row r="85" spans="1:9">
      <c r="A85" s="40" t="s">
        <v>255</v>
      </c>
      <c r="B85" s="11" t="s">
        <v>256</v>
      </c>
      <c r="C85" s="95">
        <v>247</v>
      </c>
      <c r="D85" s="92">
        <v>-2.3715415E-2</v>
      </c>
      <c r="E85" s="93">
        <v>7651006.22582814</v>
      </c>
      <c r="F85" s="35"/>
      <c r="G85" s="35"/>
      <c r="H85" s="35"/>
      <c r="I85" s="35"/>
    </row>
    <row r="86" spans="1:9">
      <c r="A86" s="40" t="s">
        <v>213</v>
      </c>
      <c r="B86" s="11" t="s">
        <v>214</v>
      </c>
      <c r="C86" s="95">
        <v>20.5</v>
      </c>
      <c r="D86" s="92">
        <v>-2.3809523799999999E-2</v>
      </c>
      <c r="E86" s="93">
        <v>214523791.63941556</v>
      </c>
      <c r="F86" s="35"/>
      <c r="G86" s="35"/>
      <c r="H86" s="35"/>
      <c r="I86" s="35"/>
    </row>
    <row r="87" spans="1:9">
      <c r="A87" s="40" t="s">
        <v>279</v>
      </c>
      <c r="B87" s="11" t="s">
        <v>280</v>
      </c>
      <c r="C87" s="95">
        <v>2010</v>
      </c>
      <c r="D87" s="92">
        <v>-2.42718447E-2</v>
      </c>
      <c r="E87" s="93">
        <v>29957691.601894971</v>
      </c>
      <c r="F87" s="35"/>
      <c r="G87" s="35"/>
      <c r="H87" s="35"/>
      <c r="I87" s="35"/>
    </row>
    <row r="88" spans="1:9">
      <c r="A88" s="40" t="s">
        <v>237</v>
      </c>
      <c r="B88" s="11" t="s">
        <v>238</v>
      </c>
      <c r="C88" s="95">
        <v>277</v>
      </c>
      <c r="D88" s="92">
        <v>-2.4647887300000001E-2</v>
      </c>
      <c r="E88" s="93">
        <v>12552059.33175168</v>
      </c>
      <c r="F88" s="35"/>
      <c r="G88" s="35"/>
      <c r="H88" s="35"/>
      <c r="I88" s="35"/>
    </row>
    <row r="89" spans="1:9">
      <c r="A89" s="40" t="s">
        <v>75</v>
      </c>
      <c r="B89" s="11" t="s">
        <v>76</v>
      </c>
      <c r="C89" s="95">
        <v>62970</v>
      </c>
      <c r="D89" s="92">
        <v>-2.5081281899999999E-2</v>
      </c>
      <c r="E89" s="93">
        <v>1509613.3647445401</v>
      </c>
      <c r="F89" s="35"/>
      <c r="G89" s="35"/>
      <c r="H89" s="35"/>
      <c r="I89" s="35"/>
    </row>
    <row r="90" spans="1:9">
      <c r="A90" s="40" t="s">
        <v>149</v>
      </c>
      <c r="B90" s="11" t="s">
        <v>150</v>
      </c>
      <c r="C90" s="95">
        <v>6060</v>
      </c>
      <c r="D90" s="92">
        <v>-2.57234727E-2</v>
      </c>
      <c r="E90" s="93">
        <v>4737536.7029237896</v>
      </c>
      <c r="F90" s="35"/>
      <c r="G90" s="35"/>
      <c r="H90" s="35"/>
      <c r="I90" s="35"/>
    </row>
    <row r="91" spans="1:9">
      <c r="A91" s="40" t="s">
        <v>251</v>
      </c>
      <c r="B91" s="11" t="s">
        <v>252</v>
      </c>
      <c r="C91" s="95">
        <v>541</v>
      </c>
      <c r="D91" s="92">
        <v>-2.6978417300000002E-2</v>
      </c>
      <c r="E91" s="93">
        <v>9135378.3990690205</v>
      </c>
      <c r="F91" s="35"/>
      <c r="G91" s="35"/>
      <c r="H91" s="35"/>
      <c r="I91" s="35"/>
    </row>
    <row r="92" spans="1:9">
      <c r="A92" s="40" t="s">
        <v>115</v>
      </c>
      <c r="B92" s="11" t="s">
        <v>116</v>
      </c>
      <c r="C92" s="95">
        <v>648</v>
      </c>
      <c r="D92" s="92">
        <v>-2.7027026999999999E-2</v>
      </c>
      <c r="E92" s="93">
        <v>8908159.9690215494</v>
      </c>
      <c r="F92" s="35"/>
      <c r="G92" s="35"/>
      <c r="H92" s="35"/>
      <c r="I92" s="35"/>
    </row>
    <row r="93" spans="1:9">
      <c r="A93" s="40" t="s">
        <v>231</v>
      </c>
      <c r="B93" s="11" t="s">
        <v>232</v>
      </c>
      <c r="C93" s="95">
        <v>175</v>
      </c>
      <c r="D93" s="92">
        <v>-2.77777778E-2</v>
      </c>
      <c r="E93" s="93">
        <v>23601104.467501771</v>
      </c>
      <c r="F93" s="35"/>
      <c r="G93" s="35"/>
      <c r="H93" s="35"/>
      <c r="I93" s="35"/>
    </row>
    <row r="94" spans="1:9">
      <c r="A94" s="40" t="s">
        <v>131</v>
      </c>
      <c r="B94" s="11" t="s">
        <v>132</v>
      </c>
      <c r="C94" s="95">
        <v>278</v>
      </c>
      <c r="D94" s="92">
        <v>-2.7972027999999999E-2</v>
      </c>
      <c r="E94" s="93">
        <v>505482663.27365595</v>
      </c>
      <c r="F94" s="35"/>
      <c r="G94" s="35"/>
      <c r="H94" s="35"/>
      <c r="I94" s="35"/>
    </row>
    <row r="95" spans="1:9">
      <c r="A95" s="40" t="s">
        <v>165</v>
      </c>
      <c r="B95" s="11" t="s">
        <v>166</v>
      </c>
      <c r="C95" s="95">
        <v>2580</v>
      </c>
      <c r="D95" s="92">
        <v>-2.82485876E-2</v>
      </c>
      <c r="E95" s="93">
        <v>3574621.35128078</v>
      </c>
      <c r="F95" s="35"/>
      <c r="G95" s="35"/>
      <c r="H95" s="35"/>
      <c r="I95" s="35"/>
    </row>
    <row r="96" spans="1:9">
      <c r="A96" s="40" t="s">
        <v>99</v>
      </c>
      <c r="B96" s="11" t="s">
        <v>100</v>
      </c>
      <c r="C96" s="95">
        <v>8.76</v>
      </c>
      <c r="D96" s="92">
        <v>-2.88248337E-2</v>
      </c>
      <c r="E96" s="93">
        <v>19875877314.887863</v>
      </c>
      <c r="F96" s="35"/>
      <c r="G96" s="35"/>
      <c r="H96" s="35"/>
      <c r="I96" s="35"/>
    </row>
    <row r="97" spans="1:9">
      <c r="A97" s="40" t="s">
        <v>245</v>
      </c>
      <c r="B97" s="11" t="s">
        <v>246</v>
      </c>
      <c r="C97" s="95">
        <v>368</v>
      </c>
      <c r="D97" s="92">
        <v>-2.9023746699999999E-2</v>
      </c>
      <c r="E97" s="93">
        <v>6382993.9889633805</v>
      </c>
      <c r="F97" s="35"/>
      <c r="G97" s="35"/>
      <c r="H97" s="35"/>
      <c r="I97" s="35"/>
    </row>
    <row r="98" spans="1:9">
      <c r="A98" s="40" t="s">
        <v>219</v>
      </c>
      <c r="B98" s="11" t="s">
        <v>220</v>
      </c>
      <c r="C98" s="95">
        <v>19.7</v>
      </c>
      <c r="D98" s="92">
        <v>-2.9556650199999999E-2</v>
      </c>
      <c r="E98" s="93">
        <v>227891038.69594601</v>
      </c>
      <c r="F98" s="35"/>
      <c r="G98" s="35"/>
      <c r="H98" s="35"/>
      <c r="I98" s="35"/>
    </row>
    <row r="99" spans="1:9">
      <c r="A99" s="40" t="s">
        <v>201</v>
      </c>
      <c r="B99" s="11" t="s">
        <v>202</v>
      </c>
      <c r="C99" s="95">
        <v>195</v>
      </c>
      <c r="D99" s="92">
        <v>-2.9850746300000001E-2</v>
      </c>
      <c r="E99" s="93">
        <v>82338264.729467154</v>
      </c>
      <c r="F99" s="35"/>
      <c r="G99" s="35"/>
      <c r="H99" s="35"/>
      <c r="I99" s="35"/>
    </row>
    <row r="100" spans="1:9">
      <c r="A100" s="40" t="s">
        <v>207</v>
      </c>
      <c r="B100" s="11" t="s">
        <v>208</v>
      </c>
      <c r="C100" s="95">
        <v>477</v>
      </c>
      <c r="D100" s="92">
        <v>-3.0487804899999998E-2</v>
      </c>
      <c r="E100" s="93">
        <v>33658470.579479948</v>
      </c>
      <c r="F100" s="35"/>
      <c r="G100" s="35"/>
      <c r="H100" s="35"/>
      <c r="I100" s="35"/>
    </row>
    <row r="101" spans="1:9">
      <c r="A101" s="40" t="s">
        <v>111</v>
      </c>
      <c r="B101" s="11" t="s">
        <v>112</v>
      </c>
      <c r="C101" s="95">
        <v>254</v>
      </c>
      <c r="D101" s="92">
        <v>-3.0534351099999999E-2</v>
      </c>
      <c r="E101" s="93">
        <v>37151521.824633427</v>
      </c>
      <c r="F101" s="35"/>
      <c r="G101" s="35"/>
      <c r="H101" s="35"/>
      <c r="I101" s="35"/>
    </row>
    <row r="102" spans="1:9">
      <c r="A102" s="40" t="s">
        <v>283</v>
      </c>
      <c r="B102" s="11" t="s">
        <v>284</v>
      </c>
      <c r="C102" s="95">
        <v>504</v>
      </c>
      <c r="D102" s="92">
        <v>-3.2629558500000003E-2</v>
      </c>
      <c r="E102" s="93">
        <v>18167540.901957039</v>
      </c>
      <c r="F102" s="35"/>
      <c r="G102" s="35"/>
      <c r="H102" s="35"/>
      <c r="I102" s="35"/>
    </row>
    <row r="103" spans="1:9">
      <c r="A103" s="40" t="s">
        <v>265</v>
      </c>
      <c r="B103" s="11" t="s">
        <v>266</v>
      </c>
      <c r="C103" s="95">
        <v>91.3</v>
      </c>
      <c r="D103" s="92">
        <v>-3.2838983099999997E-2</v>
      </c>
      <c r="E103" s="93">
        <v>33737978.762301639</v>
      </c>
      <c r="F103" s="35"/>
      <c r="G103" s="35"/>
      <c r="H103" s="35"/>
      <c r="I103" s="35"/>
    </row>
    <row r="104" spans="1:9">
      <c r="A104" s="40" t="s">
        <v>233</v>
      </c>
      <c r="B104" s="11" t="s">
        <v>234</v>
      </c>
      <c r="C104" s="95">
        <v>1320</v>
      </c>
      <c r="D104" s="92">
        <v>-3.2967033E-2</v>
      </c>
      <c r="E104" s="93">
        <v>2236457.6897324501</v>
      </c>
      <c r="F104" s="35"/>
      <c r="G104" s="35"/>
      <c r="H104" s="35"/>
      <c r="I104" s="35"/>
    </row>
    <row r="105" spans="1:9">
      <c r="A105" s="40" t="s">
        <v>153</v>
      </c>
      <c r="B105" s="11" t="s">
        <v>154</v>
      </c>
      <c r="C105" s="95">
        <v>20.2</v>
      </c>
      <c r="D105" s="92">
        <v>-3.3492822999999998E-2</v>
      </c>
      <c r="E105" s="93">
        <v>399414540.94325894</v>
      </c>
      <c r="F105" s="35"/>
      <c r="G105" s="35"/>
      <c r="H105" s="35"/>
      <c r="I105" s="35"/>
    </row>
    <row r="106" spans="1:9">
      <c r="A106" s="40" t="s">
        <v>193</v>
      </c>
      <c r="B106" s="11" t="s">
        <v>194</v>
      </c>
      <c r="C106" s="95">
        <v>13320</v>
      </c>
      <c r="D106" s="92">
        <v>-3.4082668599999998E-2</v>
      </c>
      <c r="E106" s="93">
        <v>612574.11413667002</v>
      </c>
      <c r="F106" s="35"/>
      <c r="G106" s="35"/>
      <c r="H106" s="35"/>
      <c r="I106" s="35"/>
    </row>
    <row r="107" spans="1:9">
      <c r="A107" s="40" t="s">
        <v>127</v>
      </c>
      <c r="B107" s="11" t="s">
        <v>128</v>
      </c>
      <c r="C107" s="95">
        <v>697</v>
      </c>
      <c r="D107" s="92">
        <v>-3.4626038800000002E-2</v>
      </c>
      <c r="E107" s="93">
        <v>8660420.3958646506</v>
      </c>
      <c r="F107" s="35"/>
      <c r="G107" s="35"/>
      <c r="H107" s="35"/>
      <c r="I107" s="35"/>
    </row>
    <row r="108" spans="1:9">
      <c r="A108" s="40" t="s">
        <v>243</v>
      </c>
      <c r="B108" s="11" t="s">
        <v>244</v>
      </c>
      <c r="C108" s="95">
        <v>3600</v>
      </c>
      <c r="D108" s="92">
        <v>-3.6144578300000001E-2</v>
      </c>
      <c r="E108" s="93">
        <v>4946165.1146128401</v>
      </c>
      <c r="F108" s="35"/>
      <c r="G108" s="35"/>
      <c r="H108" s="35"/>
      <c r="I108" s="35"/>
    </row>
    <row r="109" spans="1:9">
      <c r="A109" s="40" t="s">
        <v>247</v>
      </c>
      <c r="B109" s="11" t="s">
        <v>248</v>
      </c>
      <c r="C109" s="95">
        <v>4050</v>
      </c>
      <c r="D109" s="92">
        <v>-3.6860879899999997E-2</v>
      </c>
      <c r="E109" s="41">
        <v>4304842.7058307296</v>
      </c>
    </row>
    <row r="110" spans="1:9">
      <c r="A110" s="40" t="s">
        <v>141</v>
      </c>
      <c r="B110" s="11" t="s">
        <v>142</v>
      </c>
      <c r="C110" s="95">
        <v>457</v>
      </c>
      <c r="D110" s="92">
        <v>-3.7894736800000002E-2</v>
      </c>
      <c r="E110" s="41">
        <v>15807674.580539539</v>
      </c>
    </row>
    <row r="111" spans="1:9">
      <c r="A111" s="40" t="s">
        <v>239</v>
      </c>
      <c r="B111" s="11" t="s">
        <v>240</v>
      </c>
      <c r="C111" s="95">
        <v>177</v>
      </c>
      <c r="D111" s="92">
        <v>-3.8043478300000003E-2</v>
      </c>
      <c r="E111" s="41">
        <v>38954956.834313013</v>
      </c>
    </row>
    <row r="112" spans="1:9">
      <c r="A112" s="40" t="s">
        <v>66</v>
      </c>
      <c r="B112" s="11" t="s">
        <v>67</v>
      </c>
      <c r="C112" s="95">
        <v>7980</v>
      </c>
      <c r="D112" s="92">
        <v>-3.85542169E-2</v>
      </c>
      <c r="E112" s="41">
        <v>807325.68953439</v>
      </c>
    </row>
    <row r="113" spans="1:5">
      <c r="A113" s="40" t="s">
        <v>181</v>
      </c>
      <c r="B113" s="11" t="s">
        <v>182</v>
      </c>
      <c r="C113" s="95">
        <v>544</v>
      </c>
      <c r="D113" s="92">
        <v>-3.8869257999999997E-2</v>
      </c>
      <c r="E113" s="41">
        <v>14945473.73385388</v>
      </c>
    </row>
    <row r="114" spans="1:5">
      <c r="A114" s="40" t="s">
        <v>191</v>
      </c>
      <c r="B114" s="11" t="s">
        <v>192</v>
      </c>
      <c r="C114" s="95">
        <v>1230</v>
      </c>
      <c r="D114" s="92">
        <v>-3.90625E-2</v>
      </c>
      <c r="E114" s="41">
        <v>3612416.9552834602</v>
      </c>
    </row>
    <row r="115" spans="1:5">
      <c r="A115" s="40" t="s">
        <v>187</v>
      </c>
      <c r="B115" s="11" t="s">
        <v>188</v>
      </c>
      <c r="C115" s="95">
        <v>32200</v>
      </c>
      <c r="D115" s="92">
        <v>-4.0810247199999997E-2</v>
      </c>
      <c r="E115" s="41">
        <v>13481575.216287229</v>
      </c>
    </row>
    <row r="116" spans="1:5">
      <c r="A116" s="40" t="s">
        <v>261</v>
      </c>
      <c r="B116" s="11" t="s">
        <v>262</v>
      </c>
      <c r="C116" s="95">
        <v>1415</v>
      </c>
      <c r="D116" s="92">
        <v>-4.7138047099999997E-2</v>
      </c>
      <c r="E116" s="41">
        <v>14321793.32223995</v>
      </c>
    </row>
    <row r="117" spans="1:5">
      <c r="A117" s="40" t="s">
        <v>223</v>
      </c>
      <c r="B117" s="11" t="s">
        <v>224</v>
      </c>
      <c r="C117" s="95">
        <v>2120</v>
      </c>
      <c r="D117" s="92">
        <v>-4.7191011200000001E-2</v>
      </c>
      <c r="E117" s="41">
        <v>11309368.96807842</v>
      </c>
    </row>
    <row r="118" spans="1:5">
      <c r="A118" s="40" t="s">
        <v>295</v>
      </c>
      <c r="B118" s="11" t="s">
        <v>296</v>
      </c>
      <c r="C118" s="95">
        <v>636</v>
      </c>
      <c r="D118" s="92">
        <v>-9.5305832100000001E-2</v>
      </c>
      <c r="E118" s="41">
        <v>3003960422.8867307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5"/>
    <col min="2" max="2" width="11.875" style="125" bestFit="1" customWidth="1"/>
    <col min="3" max="3" width="21.25" style="125" customWidth="1"/>
    <col min="4" max="4" width="16.25" style="125" bestFit="1" customWidth="1"/>
    <col min="5" max="5" width="9" style="125"/>
    <col min="6" max="6" width="14.375" style="125" bestFit="1" customWidth="1"/>
    <col min="7" max="7" width="16.25" style="125" bestFit="1" customWidth="1"/>
    <col min="8" max="8" width="9" style="125"/>
    <col min="9" max="9" width="14.5" style="125" customWidth="1"/>
    <col min="10" max="10" width="16.25" style="125" bestFit="1" customWidth="1"/>
    <col min="11" max="11" width="9" style="125"/>
    <col min="12" max="13" width="16.25" style="125" bestFit="1" customWidth="1"/>
    <col min="14" max="14" width="9" style="125"/>
    <col min="15" max="15" width="15.25" style="125" bestFit="1" customWidth="1"/>
    <col min="16" max="16" width="9" style="125" customWidth="1"/>
    <col min="17" max="19" width="12.125" style="125" customWidth="1"/>
    <col min="20" max="16384" width="9" style="125"/>
  </cols>
  <sheetData>
    <row r="1" spans="1:15" ht="16.5" customHeight="1" thickBot="1">
      <c r="A1" s="196" t="str">
        <f>TEXT(투자전략!$G$1, "[$-ko-KR]yyyy년 mm월") &amp; " 총결산"</f>
        <v>2021년 05월 총결산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8"/>
    </row>
    <row r="2" spans="1:15" ht="16.5" customHeight="1" thickBot="1">
      <c r="A2" s="202" t="s">
        <v>326</v>
      </c>
      <c r="B2" s="203"/>
      <c r="C2" s="203"/>
      <c r="D2" s="194" t="s">
        <v>322</v>
      </c>
      <c r="E2" s="194"/>
      <c r="F2" s="195"/>
      <c r="G2" s="196" t="s">
        <v>323</v>
      </c>
      <c r="H2" s="197"/>
      <c r="I2" s="198"/>
      <c r="J2" s="193" t="s">
        <v>324</v>
      </c>
      <c r="K2" s="194"/>
      <c r="L2" s="194"/>
      <c r="M2" s="194" t="s">
        <v>325</v>
      </c>
      <c r="N2" s="194"/>
      <c r="O2" s="195"/>
    </row>
    <row r="3" spans="1:15" ht="16.5" customHeight="1">
      <c r="A3" s="273">
        <v>1</v>
      </c>
      <c r="B3" s="20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204"/>
      <c r="D3" s="202" t="s">
        <v>327</v>
      </c>
      <c r="E3" s="203"/>
      <c r="F3" s="204"/>
      <c r="G3" s="202" t="s">
        <v>334</v>
      </c>
      <c r="H3" s="203"/>
      <c r="I3" s="204"/>
      <c r="J3" s="202" t="s">
        <v>341</v>
      </c>
      <c r="K3" s="203"/>
      <c r="L3" s="204"/>
      <c r="M3" s="202" t="s">
        <v>348</v>
      </c>
      <c r="N3" s="203"/>
      <c r="O3" s="204"/>
    </row>
    <row r="4" spans="1:15" ht="16.5" customHeight="1" thickBot="1">
      <c r="A4" s="274"/>
      <c r="B4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1,266,098 KRW (30.15%)</v>
      </c>
      <c r="C4" s="210"/>
      <c r="D4" s="208" t="str">
        <f ca="1" xml:space="preserve"> TEXT($F$92, "#,##0") &amp; " KRW (" &amp; TEXT($E$92, "0.00%)")</f>
        <v>-357,901 KRW (-9.28%)</v>
      </c>
      <c r="E4" s="209"/>
      <c r="F4" s="210"/>
      <c r="G4" s="208" t="str">
        <f ca="1" xml:space="preserve"> TEXT($I$92, "#,##0") &amp; " KRW (" &amp; TEXT($H$92, "0.00%)")</f>
        <v>-206,716 KRW (-5.36%)</v>
      </c>
      <c r="H4" s="209"/>
      <c r="I4" s="210"/>
      <c r="J4" s="208" t="str">
        <f ca="1" xml:space="preserve"> TEXT($L$92, "#,##0") &amp; " KRW (" &amp; TEXT($K$92, "0.00%)")</f>
        <v>-100,845 KRW (-2.62%)</v>
      </c>
      <c r="K4" s="209"/>
      <c r="L4" s="210"/>
      <c r="M4" s="208" t="str">
        <f ca="1" xml:space="preserve"> TEXT($O$92, "#,##0") &amp; " KRW (" &amp; TEXT($N$92, "0.00%)")</f>
        <v>-223,458 KRW (-5.80%)</v>
      </c>
      <c r="N4" s="209"/>
      <c r="O4" s="210"/>
    </row>
    <row r="5" spans="1:15" ht="16.5" customHeight="1">
      <c r="A5" s="273">
        <v>2</v>
      </c>
      <c r="B5" s="2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전일대비 상승률 Top20</v>
      </c>
      <c r="C5" s="204"/>
      <c r="D5" s="202" t="s">
        <v>328</v>
      </c>
      <c r="E5" s="203"/>
      <c r="F5" s="204"/>
      <c r="G5" s="202" t="s">
        <v>335</v>
      </c>
      <c r="H5" s="203"/>
      <c r="I5" s="204"/>
      <c r="J5" s="202" t="s">
        <v>342</v>
      </c>
      <c r="K5" s="203"/>
      <c r="L5" s="204"/>
      <c r="M5" s="202" t="s">
        <v>349</v>
      </c>
      <c r="N5" s="203"/>
      <c r="O5" s="204"/>
    </row>
    <row r="6" spans="1:15" ht="16.5" customHeight="1" thickBot="1">
      <c r="A6" s="274"/>
      <c r="B6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996,110 KRW (23.72%)</v>
      </c>
      <c r="C6" s="210"/>
      <c r="D6" s="208" t="str">
        <f ca="1" xml:space="preserve"> TEXT($F$130, "#,##0") &amp; " KRW (" &amp; TEXT($E$130, "0.00%)")</f>
        <v>66,279 KRW (1.58%)</v>
      </c>
      <c r="E6" s="209"/>
      <c r="F6" s="210"/>
      <c r="G6" s="208" t="str">
        <f ca="1" xml:space="preserve"> TEXT($I$130, "#,##0") &amp; " KRW (" &amp; TEXT($H$130, "0.00%)")</f>
        <v>366,037 KRW (8.72%)</v>
      </c>
      <c r="H6" s="209"/>
      <c r="I6" s="210"/>
      <c r="J6" s="208" t="str">
        <f ca="1" xml:space="preserve"> TEXT($L$130, "#,##0") &amp; " KRW (" &amp; TEXT($K$130, "0.00%)")</f>
        <v>558,656 KRW (13.30%)</v>
      </c>
      <c r="K6" s="209"/>
      <c r="L6" s="210"/>
      <c r="M6" s="208" t="str">
        <f ca="1" xml:space="preserve"> TEXT($O$130, "#,##0") &amp; " KRW (" &amp; TEXT($N$130, "0.00%)")</f>
        <v>266,281 KRW (6.34%)</v>
      </c>
      <c r="N6" s="209"/>
      <c r="O6" s="210"/>
    </row>
    <row r="7" spans="1:15" ht="16.5" customHeight="1">
      <c r="A7" s="273">
        <v>3</v>
      </c>
      <c r="B7" s="2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전일대비 상승률 Top20</v>
      </c>
      <c r="C7" s="204"/>
      <c r="D7" s="202" t="s">
        <v>329</v>
      </c>
      <c r="E7" s="203"/>
      <c r="F7" s="204"/>
      <c r="G7" s="202" t="s">
        <v>336</v>
      </c>
      <c r="H7" s="203"/>
      <c r="I7" s="204"/>
      <c r="J7" s="202" t="s">
        <v>343</v>
      </c>
      <c r="K7" s="203"/>
      <c r="L7" s="204"/>
      <c r="M7" s="202" t="s">
        <v>350</v>
      </c>
      <c r="N7" s="203"/>
      <c r="O7" s="204"/>
    </row>
    <row r="8" spans="1:15" ht="16.5" customHeight="1" thickBot="1">
      <c r="A8" s="274"/>
      <c r="B8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967,436 KRW (23.03%)</v>
      </c>
      <c r="C8" s="210"/>
      <c r="D8" s="208" t="str">
        <f ca="1" xml:space="preserve"> TEXT($F$206, "#,##0") &amp; " KRW (" &amp; TEXT($E$206, "0.00%)")</f>
        <v>-357,901 KRW (-9.28%)</v>
      </c>
      <c r="E8" s="209"/>
      <c r="F8" s="210"/>
      <c r="G8" s="208" t="str">
        <f ca="1" xml:space="preserve"> TEXT($I$206, "#,##0") &amp; " KRW (" &amp; TEXT($H$206, "0.00%)")</f>
        <v>-206,716 KRW (-5.36%)</v>
      </c>
      <c r="H8" s="209"/>
      <c r="I8" s="210"/>
      <c r="J8" s="208" t="str">
        <f ca="1" xml:space="preserve"> TEXT($L$206, "#,##0") &amp; " KRW (" &amp; TEXT($K$206, "0.00%)")</f>
        <v>-100,845 KRW (-2.62%)</v>
      </c>
      <c r="K8" s="209"/>
      <c r="L8" s="210"/>
      <c r="M8" s="208" t="str">
        <f ca="1" xml:space="preserve"> TEXT($O$206, "#,##0") &amp; " KRW (" &amp; TEXT($N$206, "0.00%)")</f>
        <v>-223,458 KRW (-5.80%)</v>
      </c>
      <c r="N8" s="209"/>
      <c r="O8" s="210"/>
    </row>
    <row r="9" spans="1:15" ht="16.5" customHeight="1">
      <c r="A9" s="273">
        <v>4</v>
      </c>
      <c r="B9" s="2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전일대비 상승률 Top20</v>
      </c>
      <c r="C9" s="204"/>
      <c r="D9" s="202" t="s">
        <v>330</v>
      </c>
      <c r="E9" s="203"/>
      <c r="F9" s="204"/>
      <c r="G9" s="202" t="s">
        <v>337</v>
      </c>
      <c r="H9" s="203"/>
      <c r="I9" s="204"/>
      <c r="J9" s="202" t="s">
        <v>344</v>
      </c>
      <c r="K9" s="203"/>
      <c r="L9" s="204"/>
      <c r="M9" s="202" t="s">
        <v>351</v>
      </c>
      <c r="N9" s="203"/>
      <c r="O9" s="204"/>
    </row>
    <row r="10" spans="1:15" ht="16.5" customHeight="1" thickBot="1">
      <c r="A10" s="274"/>
      <c r="B10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673,869 KRW (16.04%)</v>
      </c>
      <c r="C10" s="210"/>
      <c r="D10" s="208" t="str">
        <f ca="1" xml:space="preserve"> TEXT($F$244, "#,##0") &amp; " KRW (" &amp; TEXT($E$244, "0.00%)")</f>
        <v>-313,189 KRW (-7.46%)</v>
      </c>
      <c r="E10" s="209"/>
      <c r="F10" s="210"/>
      <c r="G10" s="208" t="str">
        <f ca="1" xml:space="preserve"> TEXT($I$244, "#,##0") &amp; " KRW (" &amp; TEXT($H$244, "0.00%)")</f>
        <v>-96,957 KRW (-2.31%)</v>
      </c>
      <c r="H10" s="209"/>
      <c r="I10" s="210"/>
      <c r="J10" s="208" t="str">
        <f ca="1" xml:space="preserve"> TEXT($L$244, "#,##0") &amp; " KRW (" &amp; TEXT($K$244, "0.00%)")</f>
        <v>-24,048 KRW (-0.57%)</v>
      </c>
      <c r="K10" s="209"/>
      <c r="L10" s="210"/>
      <c r="M10" s="208" t="str">
        <f ca="1" xml:space="preserve"> TEXT($O$244, "#,##0") &amp; " KRW (" &amp; TEXT($N$244, "0.00%)")</f>
        <v>-175,024 KRW (-4.17%)</v>
      </c>
      <c r="N10" s="209"/>
      <c r="O10" s="210"/>
    </row>
    <row r="11" spans="1:15" ht="16.5" customHeight="1">
      <c r="A11" s="273">
        <v>5</v>
      </c>
      <c r="B11" s="2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Top20</v>
      </c>
      <c r="C11" s="204"/>
      <c r="D11" s="202" t="s">
        <v>331</v>
      </c>
      <c r="E11" s="203"/>
      <c r="F11" s="204"/>
      <c r="G11" s="202" t="s">
        <v>338</v>
      </c>
      <c r="H11" s="203"/>
      <c r="I11" s="204"/>
      <c r="J11" s="202" t="s">
        <v>345</v>
      </c>
      <c r="K11" s="203"/>
      <c r="L11" s="204"/>
      <c r="M11" s="202" t="s">
        <v>352</v>
      </c>
      <c r="N11" s="203"/>
      <c r="O11" s="204"/>
    </row>
    <row r="12" spans="1:15" ht="16.5" customHeight="1" thickBot="1">
      <c r="A12" s="274"/>
      <c r="B12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558,656 KRW (13.30%)</v>
      </c>
      <c r="C12" s="210"/>
      <c r="D12" s="208" t="str">
        <f ca="1" xml:space="preserve"> TEXT($F$168, "#,##0") &amp; " KRW (" &amp; TEXT($E$168, "0.00%)")</f>
        <v>673,869 KRW (16.04%)</v>
      </c>
      <c r="E12" s="209"/>
      <c r="F12" s="210"/>
      <c r="G12" s="208" t="str">
        <f ca="1" xml:space="preserve"> TEXT($I$168, "#,##0") &amp; " KRW (" &amp; TEXT($H$168, "0.00%)")</f>
        <v>996,110 KRW (23.72%)</v>
      </c>
      <c r="H12" s="209"/>
      <c r="I12" s="210"/>
      <c r="J12" s="208" t="str">
        <f ca="1" xml:space="preserve"> TEXT($L$168, "#,##0") &amp; " KRW (" &amp; TEXT($K$168, "0.00%)")</f>
        <v>1,266,098 KRW (30.15%)</v>
      </c>
      <c r="K12" s="209"/>
      <c r="L12" s="210"/>
      <c r="M12" s="208" t="str">
        <f ca="1" xml:space="preserve"> TEXT($O$168, "#,##0") &amp; " KRW (" &amp; TEXT($N$168, "0.00%)")</f>
        <v>967,436 KRW (23.03%)</v>
      </c>
      <c r="N12" s="209"/>
      <c r="O12" s="210"/>
    </row>
    <row r="13" spans="1:15" ht="16.5" customHeight="1">
      <c r="A13" s="273">
        <v>6</v>
      </c>
      <c r="B13" s="2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실거래종목</v>
      </c>
      <c r="C13" s="204"/>
      <c r="D13" s="202" t="s">
        <v>332</v>
      </c>
      <c r="E13" s="203"/>
      <c r="F13" s="204"/>
      <c r="G13" s="202" t="s">
        <v>339</v>
      </c>
      <c r="H13" s="203"/>
      <c r="I13" s="204"/>
      <c r="J13" s="202" t="s">
        <v>346</v>
      </c>
      <c r="K13" s="203"/>
      <c r="L13" s="204"/>
      <c r="M13" s="202" t="s">
        <v>353</v>
      </c>
      <c r="N13" s="203"/>
      <c r="O13" s="204"/>
    </row>
    <row r="14" spans="1:15" ht="16.5" customHeight="1" thickBot="1">
      <c r="A14" s="274"/>
      <c r="B14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439,972 KRW (20.95%)</v>
      </c>
      <c r="C14" s="210"/>
      <c r="D14" s="208" t="str">
        <f ca="1" xml:space="preserve"> TEXT($F$282, "#,##0") &amp; " KRW (" &amp; TEXT($E$282, "0.00%)")</f>
        <v>-516,339 KRW (-12.29%)</v>
      </c>
      <c r="E14" s="209"/>
      <c r="F14" s="210"/>
      <c r="G14" s="208" t="str">
        <f ca="1" xml:space="preserve"> TEXT($I$282, "#,##0") &amp; " KRW (" &amp; TEXT($H$282, "0.00%)")</f>
        <v>-314,612 KRW (-7.49%)</v>
      </c>
      <c r="H14" s="209"/>
      <c r="I14" s="210"/>
      <c r="J14" s="208" t="str">
        <f ca="1" xml:space="preserve"> TEXT($L$282, "#,##0") &amp; " KRW (" &amp; TEXT($K$282, "0.00%)")</f>
        <v>-245,467 KRW (-5.84%)</v>
      </c>
      <c r="K14" s="209"/>
      <c r="L14" s="210"/>
      <c r="M14" s="208" t="str">
        <f ca="1" xml:space="preserve"> TEXT($O$282, "#,##0") &amp; " KRW (" &amp; TEXT($N$282, "0.00%)")</f>
        <v>-431,528 KRW (-10.27%)</v>
      </c>
      <c r="N14" s="209"/>
      <c r="O14" s="210"/>
    </row>
    <row r="15" spans="1:15" ht="16.5" customHeight="1">
      <c r="A15" s="273">
        <v>7</v>
      </c>
      <c r="B15" s="2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실거래종목</v>
      </c>
      <c r="C15" s="204"/>
      <c r="D15" s="202" t="s">
        <v>333</v>
      </c>
      <c r="E15" s="203"/>
      <c r="F15" s="204"/>
      <c r="G15" s="202" t="s">
        <v>340</v>
      </c>
      <c r="H15" s="203"/>
      <c r="I15" s="204"/>
      <c r="J15" s="202" t="s">
        <v>347</v>
      </c>
      <c r="K15" s="203"/>
      <c r="L15" s="204"/>
      <c r="M15" s="202" t="s">
        <v>354</v>
      </c>
      <c r="N15" s="203"/>
      <c r="O15" s="204"/>
    </row>
    <row r="16" spans="1:15" ht="16.5" customHeight="1" thickBot="1">
      <c r="A16" s="274"/>
      <c r="B16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386,769 KRW (18.42%)</v>
      </c>
      <c r="C16" s="210"/>
      <c r="D16" s="208" t="str">
        <f ca="1" xml:space="preserve"> TEXT($F$54, "#,##0") &amp; " KRW (" &amp; TEXT($E$54, "0.00%)")</f>
        <v>200,603 KRW (9.55%)</v>
      </c>
      <c r="E16" s="209"/>
      <c r="F16" s="210"/>
      <c r="G16" s="208" t="str">
        <f ca="1" xml:space="preserve"> TEXT($I$54, "#,##0") &amp; " KRW (" &amp; TEXT($H$54, "0.00%)")</f>
        <v>374,119 KRW (17.82%)</v>
      </c>
      <c r="H16" s="209"/>
      <c r="I16" s="210"/>
      <c r="J16" s="208" t="str">
        <f ca="1" xml:space="preserve"> TEXT($L$54, "#,##0") &amp; " KRW (" &amp; TEXT($K$54, "0.00%)")</f>
        <v>439,972 KRW (20.95%)</v>
      </c>
      <c r="K16" s="209"/>
      <c r="L16" s="210"/>
      <c r="M16" s="208" t="str">
        <f ca="1" xml:space="preserve"> TEXT($O$54, "#,##0") &amp; " KRW (" &amp; TEXT($N$54, "0.00%)")</f>
        <v>386,769 KRW (18.42%)</v>
      </c>
      <c r="N16" s="209"/>
      <c r="O16" s="210"/>
    </row>
    <row r="18" spans="1:15" ht="16.5" customHeight="1" thickBot="1"/>
    <row r="19" spans="1:15" ht="16.5" customHeight="1" thickBot="1">
      <c r="A19" s="193" t="str">
        <f>TEXT(투자전략!$G$1, "[$-ko-KR]yyyy년 mm월 ") &amp; "실거래 월말결산"</f>
        <v>2021년 05월 실거래 월말결산</v>
      </c>
      <c r="B19" s="194"/>
      <c r="C19" s="194"/>
      <c r="D19" s="194"/>
      <c r="E19" s="194"/>
      <c r="F19" s="194"/>
      <c r="G19" s="194"/>
      <c r="H19" s="194"/>
      <c r="I19" s="194"/>
      <c r="J19" s="194"/>
      <c r="K19" s="194"/>
      <c r="L19" s="194"/>
      <c r="M19" s="194"/>
      <c r="N19" s="194"/>
      <c r="O19" s="195"/>
    </row>
    <row r="20" spans="1:15" ht="16.5" customHeight="1" thickBot="1">
      <c r="A20" s="254" t="s">
        <v>320</v>
      </c>
      <c r="B20" s="208" t="s">
        <v>318</v>
      </c>
      <c r="C20" s="210"/>
      <c r="D20" s="208" t="s">
        <v>310</v>
      </c>
      <c r="E20" s="209"/>
      <c r="F20" s="210"/>
      <c r="G20" s="208" t="s">
        <v>311</v>
      </c>
      <c r="H20" s="209"/>
      <c r="I20" s="210"/>
      <c r="J20" s="208" t="s">
        <v>312</v>
      </c>
      <c r="K20" s="209"/>
      <c r="L20" s="210"/>
      <c r="M20" s="208" t="s">
        <v>313</v>
      </c>
      <c r="N20" s="209"/>
      <c r="O20" s="210"/>
    </row>
    <row r="21" spans="1:15" ht="16.5" customHeight="1" thickBot="1">
      <c r="A21" s="258"/>
      <c r="B21" s="149" t="s">
        <v>308</v>
      </c>
      <c r="C21" s="149" t="s">
        <v>42</v>
      </c>
      <c r="D21" s="124" t="s">
        <v>309</v>
      </c>
      <c r="E21" s="136" t="s">
        <v>40</v>
      </c>
      <c r="F21" s="152" t="s">
        <v>41</v>
      </c>
      <c r="G21" s="124" t="s">
        <v>309</v>
      </c>
      <c r="H21" s="136" t="s">
        <v>40</v>
      </c>
      <c r="I21" s="152" t="s">
        <v>41</v>
      </c>
      <c r="J21" s="124" t="s">
        <v>309</v>
      </c>
      <c r="K21" s="136" t="s">
        <v>40</v>
      </c>
      <c r="L21" s="152" t="s">
        <v>41</v>
      </c>
      <c r="M21" s="124" t="s">
        <v>309</v>
      </c>
      <c r="N21" s="136" t="s">
        <v>40</v>
      </c>
      <c r="O21" s="152" t="s">
        <v>41</v>
      </c>
    </row>
    <row r="22" spans="1:15" ht="16.5" customHeight="1">
      <c r="A22" s="149">
        <v>1</v>
      </c>
      <c r="B22" s="149" t="str">
        <f>TEXT(투자전략!$G$1+0, "[$-ko-KR]yyyy.mm.dd")</f>
        <v>2021.05.01</v>
      </c>
      <c r="C22" s="137">
        <f ca="1">IFERROR(COUNTA(INDIRECT($B22&amp;"!A17:A36")) * INDIRECT($B22&amp;"!B37"), "")</f>
        <v>1500000</v>
      </c>
      <c r="D22" s="145">
        <f ca="1">IFERROR($C22 * (1 + E22), "")</f>
        <v>1537148.5592487582</v>
      </c>
      <c r="E22" s="76">
        <f ca="1">IFERROR(INDIRECT($B22&amp;"!E37"), "")</f>
        <v>2.4765706165838879E-2</v>
      </c>
      <c r="F22" s="144">
        <f ca="1">IFERROR(INDIRECT($B22&amp;"!F37"), "")</f>
        <v>37148.55924875832</v>
      </c>
      <c r="G22" s="145">
        <f ca="1">IFERROR($C22 * (1 + H22), "")</f>
        <v>1524358.7407947064</v>
      </c>
      <c r="H22" s="76">
        <f ca="1">IFERROR(INDIRECT($B22&amp;"!H37"), "")</f>
        <v>1.6239160529804193E-2</v>
      </c>
      <c r="I22" s="144">
        <f ca="1">IFERROR(INDIRECT($B22&amp;"!I37"), "")</f>
        <v>24358.740794706289</v>
      </c>
      <c r="J22" s="145">
        <f ca="1">IFERROR($C22 * (1 + K22), "")</f>
        <v>1541059.6578824846</v>
      </c>
      <c r="K22" s="76">
        <f ca="1">IFERROR(INDIRECT($B22&amp;"!K37"), "")</f>
        <v>2.7373105254989795E-2</v>
      </c>
      <c r="L22" s="144">
        <f ca="1">IFERROR(INDIRECT($B22&amp;"!L37"), "")</f>
        <v>41059.657882484695</v>
      </c>
      <c r="M22" s="145">
        <f ca="1">IFERROR($C22 * (1 + N22), "")</f>
        <v>1525524.8993430813</v>
      </c>
      <c r="N22" s="76">
        <f ca="1">IFERROR(INDIRECT($B22&amp;"!N37"), "")</f>
        <v>1.7016599562054108E-2</v>
      </c>
      <c r="O22" s="144">
        <f ca="1">IFERROR(INDIRECT($B22&amp;"!O37"), "")</f>
        <v>25524.899343081161</v>
      </c>
    </row>
    <row r="23" spans="1:15" ht="16.5" customHeight="1">
      <c r="A23" s="151">
        <v>2</v>
      </c>
      <c r="B23" s="151" t="str">
        <f>TEXT(투자전략!$G$1+1, "[$-ko-KR]yyyy.mm.dd")</f>
        <v>2021.05.02</v>
      </c>
      <c r="C23" s="138">
        <f t="shared" ref="C23:C52" ca="1" si="0">IFERROR(COUNTA(INDIRECT($B23&amp;"!A17:A36")) * INDIRECT($B23&amp;"!B37"), "")</f>
        <v>1500000</v>
      </c>
      <c r="D23" s="142">
        <f t="shared" ref="D23:D52" ca="1" si="1">IFERROR($C23 * (1 + E23), "")</f>
        <v>1477868.831183566</v>
      </c>
      <c r="E23" s="77">
        <f t="shared" ref="E23:E52" ca="1" si="2">IFERROR(INDIRECT($B23&amp;"!E37"), "")</f>
        <v>-1.4754112544289216E-2</v>
      </c>
      <c r="F23" s="140">
        <f t="shared" ref="F23:F52" ca="1" si="3">IFERROR(INDIRECT($B23&amp;"!F37"), "")</f>
        <v>-22131.168816433827</v>
      </c>
      <c r="G23" s="142">
        <f t="shared" ref="G23:G52" ca="1" si="4">IFERROR($C23 * (1 + H23), "")</f>
        <v>1481878.8005359648</v>
      </c>
      <c r="H23" s="77">
        <f t="shared" ref="H23:H52" ca="1" si="5">IFERROR(INDIRECT($B23&amp;"!H37"), "")</f>
        <v>-1.2080799642690102E-2</v>
      </c>
      <c r="I23" s="140">
        <f t="shared" ref="I23:I52" ca="1" si="6">IFERROR(INDIRECT($B23&amp;"!I37"), "")</f>
        <v>-18121.199464035148</v>
      </c>
      <c r="J23" s="142">
        <f t="shared" ref="J23:J52" ca="1" si="7">IFERROR($C23 * (1 + K23), "")</f>
        <v>1490013.0381251995</v>
      </c>
      <c r="K23" s="77">
        <f t="shared" ref="K23:K52" ca="1" si="8">IFERROR(INDIRECT($B23&amp;"!K37"), "")</f>
        <v>-6.6579745832004086E-3</v>
      </c>
      <c r="L23" s="140">
        <f t="shared" ref="L23:L52" ca="1" si="9">IFERROR(INDIRECT($B23&amp;"!L37"), "")</f>
        <v>-9986.9618748006123</v>
      </c>
      <c r="M23" s="142">
        <f t="shared" ref="M23:M52" ca="1" si="10">IFERROR($C23 * (1 + N23), "")</f>
        <v>1505154.0441810088</v>
      </c>
      <c r="N23" s="77">
        <f t="shared" ref="N23:N52" ca="1" si="11">IFERROR(INDIRECT($B23&amp;"!N37"), "")</f>
        <v>3.4360294540058622E-3</v>
      </c>
      <c r="O23" s="140">
        <f t="shared" ref="O23:O52" ca="1" si="12">IFERROR(INDIRECT($B23&amp;"!O37"), "")</f>
        <v>5154.0441810087932</v>
      </c>
    </row>
    <row r="24" spans="1:15" ht="16.5" customHeight="1">
      <c r="A24" s="151">
        <v>3</v>
      </c>
      <c r="B24" s="151" t="str">
        <f>TEXT(투자전략!$G$1+2, "[$-ko-KR]yyyy.mm.dd")</f>
        <v>2021.05.03</v>
      </c>
      <c r="C24" s="138">
        <f t="shared" ca="1" si="0"/>
        <v>1500000</v>
      </c>
      <c r="D24" s="142">
        <f t="shared" ca="1" si="1"/>
        <v>1523347.3977118272</v>
      </c>
      <c r="E24" s="77">
        <f t="shared" ca="1" si="2"/>
        <v>1.5564931807884787E-2</v>
      </c>
      <c r="F24" s="140">
        <f t="shared" ca="1" si="3"/>
        <v>23347.397711827187</v>
      </c>
      <c r="G24" s="142">
        <f t="shared" ca="1" si="4"/>
        <v>1560142.7557216759</v>
      </c>
      <c r="H24" s="77">
        <f t="shared" ca="1" si="5"/>
        <v>4.0095170481117118E-2</v>
      </c>
      <c r="I24" s="140">
        <f t="shared" ca="1" si="6"/>
        <v>60142.755721675669</v>
      </c>
      <c r="J24" s="142">
        <f t="shared" ca="1" si="7"/>
        <v>1568682.2171573569</v>
      </c>
      <c r="K24" s="77">
        <f t="shared" ca="1" si="8"/>
        <v>4.5788144771571407E-2</v>
      </c>
      <c r="L24" s="140">
        <f t="shared" ca="1" si="9"/>
        <v>68682.217157357096</v>
      </c>
      <c r="M24" s="142">
        <f t="shared" ca="1" si="10"/>
        <v>1559667.7728955552</v>
      </c>
      <c r="N24" s="77">
        <f t="shared" ca="1" si="11"/>
        <v>3.9778515263703573E-2</v>
      </c>
      <c r="O24" s="140">
        <f t="shared" ca="1" si="12"/>
        <v>59667.772895555361</v>
      </c>
    </row>
    <row r="25" spans="1:15" ht="16.5" customHeight="1">
      <c r="A25" s="151">
        <v>4</v>
      </c>
      <c r="B25" s="151" t="str">
        <f>TEXT(투자전략!$G$1+3, "[$-ko-KR]yyyy.mm.dd")</f>
        <v>2021.05.04</v>
      </c>
      <c r="C25" s="138">
        <f t="shared" ca="1" si="0"/>
        <v>1500000</v>
      </c>
      <c r="D25" s="142">
        <f t="shared" ca="1" si="1"/>
        <v>1447221.3062181717</v>
      </c>
      <c r="E25" s="77">
        <f t="shared" ca="1" si="2"/>
        <v>-3.5185795854552129E-2</v>
      </c>
      <c r="F25" s="140">
        <f t="shared" ca="1" si="3"/>
        <v>-52778.693781828188</v>
      </c>
      <c r="G25" s="142">
        <f t="shared" ca="1" si="4"/>
        <v>1456602.1520214851</v>
      </c>
      <c r="H25" s="77">
        <f t="shared" ca="1" si="5"/>
        <v>-2.8931898652343191E-2</v>
      </c>
      <c r="I25" s="140">
        <f t="shared" ca="1" si="6"/>
        <v>-43397.847978514787</v>
      </c>
      <c r="J25" s="142">
        <f t="shared" ca="1" si="7"/>
        <v>1443915.4672803837</v>
      </c>
      <c r="K25" s="77">
        <f t="shared" ca="1" si="8"/>
        <v>-3.7389688479744207E-2</v>
      </c>
      <c r="L25" s="140">
        <f t="shared" ca="1" si="9"/>
        <v>-56084.532719616313</v>
      </c>
      <c r="M25" s="142">
        <f t="shared" ca="1" si="10"/>
        <v>1398486.0165930653</v>
      </c>
      <c r="N25" s="77">
        <f t="shared" ca="1" si="11"/>
        <v>-6.7675988937956469E-2</v>
      </c>
      <c r="O25" s="140">
        <f t="shared" ca="1" si="12"/>
        <v>-101513.98340693471</v>
      </c>
    </row>
    <row r="26" spans="1:15" ht="16.5" customHeight="1">
      <c r="A26" s="151">
        <v>5</v>
      </c>
      <c r="B26" s="151" t="str">
        <f>TEXT(투자전략!$G$1+4, "[$-ko-KR]yyyy.mm.dd")</f>
        <v>2021.05.05</v>
      </c>
      <c r="C26" s="138">
        <f t="shared" ca="1" si="0"/>
        <v>0</v>
      </c>
      <c r="D26" s="142">
        <f t="shared" ca="1" si="1"/>
        <v>0</v>
      </c>
      <c r="E26" s="77">
        <f t="shared" ca="1" si="2"/>
        <v>0</v>
      </c>
      <c r="F26" s="140">
        <f t="shared" ca="1" si="3"/>
        <v>0</v>
      </c>
      <c r="G26" s="142">
        <f t="shared" ca="1" si="4"/>
        <v>0</v>
      </c>
      <c r="H26" s="77">
        <f t="shared" ca="1" si="5"/>
        <v>0</v>
      </c>
      <c r="I26" s="140">
        <f t="shared" ca="1" si="6"/>
        <v>0</v>
      </c>
      <c r="J26" s="142">
        <f t="shared" ca="1" si="7"/>
        <v>0</v>
      </c>
      <c r="K26" s="77">
        <f t="shared" ca="1" si="8"/>
        <v>0</v>
      </c>
      <c r="L26" s="140">
        <f t="shared" ca="1" si="9"/>
        <v>0</v>
      </c>
      <c r="M26" s="142">
        <f t="shared" ca="1" si="10"/>
        <v>0</v>
      </c>
      <c r="N26" s="77">
        <f t="shared" ca="1" si="11"/>
        <v>0</v>
      </c>
      <c r="O26" s="140">
        <f t="shared" ca="1" si="12"/>
        <v>0</v>
      </c>
    </row>
    <row r="27" spans="1:15" ht="16.5" customHeight="1">
      <c r="A27" s="151">
        <v>6</v>
      </c>
      <c r="B27" s="151" t="str">
        <f>TEXT(투자전략!$G$1+5, "[$-ko-KR]yyyy.mm.dd")</f>
        <v>2021.05.06</v>
      </c>
      <c r="C27" s="138">
        <f t="shared" ca="1" si="0"/>
        <v>3000000</v>
      </c>
      <c r="D27" s="142">
        <f t="shared" ca="1" si="1"/>
        <v>3257879.8644327633</v>
      </c>
      <c r="E27" s="77">
        <f t="shared" ca="1" si="2"/>
        <v>8.5959954810921085E-2</v>
      </c>
      <c r="F27" s="140">
        <f t="shared" ca="1" si="3"/>
        <v>257879.86443276325</v>
      </c>
      <c r="G27" s="142">
        <f t="shared" ca="1" si="4"/>
        <v>3230604.3387588654</v>
      </c>
      <c r="H27" s="77">
        <f t="shared" ca="1" si="5"/>
        <v>7.6868112919621853E-2</v>
      </c>
      <c r="I27" s="140">
        <f t="shared" ca="1" si="6"/>
        <v>230604.3387588656</v>
      </c>
      <c r="J27" s="142">
        <f t="shared" ca="1" si="7"/>
        <v>3300116.9283017786</v>
      </c>
      <c r="K27" s="77">
        <f t="shared" ca="1" si="8"/>
        <v>0.10003897610059287</v>
      </c>
      <c r="L27" s="140">
        <f t="shared" ca="1" si="9"/>
        <v>300116.92830177856</v>
      </c>
      <c r="M27" s="142">
        <f t="shared" ca="1" si="10"/>
        <v>3353374.1318830764</v>
      </c>
      <c r="N27" s="77">
        <f t="shared" ca="1" si="11"/>
        <v>0.1177913772943588</v>
      </c>
      <c r="O27" s="140">
        <f t="shared" ca="1" si="12"/>
        <v>353374.13188307645</v>
      </c>
    </row>
    <row r="28" spans="1:15" ht="16.5" customHeight="1" thickBot="1">
      <c r="A28" s="150">
        <v>7</v>
      </c>
      <c r="B28" s="150" t="str">
        <f>TEXT(투자전략!$G$1+6, "[$-ko-KR]yyyy.mm.dd")</f>
        <v>2021.05.07</v>
      </c>
      <c r="C28" s="139">
        <f t="shared" ca="1" si="0"/>
        <v>3000000</v>
      </c>
      <c r="D28" s="143">
        <f t="shared" ca="1" si="1"/>
        <v>3139394.5491867843</v>
      </c>
      <c r="E28" s="79">
        <f t="shared" ca="1" si="2"/>
        <v>4.6464849728928163E-2</v>
      </c>
      <c r="F28" s="141">
        <f t="shared" ca="1" si="3"/>
        <v>139394.54918678451</v>
      </c>
      <c r="G28" s="143">
        <f t="shared" ca="1" si="4"/>
        <v>3249695.91004832</v>
      </c>
      <c r="H28" s="79">
        <f t="shared" ca="1" si="5"/>
        <v>8.3231970016106507E-2</v>
      </c>
      <c r="I28" s="141">
        <f t="shared" ca="1" si="6"/>
        <v>249695.91004831955</v>
      </c>
      <c r="J28" s="143">
        <f t="shared" ca="1" si="7"/>
        <v>3304484.0968257068</v>
      </c>
      <c r="K28" s="79">
        <f t="shared" ca="1" si="8"/>
        <v>0.10149469894190226</v>
      </c>
      <c r="L28" s="141">
        <f t="shared" ca="1" si="9"/>
        <v>304484.09682570671</v>
      </c>
      <c r="M28" s="143">
        <f t="shared" ca="1" si="10"/>
        <v>3291654.044557563</v>
      </c>
      <c r="N28" s="79">
        <f t="shared" ca="1" si="11"/>
        <v>9.7218014852521087E-2</v>
      </c>
      <c r="O28" s="141">
        <f t="shared" ca="1" si="12"/>
        <v>291654.0445575632</v>
      </c>
    </row>
    <row r="29" spans="1:15" ht="16.5" customHeight="1">
      <c r="A29" s="149">
        <v>8</v>
      </c>
      <c r="B29" s="149" t="str">
        <f>TEXT(투자전략!$G$1+7, "[$-ko-KR]yyyy.mm.dd")</f>
        <v>2021.05.08</v>
      </c>
      <c r="C29" s="137">
        <f t="shared" ca="1" si="0"/>
        <v>3000000</v>
      </c>
      <c r="D29" s="145">
        <f t="shared" ca="1" si="1"/>
        <v>2858003.0883885557</v>
      </c>
      <c r="E29" s="76">
        <f t="shared" ca="1" si="2"/>
        <v>-4.7332303870481401E-2</v>
      </c>
      <c r="F29" s="144">
        <f t="shared" ca="1" si="3"/>
        <v>-141996.91161144423</v>
      </c>
      <c r="G29" s="145">
        <f t="shared" ca="1" si="4"/>
        <v>2912976.580666366</v>
      </c>
      <c r="H29" s="76">
        <f t="shared" ca="1" si="5"/>
        <v>-2.9007806444544669E-2</v>
      </c>
      <c r="I29" s="144">
        <f t="shared" ca="1" si="6"/>
        <v>-87023.41933363401</v>
      </c>
      <c r="J29" s="145">
        <f t="shared" ca="1" si="7"/>
        <v>2905833.9516736357</v>
      </c>
      <c r="K29" s="76">
        <f t="shared" ca="1" si="8"/>
        <v>-3.1388682775454854E-2</v>
      </c>
      <c r="L29" s="144">
        <f t="shared" ca="1" si="9"/>
        <v>-94166.048326364573</v>
      </c>
      <c r="M29" s="145">
        <f t="shared" ca="1" si="10"/>
        <v>2904341.722518648</v>
      </c>
      <c r="N29" s="76">
        <f t="shared" ca="1" si="11"/>
        <v>-3.1886092493784067E-2</v>
      </c>
      <c r="O29" s="144">
        <f t="shared" ca="1" si="12"/>
        <v>-95658.277481352183</v>
      </c>
    </row>
    <row r="30" spans="1:15" ht="16.5" customHeight="1">
      <c r="A30" s="151">
        <v>9</v>
      </c>
      <c r="B30" s="151" t="str">
        <f>TEXT(투자전략!$G$1+8, "[$-ko-KR]yyyy.mm.dd")</f>
        <v>2021.05.09</v>
      </c>
      <c r="C30" s="138">
        <f t="shared" ca="1" si="0"/>
        <v>3000000</v>
      </c>
      <c r="D30" s="142">
        <f t="shared" ca="1" si="1"/>
        <v>2916544.0926512168</v>
      </c>
      <c r="E30" s="77">
        <f t="shared" ca="1" si="2"/>
        <v>-2.7818635782927797E-2</v>
      </c>
      <c r="F30" s="140">
        <f t="shared" ca="1" si="3"/>
        <v>-83455.90734878341</v>
      </c>
      <c r="G30" s="142">
        <f t="shared" ca="1" si="4"/>
        <v>2881674.2465324234</v>
      </c>
      <c r="H30" s="77">
        <f t="shared" ca="1" si="5"/>
        <v>-3.9441917822525444E-2</v>
      </c>
      <c r="I30" s="140">
        <f t="shared" ca="1" si="6"/>
        <v>-118325.75346757633</v>
      </c>
      <c r="J30" s="142">
        <f t="shared" ca="1" si="7"/>
        <v>2840496.3275325312</v>
      </c>
      <c r="K30" s="77">
        <f t="shared" ca="1" si="8"/>
        <v>-5.3167890822489551E-2</v>
      </c>
      <c r="L30" s="140">
        <f t="shared" ca="1" si="9"/>
        <v>-159503.67246746868</v>
      </c>
      <c r="M30" s="142">
        <f t="shared" ca="1" si="10"/>
        <v>2848565.9800213883</v>
      </c>
      <c r="N30" s="77">
        <f t="shared" ca="1" si="11"/>
        <v>-5.0478006659537146E-2</v>
      </c>
      <c r="O30" s="140">
        <f t="shared" ca="1" si="12"/>
        <v>-151434.01997861144</v>
      </c>
    </row>
    <row r="31" spans="1:15" ht="16.5" customHeight="1">
      <c r="A31" s="151">
        <v>10</v>
      </c>
      <c r="B31" s="151" t="str">
        <f>TEXT(투자전략!$G$1+9, "[$-ko-KR]yyyy.mm.dd")</f>
        <v>2021.05.10</v>
      </c>
      <c r="C31" s="138">
        <f t="shared" ca="1" si="0"/>
        <v>3000000</v>
      </c>
      <c r="D31" s="142">
        <f t="shared" ca="1" si="1"/>
        <v>3043195.4481098079</v>
      </c>
      <c r="E31" s="77">
        <f t="shared" ca="1" si="2"/>
        <v>1.4398482703269253E-2</v>
      </c>
      <c r="F31" s="140">
        <f t="shared" ca="1" si="3"/>
        <v>43195.448109807767</v>
      </c>
      <c r="G31" s="142">
        <f t="shared" ca="1" si="4"/>
        <v>3076185.1648063501</v>
      </c>
      <c r="H31" s="77">
        <f t="shared" ca="1" si="5"/>
        <v>2.5395054935450044E-2</v>
      </c>
      <c r="I31" s="140">
        <f t="shared" ca="1" si="6"/>
        <v>76185.164806350134</v>
      </c>
      <c r="J31" s="142">
        <f t="shared" ca="1" si="7"/>
        <v>3045370.1058964198</v>
      </c>
      <c r="K31" s="77">
        <f t="shared" ca="1" si="8"/>
        <v>1.5123368632140022E-2</v>
      </c>
      <c r="L31" s="140">
        <f t="shared" ca="1" si="9"/>
        <v>45370.105896420064</v>
      </c>
      <c r="M31" s="142">
        <f t="shared" ca="1" si="10"/>
        <v>3000000</v>
      </c>
      <c r="N31" s="77">
        <f t="shared" ca="1" si="11"/>
        <v>0</v>
      </c>
      <c r="O31" s="140">
        <f t="shared" ca="1" si="12"/>
        <v>0</v>
      </c>
    </row>
    <row r="32" spans="1:15" ht="16.5" customHeight="1">
      <c r="A32" s="151">
        <v>11</v>
      </c>
      <c r="B32" s="151" t="str">
        <f>TEXT(투자전략!$G$1+10, "[$-ko-KR]yyyy.mm.dd")</f>
        <v>2021.05.11</v>
      </c>
      <c r="C32" s="138" t="str">
        <f t="shared" ca="1" si="0"/>
        <v/>
      </c>
      <c r="D32" s="142" t="str">
        <f t="shared" ca="1" si="1"/>
        <v/>
      </c>
      <c r="E32" s="77" t="str">
        <f t="shared" ca="1" si="2"/>
        <v/>
      </c>
      <c r="F32" s="140" t="str">
        <f t="shared" ca="1" si="3"/>
        <v/>
      </c>
      <c r="G32" s="142" t="str">
        <f t="shared" ca="1" si="4"/>
        <v/>
      </c>
      <c r="H32" s="77" t="str">
        <f t="shared" ca="1" si="5"/>
        <v/>
      </c>
      <c r="I32" s="140" t="str">
        <f t="shared" ca="1" si="6"/>
        <v/>
      </c>
      <c r="J32" s="142" t="str">
        <f t="shared" ca="1" si="7"/>
        <v/>
      </c>
      <c r="K32" s="77" t="str">
        <f t="shared" ca="1" si="8"/>
        <v/>
      </c>
      <c r="L32" s="140" t="str">
        <f t="shared" ca="1" si="9"/>
        <v/>
      </c>
      <c r="M32" s="142" t="str">
        <f t="shared" ca="1" si="10"/>
        <v/>
      </c>
      <c r="N32" s="77" t="str">
        <f t="shared" ca="1" si="11"/>
        <v/>
      </c>
      <c r="O32" s="140" t="str">
        <f t="shared" ca="1" si="12"/>
        <v/>
      </c>
    </row>
    <row r="33" spans="1:15" ht="16.5" customHeight="1">
      <c r="A33" s="151">
        <v>12</v>
      </c>
      <c r="B33" s="151" t="str">
        <f>TEXT(투자전략!$G$1+11, "[$-ko-KR]yyyy.mm.dd")</f>
        <v>2021.05.12</v>
      </c>
      <c r="C33" s="138" t="str">
        <f t="shared" ca="1" si="0"/>
        <v/>
      </c>
      <c r="D33" s="142" t="str">
        <f t="shared" ca="1" si="1"/>
        <v/>
      </c>
      <c r="E33" s="77" t="str">
        <f t="shared" ca="1" si="2"/>
        <v/>
      </c>
      <c r="F33" s="140" t="str">
        <f t="shared" ca="1" si="3"/>
        <v/>
      </c>
      <c r="G33" s="142" t="str">
        <f t="shared" ca="1" si="4"/>
        <v/>
      </c>
      <c r="H33" s="77" t="str">
        <f t="shared" ca="1" si="5"/>
        <v/>
      </c>
      <c r="I33" s="140" t="str">
        <f t="shared" ca="1" si="6"/>
        <v/>
      </c>
      <c r="J33" s="142" t="str">
        <f t="shared" ca="1" si="7"/>
        <v/>
      </c>
      <c r="K33" s="77" t="str">
        <f t="shared" ca="1" si="8"/>
        <v/>
      </c>
      <c r="L33" s="140" t="str">
        <f t="shared" ca="1" si="9"/>
        <v/>
      </c>
      <c r="M33" s="142" t="str">
        <f t="shared" ca="1" si="10"/>
        <v/>
      </c>
      <c r="N33" s="77" t="str">
        <f t="shared" ca="1" si="11"/>
        <v/>
      </c>
      <c r="O33" s="140" t="str">
        <f t="shared" ca="1" si="12"/>
        <v/>
      </c>
    </row>
    <row r="34" spans="1:15" ht="16.5" customHeight="1">
      <c r="A34" s="151">
        <v>13</v>
      </c>
      <c r="B34" s="151" t="str">
        <f>TEXT(투자전략!$G$1+12, "[$-ko-KR]yyyy.mm.dd")</f>
        <v>2021.05.13</v>
      </c>
      <c r="C34" s="138" t="str">
        <f t="shared" ca="1" si="0"/>
        <v/>
      </c>
      <c r="D34" s="142" t="str">
        <f t="shared" ca="1" si="1"/>
        <v/>
      </c>
      <c r="E34" s="77" t="str">
        <f t="shared" ca="1" si="2"/>
        <v/>
      </c>
      <c r="F34" s="140" t="str">
        <f t="shared" ca="1" si="3"/>
        <v/>
      </c>
      <c r="G34" s="142" t="str">
        <f t="shared" ca="1" si="4"/>
        <v/>
      </c>
      <c r="H34" s="77" t="str">
        <f t="shared" ca="1" si="5"/>
        <v/>
      </c>
      <c r="I34" s="140" t="str">
        <f t="shared" ca="1" si="6"/>
        <v/>
      </c>
      <c r="J34" s="142" t="str">
        <f t="shared" ca="1" si="7"/>
        <v/>
      </c>
      <c r="K34" s="77" t="str">
        <f t="shared" ca="1" si="8"/>
        <v/>
      </c>
      <c r="L34" s="140" t="str">
        <f t="shared" ca="1" si="9"/>
        <v/>
      </c>
      <c r="M34" s="142" t="str">
        <f t="shared" ca="1" si="10"/>
        <v/>
      </c>
      <c r="N34" s="77" t="str">
        <f t="shared" ca="1" si="11"/>
        <v/>
      </c>
      <c r="O34" s="140" t="str">
        <f t="shared" ca="1" si="12"/>
        <v/>
      </c>
    </row>
    <row r="35" spans="1:15" ht="16.5" customHeight="1" thickBot="1">
      <c r="A35" s="150">
        <v>14</v>
      </c>
      <c r="B35" s="150" t="str">
        <f>TEXT(투자전략!$G$1+13, "[$-ko-KR]yyyy.mm.dd")</f>
        <v>2021.05.14</v>
      </c>
      <c r="C35" s="139" t="str">
        <f t="shared" ca="1" si="0"/>
        <v/>
      </c>
      <c r="D35" s="143" t="str">
        <f t="shared" ca="1" si="1"/>
        <v/>
      </c>
      <c r="E35" s="79" t="str">
        <f t="shared" ca="1" si="2"/>
        <v/>
      </c>
      <c r="F35" s="141" t="str">
        <f t="shared" ca="1" si="3"/>
        <v/>
      </c>
      <c r="G35" s="143" t="str">
        <f t="shared" ca="1" si="4"/>
        <v/>
      </c>
      <c r="H35" s="79" t="str">
        <f t="shared" ca="1" si="5"/>
        <v/>
      </c>
      <c r="I35" s="141" t="str">
        <f t="shared" ca="1" si="6"/>
        <v/>
      </c>
      <c r="J35" s="143" t="str">
        <f t="shared" ca="1" si="7"/>
        <v/>
      </c>
      <c r="K35" s="79" t="str">
        <f t="shared" ca="1" si="8"/>
        <v/>
      </c>
      <c r="L35" s="141" t="str">
        <f t="shared" ca="1" si="9"/>
        <v/>
      </c>
      <c r="M35" s="143" t="str">
        <f t="shared" ca="1" si="10"/>
        <v/>
      </c>
      <c r="N35" s="79" t="str">
        <f t="shared" ca="1" si="11"/>
        <v/>
      </c>
      <c r="O35" s="141" t="str">
        <f t="shared" ca="1" si="12"/>
        <v/>
      </c>
    </row>
    <row r="36" spans="1:15" ht="16.5" customHeight="1">
      <c r="A36" s="149">
        <v>15</v>
      </c>
      <c r="B36" s="149" t="str">
        <f>TEXT(투자전략!$G$1+14, "[$-ko-KR]yyyy.mm.dd")</f>
        <v>2021.05.15</v>
      </c>
      <c r="C36" s="137" t="str">
        <f t="shared" ca="1" si="0"/>
        <v/>
      </c>
      <c r="D36" s="145" t="str">
        <f t="shared" ca="1" si="1"/>
        <v/>
      </c>
      <c r="E36" s="76" t="str">
        <f t="shared" ca="1" si="2"/>
        <v/>
      </c>
      <c r="F36" s="144" t="str">
        <f t="shared" ca="1" si="3"/>
        <v/>
      </c>
      <c r="G36" s="145" t="str">
        <f t="shared" ca="1" si="4"/>
        <v/>
      </c>
      <c r="H36" s="76" t="str">
        <f t="shared" ca="1" si="5"/>
        <v/>
      </c>
      <c r="I36" s="144" t="str">
        <f t="shared" ca="1" si="6"/>
        <v/>
      </c>
      <c r="J36" s="145" t="str">
        <f t="shared" ca="1" si="7"/>
        <v/>
      </c>
      <c r="K36" s="76" t="str">
        <f t="shared" ca="1" si="8"/>
        <v/>
      </c>
      <c r="L36" s="144" t="str">
        <f t="shared" ca="1" si="9"/>
        <v/>
      </c>
      <c r="M36" s="145" t="str">
        <f t="shared" ca="1" si="10"/>
        <v/>
      </c>
      <c r="N36" s="76" t="str">
        <f t="shared" ca="1" si="11"/>
        <v/>
      </c>
      <c r="O36" s="144" t="str">
        <f t="shared" ca="1" si="12"/>
        <v/>
      </c>
    </row>
    <row r="37" spans="1:15" ht="16.5" customHeight="1">
      <c r="A37" s="151">
        <v>16</v>
      </c>
      <c r="B37" s="151" t="str">
        <f>TEXT(투자전략!$G$1+15, "[$-ko-KR]yyyy.mm.dd")</f>
        <v>2021.05.16</v>
      </c>
      <c r="C37" s="138" t="str">
        <f t="shared" ca="1" si="0"/>
        <v/>
      </c>
      <c r="D37" s="142" t="str">
        <f t="shared" ca="1" si="1"/>
        <v/>
      </c>
      <c r="E37" s="77" t="str">
        <f t="shared" ca="1" si="2"/>
        <v/>
      </c>
      <c r="F37" s="140" t="str">
        <f t="shared" ca="1" si="3"/>
        <v/>
      </c>
      <c r="G37" s="142" t="str">
        <f t="shared" ca="1" si="4"/>
        <v/>
      </c>
      <c r="H37" s="77" t="str">
        <f t="shared" ca="1" si="5"/>
        <v/>
      </c>
      <c r="I37" s="140" t="str">
        <f t="shared" ca="1" si="6"/>
        <v/>
      </c>
      <c r="J37" s="142" t="str">
        <f t="shared" ca="1" si="7"/>
        <v/>
      </c>
      <c r="K37" s="77" t="str">
        <f t="shared" ca="1" si="8"/>
        <v/>
      </c>
      <c r="L37" s="140" t="str">
        <f t="shared" ca="1" si="9"/>
        <v/>
      </c>
      <c r="M37" s="142" t="str">
        <f t="shared" ca="1" si="10"/>
        <v/>
      </c>
      <c r="N37" s="77" t="str">
        <f t="shared" ca="1" si="11"/>
        <v/>
      </c>
      <c r="O37" s="140" t="str">
        <f t="shared" ca="1" si="12"/>
        <v/>
      </c>
    </row>
    <row r="38" spans="1:15" ht="16.5" customHeight="1">
      <c r="A38" s="151">
        <v>17</v>
      </c>
      <c r="B38" s="151" t="str">
        <f>TEXT(투자전략!$G$1+16, "[$-ko-KR]yyyy.mm.dd")</f>
        <v>2021.05.17</v>
      </c>
      <c r="C38" s="138" t="str">
        <f t="shared" ca="1" si="0"/>
        <v/>
      </c>
      <c r="D38" s="142" t="str">
        <f t="shared" ca="1" si="1"/>
        <v/>
      </c>
      <c r="E38" s="77" t="str">
        <f t="shared" ca="1" si="2"/>
        <v/>
      </c>
      <c r="F38" s="140" t="str">
        <f t="shared" ca="1" si="3"/>
        <v/>
      </c>
      <c r="G38" s="142" t="str">
        <f t="shared" ca="1" si="4"/>
        <v/>
      </c>
      <c r="H38" s="77" t="str">
        <f t="shared" ca="1" si="5"/>
        <v/>
      </c>
      <c r="I38" s="140" t="str">
        <f t="shared" ca="1" si="6"/>
        <v/>
      </c>
      <c r="J38" s="142" t="str">
        <f t="shared" ca="1" si="7"/>
        <v/>
      </c>
      <c r="K38" s="77" t="str">
        <f t="shared" ca="1" si="8"/>
        <v/>
      </c>
      <c r="L38" s="140" t="str">
        <f t="shared" ca="1" si="9"/>
        <v/>
      </c>
      <c r="M38" s="142" t="str">
        <f t="shared" ca="1" si="10"/>
        <v/>
      </c>
      <c r="N38" s="77" t="str">
        <f t="shared" ca="1" si="11"/>
        <v/>
      </c>
      <c r="O38" s="140" t="str">
        <f t="shared" ca="1" si="12"/>
        <v/>
      </c>
    </row>
    <row r="39" spans="1:15" ht="16.5" customHeight="1">
      <c r="A39" s="151">
        <v>18</v>
      </c>
      <c r="B39" s="151" t="str">
        <f>TEXT(투자전략!$G$1+17, "[$-ko-KR]yyyy.mm.dd")</f>
        <v>2021.05.18</v>
      </c>
      <c r="C39" s="138" t="str">
        <f t="shared" ca="1" si="0"/>
        <v/>
      </c>
      <c r="D39" s="142" t="str">
        <f t="shared" ca="1" si="1"/>
        <v/>
      </c>
      <c r="E39" s="77" t="str">
        <f t="shared" ca="1" si="2"/>
        <v/>
      </c>
      <c r="F39" s="140" t="str">
        <f t="shared" ca="1" si="3"/>
        <v/>
      </c>
      <c r="G39" s="142" t="str">
        <f t="shared" ca="1" si="4"/>
        <v/>
      </c>
      <c r="H39" s="77" t="str">
        <f t="shared" ca="1" si="5"/>
        <v/>
      </c>
      <c r="I39" s="140" t="str">
        <f t="shared" ca="1" si="6"/>
        <v/>
      </c>
      <c r="J39" s="142" t="str">
        <f t="shared" ca="1" si="7"/>
        <v/>
      </c>
      <c r="K39" s="77" t="str">
        <f t="shared" ca="1" si="8"/>
        <v/>
      </c>
      <c r="L39" s="140" t="str">
        <f t="shared" ca="1" si="9"/>
        <v/>
      </c>
      <c r="M39" s="142" t="str">
        <f t="shared" ca="1" si="10"/>
        <v/>
      </c>
      <c r="N39" s="77" t="str">
        <f t="shared" ca="1" si="11"/>
        <v/>
      </c>
      <c r="O39" s="140" t="str">
        <f t="shared" ca="1" si="12"/>
        <v/>
      </c>
    </row>
    <row r="40" spans="1:15" ht="16.5" customHeight="1">
      <c r="A40" s="151">
        <v>19</v>
      </c>
      <c r="B40" s="151" t="str">
        <f>TEXT(투자전략!$G$1+18, "[$-ko-KR]yyyy.mm.dd")</f>
        <v>2021.05.19</v>
      </c>
      <c r="C40" s="138" t="str">
        <f t="shared" ca="1" si="0"/>
        <v/>
      </c>
      <c r="D40" s="142" t="str">
        <f t="shared" ca="1" si="1"/>
        <v/>
      </c>
      <c r="E40" s="77" t="str">
        <f t="shared" ca="1" si="2"/>
        <v/>
      </c>
      <c r="F40" s="140" t="str">
        <f t="shared" ca="1" si="3"/>
        <v/>
      </c>
      <c r="G40" s="142" t="str">
        <f t="shared" ca="1" si="4"/>
        <v/>
      </c>
      <c r="H40" s="77" t="str">
        <f t="shared" ca="1" si="5"/>
        <v/>
      </c>
      <c r="I40" s="140" t="str">
        <f t="shared" ca="1" si="6"/>
        <v/>
      </c>
      <c r="J40" s="142" t="str">
        <f t="shared" ca="1" si="7"/>
        <v/>
      </c>
      <c r="K40" s="77" t="str">
        <f t="shared" ca="1" si="8"/>
        <v/>
      </c>
      <c r="L40" s="140" t="str">
        <f t="shared" ca="1" si="9"/>
        <v/>
      </c>
      <c r="M40" s="142" t="str">
        <f t="shared" ca="1" si="10"/>
        <v/>
      </c>
      <c r="N40" s="77" t="str">
        <f t="shared" ca="1" si="11"/>
        <v/>
      </c>
      <c r="O40" s="140" t="str">
        <f t="shared" ca="1" si="12"/>
        <v/>
      </c>
    </row>
    <row r="41" spans="1:15" ht="16.5" customHeight="1">
      <c r="A41" s="151">
        <v>20</v>
      </c>
      <c r="B41" s="151" t="str">
        <f>TEXT(투자전략!$G$1+19, "[$-ko-KR]yyyy.mm.dd")</f>
        <v>2021.05.20</v>
      </c>
      <c r="C41" s="138" t="str">
        <f t="shared" ca="1" si="0"/>
        <v/>
      </c>
      <c r="D41" s="142" t="str">
        <f t="shared" ca="1" si="1"/>
        <v/>
      </c>
      <c r="E41" s="77" t="str">
        <f t="shared" ca="1" si="2"/>
        <v/>
      </c>
      <c r="F41" s="140" t="str">
        <f t="shared" ca="1" si="3"/>
        <v/>
      </c>
      <c r="G41" s="142" t="str">
        <f t="shared" ca="1" si="4"/>
        <v/>
      </c>
      <c r="H41" s="77" t="str">
        <f t="shared" ca="1" si="5"/>
        <v/>
      </c>
      <c r="I41" s="140" t="str">
        <f t="shared" ca="1" si="6"/>
        <v/>
      </c>
      <c r="J41" s="142" t="str">
        <f t="shared" ca="1" si="7"/>
        <v/>
      </c>
      <c r="K41" s="77" t="str">
        <f t="shared" ca="1" si="8"/>
        <v/>
      </c>
      <c r="L41" s="140" t="str">
        <f t="shared" ca="1" si="9"/>
        <v/>
      </c>
      <c r="M41" s="142" t="str">
        <f t="shared" ca="1" si="10"/>
        <v/>
      </c>
      <c r="N41" s="77" t="str">
        <f t="shared" ca="1" si="11"/>
        <v/>
      </c>
      <c r="O41" s="140" t="str">
        <f t="shared" ca="1" si="12"/>
        <v/>
      </c>
    </row>
    <row r="42" spans="1:15" ht="16.5" customHeight="1" thickBot="1">
      <c r="A42" s="150">
        <v>21</v>
      </c>
      <c r="B42" s="150" t="str">
        <f>TEXT(투자전략!$G$1+20, "[$-ko-KR]yyyy.mm.dd")</f>
        <v>2021.05.21</v>
      </c>
      <c r="C42" s="139" t="str">
        <f t="shared" ca="1" si="0"/>
        <v/>
      </c>
      <c r="D42" s="143" t="str">
        <f t="shared" ca="1" si="1"/>
        <v/>
      </c>
      <c r="E42" s="79" t="str">
        <f t="shared" ca="1" si="2"/>
        <v/>
      </c>
      <c r="F42" s="141" t="str">
        <f t="shared" ca="1" si="3"/>
        <v/>
      </c>
      <c r="G42" s="143" t="str">
        <f t="shared" ca="1" si="4"/>
        <v/>
      </c>
      <c r="H42" s="79" t="str">
        <f t="shared" ca="1" si="5"/>
        <v/>
      </c>
      <c r="I42" s="141" t="str">
        <f t="shared" ca="1" si="6"/>
        <v/>
      </c>
      <c r="J42" s="143" t="str">
        <f t="shared" ca="1" si="7"/>
        <v/>
      </c>
      <c r="K42" s="79" t="str">
        <f t="shared" ca="1" si="8"/>
        <v/>
      </c>
      <c r="L42" s="141" t="str">
        <f t="shared" ca="1" si="9"/>
        <v/>
      </c>
      <c r="M42" s="143" t="str">
        <f t="shared" ca="1" si="10"/>
        <v/>
      </c>
      <c r="N42" s="79" t="str">
        <f t="shared" ca="1" si="11"/>
        <v/>
      </c>
      <c r="O42" s="141" t="str">
        <f t="shared" ca="1" si="12"/>
        <v/>
      </c>
    </row>
    <row r="43" spans="1:15" ht="16.5" customHeight="1">
      <c r="A43" s="149">
        <v>22</v>
      </c>
      <c r="B43" s="149" t="str">
        <f>TEXT(투자전략!$G$1+21, "[$-ko-KR]yyyy.mm.dd")</f>
        <v>2021.05.22</v>
      </c>
      <c r="C43" s="137" t="str">
        <f t="shared" ca="1" si="0"/>
        <v/>
      </c>
      <c r="D43" s="145" t="str">
        <f t="shared" ca="1" si="1"/>
        <v/>
      </c>
      <c r="E43" s="76" t="str">
        <f t="shared" ca="1" si="2"/>
        <v/>
      </c>
      <c r="F43" s="144" t="str">
        <f t="shared" ca="1" si="3"/>
        <v/>
      </c>
      <c r="G43" s="145" t="str">
        <f t="shared" ca="1" si="4"/>
        <v/>
      </c>
      <c r="H43" s="76" t="str">
        <f t="shared" ca="1" si="5"/>
        <v/>
      </c>
      <c r="I43" s="144" t="str">
        <f t="shared" ca="1" si="6"/>
        <v/>
      </c>
      <c r="J43" s="145" t="str">
        <f t="shared" ca="1" si="7"/>
        <v/>
      </c>
      <c r="K43" s="76" t="str">
        <f t="shared" ca="1" si="8"/>
        <v/>
      </c>
      <c r="L43" s="144" t="str">
        <f t="shared" ca="1" si="9"/>
        <v/>
      </c>
      <c r="M43" s="145" t="str">
        <f t="shared" ca="1" si="10"/>
        <v/>
      </c>
      <c r="N43" s="76" t="str">
        <f t="shared" ca="1" si="11"/>
        <v/>
      </c>
      <c r="O43" s="144" t="str">
        <f t="shared" ca="1" si="12"/>
        <v/>
      </c>
    </row>
    <row r="44" spans="1:15" ht="16.5" customHeight="1">
      <c r="A44" s="151">
        <v>23</v>
      </c>
      <c r="B44" s="151" t="str">
        <f>TEXT(투자전략!$G$1+22, "[$-ko-KR]yyyy.mm.dd")</f>
        <v>2021.05.23</v>
      </c>
      <c r="C44" s="138" t="str">
        <f t="shared" ca="1" si="0"/>
        <v/>
      </c>
      <c r="D44" s="142" t="str">
        <f t="shared" ca="1" si="1"/>
        <v/>
      </c>
      <c r="E44" s="77" t="str">
        <f t="shared" ca="1" si="2"/>
        <v/>
      </c>
      <c r="F44" s="140" t="str">
        <f t="shared" ca="1" si="3"/>
        <v/>
      </c>
      <c r="G44" s="142" t="str">
        <f t="shared" ca="1" si="4"/>
        <v/>
      </c>
      <c r="H44" s="77" t="str">
        <f t="shared" ca="1" si="5"/>
        <v/>
      </c>
      <c r="I44" s="140" t="str">
        <f t="shared" ca="1" si="6"/>
        <v/>
      </c>
      <c r="J44" s="142" t="str">
        <f t="shared" ca="1" si="7"/>
        <v/>
      </c>
      <c r="K44" s="77" t="str">
        <f t="shared" ca="1" si="8"/>
        <v/>
      </c>
      <c r="L44" s="140" t="str">
        <f t="shared" ca="1" si="9"/>
        <v/>
      </c>
      <c r="M44" s="142" t="str">
        <f t="shared" ca="1" si="10"/>
        <v/>
      </c>
      <c r="N44" s="77" t="str">
        <f t="shared" ca="1" si="11"/>
        <v/>
      </c>
      <c r="O44" s="140" t="str">
        <f t="shared" ca="1" si="12"/>
        <v/>
      </c>
    </row>
    <row r="45" spans="1:15" ht="16.5" customHeight="1">
      <c r="A45" s="151">
        <v>24</v>
      </c>
      <c r="B45" s="151" t="str">
        <f>TEXT(투자전략!$G$1+23, "[$-ko-KR]yyyy.mm.dd")</f>
        <v>2021.05.24</v>
      </c>
      <c r="C45" s="138" t="str">
        <f t="shared" ca="1" si="0"/>
        <v/>
      </c>
      <c r="D45" s="142" t="str">
        <f t="shared" ca="1" si="1"/>
        <v/>
      </c>
      <c r="E45" s="77" t="str">
        <f t="shared" ca="1" si="2"/>
        <v/>
      </c>
      <c r="F45" s="140" t="str">
        <f t="shared" ca="1" si="3"/>
        <v/>
      </c>
      <c r="G45" s="142" t="str">
        <f t="shared" ca="1" si="4"/>
        <v/>
      </c>
      <c r="H45" s="77" t="str">
        <f t="shared" ca="1" si="5"/>
        <v/>
      </c>
      <c r="I45" s="140" t="str">
        <f t="shared" ca="1" si="6"/>
        <v/>
      </c>
      <c r="J45" s="142" t="str">
        <f t="shared" ca="1" si="7"/>
        <v/>
      </c>
      <c r="K45" s="77" t="str">
        <f t="shared" ca="1" si="8"/>
        <v/>
      </c>
      <c r="L45" s="140" t="str">
        <f t="shared" ca="1" si="9"/>
        <v/>
      </c>
      <c r="M45" s="142" t="str">
        <f t="shared" ca="1" si="10"/>
        <v/>
      </c>
      <c r="N45" s="77" t="str">
        <f t="shared" ca="1" si="11"/>
        <v/>
      </c>
      <c r="O45" s="140" t="str">
        <f t="shared" ca="1" si="12"/>
        <v/>
      </c>
    </row>
    <row r="46" spans="1:15" ht="16.5" customHeight="1">
      <c r="A46" s="151">
        <v>25</v>
      </c>
      <c r="B46" s="151" t="str">
        <f>TEXT(투자전략!$G$1+24, "[$-ko-KR]yyyy.mm.dd")</f>
        <v>2021.05.25</v>
      </c>
      <c r="C46" s="138" t="str">
        <f t="shared" ca="1" si="0"/>
        <v/>
      </c>
      <c r="D46" s="142" t="str">
        <f t="shared" ca="1" si="1"/>
        <v/>
      </c>
      <c r="E46" s="77" t="str">
        <f t="shared" ca="1" si="2"/>
        <v/>
      </c>
      <c r="F46" s="140" t="str">
        <f t="shared" ca="1" si="3"/>
        <v/>
      </c>
      <c r="G46" s="142" t="str">
        <f t="shared" ca="1" si="4"/>
        <v/>
      </c>
      <c r="H46" s="77" t="str">
        <f t="shared" ca="1" si="5"/>
        <v/>
      </c>
      <c r="I46" s="140" t="str">
        <f t="shared" ca="1" si="6"/>
        <v/>
      </c>
      <c r="J46" s="142" t="str">
        <f t="shared" ca="1" si="7"/>
        <v/>
      </c>
      <c r="K46" s="77" t="str">
        <f t="shared" ca="1" si="8"/>
        <v/>
      </c>
      <c r="L46" s="140" t="str">
        <f t="shared" ca="1" si="9"/>
        <v/>
      </c>
      <c r="M46" s="142" t="str">
        <f t="shared" ca="1" si="10"/>
        <v/>
      </c>
      <c r="N46" s="77" t="str">
        <f t="shared" ca="1" si="11"/>
        <v/>
      </c>
      <c r="O46" s="140" t="str">
        <f t="shared" ca="1" si="12"/>
        <v/>
      </c>
    </row>
    <row r="47" spans="1:15" ht="16.5" customHeight="1">
      <c r="A47" s="151">
        <v>26</v>
      </c>
      <c r="B47" s="151" t="str">
        <f>TEXT(투자전략!$G$1+25, "[$-ko-KR]yyyy.mm.dd")</f>
        <v>2021.05.26</v>
      </c>
      <c r="C47" s="138" t="str">
        <f t="shared" ca="1" si="0"/>
        <v/>
      </c>
      <c r="D47" s="142" t="str">
        <f t="shared" ca="1" si="1"/>
        <v/>
      </c>
      <c r="E47" s="77" t="str">
        <f t="shared" ca="1" si="2"/>
        <v/>
      </c>
      <c r="F47" s="140" t="str">
        <f t="shared" ca="1" si="3"/>
        <v/>
      </c>
      <c r="G47" s="142" t="str">
        <f t="shared" ca="1" si="4"/>
        <v/>
      </c>
      <c r="H47" s="77" t="str">
        <f t="shared" ca="1" si="5"/>
        <v/>
      </c>
      <c r="I47" s="140" t="str">
        <f t="shared" ca="1" si="6"/>
        <v/>
      </c>
      <c r="J47" s="142" t="str">
        <f t="shared" ca="1" si="7"/>
        <v/>
      </c>
      <c r="K47" s="77" t="str">
        <f t="shared" ca="1" si="8"/>
        <v/>
      </c>
      <c r="L47" s="140" t="str">
        <f t="shared" ca="1" si="9"/>
        <v/>
      </c>
      <c r="M47" s="142" t="str">
        <f t="shared" ca="1" si="10"/>
        <v/>
      </c>
      <c r="N47" s="77" t="str">
        <f t="shared" ca="1" si="11"/>
        <v/>
      </c>
      <c r="O47" s="140" t="str">
        <f t="shared" ca="1" si="12"/>
        <v/>
      </c>
    </row>
    <row r="48" spans="1:15" ht="16.5" customHeight="1">
      <c r="A48" s="151">
        <v>27</v>
      </c>
      <c r="B48" s="151" t="str">
        <f>TEXT(투자전략!$G$1+26, "[$-ko-KR]yyyy.mm.dd")</f>
        <v>2021.05.27</v>
      </c>
      <c r="C48" s="138" t="str">
        <f t="shared" ca="1" si="0"/>
        <v/>
      </c>
      <c r="D48" s="142" t="str">
        <f t="shared" ca="1" si="1"/>
        <v/>
      </c>
      <c r="E48" s="77" t="str">
        <f t="shared" ca="1" si="2"/>
        <v/>
      </c>
      <c r="F48" s="140" t="str">
        <f t="shared" ca="1" si="3"/>
        <v/>
      </c>
      <c r="G48" s="142" t="str">
        <f t="shared" ca="1" si="4"/>
        <v/>
      </c>
      <c r="H48" s="77" t="str">
        <f t="shared" ca="1" si="5"/>
        <v/>
      </c>
      <c r="I48" s="140" t="str">
        <f t="shared" ca="1" si="6"/>
        <v/>
      </c>
      <c r="J48" s="142" t="str">
        <f t="shared" ca="1" si="7"/>
        <v/>
      </c>
      <c r="K48" s="77" t="str">
        <f t="shared" ca="1" si="8"/>
        <v/>
      </c>
      <c r="L48" s="140" t="str">
        <f t="shared" ca="1" si="9"/>
        <v/>
      </c>
      <c r="M48" s="142" t="str">
        <f t="shared" ca="1" si="10"/>
        <v/>
      </c>
      <c r="N48" s="77" t="str">
        <f t="shared" ca="1" si="11"/>
        <v/>
      </c>
      <c r="O48" s="140" t="str">
        <f t="shared" ca="1" si="12"/>
        <v/>
      </c>
    </row>
    <row r="49" spans="1:15" ht="16.5" customHeight="1" thickBot="1">
      <c r="A49" s="150">
        <v>28</v>
      </c>
      <c r="B49" s="150" t="str">
        <f>TEXT(투자전략!$G$1+27, "[$-ko-KR]yyyy.mm.dd")</f>
        <v>2021.05.28</v>
      </c>
      <c r="C49" s="139" t="str">
        <f t="shared" ca="1" si="0"/>
        <v/>
      </c>
      <c r="D49" s="143" t="str">
        <f t="shared" ca="1" si="1"/>
        <v/>
      </c>
      <c r="E49" s="79" t="str">
        <f t="shared" ca="1" si="2"/>
        <v/>
      </c>
      <c r="F49" s="141" t="str">
        <f t="shared" ca="1" si="3"/>
        <v/>
      </c>
      <c r="G49" s="143" t="str">
        <f t="shared" ca="1" si="4"/>
        <v/>
      </c>
      <c r="H49" s="79" t="str">
        <f t="shared" ca="1" si="5"/>
        <v/>
      </c>
      <c r="I49" s="141" t="str">
        <f t="shared" ca="1" si="6"/>
        <v/>
      </c>
      <c r="J49" s="143" t="str">
        <f t="shared" ca="1" si="7"/>
        <v/>
      </c>
      <c r="K49" s="79" t="str">
        <f t="shared" ca="1" si="8"/>
        <v/>
      </c>
      <c r="L49" s="141" t="str">
        <f t="shared" ca="1" si="9"/>
        <v/>
      </c>
      <c r="M49" s="143" t="str">
        <f t="shared" ca="1" si="10"/>
        <v/>
      </c>
      <c r="N49" s="79" t="str">
        <f t="shared" ca="1" si="11"/>
        <v/>
      </c>
      <c r="O49" s="141" t="str">
        <f t="shared" ca="1" si="12"/>
        <v/>
      </c>
    </row>
    <row r="50" spans="1:15" ht="16.5" customHeight="1">
      <c r="A50" s="124">
        <v>29</v>
      </c>
      <c r="B50" s="149" t="str">
        <f>TEXT(투자전략!$G$1+28, "[$-ko-KR]yyyy.mm.dd")</f>
        <v>2021.05.29</v>
      </c>
      <c r="C50" s="138" t="str">
        <f t="shared" ca="1" si="0"/>
        <v/>
      </c>
      <c r="D50" s="142" t="str">
        <f t="shared" ca="1" si="1"/>
        <v/>
      </c>
      <c r="E50" s="77" t="str">
        <f t="shared" ca="1" si="2"/>
        <v/>
      </c>
      <c r="F50" s="140" t="str">
        <f t="shared" ca="1" si="3"/>
        <v/>
      </c>
      <c r="G50" s="142" t="str">
        <f t="shared" ca="1" si="4"/>
        <v/>
      </c>
      <c r="H50" s="77" t="str">
        <f t="shared" ca="1" si="5"/>
        <v/>
      </c>
      <c r="I50" s="140" t="str">
        <f t="shared" ca="1" si="6"/>
        <v/>
      </c>
      <c r="J50" s="142" t="str">
        <f t="shared" ca="1" si="7"/>
        <v/>
      </c>
      <c r="K50" s="77" t="str">
        <f t="shared" ca="1" si="8"/>
        <v/>
      </c>
      <c r="L50" s="140" t="str">
        <f t="shared" ca="1" si="9"/>
        <v/>
      </c>
      <c r="M50" s="142" t="str">
        <f t="shared" ca="1" si="10"/>
        <v/>
      </c>
      <c r="N50" s="77" t="str">
        <f t="shared" ca="1" si="11"/>
        <v/>
      </c>
      <c r="O50" s="140" t="str">
        <f t="shared" ca="1" si="12"/>
        <v/>
      </c>
    </row>
    <row r="51" spans="1:15" ht="16.5" customHeight="1">
      <c r="A51" s="124">
        <v>30</v>
      </c>
      <c r="B51" s="151" t="str">
        <f>TEXT(투자전략!$G$1+29, "[$-ko-KR]yyyy.mm.dd")</f>
        <v>2021.05.30</v>
      </c>
      <c r="C51" s="138" t="str">
        <f t="shared" ca="1" si="0"/>
        <v/>
      </c>
      <c r="D51" s="142" t="str">
        <f t="shared" ca="1" si="1"/>
        <v/>
      </c>
      <c r="E51" s="77" t="str">
        <f t="shared" ca="1" si="2"/>
        <v/>
      </c>
      <c r="F51" s="140" t="str">
        <f t="shared" ca="1" si="3"/>
        <v/>
      </c>
      <c r="G51" s="142" t="str">
        <f t="shared" ca="1" si="4"/>
        <v/>
      </c>
      <c r="H51" s="77" t="str">
        <f t="shared" ca="1" si="5"/>
        <v/>
      </c>
      <c r="I51" s="140" t="str">
        <f t="shared" ca="1" si="6"/>
        <v/>
      </c>
      <c r="J51" s="142" t="str">
        <f t="shared" ca="1" si="7"/>
        <v/>
      </c>
      <c r="K51" s="77" t="str">
        <f t="shared" ca="1" si="8"/>
        <v/>
      </c>
      <c r="L51" s="140" t="str">
        <f t="shared" ca="1" si="9"/>
        <v/>
      </c>
      <c r="M51" s="142" t="str">
        <f t="shared" ca="1" si="10"/>
        <v/>
      </c>
      <c r="N51" s="77" t="str">
        <f t="shared" ca="1" si="11"/>
        <v/>
      </c>
      <c r="O51" s="140" t="str">
        <f t="shared" ca="1" si="12"/>
        <v/>
      </c>
    </row>
    <row r="52" spans="1:15" ht="16.5" customHeight="1" thickBot="1">
      <c r="A52" s="124">
        <v>31</v>
      </c>
      <c r="B52" s="151" t="str">
        <f>TEXT(투자전략!$G$1+30, "[$-ko-KR]yyyy.mm.dd")</f>
        <v>2021.05.31</v>
      </c>
      <c r="C52" s="138" t="str">
        <f t="shared" ca="1" si="0"/>
        <v/>
      </c>
      <c r="D52" s="142" t="str">
        <f t="shared" ca="1" si="1"/>
        <v/>
      </c>
      <c r="E52" s="77" t="str">
        <f t="shared" ca="1" si="2"/>
        <v/>
      </c>
      <c r="F52" s="140" t="str">
        <f t="shared" ca="1" si="3"/>
        <v/>
      </c>
      <c r="G52" s="142" t="str">
        <f t="shared" ca="1" si="4"/>
        <v/>
      </c>
      <c r="H52" s="77" t="str">
        <f t="shared" ca="1" si="5"/>
        <v/>
      </c>
      <c r="I52" s="140" t="str">
        <f t="shared" ca="1" si="6"/>
        <v/>
      </c>
      <c r="J52" s="142" t="str">
        <f t="shared" ca="1" si="7"/>
        <v/>
      </c>
      <c r="K52" s="77" t="str">
        <f t="shared" ca="1" si="8"/>
        <v/>
      </c>
      <c r="L52" s="140" t="str">
        <f t="shared" ca="1" si="9"/>
        <v/>
      </c>
      <c r="M52" s="142" t="str">
        <f t="shared" ca="1" si="10"/>
        <v/>
      </c>
      <c r="N52" s="77" t="str">
        <f t="shared" ca="1" si="11"/>
        <v/>
      </c>
      <c r="O52" s="140" t="str">
        <f t="shared" ca="1" si="12"/>
        <v/>
      </c>
    </row>
    <row r="53" spans="1:15" ht="16.5" customHeight="1" thickBot="1">
      <c r="A53" s="202" t="s">
        <v>319</v>
      </c>
      <c r="B53" s="204"/>
      <c r="C53" s="135" t="s">
        <v>314</v>
      </c>
      <c r="D53" s="146" t="s">
        <v>315</v>
      </c>
      <c r="E53" s="147" t="s">
        <v>316</v>
      </c>
      <c r="F53" s="148" t="s">
        <v>317</v>
      </c>
      <c r="G53" s="146" t="s">
        <v>315</v>
      </c>
      <c r="H53" s="147" t="s">
        <v>316</v>
      </c>
      <c r="I53" s="148" t="s">
        <v>317</v>
      </c>
      <c r="J53" s="146" t="s">
        <v>315</v>
      </c>
      <c r="K53" s="147" t="s">
        <v>316</v>
      </c>
      <c r="L53" s="148" t="s">
        <v>317</v>
      </c>
      <c r="M53" s="146" t="s">
        <v>315</v>
      </c>
      <c r="N53" s="147" t="s">
        <v>316</v>
      </c>
      <c r="O53" s="148" t="s">
        <v>317</v>
      </c>
    </row>
    <row r="54" spans="1:15" ht="16.5" customHeight="1" thickBot="1">
      <c r="A54" s="208"/>
      <c r="B54" s="210"/>
      <c r="C54" s="139">
        <f ca="1">SUM(C22:C52)</f>
        <v>21000000</v>
      </c>
      <c r="D54" s="143">
        <f ca="1">SUM(D22:D52)</f>
        <v>21200603.137131453</v>
      </c>
      <c r="E54" s="79">
        <f ca="1">IFERROR(F54 / (SUM($C22:$C52) / COUNT($C22:$C52)), 0)</f>
        <v>9.5525303395929226E-2</v>
      </c>
      <c r="F54" s="141">
        <f ca="1">SUM(F22:F52)</f>
        <v>200603.13713145137</v>
      </c>
      <c r="G54" s="143">
        <f ca="1">SUM(G22:G52)</f>
        <v>21374118.68988616</v>
      </c>
      <c r="H54" s="79">
        <f ca="1">IFERROR(I54 / (SUM($C22:$C52) / COUNT($C22:$C52)), 0)</f>
        <v>0.17815175708864617</v>
      </c>
      <c r="I54" s="141">
        <f ca="1">SUM(I22:I52)</f>
        <v>374118.68988615694</v>
      </c>
      <c r="J54" s="143">
        <f ca="1">SUM(J22:J52)</f>
        <v>21439971.790675499</v>
      </c>
      <c r="K54" s="79">
        <f ca="1">IFERROR(L54 / (SUM($C22:$C52) / COUNT($C22:$C52)), 0)</f>
        <v>0.20951037651214138</v>
      </c>
      <c r="L54" s="141">
        <f ca="1">SUM(L22:L52)</f>
        <v>439971.79067549692</v>
      </c>
      <c r="M54" s="143">
        <f ca="1">SUM(M22:M52)</f>
        <v>21386768.611993387</v>
      </c>
      <c r="N54" s="79">
        <f ca="1">IFERROR(O54 / (SUM($C22:$C52) / COUNT($C22:$C52)), 0)</f>
        <v>0.18417552952066032</v>
      </c>
      <c r="O54" s="141">
        <f ca="1">SUM(O22:O52)</f>
        <v>386768.6119933867</v>
      </c>
    </row>
    <row r="56" spans="1:15" ht="16.5" customHeight="1" thickBot="1"/>
    <row r="57" spans="1:15" ht="16.5" customHeight="1" thickBot="1">
      <c r="A57" s="193" t="str">
        <f>TEXT(투자전략!$G$1, "[$-ko-KR]yyyy년 mm월 ") &amp; "[엽전코인] 전일대비 상승률 Top20 월말결산"</f>
        <v>2021년 05월 [엽전코인] 전일대비 상승률 Top20 월말결산</v>
      </c>
      <c r="B57" s="194"/>
      <c r="C57" s="194"/>
      <c r="D57" s="194"/>
      <c r="E57" s="194"/>
      <c r="F57" s="194"/>
      <c r="G57" s="194"/>
      <c r="H57" s="194"/>
      <c r="I57" s="194"/>
      <c r="J57" s="194"/>
      <c r="K57" s="194"/>
      <c r="L57" s="194"/>
      <c r="M57" s="194"/>
      <c r="N57" s="194"/>
      <c r="O57" s="195"/>
    </row>
    <row r="58" spans="1:15" ht="16.5" customHeight="1" thickBot="1">
      <c r="A58" s="254" t="s">
        <v>320</v>
      </c>
      <c r="B58" s="208" t="s">
        <v>318</v>
      </c>
      <c r="C58" s="210"/>
      <c r="D58" s="208" t="s">
        <v>310</v>
      </c>
      <c r="E58" s="209"/>
      <c r="F58" s="210"/>
      <c r="G58" s="208" t="s">
        <v>311</v>
      </c>
      <c r="H58" s="209"/>
      <c r="I58" s="210"/>
      <c r="J58" s="208" t="s">
        <v>312</v>
      </c>
      <c r="K58" s="209"/>
      <c r="L58" s="210"/>
      <c r="M58" s="208" t="s">
        <v>313</v>
      </c>
      <c r="N58" s="209"/>
      <c r="O58" s="210"/>
    </row>
    <row r="59" spans="1:15" ht="16.5" customHeight="1" thickBot="1">
      <c r="A59" s="258"/>
      <c r="B59" s="160" t="s">
        <v>308</v>
      </c>
      <c r="C59" s="160" t="s">
        <v>42</v>
      </c>
      <c r="D59" s="124" t="s">
        <v>309</v>
      </c>
      <c r="E59" s="136" t="s">
        <v>40</v>
      </c>
      <c r="F59" s="162" t="s">
        <v>41</v>
      </c>
      <c r="G59" s="124" t="s">
        <v>309</v>
      </c>
      <c r="H59" s="136" t="s">
        <v>40</v>
      </c>
      <c r="I59" s="162" t="s">
        <v>41</v>
      </c>
      <c r="J59" s="124" t="s">
        <v>309</v>
      </c>
      <c r="K59" s="136" t="s">
        <v>40</v>
      </c>
      <c r="L59" s="162" t="s">
        <v>41</v>
      </c>
      <c r="M59" s="124" t="s">
        <v>309</v>
      </c>
      <c r="N59" s="136" t="s">
        <v>40</v>
      </c>
      <c r="O59" s="162" t="s">
        <v>41</v>
      </c>
    </row>
    <row r="60" spans="1:15" ht="16.5" customHeight="1">
      <c r="A60" s="160">
        <v>1</v>
      </c>
      <c r="B60" s="160" t="str">
        <f>TEXT(투자전략!$G$1+0, "[$-ko-KR]yyyy.mm.dd")</f>
        <v>2021.05.01</v>
      </c>
      <c r="C60" s="137">
        <f ca="1">IFERROR(COUNTA(INDIRECT($B60&amp;"!A44:A63")) * INDIRECT($B60&amp;"!B64"), "")</f>
        <v>5700000</v>
      </c>
      <c r="D60" s="145">
        <f ca="1">IFERROR($C60 * (1 + E60), "")</f>
        <v>5796967.8582712999</v>
      </c>
      <c r="E60" s="76">
        <f ca="1">IFERROR(INDIRECT($B60&amp;"!E64"), "")</f>
        <v>1.7011904959877054E-2</v>
      </c>
      <c r="F60" s="144">
        <f ca="1">IFERROR(INDIRECT($B60&amp;"!F64"), "")</f>
        <v>96967.858271299192</v>
      </c>
      <c r="G60" s="145">
        <f ca="1">IFERROR($C60 * (1 + H60), "")</f>
        <v>5762497.1388724633</v>
      </c>
      <c r="H60" s="76">
        <f ca="1">IFERROR(INDIRECT($B60&amp;"!H64"), "")</f>
        <v>1.0964410328502251E-2</v>
      </c>
      <c r="I60" s="144">
        <f ca="1">IFERROR(INDIRECT($B60&amp;"!I64"), "")</f>
        <v>62497.138872462834</v>
      </c>
      <c r="J60" s="145">
        <f ca="1">IFERROR($C60 * (1 + K60), "")</f>
        <v>5794168.1462707957</v>
      </c>
      <c r="K60" s="76">
        <f ca="1">IFERROR(INDIRECT($B60&amp;"!K64"), "")</f>
        <v>1.6520727415929037E-2</v>
      </c>
      <c r="L60" s="144">
        <f ca="1">IFERROR(INDIRECT($B60&amp;"!L64"), "")</f>
        <v>94168.146270795492</v>
      </c>
      <c r="M60" s="145">
        <f ca="1">IFERROR($C60 * (1 + N60), "")</f>
        <v>5791895.125992734</v>
      </c>
      <c r="N60" s="76">
        <f ca="1">IFERROR(INDIRECT($B60&amp;"!N64"), "")</f>
        <v>1.6121951928549837E-2</v>
      </c>
      <c r="O60" s="144">
        <f ca="1">IFERROR(INDIRECT($B60&amp;"!O64"), "")</f>
        <v>91895.125992734043</v>
      </c>
    </row>
    <row r="61" spans="1:15" ht="16.5" customHeight="1">
      <c r="A61" s="159">
        <v>2</v>
      </c>
      <c r="B61" s="159" t="str">
        <f>TEXT(투자전략!$G$1+1, "[$-ko-KR]yyyy.mm.dd")</f>
        <v>2021.05.02</v>
      </c>
      <c r="C61" s="138">
        <f t="shared" ref="C61:C90" ca="1" si="13">IFERROR(COUNTA(INDIRECT($B61&amp;"!A44:A63")) * INDIRECT($B61&amp;"!B64"), "")</f>
        <v>5700000</v>
      </c>
      <c r="D61" s="142">
        <f t="shared" ref="D61:D90" ca="1" si="14">IFERROR($C61 * (1 + E61), "")</f>
        <v>5690911.4456432778</v>
      </c>
      <c r="E61" s="77">
        <f t="shared" ref="E61:E90" ca="1" si="15">IFERROR(INDIRECT($B61&amp;"!E64"), "")</f>
        <v>-1.594483220477585E-3</v>
      </c>
      <c r="F61" s="140">
        <f t="shared" ref="F61:F90" ca="1" si="16">IFERROR(INDIRECT($B61&amp;"!F64"), "")</f>
        <v>-9088.5543567222303</v>
      </c>
      <c r="G61" s="142">
        <f t="shared" ref="G61:G90" ca="1" si="17">IFERROR($C61 * (1 + H61), "")</f>
        <v>5690498.5045738928</v>
      </c>
      <c r="H61" s="77">
        <f t="shared" ref="H61:H90" ca="1" si="18">IFERROR(INDIRECT($B61&amp;"!H64"), "")</f>
        <v>-1.666929022124089E-3</v>
      </c>
      <c r="I61" s="140">
        <f t="shared" ref="I61:I90" ca="1" si="19">IFERROR(INDIRECT($B61&amp;"!I64"), "")</f>
        <v>-9501.4954261073035</v>
      </c>
      <c r="J61" s="142">
        <f t="shared" ref="J61:J90" ca="1" si="20">IFERROR($C61 * (1 + K61), "")</f>
        <v>5725292.5041279895</v>
      </c>
      <c r="K61" s="77">
        <f t="shared" ref="K61:K90" ca="1" si="21">IFERROR(INDIRECT($B61&amp;"!K64"), "")</f>
        <v>4.437281425962906E-3</v>
      </c>
      <c r="L61" s="140">
        <f t="shared" ref="L61:L90" ca="1" si="22">IFERROR(INDIRECT($B61&amp;"!L64"), "")</f>
        <v>25292.50412798857</v>
      </c>
      <c r="M61" s="142">
        <f t="shared" ref="M61:M90" ca="1" si="23">IFERROR($C61 * (1 + N61), "")</f>
        <v>5763933.8531855056</v>
      </c>
      <c r="N61" s="77">
        <f t="shared" ref="N61:N90" ca="1" si="24">IFERROR(INDIRECT($B61&amp;"!N64"), "")</f>
        <v>1.1216465471141364E-2</v>
      </c>
      <c r="O61" s="140">
        <f t="shared" ref="O61:O90" ca="1" si="25">IFERROR(INDIRECT($B61&amp;"!O64"), "")</f>
        <v>63933.853185505781</v>
      </c>
    </row>
    <row r="62" spans="1:15" ht="16.5" customHeight="1">
      <c r="A62" s="159">
        <v>3</v>
      </c>
      <c r="B62" s="159" t="str">
        <f>TEXT(투자전략!$G$1+2, "[$-ko-KR]yyyy.mm.dd")</f>
        <v>2021.05.03</v>
      </c>
      <c r="C62" s="138">
        <f t="shared" ca="1" si="13"/>
        <v>5400000</v>
      </c>
      <c r="D62" s="142">
        <f t="shared" ca="1" si="14"/>
        <v>5575496.9864295339</v>
      </c>
      <c r="E62" s="77">
        <f t="shared" ca="1" si="15"/>
        <v>3.2499441931395062E-2</v>
      </c>
      <c r="F62" s="140">
        <f t="shared" ca="1" si="16"/>
        <v>175496.9864295334</v>
      </c>
      <c r="G62" s="142">
        <f t="shared" ca="1" si="17"/>
        <v>5618685.4874268863</v>
      </c>
      <c r="H62" s="77">
        <f t="shared" ca="1" si="18"/>
        <v>4.0497312486460504E-2</v>
      </c>
      <c r="I62" s="140">
        <f t="shared" ca="1" si="19"/>
        <v>218685.48742688677</v>
      </c>
      <c r="J62" s="142">
        <f t="shared" ca="1" si="20"/>
        <v>5642781.0931354463</v>
      </c>
      <c r="K62" s="77">
        <f t="shared" ca="1" si="21"/>
        <v>4.4959461691749317E-2</v>
      </c>
      <c r="L62" s="140">
        <f t="shared" ca="1" si="22"/>
        <v>242781.09313544634</v>
      </c>
      <c r="M62" s="142">
        <f t="shared" ca="1" si="23"/>
        <v>5599398.2018607762</v>
      </c>
      <c r="N62" s="77">
        <f t="shared" ca="1" si="24"/>
        <v>3.6925592937180791E-2</v>
      </c>
      <c r="O62" s="140">
        <f t="shared" ca="1" si="25"/>
        <v>199398.20186077629</v>
      </c>
    </row>
    <row r="63" spans="1:15" ht="16.5" customHeight="1">
      <c r="A63" s="159">
        <v>4</v>
      </c>
      <c r="B63" s="159" t="str">
        <f>TEXT(투자전략!$G$1+3, "[$-ko-KR]yyyy.mm.dd")</f>
        <v>2021.05.04</v>
      </c>
      <c r="C63" s="138">
        <f t="shared" ca="1" si="13"/>
        <v>5100000</v>
      </c>
      <c r="D63" s="142">
        <f t="shared" ca="1" si="14"/>
        <v>4913291.8029331751</v>
      </c>
      <c r="E63" s="77">
        <f t="shared" ca="1" si="15"/>
        <v>-3.6609450405259723E-2</v>
      </c>
      <c r="F63" s="140">
        <f t="shared" ca="1" si="16"/>
        <v>-186708.19706682459</v>
      </c>
      <c r="G63" s="142">
        <f t="shared" ca="1" si="17"/>
        <v>4944548.6693847794</v>
      </c>
      <c r="H63" s="77">
        <f t="shared" ca="1" si="18"/>
        <v>-3.0480653061807909E-2</v>
      </c>
      <c r="I63" s="140">
        <f t="shared" ca="1" si="19"/>
        <v>-155451.3306152203</v>
      </c>
      <c r="J63" s="142">
        <f t="shared" ca="1" si="20"/>
        <v>4946341.5860611983</v>
      </c>
      <c r="K63" s="77">
        <f t="shared" ca="1" si="21"/>
        <v>-3.0129100772314142E-2</v>
      </c>
      <c r="L63" s="140">
        <f t="shared" ca="1" si="22"/>
        <v>-153658.41393880208</v>
      </c>
      <c r="M63" s="142">
        <f t="shared" ca="1" si="23"/>
        <v>4753721.9406563118</v>
      </c>
      <c r="N63" s="77">
        <f t="shared" ca="1" si="24"/>
        <v>-6.7897658694840837E-2</v>
      </c>
      <c r="O63" s="140">
        <f t="shared" ca="1" si="25"/>
        <v>-346278.05934368825</v>
      </c>
    </row>
    <row r="64" spans="1:15" ht="16.5" customHeight="1">
      <c r="A64" s="159">
        <v>5</v>
      </c>
      <c r="B64" s="159" t="str">
        <f>TEXT(투자전략!$G$1+4, "[$-ko-KR]yyyy.mm.dd")</f>
        <v>2021.05.05</v>
      </c>
      <c r="C64" s="138">
        <f t="shared" ca="1" si="13"/>
        <v>2550000</v>
      </c>
      <c r="D64" s="142">
        <f t="shared" ca="1" si="14"/>
        <v>2414283.6024819729</v>
      </c>
      <c r="E64" s="77">
        <f t="shared" ca="1" si="15"/>
        <v>-5.3222116673736088E-2</v>
      </c>
      <c r="F64" s="140">
        <f t="shared" ca="1" si="16"/>
        <v>-135716.39751802705</v>
      </c>
      <c r="G64" s="142">
        <f t="shared" ca="1" si="17"/>
        <v>2485506.2944377828</v>
      </c>
      <c r="H64" s="77">
        <f t="shared" ca="1" si="18"/>
        <v>-2.5291649240085156E-2</v>
      </c>
      <c r="I64" s="140">
        <f t="shared" ca="1" si="19"/>
        <v>-64493.705562217161</v>
      </c>
      <c r="J64" s="142">
        <f t="shared" ca="1" si="20"/>
        <v>2450988.7532001613</v>
      </c>
      <c r="K64" s="77">
        <f t="shared" ca="1" si="21"/>
        <v>-3.8827939921505517E-2</v>
      </c>
      <c r="L64" s="140">
        <f t="shared" ca="1" si="22"/>
        <v>-99011.246799839064</v>
      </c>
      <c r="M64" s="142">
        <f t="shared" ca="1" si="23"/>
        <v>2522166.9920933945</v>
      </c>
      <c r="N64" s="77">
        <f t="shared" ca="1" si="24"/>
        <v>-1.0914905061413859E-2</v>
      </c>
      <c r="O64" s="140">
        <f t="shared" ca="1" si="25"/>
        <v>-27833.007906605329</v>
      </c>
    </row>
    <row r="65" spans="1:15" ht="16.5" customHeight="1">
      <c r="A65" s="159">
        <v>6</v>
      </c>
      <c r="B65" s="159" t="str">
        <f>TEXT(투자전략!$G$1+5, "[$-ko-KR]yyyy.mm.dd")</f>
        <v>2021.05.06</v>
      </c>
      <c r="C65" s="138">
        <f t="shared" ca="1" si="13"/>
        <v>2700000</v>
      </c>
      <c r="D65" s="142">
        <f t="shared" ca="1" si="14"/>
        <v>2699243.1196434526</v>
      </c>
      <c r="E65" s="77">
        <f t="shared" ca="1" si="15"/>
        <v>-2.8032605798057489E-4</v>
      </c>
      <c r="F65" s="140">
        <f t="shared" ca="1" si="16"/>
        <v>-756.88035654755151</v>
      </c>
      <c r="G65" s="142">
        <f t="shared" ca="1" si="17"/>
        <v>2688883.5356454668</v>
      </c>
      <c r="H65" s="77">
        <f t="shared" ca="1" si="18"/>
        <v>-4.1172090201973717E-3</v>
      </c>
      <c r="I65" s="140">
        <f t="shared" ca="1" si="19"/>
        <v>-11116.464354532902</v>
      </c>
      <c r="J65" s="142">
        <f t="shared" ca="1" si="20"/>
        <v>2685218.8109180443</v>
      </c>
      <c r="K65" s="77">
        <f t="shared" ca="1" si="21"/>
        <v>-5.4745144747983601E-3</v>
      </c>
      <c r="L65" s="140">
        <f t="shared" ca="1" si="22"/>
        <v>-14781.189081955576</v>
      </c>
      <c r="M65" s="142">
        <f t="shared" ca="1" si="23"/>
        <v>2685739.9606291102</v>
      </c>
      <c r="N65" s="77">
        <f t="shared" ca="1" si="24"/>
        <v>-5.2814960632924903E-3</v>
      </c>
      <c r="O65" s="140">
        <f t="shared" ca="1" si="25"/>
        <v>-14260.03937088973</v>
      </c>
    </row>
    <row r="66" spans="1:15" ht="16.5" customHeight="1" thickBot="1">
      <c r="A66" s="161">
        <v>7</v>
      </c>
      <c r="B66" s="161" t="str">
        <f>TEXT(투자전략!$G$1+6, "[$-ko-KR]yyyy.mm.dd")</f>
        <v>2021.05.07</v>
      </c>
      <c r="C66" s="138">
        <f t="shared" ca="1" si="13"/>
        <v>2850000</v>
      </c>
      <c r="D66" s="142">
        <f t="shared" ca="1" si="14"/>
        <v>2678763.1230948311</v>
      </c>
      <c r="E66" s="77">
        <f t="shared" ca="1" si="15"/>
        <v>-6.0083114703568037E-2</v>
      </c>
      <c r="F66" s="140">
        <f t="shared" ca="1" si="16"/>
        <v>-171236.87690516893</v>
      </c>
      <c r="G66" s="142">
        <f t="shared" ca="1" si="17"/>
        <v>2739890.416816175</v>
      </c>
      <c r="H66" s="77">
        <f t="shared" ca="1" si="18"/>
        <v>-3.8634941468008686E-2</v>
      </c>
      <c r="I66" s="140">
        <f t="shared" ca="1" si="19"/>
        <v>-110109.58318382471</v>
      </c>
      <c r="J66" s="142">
        <f t="shared" ca="1" si="20"/>
        <v>2826150.8225448746</v>
      </c>
      <c r="K66" s="77">
        <f t="shared" ca="1" si="21"/>
        <v>-8.368132440394787E-3</v>
      </c>
      <c r="L66" s="140">
        <f t="shared" ca="1" si="22"/>
        <v>-23849.177455125144</v>
      </c>
      <c r="M66" s="142">
        <f t="shared" ca="1" si="23"/>
        <v>2855094.2695993325</v>
      </c>
      <c r="N66" s="77">
        <f t="shared" ca="1" si="24"/>
        <v>1.7874630173095435E-3</v>
      </c>
      <c r="O66" s="140">
        <f t="shared" ca="1" si="25"/>
        <v>5094.2695993321886</v>
      </c>
    </row>
    <row r="67" spans="1:15" ht="16.5" customHeight="1">
      <c r="A67" s="160">
        <v>8</v>
      </c>
      <c r="B67" s="160" t="str">
        <f>TEXT(투자전략!$G$1+7, "[$-ko-KR]yyyy.mm.dd")</f>
        <v>2021.05.08</v>
      </c>
      <c r="C67" s="137">
        <f t="shared" ca="1" si="13"/>
        <v>2850000</v>
      </c>
      <c r="D67" s="145">
        <f t="shared" ca="1" si="14"/>
        <v>2789719.4245896782</v>
      </c>
      <c r="E67" s="76">
        <f t="shared" ca="1" si="15"/>
        <v>-2.115107909134107E-2</v>
      </c>
      <c r="F67" s="144">
        <f t="shared" ca="1" si="16"/>
        <v>-60280.575410322046</v>
      </c>
      <c r="G67" s="145">
        <f t="shared" ca="1" si="17"/>
        <v>2800294.7024498149</v>
      </c>
      <c r="H67" s="76">
        <f t="shared" ca="1" si="18"/>
        <v>-1.7440455280766792E-2</v>
      </c>
      <c r="I67" s="144">
        <f t="shared" ca="1" si="19"/>
        <v>-49705.297550185358</v>
      </c>
      <c r="J67" s="145">
        <f t="shared" ca="1" si="20"/>
        <v>2803924.1807414507</v>
      </c>
      <c r="K67" s="76">
        <f t="shared" ca="1" si="21"/>
        <v>-1.6166954125806803E-2</v>
      </c>
      <c r="L67" s="144">
        <f t="shared" ca="1" si="22"/>
        <v>-46075.819258549382</v>
      </c>
      <c r="M67" s="145">
        <f t="shared" ca="1" si="23"/>
        <v>2795416.6521626255</v>
      </c>
      <c r="N67" s="76">
        <f t="shared" ca="1" si="24"/>
        <v>-1.9152051872762893E-2</v>
      </c>
      <c r="O67" s="144">
        <f t="shared" ca="1" si="25"/>
        <v>-54583.347837374262</v>
      </c>
    </row>
    <row r="68" spans="1:15" ht="16.5" customHeight="1">
      <c r="A68" s="159">
        <v>9</v>
      </c>
      <c r="B68" s="159" t="str">
        <f>TEXT(투자전략!$G$1+8, "[$-ko-KR]yyyy.mm.dd")</f>
        <v>2021.05.09</v>
      </c>
      <c r="C68" s="138">
        <f t="shared" ca="1" si="13"/>
        <v>2850000</v>
      </c>
      <c r="D68" s="142">
        <f t="shared" ca="1" si="14"/>
        <v>2766756.586740783</v>
      </c>
      <c r="E68" s="77">
        <f t="shared" ca="1" si="15"/>
        <v>-2.920821517867268E-2</v>
      </c>
      <c r="F68" s="140">
        <f t="shared" ca="1" si="16"/>
        <v>-83243.413259217152</v>
      </c>
      <c r="G68" s="142">
        <f t="shared" ca="1" si="17"/>
        <v>2729982.7965285233</v>
      </c>
      <c r="H68" s="77">
        <f t="shared" ca="1" si="18"/>
        <v>-4.2111299463675984E-2</v>
      </c>
      <c r="I68" s="140">
        <f t="shared" ca="1" si="19"/>
        <v>-120017.20347147653</v>
      </c>
      <c r="J68" s="142">
        <f t="shared" ca="1" si="20"/>
        <v>2693559.3527347138</v>
      </c>
      <c r="K68" s="77">
        <f t="shared" ca="1" si="21"/>
        <v>-5.489145518080224E-2</v>
      </c>
      <c r="L68" s="140">
        <f t="shared" ca="1" si="22"/>
        <v>-156440.64726528642</v>
      </c>
      <c r="M68" s="142">
        <f t="shared" ca="1" si="23"/>
        <v>2709175.3991925204</v>
      </c>
      <c r="N68" s="77">
        <f t="shared" ca="1" si="24"/>
        <v>-4.9412140634203336E-2</v>
      </c>
      <c r="O68" s="140">
        <f t="shared" ca="1" si="25"/>
        <v>-140824.6008074795</v>
      </c>
    </row>
    <row r="69" spans="1:15" ht="16.5" customHeight="1">
      <c r="A69" s="159">
        <v>10</v>
      </c>
      <c r="B69" s="159" t="str">
        <f>TEXT(투자전략!$G$1+9, "[$-ko-KR]yyyy.mm.dd")</f>
        <v>2021.05.10</v>
      </c>
      <c r="C69" s="138">
        <f t="shared" ca="1" si="13"/>
        <v>2850000</v>
      </c>
      <c r="D69" s="142">
        <f t="shared" ca="1" si="14"/>
        <v>2866664.89846153</v>
      </c>
      <c r="E69" s="77">
        <f t="shared" ca="1" si="15"/>
        <v>5.8473327935194466E-3</v>
      </c>
      <c r="F69" s="140">
        <f t="shared" ca="1" si="16"/>
        <v>16664.898461530418</v>
      </c>
      <c r="G69" s="142">
        <f t="shared" ca="1" si="17"/>
        <v>2882496.0997115215</v>
      </c>
      <c r="H69" s="77">
        <f t="shared" ca="1" si="18"/>
        <v>1.1402140249656689E-2</v>
      </c>
      <c r="I69" s="140">
        <f t="shared" ca="1" si="19"/>
        <v>32496.099711521561</v>
      </c>
      <c r="J69" s="142">
        <f t="shared" ca="1" si="20"/>
        <v>2880730.1903196112</v>
      </c>
      <c r="K69" s="77">
        <f t="shared" ca="1" si="21"/>
        <v>1.0782522919161781E-2</v>
      </c>
      <c r="L69" s="140">
        <f t="shared" ca="1" si="22"/>
        <v>30730.19031961108</v>
      </c>
      <c r="M69" s="142">
        <f t="shared" ca="1" si="23"/>
        <v>2850000</v>
      </c>
      <c r="N69" s="77">
        <f t="shared" ca="1" si="24"/>
        <v>0</v>
      </c>
      <c r="O69" s="140">
        <f t="shared" ca="1" si="25"/>
        <v>0</v>
      </c>
    </row>
    <row r="70" spans="1:15" ht="16.5" customHeight="1">
      <c r="A70" s="159">
        <v>11</v>
      </c>
      <c r="B70" s="159" t="str">
        <f>TEXT(투자전략!$G$1+10, "[$-ko-KR]yyyy.mm.dd")</f>
        <v>2021.05.11</v>
      </c>
      <c r="C70" s="138" t="str">
        <f t="shared" ca="1" si="13"/>
        <v/>
      </c>
      <c r="D70" s="142" t="str">
        <f t="shared" ca="1" si="14"/>
        <v/>
      </c>
      <c r="E70" s="77" t="str">
        <f t="shared" ca="1" si="15"/>
        <v/>
      </c>
      <c r="F70" s="140" t="str">
        <f t="shared" ca="1" si="16"/>
        <v/>
      </c>
      <c r="G70" s="142" t="str">
        <f t="shared" ca="1" si="17"/>
        <v/>
      </c>
      <c r="H70" s="77" t="str">
        <f t="shared" ca="1" si="18"/>
        <v/>
      </c>
      <c r="I70" s="140" t="str">
        <f t="shared" ca="1" si="19"/>
        <v/>
      </c>
      <c r="J70" s="142" t="str">
        <f t="shared" ca="1" si="20"/>
        <v/>
      </c>
      <c r="K70" s="77" t="str">
        <f t="shared" ca="1" si="21"/>
        <v/>
      </c>
      <c r="L70" s="140" t="str">
        <f t="shared" ca="1" si="22"/>
        <v/>
      </c>
      <c r="M70" s="142" t="str">
        <f t="shared" ca="1" si="23"/>
        <v/>
      </c>
      <c r="N70" s="77" t="str">
        <f t="shared" ca="1" si="24"/>
        <v/>
      </c>
      <c r="O70" s="140" t="str">
        <f t="shared" ca="1" si="25"/>
        <v/>
      </c>
    </row>
    <row r="71" spans="1:15" ht="16.5" customHeight="1">
      <c r="A71" s="159">
        <v>12</v>
      </c>
      <c r="B71" s="159" t="str">
        <f>TEXT(투자전략!$G$1+11, "[$-ko-KR]yyyy.mm.dd")</f>
        <v>2021.05.12</v>
      </c>
      <c r="C71" s="138" t="str">
        <f t="shared" ca="1" si="13"/>
        <v/>
      </c>
      <c r="D71" s="142" t="str">
        <f t="shared" ca="1" si="14"/>
        <v/>
      </c>
      <c r="E71" s="77" t="str">
        <f t="shared" ca="1" si="15"/>
        <v/>
      </c>
      <c r="F71" s="140" t="str">
        <f t="shared" ca="1" si="16"/>
        <v/>
      </c>
      <c r="G71" s="142" t="str">
        <f t="shared" ca="1" si="17"/>
        <v/>
      </c>
      <c r="H71" s="77" t="str">
        <f t="shared" ca="1" si="18"/>
        <v/>
      </c>
      <c r="I71" s="140" t="str">
        <f t="shared" ca="1" si="19"/>
        <v/>
      </c>
      <c r="J71" s="142" t="str">
        <f t="shared" ca="1" si="20"/>
        <v/>
      </c>
      <c r="K71" s="77" t="str">
        <f t="shared" ca="1" si="21"/>
        <v/>
      </c>
      <c r="L71" s="140" t="str">
        <f t="shared" ca="1" si="22"/>
        <v/>
      </c>
      <c r="M71" s="142" t="str">
        <f t="shared" ca="1" si="23"/>
        <v/>
      </c>
      <c r="N71" s="77" t="str">
        <f t="shared" ca="1" si="24"/>
        <v/>
      </c>
      <c r="O71" s="140" t="str">
        <f t="shared" ca="1" si="25"/>
        <v/>
      </c>
    </row>
    <row r="72" spans="1:15" ht="16.5" customHeight="1">
      <c r="A72" s="159">
        <v>13</v>
      </c>
      <c r="B72" s="159" t="str">
        <f>TEXT(투자전략!$G$1+12, "[$-ko-KR]yyyy.mm.dd")</f>
        <v>2021.05.13</v>
      </c>
      <c r="C72" s="138" t="str">
        <f t="shared" ca="1" si="13"/>
        <v/>
      </c>
      <c r="D72" s="142" t="str">
        <f t="shared" ca="1" si="14"/>
        <v/>
      </c>
      <c r="E72" s="77" t="str">
        <f t="shared" ca="1" si="15"/>
        <v/>
      </c>
      <c r="F72" s="140" t="str">
        <f t="shared" ca="1" si="16"/>
        <v/>
      </c>
      <c r="G72" s="142" t="str">
        <f t="shared" ca="1" si="17"/>
        <v/>
      </c>
      <c r="H72" s="77" t="str">
        <f t="shared" ca="1" si="18"/>
        <v/>
      </c>
      <c r="I72" s="140" t="str">
        <f t="shared" ca="1" si="19"/>
        <v/>
      </c>
      <c r="J72" s="142" t="str">
        <f t="shared" ca="1" si="20"/>
        <v/>
      </c>
      <c r="K72" s="77" t="str">
        <f t="shared" ca="1" si="21"/>
        <v/>
      </c>
      <c r="L72" s="140" t="str">
        <f t="shared" ca="1" si="22"/>
        <v/>
      </c>
      <c r="M72" s="142" t="str">
        <f t="shared" ca="1" si="23"/>
        <v/>
      </c>
      <c r="N72" s="77" t="str">
        <f t="shared" ca="1" si="24"/>
        <v/>
      </c>
      <c r="O72" s="140" t="str">
        <f t="shared" ca="1" si="25"/>
        <v/>
      </c>
    </row>
    <row r="73" spans="1:15" ht="16.5" customHeight="1" thickBot="1">
      <c r="A73" s="161">
        <v>14</v>
      </c>
      <c r="B73" s="161" t="str">
        <f>TEXT(투자전략!$G$1+13, "[$-ko-KR]yyyy.mm.dd")</f>
        <v>2021.05.14</v>
      </c>
      <c r="C73" s="139" t="str">
        <f t="shared" ca="1" si="13"/>
        <v/>
      </c>
      <c r="D73" s="143" t="str">
        <f t="shared" ca="1" si="14"/>
        <v/>
      </c>
      <c r="E73" s="79" t="str">
        <f t="shared" ca="1" si="15"/>
        <v/>
      </c>
      <c r="F73" s="141" t="str">
        <f t="shared" ca="1" si="16"/>
        <v/>
      </c>
      <c r="G73" s="143" t="str">
        <f t="shared" ca="1" si="17"/>
        <v/>
      </c>
      <c r="H73" s="79" t="str">
        <f t="shared" ca="1" si="18"/>
        <v/>
      </c>
      <c r="I73" s="141" t="str">
        <f t="shared" ca="1" si="19"/>
        <v/>
      </c>
      <c r="J73" s="143" t="str">
        <f t="shared" ca="1" si="20"/>
        <v/>
      </c>
      <c r="K73" s="79" t="str">
        <f t="shared" ca="1" si="21"/>
        <v/>
      </c>
      <c r="L73" s="141" t="str">
        <f t="shared" ca="1" si="22"/>
        <v/>
      </c>
      <c r="M73" s="143" t="str">
        <f t="shared" ca="1" si="23"/>
        <v/>
      </c>
      <c r="N73" s="79" t="str">
        <f t="shared" ca="1" si="24"/>
        <v/>
      </c>
      <c r="O73" s="141" t="str">
        <f t="shared" ca="1" si="25"/>
        <v/>
      </c>
    </row>
    <row r="74" spans="1:15" ht="16.5" customHeight="1">
      <c r="A74" s="160">
        <v>15</v>
      </c>
      <c r="B74" s="160" t="str">
        <f>TEXT(투자전략!$G$1+14, "[$-ko-KR]yyyy.mm.dd")</f>
        <v>2021.05.15</v>
      </c>
      <c r="C74" s="138" t="str">
        <f t="shared" ca="1" si="13"/>
        <v/>
      </c>
      <c r="D74" s="142" t="str">
        <f t="shared" ca="1" si="14"/>
        <v/>
      </c>
      <c r="E74" s="77" t="str">
        <f t="shared" ca="1" si="15"/>
        <v/>
      </c>
      <c r="F74" s="140" t="str">
        <f t="shared" ca="1" si="16"/>
        <v/>
      </c>
      <c r="G74" s="142" t="str">
        <f t="shared" ca="1" si="17"/>
        <v/>
      </c>
      <c r="H74" s="77" t="str">
        <f t="shared" ca="1" si="18"/>
        <v/>
      </c>
      <c r="I74" s="140" t="str">
        <f t="shared" ca="1" si="19"/>
        <v/>
      </c>
      <c r="J74" s="142" t="str">
        <f t="shared" ca="1" si="20"/>
        <v/>
      </c>
      <c r="K74" s="77" t="str">
        <f t="shared" ca="1" si="21"/>
        <v/>
      </c>
      <c r="L74" s="140" t="str">
        <f t="shared" ca="1" si="22"/>
        <v/>
      </c>
      <c r="M74" s="142" t="str">
        <f t="shared" ca="1" si="23"/>
        <v/>
      </c>
      <c r="N74" s="77" t="str">
        <f t="shared" ca="1" si="24"/>
        <v/>
      </c>
      <c r="O74" s="140" t="str">
        <f t="shared" ca="1" si="25"/>
        <v/>
      </c>
    </row>
    <row r="75" spans="1:15" ht="16.5" customHeight="1">
      <c r="A75" s="159">
        <v>16</v>
      </c>
      <c r="B75" s="159" t="str">
        <f>TEXT(투자전략!$G$1+15, "[$-ko-KR]yyyy.mm.dd")</f>
        <v>2021.05.16</v>
      </c>
      <c r="C75" s="138" t="str">
        <f t="shared" ca="1" si="13"/>
        <v/>
      </c>
      <c r="D75" s="142" t="str">
        <f t="shared" ca="1" si="14"/>
        <v/>
      </c>
      <c r="E75" s="77" t="str">
        <f t="shared" ca="1" si="15"/>
        <v/>
      </c>
      <c r="F75" s="140" t="str">
        <f t="shared" ca="1" si="16"/>
        <v/>
      </c>
      <c r="G75" s="142" t="str">
        <f t="shared" ca="1" si="17"/>
        <v/>
      </c>
      <c r="H75" s="77" t="str">
        <f t="shared" ca="1" si="18"/>
        <v/>
      </c>
      <c r="I75" s="140" t="str">
        <f t="shared" ca="1" si="19"/>
        <v/>
      </c>
      <c r="J75" s="142" t="str">
        <f t="shared" ca="1" si="20"/>
        <v/>
      </c>
      <c r="K75" s="77" t="str">
        <f t="shared" ca="1" si="21"/>
        <v/>
      </c>
      <c r="L75" s="140" t="str">
        <f t="shared" ca="1" si="22"/>
        <v/>
      </c>
      <c r="M75" s="142" t="str">
        <f t="shared" ca="1" si="23"/>
        <v/>
      </c>
      <c r="N75" s="77" t="str">
        <f t="shared" ca="1" si="24"/>
        <v/>
      </c>
      <c r="O75" s="140" t="str">
        <f t="shared" ca="1" si="25"/>
        <v/>
      </c>
    </row>
    <row r="76" spans="1:15" ht="16.5" customHeight="1">
      <c r="A76" s="159">
        <v>17</v>
      </c>
      <c r="B76" s="159" t="str">
        <f>TEXT(투자전략!$G$1+16, "[$-ko-KR]yyyy.mm.dd")</f>
        <v>2021.05.17</v>
      </c>
      <c r="C76" s="138" t="str">
        <f t="shared" ca="1" si="13"/>
        <v/>
      </c>
      <c r="D76" s="142" t="str">
        <f t="shared" ca="1" si="14"/>
        <v/>
      </c>
      <c r="E76" s="77" t="str">
        <f t="shared" ca="1" si="15"/>
        <v/>
      </c>
      <c r="F76" s="140" t="str">
        <f t="shared" ca="1" si="16"/>
        <v/>
      </c>
      <c r="G76" s="142" t="str">
        <f t="shared" ca="1" si="17"/>
        <v/>
      </c>
      <c r="H76" s="77" t="str">
        <f t="shared" ca="1" si="18"/>
        <v/>
      </c>
      <c r="I76" s="140" t="str">
        <f t="shared" ca="1" si="19"/>
        <v/>
      </c>
      <c r="J76" s="142" t="str">
        <f t="shared" ca="1" si="20"/>
        <v/>
      </c>
      <c r="K76" s="77" t="str">
        <f t="shared" ca="1" si="21"/>
        <v/>
      </c>
      <c r="L76" s="140" t="str">
        <f t="shared" ca="1" si="22"/>
        <v/>
      </c>
      <c r="M76" s="142" t="str">
        <f t="shared" ca="1" si="23"/>
        <v/>
      </c>
      <c r="N76" s="77" t="str">
        <f t="shared" ca="1" si="24"/>
        <v/>
      </c>
      <c r="O76" s="140" t="str">
        <f t="shared" ca="1" si="25"/>
        <v/>
      </c>
    </row>
    <row r="77" spans="1:15" ht="16.5" customHeight="1">
      <c r="A77" s="159">
        <v>18</v>
      </c>
      <c r="B77" s="159" t="str">
        <f>TEXT(투자전략!$G$1+17, "[$-ko-KR]yyyy.mm.dd")</f>
        <v>2021.05.18</v>
      </c>
      <c r="C77" s="138" t="str">
        <f t="shared" ca="1" si="13"/>
        <v/>
      </c>
      <c r="D77" s="142" t="str">
        <f t="shared" ca="1" si="14"/>
        <v/>
      </c>
      <c r="E77" s="77" t="str">
        <f t="shared" ca="1" si="15"/>
        <v/>
      </c>
      <c r="F77" s="140" t="str">
        <f t="shared" ca="1" si="16"/>
        <v/>
      </c>
      <c r="G77" s="142" t="str">
        <f t="shared" ca="1" si="17"/>
        <v/>
      </c>
      <c r="H77" s="77" t="str">
        <f t="shared" ca="1" si="18"/>
        <v/>
      </c>
      <c r="I77" s="140" t="str">
        <f t="shared" ca="1" si="19"/>
        <v/>
      </c>
      <c r="J77" s="142" t="str">
        <f t="shared" ca="1" si="20"/>
        <v/>
      </c>
      <c r="K77" s="77" t="str">
        <f t="shared" ca="1" si="21"/>
        <v/>
      </c>
      <c r="L77" s="140" t="str">
        <f t="shared" ca="1" si="22"/>
        <v/>
      </c>
      <c r="M77" s="142" t="str">
        <f t="shared" ca="1" si="23"/>
        <v/>
      </c>
      <c r="N77" s="77" t="str">
        <f t="shared" ca="1" si="24"/>
        <v/>
      </c>
      <c r="O77" s="140" t="str">
        <f t="shared" ca="1" si="25"/>
        <v/>
      </c>
    </row>
    <row r="78" spans="1:15" ht="16.5" customHeight="1">
      <c r="A78" s="159">
        <v>19</v>
      </c>
      <c r="B78" s="159" t="str">
        <f>TEXT(투자전략!$G$1+18, "[$-ko-KR]yyyy.mm.dd")</f>
        <v>2021.05.19</v>
      </c>
      <c r="C78" s="138" t="str">
        <f t="shared" ca="1" si="13"/>
        <v/>
      </c>
      <c r="D78" s="142" t="str">
        <f t="shared" ca="1" si="14"/>
        <v/>
      </c>
      <c r="E78" s="77" t="str">
        <f t="shared" ca="1" si="15"/>
        <v/>
      </c>
      <c r="F78" s="140" t="str">
        <f t="shared" ca="1" si="16"/>
        <v/>
      </c>
      <c r="G78" s="142" t="str">
        <f t="shared" ca="1" si="17"/>
        <v/>
      </c>
      <c r="H78" s="77" t="str">
        <f t="shared" ca="1" si="18"/>
        <v/>
      </c>
      <c r="I78" s="140" t="str">
        <f t="shared" ca="1" si="19"/>
        <v/>
      </c>
      <c r="J78" s="142" t="str">
        <f t="shared" ca="1" si="20"/>
        <v/>
      </c>
      <c r="K78" s="77" t="str">
        <f t="shared" ca="1" si="21"/>
        <v/>
      </c>
      <c r="L78" s="140" t="str">
        <f t="shared" ca="1" si="22"/>
        <v/>
      </c>
      <c r="M78" s="142" t="str">
        <f t="shared" ca="1" si="23"/>
        <v/>
      </c>
      <c r="N78" s="77" t="str">
        <f t="shared" ca="1" si="24"/>
        <v/>
      </c>
      <c r="O78" s="140" t="str">
        <f t="shared" ca="1" si="25"/>
        <v/>
      </c>
    </row>
    <row r="79" spans="1:15" ht="16.5" customHeight="1">
      <c r="A79" s="159">
        <v>20</v>
      </c>
      <c r="B79" s="159" t="str">
        <f>TEXT(투자전략!$G$1+19, "[$-ko-KR]yyyy.mm.dd")</f>
        <v>2021.05.20</v>
      </c>
      <c r="C79" s="138" t="str">
        <f t="shared" ca="1" si="13"/>
        <v/>
      </c>
      <c r="D79" s="142" t="str">
        <f t="shared" ca="1" si="14"/>
        <v/>
      </c>
      <c r="E79" s="77" t="str">
        <f t="shared" ca="1" si="15"/>
        <v/>
      </c>
      <c r="F79" s="140" t="str">
        <f t="shared" ca="1" si="16"/>
        <v/>
      </c>
      <c r="G79" s="142" t="str">
        <f t="shared" ca="1" si="17"/>
        <v/>
      </c>
      <c r="H79" s="77" t="str">
        <f t="shared" ca="1" si="18"/>
        <v/>
      </c>
      <c r="I79" s="140" t="str">
        <f t="shared" ca="1" si="19"/>
        <v/>
      </c>
      <c r="J79" s="142" t="str">
        <f t="shared" ca="1" si="20"/>
        <v/>
      </c>
      <c r="K79" s="77" t="str">
        <f t="shared" ca="1" si="21"/>
        <v/>
      </c>
      <c r="L79" s="140" t="str">
        <f t="shared" ca="1" si="22"/>
        <v/>
      </c>
      <c r="M79" s="142" t="str">
        <f t="shared" ca="1" si="23"/>
        <v/>
      </c>
      <c r="N79" s="77" t="str">
        <f t="shared" ca="1" si="24"/>
        <v/>
      </c>
      <c r="O79" s="140" t="str">
        <f t="shared" ca="1" si="25"/>
        <v/>
      </c>
    </row>
    <row r="80" spans="1:15" ht="16.5" customHeight="1" thickBot="1">
      <c r="A80" s="161">
        <v>21</v>
      </c>
      <c r="B80" s="161" t="str">
        <f>TEXT(투자전략!$G$1+20, "[$-ko-KR]yyyy.mm.dd")</f>
        <v>2021.05.21</v>
      </c>
      <c r="C80" s="138" t="str">
        <f t="shared" ca="1" si="13"/>
        <v/>
      </c>
      <c r="D80" s="142" t="str">
        <f t="shared" ca="1" si="14"/>
        <v/>
      </c>
      <c r="E80" s="77" t="str">
        <f t="shared" ca="1" si="15"/>
        <v/>
      </c>
      <c r="F80" s="140" t="str">
        <f t="shared" ca="1" si="16"/>
        <v/>
      </c>
      <c r="G80" s="142" t="str">
        <f t="shared" ca="1" si="17"/>
        <v/>
      </c>
      <c r="H80" s="77" t="str">
        <f t="shared" ca="1" si="18"/>
        <v/>
      </c>
      <c r="I80" s="140" t="str">
        <f t="shared" ca="1" si="19"/>
        <v/>
      </c>
      <c r="J80" s="142" t="str">
        <f t="shared" ca="1" si="20"/>
        <v/>
      </c>
      <c r="K80" s="77" t="str">
        <f t="shared" ca="1" si="21"/>
        <v/>
      </c>
      <c r="L80" s="140" t="str">
        <f t="shared" ca="1" si="22"/>
        <v/>
      </c>
      <c r="M80" s="142" t="str">
        <f t="shared" ca="1" si="23"/>
        <v/>
      </c>
      <c r="N80" s="77" t="str">
        <f t="shared" ca="1" si="24"/>
        <v/>
      </c>
      <c r="O80" s="140" t="str">
        <f t="shared" ca="1" si="25"/>
        <v/>
      </c>
    </row>
    <row r="81" spans="1:15" ht="16.5" customHeight="1">
      <c r="A81" s="160">
        <v>22</v>
      </c>
      <c r="B81" s="160" t="str">
        <f>TEXT(투자전략!$G$1+21, "[$-ko-KR]yyyy.mm.dd")</f>
        <v>2021.05.22</v>
      </c>
      <c r="C81" s="137" t="str">
        <f t="shared" ca="1" si="13"/>
        <v/>
      </c>
      <c r="D81" s="145" t="str">
        <f t="shared" ca="1" si="14"/>
        <v/>
      </c>
      <c r="E81" s="76" t="str">
        <f t="shared" ca="1" si="15"/>
        <v/>
      </c>
      <c r="F81" s="144" t="str">
        <f t="shared" ca="1" si="16"/>
        <v/>
      </c>
      <c r="G81" s="145" t="str">
        <f t="shared" ca="1" si="17"/>
        <v/>
      </c>
      <c r="H81" s="76" t="str">
        <f t="shared" ca="1" si="18"/>
        <v/>
      </c>
      <c r="I81" s="144" t="str">
        <f t="shared" ca="1" si="19"/>
        <v/>
      </c>
      <c r="J81" s="145" t="str">
        <f t="shared" ca="1" si="20"/>
        <v/>
      </c>
      <c r="K81" s="76" t="str">
        <f t="shared" ca="1" si="21"/>
        <v/>
      </c>
      <c r="L81" s="144" t="str">
        <f t="shared" ca="1" si="22"/>
        <v/>
      </c>
      <c r="M81" s="145" t="str">
        <f t="shared" ca="1" si="23"/>
        <v/>
      </c>
      <c r="N81" s="76" t="str">
        <f t="shared" ca="1" si="24"/>
        <v/>
      </c>
      <c r="O81" s="144" t="str">
        <f t="shared" ca="1" si="25"/>
        <v/>
      </c>
    </row>
    <row r="82" spans="1:15" ht="16.5" customHeight="1">
      <c r="A82" s="159">
        <v>23</v>
      </c>
      <c r="B82" s="159" t="str">
        <f>TEXT(투자전략!$G$1+22, "[$-ko-KR]yyyy.mm.dd")</f>
        <v>2021.05.23</v>
      </c>
      <c r="C82" s="138" t="str">
        <f t="shared" ca="1" si="13"/>
        <v/>
      </c>
      <c r="D82" s="142" t="str">
        <f t="shared" ca="1" si="14"/>
        <v/>
      </c>
      <c r="E82" s="77" t="str">
        <f t="shared" ca="1" si="15"/>
        <v/>
      </c>
      <c r="F82" s="140" t="str">
        <f t="shared" ca="1" si="16"/>
        <v/>
      </c>
      <c r="G82" s="142" t="str">
        <f t="shared" ca="1" si="17"/>
        <v/>
      </c>
      <c r="H82" s="77" t="str">
        <f t="shared" ca="1" si="18"/>
        <v/>
      </c>
      <c r="I82" s="140" t="str">
        <f t="shared" ca="1" si="19"/>
        <v/>
      </c>
      <c r="J82" s="142" t="str">
        <f t="shared" ca="1" si="20"/>
        <v/>
      </c>
      <c r="K82" s="77" t="str">
        <f t="shared" ca="1" si="21"/>
        <v/>
      </c>
      <c r="L82" s="140" t="str">
        <f t="shared" ca="1" si="22"/>
        <v/>
      </c>
      <c r="M82" s="142" t="str">
        <f t="shared" ca="1" si="23"/>
        <v/>
      </c>
      <c r="N82" s="77" t="str">
        <f t="shared" ca="1" si="24"/>
        <v/>
      </c>
      <c r="O82" s="140" t="str">
        <f t="shared" ca="1" si="25"/>
        <v/>
      </c>
    </row>
    <row r="83" spans="1:15" ht="16.5" customHeight="1">
      <c r="A83" s="159">
        <v>24</v>
      </c>
      <c r="B83" s="159" t="str">
        <f>TEXT(투자전략!$G$1+23, "[$-ko-KR]yyyy.mm.dd")</f>
        <v>2021.05.24</v>
      </c>
      <c r="C83" s="138" t="str">
        <f t="shared" ca="1" si="13"/>
        <v/>
      </c>
      <c r="D83" s="142" t="str">
        <f t="shared" ca="1" si="14"/>
        <v/>
      </c>
      <c r="E83" s="77" t="str">
        <f t="shared" ca="1" si="15"/>
        <v/>
      </c>
      <c r="F83" s="140" t="str">
        <f t="shared" ca="1" si="16"/>
        <v/>
      </c>
      <c r="G83" s="142" t="str">
        <f t="shared" ca="1" si="17"/>
        <v/>
      </c>
      <c r="H83" s="77" t="str">
        <f t="shared" ca="1" si="18"/>
        <v/>
      </c>
      <c r="I83" s="140" t="str">
        <f t="shared" ca="1" si="19"/>
        <v/>
      </c>
      <c r="J83" s="142" t="str">
        <f t="shared" ca="1" si="20"/>
        <v/>
      </c>
      <c r="K83" s="77" t="str">
        <f t="shared" ca="1" si="21"/>
        <v/>
      </c>
      <c r="L83" s="140" t="str">
        <f t="shared" ca="1" si="22"/>
        <v/>
      </c>
      <c r="M83" s="142" t="str">
        <f t="shared" ca="1" si="23"/>
        <v/>
      </c>
      <c r="N83" s="77" t="str">
        <f t="shared" ca="1" si="24"/>
        <v/>
      </c>
      <c r="O83" s="140" t="str">
        <f t="shared" ca="1" si="25"/>
        <v/>
      </c>
    </row>
    <row r="84" spans="1:15" ht="16.5" customHeight="1">
      <c r="A84" s="159">
        <v>25</v>
      </c>
      <c r="B84" s="159" t="str">
        <f>TEXT(투자전략!$G$1+24, "[$-ko-KR]yyyy.mm.dd")</f>
        <v>2021.05.25</v>
      </c>
      <c r="C84" s="138" t="str">
        <f t="shared" ca="1" si="13"/>
        <v/>
      </c>
      <c r="D84" s="142" t="str">
        <f t="shared" ca="1" si="14"/>
        <v/>
      </c>
      <c r="E84" s="77" t="str">
        <f t="shared" ca="1" si="15"/>
        <v/>
      </c>
      <c r="F84" s="140" t="str">
        <f t="shared" ca="1" si="16"/>
        <v/>
      </c>
      <c r="G84" s="142" t="str">
        <f t="shared" ca="1" si="17"/>
        <v/>
      </c>
      <c r="H84" s="77" t="str">
        <f t="shared" ca="1" si="18"/>
        <v/>
      </c>
      <c r="I84" s="140" t="str">
        <f t="shared" ca="1" si="19"/>
        <v/>
      </c>
      <c r="J84" s="142" t="str">
        <f t="shared" ca="1" si="20"/>
        <v/>
      </c>
      <c r="K84" s="77" t="str">
        <f t="shared" ca="1" si="21"/>
        <v/>
      </c>
      <c r="L84" s="140" t="str">
        <f t="shared" ca="1" si="22"/>
        <v/>
      </c>
      <c r="M84" s="142" t="str">
        <f t="shared" ca="1" si="23"/>
        <v/>
      </c>
      <c r="N84" s="77" t="str">
        <f t="shared" ca="1" si="24"/>
        <v/>
      </c>
      <c r="O84" s="140" t="str">
        <f t="shared" ca="1" si="25"/>
        <v/>
      </c>
    </row>
    <row r="85" spans="1:15" ht="16.5" customHeight="1">
      <c r="A85" s="159">
        <v>26</v>
      </c>
      <c r="B85" s="159" t="str">
        <f>TEXT(투자전략!$G$1+25, "[$-ko-KR]yyyy.mm.dd")</f>
        <v>2021.05.26</v>
      </c>
      <c r="C85" s="138" t="str">
        <f t="shared" ca="1" si="13"/>
        <v/>
      </c>
      <c r="D85" s="142" t="str">
        <f t="shared" ca="1" si="14"/>
        <v/>
      </c>
      <c r="E85" s="77" t="str">
        <f t="shared" ca="1" si="15"/>
        <v/>
      </c>
      <c r="F85" s="140" t="str">
        <f t="shared" ca="1" si="16"/>
        <v/>
      </c>
      <c r="G85" s="142" t="str">
        <f t="shared" ca="1" si="17"/>
        <v/>
      </c>
      <c r="H85" s="77" t="str">
        <f t="shared" ca="1" si="18"/>
        <v/>
      </c>
      <c r="I85" s="140" t="str">
        <f t="shared" ca="1" si="19"/>
        <v/>
      </c>
      <c r="J85" s="142" t="str">
        <f t="shared" ca="1" si="20"/>
        <v/>
      </c>
      <c r="K85" s="77" t="str">
        <f t="shared" ca="1" si="21"/>
        <v/>
      </c>
      <c r="L85" s="140" t="str">
        <f t="shared" ca="1" si="22"/>
        <v/>
      </c>
      <c r="M85" s="142" t="str">
        <f t="shared" ca="1" si="23"/>
        <v/>
      </c>
      <c r="N85" s="77" t="str">
        <f t="shared" ca="1" si="24"/>
        <v/>
      </c>
      <c r="O85" s="140" t="str">
        <f t="shared" ca="1" si="25"/>
        <v/>
      </c>
    </row>
    <row r="86" spans="1:15" ht="16.5" customHeight="1">
      <c r="A86" s="159">
        <v>27</v>
      </c>
      <c r="B86" s="159" t="str">
        <f>TEXT(투자전략!$G$1+26, "[$-ko-KR]yyyy.mm.dd")</f>
        <v>2021.05.27</v>
      </c>
      <c r="C86" s="138" t="str">
        <f t="shared" ca="1" si="13"/>
        <v/>
      </c>
      <c r="D86" s="142" t="str">
        <f t="shared" ca="1" si="14"/>
        <v/>
      </c>
      <c r="E86" s="77" t="str">
        <f t="shared" ca="1" si="15"/>
        <v/>
      </c>
      <c r="F86" s="140" t="str">
        <f t="shared" ca="1" si="16"/>
        <v/>
      </c>
      <c r="G86" s="142" t="str">
        <f t="shared" ca="1" si="17"/>
        <v/>
      </c>
      <c r="H86" s="77" t="str">
        <f t="shared" ca="1" si="18"/>
        <v/>
      </c>
      <c r="I86" s="140" t="str">
        <f t="shared" ca="1" si="19"/>
        <v/>
      </c>
      <c r="J86" s="142" t="str">
        <f t="shared" ca="1" si="20"/>
        <v/>
      </c>
      <c r="K86" s="77" t="str">
        <f t="shared" ca="1" si="21"/>
        <v/>
      </c>
      <c r="L86" s="140" t="str">
        <f t="shared" ca="1" si="22"/>
        <v/>
      </c>
      <c r="M86" s="142" t="str">
        <f t="shared" ca="1" si="23"/>
        <v/>
      </c>
      <c r="N86" s="77" t="str">
        <f t="shared" ca="1" si="24"/>
        <v/>
      </c>
      <c r="O86" s="140" t="str">
        <f t="shared" ca="1" si="25"/>
        <v/>
      </c>
    </row>
    <row r="87" spans="1:15" ht="16.5" customHeight="1" thickBot="1">
      <c r="A87" s="161">
        <v>28</v>
      </c>
      <c r="B87" s="161" t="str">
        <f>TEXT(투자전략!$G$1+27, "[$-ko-KR]yyyy.mm.dd")</f>
        <v>2021.05.28</v>
      </c>
      <c r="C87" s="139" t="str">
        <f t="shared" ca="1" si="13"/>
        <v/>
      </c>
      <c r="D87" s="143" t="str">
        <f t="shared" ca="1" si="14"/>
        <v/>
      </c>
      <c r="E87" s="79" t="str">
        <f t="shared" ca="1" si="15"/>
        <v/>
      </c>
      <c r="F87" s="141" t="str">
        <f t="shared" ca="1" si="16"/>
        <v/>
      </c>
      <c r="G87" s="143" t="str">
        <f t="shared" ca="1" si="17"/>
        <v/>
      </c>
      <c r="H87" s="79" t="str">
        <f t="shared" ca="1" si="18"/>
        <v/>
      </c>
      <c r="I87" s="141" t="str">
        <f t="shared" ca="1" si="19"/>
        <v/>
      </c>
      <c r="J87" s="143" t="str">
        <f t="shared" ca="1" si="20"/>
        <v/>
      </c>
      <c r="K87" s="79" t="str">
        <f t="shared" ca="1" si="21"/>
        <v/>
      </c>
      <c r="L87" s="141" t="str">
        <f t="shared" ca="1" si="22"/>
        <v/>
      </c>
      <c r="M87" s="143" t="str">
        <f t="shared" ca="1" si="23"/>
        <v/>
      </c>
      <c r="N87" s="79" t="str">
        <f t="shared" ca="1" si="24"/>
        <v/>
      </c>
      <c r="O87" s="141" t="str">
        <f t="shared" ca="1" si="25"/>
        <v/>
      </c>
    </row>
    <row r="88" spans="1:15" ht="16.5" customHeight="1">
      <c r="A88" s="124">
        <v>29</v>
      </c>
      <c r="B88" s="160" t="str">
        <f>TEXT(투자전략!$G$1+28, "[$-ko-KR]yyyy.mm.dd")</f>
        <v>2021.05.29</v>
      </c>
      <c r="C88" s="138" t="str">
        <f t="shared" ca="1" si="13"/>
        <v/>
      </c>
      <c r="D88" s="142" t="str">
        <f t="shared" ca="1" si="14"/>
        <v/>
      </c>
      <c r="E88" s="77" t="str">
        <f t="shared" ca="1" si="15"/>
        <v/>
      </c>
      <c r="F88" s="140" t="str">
        <f t="shared" ca="1" si="16"/>
        <v/>
      </c>
      <c r="G88" s="142" t="str">
        <f t="shared" ca="1" si="17"/>
        <v/>
      </c>
      <c r="H88" s="77" t="str">
        <f t="shared" ca="1" si="18"/>
        <v/>
      </c>
      <c r="I88" s="140" t="str">
        <f t="shared" ca="1" si="19"/>
        <v/>
      </c>
      <c r="J88" s="142" t="str">
        <f t="shared" ca="1" si="20"/>
        <v/>
      </c>
      <c r="K88" s="77" t="str">
        <f t="shared" ca="1" si="21"/>
        <v/>
      </c>
      <c r="L88" s="140" t="str">
        <f t="shared" ca="1" si="22"/>
        <v/>
      </c>
      <c r="M88" s="142" t="str">
        <f t="shared" ca="1" si="23"/>
        <v/>
      </c>
      <c r="N88" s="77" t="str">
        <f t="shared" ca="1" si="24"/>
        <v/>
      </c>
      <c r="O88" s="140" t="str">
        <f t="shared" ca="1" si="25"/>
        <v/>
      </c>
    </row>
    <row r="89" spans="1:15" ht="16.5" customHeight="1">
      <c r="A89" s="124">
        <v>30</v>
      </c>
      <c r="B89" s="159" t="str">
        <f>TEXT(투자전략!$G$1+29, "[$-ko-KR]yyyy.mm.dd")</f>
        <v>2021.05.30</v>
      </c>
      <c r="C89" s="138" t="str">
        <f t="shared" ca="1" si="13"/>
        <v/>
      </c>
      <c r="D89" s="142" t="str">
        <f t="shared" ca="1" si="14"/>
        <v/>
      </c>
      <c r="E89" s="77" t="str">
        <f t="shared" ca="1" si="15"/>
        <v/>
      </c>
      <c r="F89" s="140" t="str">
        <f t="shared" ca="1" si="16"/>
        <v/>
      </c>
      <c r="G89" s="142" t="str">
        <f t="shared" ca="1" si="17"/>
        <v/>
      </c>
      <c r="H89" s="77" t="str">
        <f t="shared" ca="1" si="18"/>
        <v/>
      </c>
      <c r="I89" s="140" t="str">
        <f t="shared" ca="1" si="19"/>
        <v/>
      </c>
      <c r="J89" s="142" t="str">
        <f t="shared" ca="1" si="20"/>
        <v/>
      </c>
      <c r="K89" s="77" t="str">
        <f t="shared" ca="1" si="21"/>
        <v/>
      </c>
      <c r="L89" s="140" t="str">
        <f t="shared" ca="1" si="22"/>
        <v/>
      </c>
      <c r="M89" s="142" t="str">
        <f t="shared" ca="1" si="23"/>
        <v/>
      </c>
      <c r="N89" s="77" t="str">
        <f t="shared" ca="1" si="24"/>
        <v/>
      </c>
      <c r="O89" s="140" t="str">
        <f t="shared" ca="1" si="25"/>
        <v/>
      </c>
    </row>
    <row r="90" spans="1:15" ht="16.5" customHeight="1" thickBot="1">
      <c r="A90" s="124">
        <v>31</v>
      </c>
      <c r="B90" s="159" t="str">
        <f>TEXT(투자전략!$G$1+30, "[$-ko-KR]yyyy.mm.dd")</f>
        <v>2021.05.31</v>
      </c>
      <c r="C90" s="139" t="str">
        <f t="shared" ca="1" si="13"/>
        <v/>
      </c>
      <c r="D90" s="143" t="str">
        <f t="shared" ca="1" si="14"/>
        <v/>
      </c>
      <c r="E90" s="79" t="str">
        <f t="shared" ca="1" si="15"/>
        <v/>
      </c>
      <c r="F90" s="141" t="str">
        <f t="shared" ca="1" si="16"/>
        <v/>
      </c>
      <c r="G90" s="143" t="str">
        <f t="shared" ca="1" si="17"/>
        <v/>
      </c>
      <c r="H90" s="79" t="str">
        <f t="shared" ca="1" si="18"/>
        <v/>
      </c>
      <c r="I90" s="141" t="str">
        <f t="shared" ca="1" si="19"/>
        <v/>
      </c>
      <c r="J90" s="143" t="str">
        <f t="shared" ca="1" si="20"/>
        <v/>
      </c>
      <c r="K90" s="79" t="str">
        <f t="shared" ca="1" si="21"/>
        <v/>
      </c>
      <c r="L90" s="141" t="str">
        <f t="shared" ca="1" si="22"/>
        <v/>
      </c>
      <c r="M90" s="143" t="str">
        <f t="shared" ca="1" si="23"/>
        <v/>
      </c>
      <c r="N90" s="79" t="str">
        <f t="shared" ca="1" si="24"/>
        <v/>
      </c>
      <c r="O90" s="141" t="str">
        <f t="shared" ca="1" si="25"/>
        <v/>
      </c>
    </row>
    <row r="91" spans="1:15" ht="16.5" customHeight="1" thickBot="1">
      <c r="A91" s="202" t="s">
        <v>319</v>
      </c>
      <c r="B91" s="204"/>
      <c r="C91" s="135" t="s">
        <v>314</v>
      </c>
      <c r="D91" s="153" t="s">
        <v>315</v>
      </c>
      <c r="E91" s="154" t="s">
        <v>316</v>
      </c>
      <c r="F91" s="155" t="s">
        <v>317</v>
      </c>
      <c r="G91" s="153" t="s">
        <v>315</v>
      </c>
      <c r="H91" s="154" t="s">
        <v>316</v>
      </c>
      <c r="I91" s="155" t="s">
        <v>317</v>
      </c>
      <c r="J91" s="153" t="s">
        <v>315</v>
      </c>
      <c r="K91" s="154" t="s">
        <v>316</v>
      </c>
      <c r="L91" s="155" t="s">
        <v>317</v>
      </c>
      <c r="M91" s="153" t="s">
        <v>315</v>
      </c>
      <c r="N91" s="154" t="s">
        <v>316</v>
      </c>
      <c r="O91" s="155" t="s">
        <v>317</v>
      </c>
    </row>
    <row r="92" spans="1:15" ht="16.5" customHeight="1" thickBot="1">
      <c r="A92" s="208"/>
      <c r="B92" s="210"/>
      <c r="C92" s="139">
        <f ca="1">SUM(C60:C90)</f>
        <v>38550000</v>
      </c>
      <c r="D92" s="143">
        <f ca="1">SUM(D60:D90)</f>
        <v>38192098.848289534</v>
      </c>
      <c r="E92" s="79">
        <f ca="1">IFERROR(F92 / (SUM($C60:$C90) / COUNT($C60:$C90)), 0)</f>
        <v>-9.2840765683648921E-2</v>
      </c>
      <c r="F92" s="141">
        <f ca="1">SUM(F60:F90)</f>
        <v>-357901.1517104666</v>
      </c>
      <c r="G92" s="143">
        <f ca="1">SUM(G60:G90)</f>
        <v>38343283.645847298</v>
      </c>
      <c r="H92" s="79">
        <f ca="1">IFERROR(I92 / (SUM($C60:$C90) / COUNT($C60:$C90)), 0)</f>
        <v>-5.3622919365160344E-2</v>
      </c>
      <c r="I92" s="141">
        <f ca="1">SUM(I60:I90)</f>
        <v>-206716.35415269312</v>
      </c>
      <c r="J92" s="143">
        <f ca="1">SUM(J60:J90)</f>
        <v>38449155.44005429</v>
      </c>
      <c r="K92" s="79">
        <f ca="1">IFERROR(L92 / (SUM($C60:$C90) / COUNT($C60:$C90)), 0)</f>
        <v>-2.6159418922364775E-2</v>
      </c>
      <c r="L92" s="141">
        <f ca="1">SUM(L60:L90)</f>
        <v>-100844.5599457162</v>
      </c>
      <c r="M92" s="143">
        <f ca="1">SUM(M60:M90)</f>
        <v>38326542.395372309</v>
      </c>
      <c r="N92" s="79">
        <f ca="1">IFERROR(O92 / (SUM($C60:$C90) / COUNT($C60:$C90)), 0)</f>
        <v>-5.796565619395299E-2</v>
      </c>
      <c r="O92" s="141">
        <f ca="1">SUM(O60:O90)</f>
        <v>-223457.60462768876</v>
      </c>
    </row>
    <row r="94" spans="1:15" ht="16.5" customHeight="1" thickBot="1"/>
    <row r="95" spans="1:15" ht="16.5" customHeight="1" thickBot="1">
      <c r="A95" s="193" t="str">
        <f>TEXT(투자전략!$G$1, "[$-ko-KR]yyyy년 mm월 ") &amp; "[동전코인] 전일대비 상승률 Top20 월말결산"</f>
        <v>2021년 05월 [동전코인] 전일대비 상승률 Top20 월말결산</v>
      </c>
      <c r="B95" s="194"/>
      <c r="C95" s="194"/>
      <c r="D95" s="194"/>
      <c r="E95" s="194"/>
      <c r="F95" s="194"/>
      <c r="G95" s="194"/>
      <c r="H95" s="194"/>
      <c r="I95" s="194"/>
      <c r="J95" s="194"/>
      <c r="K95" s="194"/>
      <c r="L95" s="194"/>
      <c r="M95" s="194"/>
      <c r="N95" s="194"/>
      <c r="O95" s="195"/>
    </row>
    <row r="96" spans="1:15" ht="16.5" customHeight="1" thickBot="1">
      <c r="A96" s="254" t="s">
        <v>320</v>
      </c>
      <c r="B96" s="208" t="s">
        <v>318</v>
      </c>
      <c r="C96" s="210"/>
      <c r="D96" s="208" t="s">
        <v>310</v>
      </c>
      <c r="E96" s="209"/>
      <c r="F96" s="210"/>
      <c r="G96" s="208" t="s">
        <v>311</v>
      </c>
      <c r="H96" s="209"/>
      <c r="I96" s="210"/>
      <c r="J96" s="208" t="s">
        <v>312</v>
      </c>
      <c r="K96" s="209"/>
      <c r="L96" s="210"/>
      <c r="M96" s="208" t="s">
        <v>313</v>
      </c>
      <c r="N96" s="209"/>
      <c r="O96" s="210"/>
    </row>
    <row r="97" spans="1:15" ht="16.5" customHeight="1" thickBot="1">
      <c r="A97" s="258"/>
      <c r="B97" s="160" t="s">
        <v>308</v>
      </c>
      <c r="C97" s="160" t="s">
        <v>42</v>
      </c>
      <c r="D97" s="124" t="s">
        <v>309</v>
      </c>
      <c r="E97" s="136" t="s">
        <v>40</v>
      </c>
      <c r="F97" s="162" t="s">
        <v>41</v>
      </c>
      <c r="G97" s="124" t="s">
        <v>309</v>
      </c>
      <c r="H97" s="136" t="s">
        <v>40</v>
      </c>
      <c r="I97" s="162" t="s">
        <v>41</v>
      </c>
      <c r="J97" s="124" t="s">
        <v>309</v>
      </c>
      <c r="K97" s="136" t="s">
        <v>40</v>
      </c>
      <c r="L97" s="162" t="s">
        <v>41</v>
      </c>
      <c r="M97" s="124" t="s">
        <v>309</v>
      </c>
      <c r="N97" s="136" t="s">
        <v>40</v>
      </c>
      <c r="O97" s="162" t="s">
        <v>41</v>
      </c>
    </row>
    <row r="98" spans="1:15" ht="16.5" customHeight="1">
      <c r="A98" s="160">
        <v>1</v>
      </c>
      <c r="B98" s="160" t="str">
        <f>TEXT(투자전략!$G$1+0, "[$-ko-KR]yyyy.mm.dd")</f>
        <v>2021.05.01</v>
      </c>
      <c r="C98" s="137">
        <f ca="1">IFERROR(COUNTA(INDIRECT($B98&amp;"!A71:A90")) * INDIRECT($B98&amp;"!B91"), "")</f>
        <v>6000000</v>
      </c>
      <c r="D98" s="145">
        <f ca="1">IFERROR($C98 * (1 + E98), "")</f>
        <v>6184486.4255649652</v>
      </c>
      <c r="E98" s="76">
        <f ca="1">IFERROR(INDIRECT($B98&amp;"!E91"), "")</f>
        <v>3.0747737594160929E-2</v>
      </c>
      <c r="F98" s="144">
        <f ca="1">IFERROR(INDIRECT($B98&amp;"!F91"), "")</f>
        <v>184486.42556496555</v>
      </c>
      <c r="G98" s="145">
        <f ca="1">IFERROR($C98 * (1 + H98), "")</f>
        <v>6114970.0911680311</v>
      </c>
      <c r="H98" s="76">
        <f ca="1">IFERROR(INDIRECT($B98&amp;"!H91"), "")</f>
        <v>1.9161681861338504E-2</v>
      </c>
      <c r="I98" s="144">
        <f ca="1">IFERROR(INDIRECT($B98&amp;"!I91"), "")</f>
        <v>114970.09116803102</v>
      </c>
      <c r="J98" s="145">
        <f ca="1">IFERROR($C98 * (1 + K98), "")</f>
        <v>6194970.8295751177</v>
      </c>
      <c r="K98" s="76">
        <f ca="1">IFERROR(INDIRECT($B98&amp;"!K91"), "")</f>
        <v>3.2495138262519693E-2</v>
      </c>
      <c r="L98" s="144">
        <f ca="1">IFERROR(INDIRECT($B98&amp;"!L91"), "")</f>
        <v>194970.82957511808</v>
      </c>
      <c r="M98" s="145">
        <f ca="1">IFERROR($C98 * (1 + N98), "")</f>
        <v>6147439.3665411985</v>
      </c>
      <c r="N98" s="76">
        <f ca="1">IFERROR(INDIRECT($B98&amp;"!N91"), "")</f>
        <v>2.4573227756866368E-2</v>
      </c>
      <c r="O98" s="144">
        <f ca="1">IFERROR(INDIRECT($B98&amp;"!O91"), "")</f>
        <v>147439.36654119819</v>
      </c>
    </row>
    <row r="99" spans="1:15" ht="16.5" customHeight="1">
      <c r="A99" s="159">
        <v>2</v>
      </c>
      <c r="B99" s="159" t="str">
        <f>TEXT(투자전략!$G$1+1, "[$-ko-KR]yyyy.mm.dd")</f>
        <v>2021.05.02</v>
      </c>
      <c r="C99" s="138">
        <f t="shared" ref="C99:C128" ca="1" si="26">IFERROR(COUNTA(INDIRECT($B99&amp;"!A71:A90")) * INDIRECT($B99&amp;"!B91"), "")</f>
        <v>6000000</v>
      </c>
      <c r="D99" s="142">
        <f t="shared" ref="D99:D128" ca="1" si="27">IFERROR($C99 * (1 + E99), "")</f>
        <v>5982819.4308755761</v>
      </c>
      <c r="E99" s="77">
        <f t="shared" ref="E99:E128" ca="1" si="28">IFERROR(INDIRECT($B99&amp;"!E91"), "")</f>
        <v>-2.863428187403949E-3</v>
      </c>
      <c r="F99" s="140">
        <f t="shared" ref="F99:F128" ca="1" si="29">IFERROR(INDIRECT($B99&amp;"!F91"), "")</f>
        <v>-17180.569124423695</v>
      </c>
      <c r="G99" s="142">
        <f t="shared" ref="G99:G128" ca="1" si="30">IFERROR($C99 * (1 + H99), "")</f>
        <v>5990283.0231446996</v>
      </c>
      <c r="H99" s="77">
        <f t="shared" ref="H99:H128" ca="1" si="31">IFERROR(INDIRECT($B99&amp;"!H91"), "")</f>
        <v>-1.6194961425501017E-3</v>
      </c>
      <c r="I99" s="140">
        <f t="shared" ref="I99:I128" ca="1" si="32">IFERROR(INDIRECT($B99&amp;"!I91"), "")</f>
        <v>-9716.9768553006252</v>
      </c>
      <c r="J99" s="142">
        <f t="shared" ref="J99:J128" ca="1" si="33">IFERROR($C99 * (1 + K99), "")</f>
        <v>6021894.870766893</v>
      </c>
      <c r="K99" s="77">
        <f t="shared" ref="K99:K128" ca="1" si="34">IFERROR(INDIRECT($B99&amp;"!K91"), "")</f>
        <v>3.6491451278155467E-3</v>
      </c>
      <c r="L99" s="140">
        <f t="shared" ref="L99:L128" ca="1" si="35">IFERROR(INDIRECT($B99&amp;"!L91"), "")</f>
        <v>21894.870766893284</v>
      </c>
      <c r="M99" s="142">
        <f t="shared" ref="M99:M128" ca="1" si="36">IFERROR($C99 * (1 + N99), "")</f>
        <v>6051490.358055776</v>
      </c>
      <c r="N99" s="77">
        <f t="shared" ref="N99:N128" ca="1" si="37">IFERROR(INDIRECT($B99&amp;"!N91"), "")</f>
        <v>8.581726342629362E-3</v>
      </c>
      <c r="O99" s="140">
        <f t="shared" ref="O99:O128" ca="1" si="38">IFERROR(INDIRECT($B99&amp;"!O91"), "")</f>
        <v>51490.358055776174</v>
      </c>
    </row>
    <row r="100" spans="1:15" ht="16.5" customHeight="1">
      <c r="A100" s="159">
        <v>3</v>
      </c>
      <c r="B100" s="159" t="str">
        <f>TEXT(투자전략!$G$1+2, "[$-ko-KR]yyyy.mm.dd")</f>
        <v>2021.05.03</v>
      </c>
      <c r="C100" s="138">
        <f t="shared" ca="1" si="26"/>
        <v>6000000</v>
      </c>
      <c r="D100" s="142">
        <f t="shared" ca="1" si="27"/>
        <v>6172508.5939996438</v>
      </c>
      <c r="E100" s="77">
        <f t="shared" ca="1" si="28"/>
        <v>2.8751432333274062E-2</v>
      </c>
      <c r="F100" s="140">
        <f t="shared" ca="1" si="29"/>
        <v>172508.59399964436</v>
      </c>
      <c r="G100" s="142">
        <f t="shared" ca="1" si="30"/>
        <v>6233686.7788462183</v>
      </c>
      <c r="H100" s="77">
        <f t="shared" ca="1" si="31"/>
        <v>3.8947796474369689E-2</v>
      </c>
      <c r="I100" s="140">
        <f t="shared" ca="1" si="32"/>
        <v>233686.77884621805</v>
      </c>
      <c r="J100" s="142">
        <f t="shared" ca="1" si="33"/>
        <v>6289422.7420696653</v>
      </c>
      <c r="K100" s="77">
        <f t="shared" ca="1" si="34"/>
        <v>4.8237123678277566E-2</v>
      </c>
      <c r="L100" s="140">
        <f t="shared" ca="1" si="35"/>
        <v>289422.74206966534</v>
      </c>
      <c r="M100" s="142">
        <f t="shared" ca="1" si="36"/>
        <v>6195461.6913859444</v>
      </c>
      <c r="N100" s="77">
        <f t="shared" ca="1" si="37"/>
        <v>3.2576948564324033E-2</v>
      </c>
      <c r="O100" s="140">
        <f t="shared" ca="1" si="38"/>
        <v>195461.69138594417</v>
      </c>
    </row>
    <row r="101" spans="1:15" ht="16.5" customHeight="1">
      <c r="A101" s="159">
        <v>4</v>
      </c>
      <c r="B101" s="159" t="str">
        <f>TEXT(투자전략!$G$1+3, "[$-ko-KR]yyyy.mm.dd")</f>
        <v>2021.05.04</v>
      </c>
      <c r="C101" s="138">
        <f t="shared" ca="1" si="26"/>
        <v>6000000</v>
      </c>
      <c r="D101" s="142">
        <f t="shared" ca="1" si="27"/>
        <v>5878310.7276261421</v>
      </c>
      <c r="E101" s="77">
        <f t="shared" ca="1" si="28"/>
        <v>-2.0281545395642968E-2</v>
      </c>
      <c r="F101" s="140">
        <f t="shared" ca="1" si="29"/>
        <v>-121689.27237385782</v>
      </c>
      <c r="G101" s="142">
        <f t="shared" ca="1" si="30"/>
        <v>5985906.1143582687</v>
      </c>
      <c r="H101" s="77">
        <f t="shared" ca="1" si="31"/>
        <v>-2.3489809402885697E-3</v>
      </c>
      <c r="I101" s="140">
        <f t="shared" ca="1" si="32"/>
        <v>-14093.885641731413</v>
      </c>
      <c r="J101" s="142">
        <f t="shared" ca="1" si="33"/>
        <v>6006627.6945339618</v>
      </c>
      <c r="K101" s="77">
        <f t="shared" ca="1" si="34"/>
        <v>1.1046157556602802E-3</v>
      </c>
      <c r="L101" s="140">
        <f t="shared" ca="1" si="35"/>
        <v>6627.6945339616759</v>
      </c>
      <c r="M101" s="142">
        <f t="shared" ca="1" si="36"/>
        <v>5821671.7144620856</v>
      </c>
      <c r="N101" s="77">
        <f t="shared" ca="1" si="37"/>
        <v>-2.9721380922985652E-2</v>
      </c>
      <c r="O101" s="140">
        <f t="shared" ca="1" si="38"/>
        <v>-178328.28553791397</v>
      </c>
    </row>
    <row r="102" spans="1:15" ht="16.5" customHeight="1">
      <c r="A102" s="159">
        <v>5</v>
      </c>
      <c r="B102" s="159" t="str">
        <f>TEXT(투자전략!$G$1+4, "[$-ko-KR]yyyy.mm.dd")</f>
        <v>2021.05.05</v>
      </c>
      <c r="C102" s="138">
        <f t="shared" ca="1" si="26"/>
        <v>3000000</v>
      </c>
      <c r="D102" s="142">
        <f t="shared" ca="1" si="27"/>
        <v>2966021.1131484676</v>
      </c>
      <c r="E102" s="77">
        <f t="shared" ca="1" si="28"/>
        <v>-1.1326295617177452E-2</v>
      </c>
      <c r="F102" s="140">
        <f t="shared" ca="1" si="29"/>
        <v>-33978.886851532356</v>
      </c>
      <c r="G102" s="142">
        <f t="shared" ca="1" si="30"/>
        <v>2992445.553707548</v>
      </c>
      <c r="H102" s="77">
        <f t="shared" ca="1" si="31"/>
        <v>-2.5181487641507132E-3</v>
      </c>
      <c r="I102" s="140">
        <f t="shared" ca="1" si="32"/>
        <v>-7554.4462924521331</v>
      </c>
      <c r="J102" s="142">
        <f t="shared" ca="1" si="33"/>
        <v>2968457.8401459786</v>
      </c>
      <c r="K102" s="77">
        <f t="shared" ca="1" si="34"/>
        <v>-1.0514053284673846E-2</v>
      </c>
      <c r="L102" s="140">
        <f t="shared" ca="1" si="35"/>
        <v>-31542.159854021535</v>
      </c>
      <c r="M102" s="142">
        <f t="shared" ca="1" si="36"/>
        <v>2996816.697478069</v>
      </c>
      <c r="N102" s="77">
        <f t="shared" ca="1" si="37"/>
        <v>-1.061100840643723E-3</v>
      </c>
      <c r="O102" s="140">
        <f t="shared" ca="1" si="38"/>
        <v>-3183.3025219311785</v>
      </c>
    </row>
    <row r="103" spans="1:15" ht="16.5" customHeight="1">
      <c r="A103" s="159">
        <v>6</v>
      </c>
      <c r="B103" s="159" t="str">
        <f>TEXT(투자전략!$G$1+5, "[$-ko-KR]yyyy.mm.dd")</f>
        <v>2021.05.06</v>
      </c>
      <c r="C103" s="138">
        <f t="shared" ca="1" si="26"/>
        <v>3000000</v>
      </c>
      <c r="D103" s="142">
        <f t="shared" ca="1" si="27"/>
        <v>3119584.9986450379</v>
      </c>
      <c r="E103" s="77">
        <f t="shared" ca="1" si="28"/>
        <v>3.9861666215012595E-2</v>
      </c>
      <c r="F103" s="140">
        <f t="shared" ca="1" si="29"/>
        <v>119584.99864503778</v>
      </c>
      <c r="G103" s="142">
        <f t="shared" ca="1" si="30"/>
        <v>3122268.4733913504</v>
      </c>
      <c r="H103" s="77">
        <f t="shared" ca="1" si="31"/>
        <v>4.075615779711661E-2</v>
      </c>
      <c r="I103" s="140">
        <f t="shared" ca="1" si="32"/>
        <v>122268.47339134986</v>
      </c>
      <c r="J103" s="142">
        <f t="shared" ca="1" si="33"/>
        <v>3138122.4139355095</v>
      </c>
      <c r="K103" s="77">
        <f t="shared" ca="1" si="34"/>
        <v>4.6040804645169853E-2</v>
      </c>
      <c r="L103" s="140">
        <f t="shared" ca="1" si="35"/>
        <v>138122.41393550954</v>
      </c>
      <c r="M103" s="142">
        <f t="shared" ca="1" si="36"/>
        <v>3157026.6513397433</v>
      </c>
      <c r="N103" s="77">
        <f t="shared" ca="1" si="37"/>
        <v>5.2342217113247692E-2</v>
      </c>
      <c r="O103" s="140">
        <f t="shared" ca="1" si="38"/>
        <v>157026.65133974305</v>
      </c>
    </row>
    <row r="104" spans="1:15" ht="16.5" customHeight="1" thickBot="1">
      <c r="A104" s="161">
        <v>7</v>
      </c>
      <c r="B104" s="161" t="str">
        <f>TEXT(투자전략!$G$1+6, "[$-ko-KR]yyyy.mm.dd")</f>
        <v>2021.05.07</v>
      </c>
      <c r="C104" s="138">
        <f t="shared" ca="1" si="26"/>
        <v>3000000</v>
      </c>
      <c r="D104" s="142">
        <f t="shared" ca="1" si="27"/>
        <v>2942379.5073426478</v>
      </c>
      <c r="E104" s="77">
        <f t="shared" ca="1" si="28"/>
        <v>-1.9206830885784058E-2</v>
      </c>
      <c r="F104" s="140">
        <f t="shared" ca="1" si="29"/>
        <v>-57620.492657352181</v>
      </c>
      <c r="G104" s="142">
        <f t="shared" ca="1" si="30"/>
        <v>3038538.755884374</v>
      </c>
      <c r="H104" s="77">
        <f t="shared" ca="1" si="31"/>
        <v>1.2846251961457967E-2</v>
      </c>
      <c r="I104" s="140">
        <f t="shared" ca="1" si="32"/>
        <v>38538.75588437391</v>
      </c>
      <c r="J104" s="142">
        <f t="shared" ca="1" si="33"/>
        <v>3122788.4909962537</v>
      </c>
      <c r="K104" s="77">
        <f t="shared" ca="1" si="34"/>
        <v>4.0929496998751161E-2</v>
      </c>
      <c r="L104" s="140">
        <f t="shared" ca="1" si="35"/>
        <v>122788.49099625349</v>
      </c>
      <c r="M104" s="142">
        <f t="shared" ca="1" si="36"/>
        <v>3138126.934495029</v>
      </c>
      <c r="N104" s="77">
        <f t="shared" ca="1" si="37"/>
        <v>4.6042311498343036E-2</v>
      </c>
      <c r="O104" s="140">
        <f t="shared" ca="1" si="38"/>
        <v>138126.93449502913</v>
      </c>
    </row>
    <row r="105" spans="1:15" ht="16.5" customHeight="1">
      <c r="A105" s="160">
        <v>8</v>
      </c>
      <c r="B105" s="160" t="str">
        <f>TEXT(투자전략!$G$1+7, "[$-ko-KR]yyyy.mm.dd")</f>
        <v>2021.05.08</v>
      </c>
      <c r="C105" s="137">
        <f t="shared" ca="1" si="26"/>
        <v>3000000</v>
      </c>
      <c r="D105" s="145">
        <f t="shared" ca="1" si="27"/>
        <v>2884326.8672453905</v>
      </c>
      <c r="E105" s="76">
        <f t="shared" ca="1" si="28"/>
        <v>-3.8557710918203175E-2</v>
      </c>
      <c r="F105" s="144">
        <f t="shared" ca="1" si="29"/>
        <v>-115673.13275460956</v>
      </c>
      <c r="G105" s="145">
        <f t="shared" ca="1" si="30"/>
        <v>2949862.2004105402</v>
      </c>
      <c r="H105" s="76">
        <f t="shared" ca="1" si="31"/>
        <v>-1.6712599863153155E-2</v>
      </c>
      <c r="I105" s="144">
        <f t="shared" ca="1" si="32"/>
        <v>-50137.799589459471</v>
      </c>
      <c r="J105" s="145">
        <f t="shared" ca="1" si="33"/>
        <v>2956997.5621036557</v>
      </c>
      <c r="K105" s="76">
        <f t="shared" ca="1" si="34"/>
        <v>-1.4334145965448158E-2</v>
      </c>
      <c r="L105" s="144">
        <f t="shared" ca="1" si="35"/>
        <v>-43002.437896344491</v>
      </c>
      <c r="M105" s="145">
        <f t="shared" ca="1" si="36"/>
        <v>2926374.3422685754</v>
      </c>
      <c r="N105" s="76">
        <f t="shared" ca="1" si="37"/>
        <v>-2.4541885910474872E-2</v>
      </c>
      <c r="O105" s="144">
        <f t="shared" ca="1" si="38"/>
        <v>-73625.657731424639</v>
      </c>
    </row>
    <row r="106" spans="1:15" ht="16.5" customHeight="1">
      <c r="A106" s="159">
        <v>9</v>
      </c>
      <c r="B106" s="159" t="str">
        <f>TEXT(투자전략!$G$1+8, "[$-ko-KR]yyyy.mm.dd")</f>
        <v>2021.05.09</v>
      </c>
      <c r="C106" s="138">
        <f t="shared" ca="1" si="26"/>
        <v>3000000</v>
      </c>
      <c r="D106" s="142">
        <f t="shared" ca="1" si="27"/>
        <v>2892645.6141870604</v>
      </c>
      <c r="E106" s="77">
        <f t="shared" ca="1" si="28"/>
        <v>-3.578479527097992E-2</v>
      </c>
      <c r="F106" s="140">
        <f t="shared" ca="1" si="29"/>
        <v>-107354.3858129398</v>
      </c>
      <c r="G106" s="142">
        <f t="shared" ca="1" si="30"/>
        <v>2861890.344698505</v>
      </c>
      <c r="H106" s="77">
        <f t="shared" ca="1" si="31"/>
        <v>-4.6036551767165E-2</v>
      </c>
      <c r="I106" s="140">
        <f t="shared" ca="1" si="32"/>
        <v>-138109.65530149502</v>
      </c>
      <c r="J106" s="142">
        <f t="shared" ca="1" si="33"/>
        <v>2814003.195539474</v>
      </c>
      <c r="K106" s="77">
        <f t="shared" ca="1" si="34"/>
        <v>-6.1998934820175419E-2</v>
      </c>
      <c r="L106" s="140">
        <f t="shared" ca="1" si="35"/>
        <v>-185996.8044605263</v>
      </c>
      <c r="M106" s="142">
        <f t="shared" ca="1" si="36"/>
        <v>2831872.9450406865</v>
      </c>
      <c r="N106" s="77">
        <f t="shared" ca="1" si="37"/>
        <v>-5.6042351653104616E-2</v>
      </c>
      <c r="O106" s="140">
        <f t="shared" ca="1" si="38"/>
        <v>-168127.05495931386</v>
      </c>
    </row>
    <row r="107" spans="1:15" ht="16.5" customHeight="1">
      <c r="A107" s="159">
        <v>10</v>
      </c>
      <c r="B107" s="159" t="str">
        <f>TEXT(투자전략!$G$1+9, "[$-ko-KR]yyyy.mm.dd")</f>
        <v>2021.05.10</v>
      </c>
      <c r="C107" s="138">
        <f t="shared" ca="1" si="26"/>
        <v>3000000</v>
      </c>
      <c r="D107" s="142">
        <f t="shared" ca="1" si="27"/>
        <v>3043195.4481098079</v>
      </c>
      <c r="E107" s="77">
        <f t="shared" ca="1" si="28"/>
        <v>1.4398482703269253E-2</v>
      </c>
      <c r="F107" s="140">
        <f t="shared" ca="1" si="29"/>
        <v>43195.448109807767</v>
      </c>
      <c r="G107" s="142">
        <f t="shared" ca="1" si="30"/>
        <v>3076185.1648063501</v>
      </c>
      <c r="H107" s="77">
        <f t="shared" ca="1" si="31"/>
        <v>2.5395054935450044E-2</v>
      </c>
      <c r="I107" s="140">
        <f t="shared" ca="1" si="32"/>
        <v>76185.164806350134</v>
      </c>
      <c r="J107" s="142">
        <f t="shared" ca="1" si="33"/>
        <v>3045370.1058964198</v>
      </c>
      <c r="K107" s="77">
        <f t="shared" ca="1" si="34"/>
        <v>1.5123368632140022E-2</v>
      </c>
      <c r="L107" s="140">
        <f t="shared" ca="1" si="35"/>
        <v>45370.105896420064</v>
      </c>
      <c r="M107" s="142">
        <f t="shared" ca="1" si="36"/>
        <v>3000000</v>
      </c>
      <c r="N107" s="77">
        <f t="shared" ca="1" si="37"/>
        <v>0</v>
      </c>
      <c r="O107" s="140">
        <f t="shared" ca="1" si="38"/>
        <v>0</v>
      </c>
    </row>
    <row r="108" spans="1:15" ht="16.5" customHeight="1">
      <c r="A108" s="159">
        <v>11</v>
      </c>
      <c r="B108" s="159" t="str">
        <f>TEXT(투자전략!$G$1+10, "[$-ko-KR]yyyy.mm.dd")</f>
        <v>2021.05.11</v>
      </c>
      <c r="C108" s="138" t="str">
        <f t="shared" ca="1" si="26"/>
        <v/>
      </c>
      <c r="D108" s="142" t="str">
        <f t="shared" ca="1" si="27"/>
        <v/>
      </c>
      <c r="E108" s="77" t="str">
        <f t="shared" ca="1" si="28"/>
        <v/>
      </c>
      <c r="F108" s="140" t="str">
        <f t="shared" ca="1" si="29"/>
        <v/>
      </c>
      <c r="G108" s="142" t="str">
        <f t="shared" ca="1" si="30"/>
        <v/>
      </c>
      <c r="H108" s="77" t="str">
        <f t="shared" ca="1" si="31"/>
        <v/>
      </c>
      <c r="I108" s="140" t="str">
        <f t="shared" ca="1" si="32"/>
        <v/>
      </c>
      <c r="J108" s="142" t="str">
        <f t="shared" ca="1" si="33"/>
        <v/>
      </c>
      <c r="K108" s="77" t="str">
        <f t="shared" ca="1" si="34"/>
        <v/>
      </c>
      <c r="L108" s="140" t="str">
        <f t="shared" ca="1" si="35"/>
        <v/>
      </c>
      <c r="M108" s="142" t="str">
        <f t="shared" ca="1" si="36"/>
        <v/>
      </c>
      <c r="N108" s="77" t="str">
        <f t="shared" ca="1" si="37"/>
        <v/>
      </c>
      <c r="O108" s="140" t="str">
        <f t="shared" ca="1" si="38"/>
        <v/>
      </c>
    </row>
    <row r="109" spans="1:15" ht="16.5" customHeight="1">
      <c r="A109" s="159">
        <v>12</v>
      </c>
      <c r="B109" s="159" t="str">
        <f>TEXT(투자전략!$G$1+11, "[$-ko-KR]yyyy.mm.dd")</f>
        <v>2021.05.12</v>
      </c>
      <c r="C109" s="138" t="str">
        <f t="shared" ca="1" si="26"/>
        <v/>
      </c>
      <c r="D109" s="142" t="str">
        <f t="shared" ca="1" si="27"/>
        <v/>
      </c>
      <c r="E109" s="77" t="str">
        <f t="shared" ca="1" si="28"/>
        <v/>
      </c>
      <c r="F109" s="140" t="str">
        <f t="shared" ca="1" si="29"/>
        <v/>
      </c>
      <c r="G109" s="142" t="str">
        <f t="shared" ca="1" si="30"/>
        <v/>
      </c>
      <c r="H109" s="77" t="str">
        <f t="shared" ca="1" si="31"/>
        <v/>
      </c>
      <c r="I109" s="140" t="str">
        <f t="shared" ca="1" si="32"/>
        <v/>
      </c>
      <c r="J109" s="142" t="str">
        <f t="shared" ca="1" si="33"/>
        <v/>
      </c>
      <c r="K109" s="77" t="str">
        <f t="shared" ca="1" si="34"/>
        <v/>
      </c>
      <c r="L109" s="140" t="str">
        <f t="shared" ca="1" si="35"/>
        <v/>
      </c>
      <c r="M109" s="142" t="str">
        <f t="shared" ca="1" si="36"/>
        <v/>
      </c>
      <c r="N109" s="77" t="str">
        <f t="shared" ca="1" si="37"/>
        <v/>
      </c>
      <c r="O109" s="140" t="str">
        <f t="shared" ca="1" si="38"/>
        <v/>
      </c>
    </row>
    <row r="110" spans="1:15" ht="16.5" customHeight="1">
      <c r="A110" s="159">
        <v>13</v>
      </c>
      <c r="B110" s="159" t="str">
        <f>TEXT(투자전략!$G$1+12, "[$-ko-KR]yyyy.mm.dd")</f>
        <v>2021.05.13</v>
      </c>
      <c r="C110" s="138" t="str">
        <f t="shared" ca="1" si="26"/>
        <v/>
      </c>
      <c r="D110" s="142" t="str">
        <f t="shared" ca="1" si="27"/>
        <v/>
      </c>
      <c r="E110" s="77" t="str">
        <f t="shared" ca="1" si="28"/>
        <v/>
      </c>
      <c r="F110" s="140" t="str">
        <f t="shared" ca="1" si="29"/>
        <v/>
      </c>
      <c r="G110" s="142" t="str">
        <f t="shared" ca="1" si="30"/>
        <v/>
      </c>
      <c r="H110" s="77" t="str">
        <f t="shared" ca="1" si="31"/>
        <v/>
      </c>
      <c r="I110" s="140" t="str">
        <f t="shared" ca="1" si="32"/>
        <v/>
      </c>
      <c r="J110" s="142" t="str">
        <f t="shared" ca="1" si="33"/>
        <v/>
      </c>
      <c r="K110" s="77" t="str">
        <f t="shared" ca="1" si="34"/>
        <v/>
      </c>
      <c r="L110" s="140" t="str">
        <f t="shared" ca="1" si="35"/>
        <v/>
      </c>
      <c r="M110" s="142" t="str">
        <f t="shared" ca="1" si="36"/>
        <v/>
      </c>
      <c r="N110" s="77" t="str">
        <f t="shared" ca="1" si="37"/>
        <v/>
      </c>
      <c r="O110" s="140" t="str">
        <f t="shared" ca="1" si="38"/>
        <v/>
      </c>
    </row>
    <row r="111" spans="1:15" ht="16.5" customHeight="1" thickBot="1">
      <c r="A111" s="161">
        <v>14</v>
      </c>
      <c r="B111" s="161" t="str">
        <f>TEXT(투자전략!$G$1+13, "[$-ko-KR]yyyy.mm.dd")</f>
        <v>2021.05.14</v>
      </c>
      <c r="C111" s="139" t="str">
        <f t="shared" ca="1" si="26"/>
        <v/>
      </c>
      <c r="D111" s="143" t="str">
        <f t="shared" ca="1" si="27"/>
        <v/>
      </c>
      <c r="E111" s="79" t="str">
        <f t="shared" ca="1" si="28"/>
        <v/>
      </c>
      <c r="F111" s="141" t="str">
        <f t="shared" ca="1" si="29"/>
        <v/>
      </c>
      <c r="G111" s="143" t="str">
        <f t="shared" ca="1" si="30"/>
        <v/>
      </c>
      <c r="H111" s="79" t="str">
        <f t="shared" ca="1" si="31"/>
        <v/>
      </c>
      <c r="I111" s="141" t="str">
        <f t="shared" ca="1" si="32"/>
        <v/>
      </c>
      <c r="J111" s="143" t="str">
        <f t="shared" ca="1" si="33"/>
        <v/>
      </c>
      <c r="K111" s="79" t="str">
        <f t="shared" ca="1" si="34"/>
        <v/>
      </c>
      <c r="L111" s="141" t="str">
        <f t="shared" ca="1" si="35"/>
        <v/>
      </c>
      <c r="M111" s="143" t="str">
        <f t="shared" ca="1" si="36"/>
        <v/>
      </c>
      <c r="N111" s="79" t="str">
        <f t="shared" ca="1" si="37"/>
        <v/>
      </c>
      <c r="O111" s="141" t="str">
        <f t="shared" ca="1" si="38"/>
        <v/>
      </c>
    </row>
    <row r="112" spans="1:15" ht="16.5" customHeight="1">
      <c r="A112" s="160">
        <v>15</v>
      </c>
      <c r="B112" s="160" t="str">
        <f>TEXT(투자전략!$G$1+14, "[$-ko-KR]yyyy.mm.dd")</f>
        <v>2021.05.15</v>
      </c>
      <c r="C112" s="138" t="str">
        <f t="shared" ca="1" si="26"/>
        <v/>
      </c>
      <c r="D112" s="142" t="str">
        <f t="shared" ca="1" si="27"/>
        <v/>
      </c>
      <c r="E112" s="77" t="str">
        <f t="shared" ca="1" si="28"/>
        <v/>
      </c>
      <c r="F112" s="140" t="str">
        <f t="shared" ca="1" si="29"/>
        <v/>
      </c>
      <c r="G112" s="142" t="str">
        <f t="shared" ca="1" si="30"/>
        <v/>
      </c>
      <c r="H112" s="77" t="str">
        <f t="shared" ca="1" si="31"/>
        <v/>
      </c>
      <c r="I112" s="140" t="str">
        <f t="shared" ca="1" si="32"/>
        <v/>
      </c>
      <c r="J112" s="142" t="str">
        <f t="shared" ca="1" si="33"/>
        <v/>
      </c>
      <c r="K112" s="77" t="str">
        <f t="shared" ca="1" si="34"/>
        <v/>
      </c>
      <c r="L112" s="140" t="str">
        <f t="shared" ca="1" si="35"/>
        <v/>
      </c>
      <c r="M112" s="142" t="str">
        <f t="shared" ca="1" si="36"/>
        <v/>
      </c>
      <c r="N112" s="77" t="str">
        <f t="shared" ca="1" si="37"/>
        <v/>
      </c>
      <c r="O112" s="140" t="str">
        <f t="shared" ca="1" si="38"/>
        <v/>
      </c>
    </row>
    <row r="113" spans="1:15" ht="16.5" customHeight="1">
      <c r="A113" s="159">
        <v>16</v>
      </c>
      <c r="B113" s="159" t="str">
        <f>TEXT(투자전략!$G$1+15, "[$-ko-KR]yyyy.mm.dd")</f>
        <v>2021.05.16</v>
      </c>
      <c r="C113" s="138" t="str">
        <f t="shared" ca="1" si="26"/>
        <v/>
      </c>
      <c r="D113" s="142" t="str">
        <f t="shared" ca="1" si="27"/>
        <v/>
      </c>
      <c r="E113" s="77" t="str">
        <f t="shared" ca="1" si="28"/>
        <v/>
      </c>
      <c r="F113" s="140" t="str">
        <f t="shared" ca="1" si="29"/>
        <v/>
      </c>
      <c r="G113" s="142" t="str">
        <f t="shared" ca="1" si="30"/>
        <v/>
      </c>
      <c r="H113" s="77" t="str">
        <f t="shared" ca="1" si="31"/>
        <v/>
      </c>
      <c r="I113" s="140" t="str">
        <f t="shared" ca="1" si="32"/>
        <v/>
      </c>
      <c r="J113" s="142" t="str">
        <f t="shared" ca="1" si="33"/>
        <v/>
      </c>
      <c r="K113" s="77" t="str">
        <f t="shared" ca="1" si="34"/>
        <v/>
      </c>
      <c r="L113" s="140" t="str">
        <f t="shared" ca="1" si="35"/>
        <v/>
      </c>
      <c r="M113" s="142" t="str">
        <f t="shared" ca="1" si="36"/>
        <v/>
      </c>
      <c r="N113" s="77" t="str">
        <f t="shared" ca="1" si="37"/>
        <v/>
      </c>
      <c r="O113" s="140" t="str">
        <f t="shared" ca="1" si="38"/>
        <v/>
      </c>
    </row>
    <row r="114" spans="1:15" ht="16.5" customHeight="1">
      <c r="A114" s="159">
        <v>17</v>
      </c>
      <c r="B114" s="159" t="str">
        <f>TEXT(투자전략!$G$1+16, "[$-ko-KR]yyyy.mm.dd")</f>
        <v>2021.05.17</v>
      </c>
      <c r="C114" s="138" t="str">
        <f t="shared" ca="1" si="26"/>
        <v/>
      </c>
      <c r="D114" s="142" t="str">
        <f t="shared" ca="1" si="27"/>
        <v/>
      </c>
      <c r="E114" s="77" t="str">
        <f t="shared" ca="1" si="28"/>
        <v/>
      </c>
      <c r="F114" s="140" t="str">
        <f t="shared" ca="1" si="29"/>
        <v/>
      </c>
      <c r="G114" s="142" t="str">
        <f t="shared" ca="1" si="30"/>
        <v/>
      </c>
      <c r="H114" s="77" t="str">
        <f t="shared" ca="1" si="31"/>
        <v/>
      </c>
      <c r="I114" s="140" t="str">
        <f t="shared" ca="1" si="32"/>
        <v/>
      </c>
      <c r="J114" s="142" t="str">
        <f t="shared" ca="1" si="33"/>
        <v/>
      </c>
      <c r="K114" s="77" t="str">
        <f t="shared" ca="1" si="34"/>
        <v/>
      </c>
      <c r="L114" s="140" t="str">
        <f t="shared" ca="1" si="35"/>
        <v/>
      </c>
      <c r="M114" s="142" t="str">
        <f t="shared" ca="1" si="36"/>
        <v/>
      </c>
      <c r="N114" s="77" t="str">
        <f t="shared" ca="1" si="37"/>
        <v/>
      </c>
      <c r="O114" s="140" t="str">
        <f t="shared" ca="1" si="38"/>
        <v/>
      </c>
    </row>
    <row r="115" spans="1:15" ht="16.5" customHeight="1">
      <c r="A115" s="159">
        <v>18</v>
      </c>
      <c r="B115" s="159" t="str">
        <f>TEXT(투자전략!$G$1+17, "[$-ko-KR]yyyy.mm.dd")</f>
        <v>2021.05.18</v>
      </c>
      <c r="C115" s="138" t="str">
        <f t="shared" ca="1" si="26"/>
        <v/>
      </c>
      <c r="D115" s="142" t="str">
        <f t="shared" ca="1" si="27"/>
        <v/>
      </c>
      <c r="E115" s="77" t="str">
        <f t="shared" ca="1" si="28"/>
        <v/>
      </c>
      <c r="F115" s="140" t="str">
        <f t="shared" ca="1" si="29"/>
        <v/>
      </c>
      <c r="G115" s="142" t="str">
        <f t="shared" ca="1" si="30"/>
        <v/>
      </c>
      <c r="H115" s="77" t="str">
        <f t="shared" ca="1" si="31"/>
        <v/>
      </c>
      <c r="I115" s="140" t="str">
        <f t="shared" ca="1" si="32"/>
        <v/>
      </c>
      <c r="J115" s="142" t="str">
        <f t="shared" ca="1" si="33"/>
        <v/>
      </c>
      <c r="K115" s="77" t="str">
        <f t="shared" ca="1" si="34"/>
        <v/>
      </c>
      <c r="L115" s="140" t="str">
        <f t="shared" ca="1" si="35"/>
        <v/>
      </c>
      <c r="M115" s="142" t="str">
        <f t="shared" ca="1" si="36"/>
        <v/>
      </c>
      <c r="N115" s="77" t="str">
        <f t="shared" ca="1" si="37"/>
        <v/>
      </c>
      <c r="O115" s="140" t="str">
        <f t="shared" ca="1" si="38"/>
        <v/>
      </c>
    </row>
    <row r="116" spans="1:15" ht="16.5" customHeight="1">
      <c r="A116" s="159">
        <v>19</v>
      </c>
      <c r="B116" s="159" t="str">
        <f>TEXT(투자전략!$G$1+18, "[$-ko-KR]yyyy.mm.dd")</f>
        <v>2021.05.19</v>
      </c>
      <c r="C116" s="138" t="str">
        <f t="shared" ca="1" si="26"/>
        <v/>
      </c>
      <c r="D116" s="142" t="str">
        <f t="shared" ca="1" si="27"/>
        <v/>
      </c>
      <c r="E116" s="77" t="str">
        <f t="shared" ca="1" si="28"/>
        <v/>
      </c>
      <c r="F116" s="140" t="str">
        <f t="shared" ca="1" si="29"/>
        <v/>
      </c>
      <c r="G116" s="142" t="str">
        <f t="shared" ca="1" si="30"/>
        <v/>
      </c>
      <c r="H116" s="77" t="str">
        <f t="shared" ca="1" si="31"/>
        <v/>
      </c>
      <c r="I116" s="140" t="str">
        <f t="shared" ca="1" si="32"/>
        <v/>
      </c>
      <c r="J116" s="142" t="str">
        <f t="shared" ca="1" si="33"/>
        <v/>
      </c>
      <c r="K116" s="77" t="str">
        <f t="shared" ca="1" si="34"/>
        <v/>
      </c>
      <c r="L116" s="140" t="str">
        <f t="shared" ca="1" si="35"/>
        <v/>
      </c>
      <c r="M116" s="142" t="str">
        <f t="shared" ca="1" si="36"/>
        <v/>
      </c>
      <c r="N116" s="77" t="str">
        <f t="shared" ca="1" si="37"/>
        <v/>
      </c>
      <c r="O116" s="140" t="str">
        <f t="shared" ca="1" si="38"/>
        <v/>
      </c>
    </row>
    <row r="117" spans="1:15" ht="16.5" customHeight="1">
      <c r="A117" s="159">
        <v>20</v>
      </c>
      <c r="B117" s="159" t="str">
        <f>TEXT(투자전략!$G$1+19, "[$-ko-KR]yyyy.mm.dd")</f>
        <v>2021.05.20</v>
      </c>
      <c r="C117" s="138" t="str">
        <f t="shared" ca="1" si="26"/>
        <v/>
      </c>
      <c r="D117" s="142" t="str">
        <f t="shared" ca="1" si="27"/>
        <v/>
      </c>
      <c r="E117" s="77" t="str">
        <f t="shared" ca="1" si="28"/>
        <v/>
      </c>
      <c r="F117" s="140" t="str">
        <f t="shared" ca="1" si="29"/>
        <v/>
      </c>
      <c r="G117" s="142" t="str">
        <f t="shared" ca="1" si="30"/>
        <v/>
      </c>
      <c r="H117" s="77" t="str">
        <f t="shared" ca="1" si="31"/>
        <v/>
      </c>
      <c r="I117" s="140" t="str">
        <f t="shared" ca="1" si="32"/>
        <v/>
      </c>
      <c r="J117" s="142" t="str">
        <f t="shared" ca="1" si="33"/>
        <v/>
      </c>
      <c r="K117" s="77" t="str">
        <f t="shared" ca="1" si="34"/>
        <v/>
      </c>
      <c r="L117" s="140" t="str">
        <f t="shared" ca="1" si="35"/>
        <v/>
      </c>
      <c r="M117" s="142" t="str">
        <f t="shared" ca="1" si="36"/>
        <v/>
      </c>
      <c r="N117" s="77" t="str">
        <f t="shared" ca="1" si="37"/>
        <v/>
      </c>
      <c r="O117" s="140" t="str">
        <f t="shared" ca="1" si="38"/>
        <v/>
      </c>
    </row>
    <row r="118" spans="1:15" ht="16.5" customHeight="1" thickBot="1">
      <c r="A118" s="161">
        <v>21</v>
      </c>
      <c r="B118" s="161" t="str">
        <f>TEXT(투자전략!$G$1+20, "[$-ko-KR]yyyy.mm.dd")</f>
        <v>2021.05.21</v>
      </c>
      <c r="C118" s="138" t="str">
        <f t="shared" ca="1" si="26"/>
        <v/>
      </c>
      <c r="D118" s="142" t="str">
        <f t="shared" ca="1" si="27"/>
        <v/>
      </c>
      <c r="E118" s="77" t="str">
        <f t="shared" ca="1" si="28"/>
        <v/>
      </c>
      <c r="F118" s="140" t="str">
        <f t="shared" ca="1" si="29"/>
        <v/>
      </c>
      <c r="G118" s="142" t="str">
        <f t="shared" ca="1" si="30"/>
        <v/>
      </c>
      <c r="H118" s="77" t="str">
        <f t="shared" ca="1" si="31"/>
        <v/>
      </c>
      <c r="I118" s="140" t="str">
        <f t="shared" ca="1" si="32"/>
        <v/>
      </c>
      <c r="J118" s="142" t="str">
        <f t="shared" ca="1" si="33"/>
        <v/>
      </c>
      <c r="K118" s="77" t="str">
        <f t="shared" ca="1" si="34"/>
        <v/>
      </c>
      <c r="L118" s="140" t="str">
        <f t="shared" ca="1" si="35"/>
        <v/>
      </c>
      <c r="M118" s="142" t="str">
        <f t="shared" ca="1" si="36"/>
        <v/>
      </c>
      <c r="N118" s="77" t="str">
        <f t="shared" ca="1" si="37"/>
        <v/>
      </c>
      <c r="O118" s="140" t="str">
        <f t="shared" ca="1" si="38"/>
        <v/>
      </c>
    </row>
    <row r="119" spans="1:15" ht="16.5" customHeight="1">
      <c r="A119" s="160">
        <v>22</v>
      </c>
      <c r="B119" s="160" t="str">
        <f>TEXT(투자전략!$G$1+21, "[$-ko-KR]yyyy.mm.dd")</f>
        <v>2021.05.22</v>
      </c>
      <c r="C119" s="137" t="str">
        <f t="shared" ca="1" si="26"/>
        <v/>
      </c>
      <c r="D119" s="145" t="str">
        <f t="shared" ca="1" si="27"/>
        <v/>
      </c>
      <c r="E119" s="76" t="str">
        <f t="shared" ca="1" si="28"/>
        <v/>
      </c>
      <c r="F119" s="144" t="str">
        <f t="shared" ca="1" si="29"/>
        <v/>
      </c>
      <c r="G119" s="145" t="str">
        <f t="shared" ca="1" si="30"/>
        <v/>
      </c>
      <c r="H119" s="76" t="str">
        <f t="shared" ca="1" si="31"/>
        <v/>
      </c>
      <c r="I119" s="144" t="str">
        <f t="shared" ca="1" si="32"/>
        <v/>
      </c>
      <c r="J119" s="145" t="str">
        <f t="shared" ca="1" si="33"/>
        <v/>
      </c>
      <c r="K119" s="76" t="str">
        <f t="shared" ca="1" si="34"/>
        <v/>
      </c>
      <c r="L119" s="144" t="str">
        <f t="shared" ca="1" si="35"/>
        <v/>
      </c>
      <c r="M119" s="145" t="str">
        <f t="shared" ca="1" si="36"/>
        <v/>
      </c>
      <c r="N119" s="76" t="str">
        <f t="shared" ca="1" si="37"/>
        <v/>
      </c>
      <c r="O119" s="144" t="str">
        <f t="shared" ca="1" si="38"/>
        <v/>
      </c>
    </row>
    <row r="120" spans="1:15" ht="16.5" customHeight="1">
      <c r="A120" s="159">
        <v>23</v>
      </c>
      <c r="B120" s="159" t="str">
        <f>TEXT(투자전략!$G$1+22, "[$-ko-KR]yyyy.mm.dd")</f>
        <v>2021.05.23</v>
      </c>
      <c r="C120" s="138" t="str">
        <f t="shared" ca="1" si="26"/>
        <v/>
      </c>
      <c r="D120" s="142" t="str">
        <f t="shared" ca="1" si="27"/>
        <v/>
      </c>
      <c r="E120" s="77" t="str">
        <f t="shared" ca="1" si="28"/>
        <v/>
      </c>
      <c r="F120" s="140" t="str">
        <f t="shared" ca="1" si="29"/>
        <v/>
      </c>
      <c r="G120" s="142" t="str">
        <f t="shared" ca="1" si="30"/>
        <v/>
      </c>
      <c r="H120" s="77" t="str">
        <f t="shared" ca="1" si="31"/>
        <v/>
      </c>
      <c r="I120" s="140" t="str">
        <f t="shared" ca="1" si="32"/>
        <v/>
      </c>
      <c r="J120" s="142" t="str">
        <f t="shared" ca="1" si="33"/>
        <v/>
      </c>
      <c r="K120" s="77" t="str">
        <f t="shared" ca="1" si="34"/>
        <v/>
      </c>
      <c r="L120" s="140" t="str">
        <f t="shared" ca="1" si="35"/>
        <v/>
      </c>
      <c r="M120" s="142" t="str">
        <f t="shared" ca="1" si="36"/>
        <v/>
      </c>
      <c r="N120" s="77" t="str">
        <f t="shared" ca="1" si="37"/>
        <v/>
      </c>
      <c r="O120" s="140" t="str">
        <f t="shared" ca="1" si="38"/>
        <v/>
      </c>
    </row>
    <row r="121" spans="1:15" ht="16.5" customHeight="1">
      <c r="A121" s="159">
        <v>24</v>
      </c>
      <c r="B121" s="159" t="str">
        <f>TEXT(투자전략!$G$1+23, "[$-ko-KR]yyyy.mm.dd")</f>
        <v>2021.05.24</v>
      </c>
      <c r="C121" s="138" t="str">
        <f t="shared" ca="1" si="26"/>
        <v/>
      </c>
      <c r="D121" s="142" t="str">
        <f t="shared" ca="1" si="27"/>
        <v/>
      </c>
      <c r="E121" s="77" t="str">
        <f t="shared" ca="1" si="28"/>
        <v/>
      </c>
      <c r="F121" s="140" t="str">
        <f t="shared" ca="1" si="29"/>
        <v/>
      </c>
      <c r="G121" s="142" t="str">
        <f t="shared" ca="1" si="30"/>
        <v/>
      </c>
      <c r="H121" s="77" t="str">
        <f t="shared" ca="1" si="31"/>
        <v/>
      </c>
      <c r="I121" s="140" t="str">
        <f t="shared" ca="1" si="32"/>
        <v/>
      </c>
      <c r="J121" s="142" t="str">
        <f t="shared" ca="1" si="33"/>
        <v/>
      </c>
      <c r="K121" s="77" t="str">
        <f t="shared" ca="1" si="34"/>
        <v/>
      </c>
      <c r="L121" s="140" t="str">
        <f t="shared" ca="1" si="35"/>
        <v/>
      </c>
      <c r="M121" s="142" t="str">
        <f t="shared" ca="1" si="36"/>
        <v/>
      </c>
      <c r="N121" s="77" t="str">
        <f t="shared" ca="1" si="37"/>
        <v/>
      </c>
      <c r="O121" s="140" t="str">
        <f t="shared" ca="1" si="38"/>
        <v/>
      </c>
    </row>
    <row r="122" spans="1:15" ht="16.5" customHeight="1">
      <c r="A122" s="159">
        <v>25</v>
      </c>
      <c r="B122" s="159" t="str">
        <f>TEXT(투자전략!$G$1+24, "[$-ko-KR]yyyy.mm.dd")</f>
        <v>2021.05.25</v>
      </c>
      <c r="C122" s="138" t="str">
        <f t="shared" ca="1" si="26"/>
        <v/>
      </c>
      <c r="D122" s="142" t="str">
        <f t="shared" ca="1" si="27"/>
        <v/>
      </c>
      <c r="E122" s="77" t="str">
        <f t="shared" ca="1" si="28"/>
        <v/>
      </c>
      <c r="F122" s="140" t="str">
        <f t="shared" ca="1" si="29"/>
        <v/>
      </c>
      <c r="G122" s="142" t="str">
        <f t="shared" ca="1" si="30"/>
        <v/>
      </c>
      <c r="H122" s="77" t="str">
        <f t="shared" ca="1" si="31"/>
        <v/>
      </c>
      <c r="I122" s="140" t="str">
        <f t="shared" ca="1" si="32"/>
        <v/>
      </c>
      <c r="J122" s="142" t="str">
        <f t="shared" ca="1" si="33"/>
        <v/>
      </c>
      <c r="K122" s="77" t="str">
        <f t="shared" ca="1" si="34"/>
        <v/>
      </c>
      <c r="L122" s="140" t="str">
        <f t="shared" ca="1" si="35"/>
        <v/>
      </c>
      <c r="M122" s="142" t="str">
        <f t="shared" ca="1" si="36"/>
        <v/>
      </c>
      <c r="N122" s="77" t="str">
        <f t="shared" ca="1" si="37"/>
        <v/>
      </c>
      <c r="O122" s="140" t="str">
        <f t="shared" ca="1" si="38"/>
        <v/>
      </c>
    </row>
    <row r="123" spans="1:15" ht="16.5" customHeight="1">
      <c r="A123" s="159">
        <v>26</v>
      </c>
      <c r="B123" s="159" t="str">
        <f>TEXT(투자전략!$G$1+25, "[$-ko-KR]yyyy.mm.dd")</f>
        <v>2021.05.26</v>
      </c>
      <c r="C123" s="138" t="str">
        <f t="shared" ca="1" si="26"/>
        <v/>
      </c>
      <c r="D123" s="142" t="str">
        <f t="shared" ca="1" si="27"/>
        <v/>
      </c>
      <c r="E123" s="77" t="str">
        <f t="shared" ca="1" si="28"/>
        <v/>
      </c>
      <c r="F123" s="140" t="str">
        <f t="shared" ca="1" si="29"/>
        <v/>
      </c>
      <c r="G123" s="142" t="str">
        <f t="shared" ca="1" si="30"/>
        <v/>
      </c>
      <c r="H123" s="77" t="str">
        <f t="shared" ca="1" si="31"/>
        <v/>
      </c>
      <c r="I123" s="140" t="str">
        <f t="shared" ca="1" si="32"/>
        <v/>
      </c>
      <c r="J123" s="142" t="str">
        <f t="shared" ca="1" si="33"/>
        <v/>
      </c>
      <c r="K123" s="77" t="str">
        <f t="shared" ca="1" si="34"/>
        <v/>
      </c>
      <c r="L123" s="140" t="str">
        <f t="shared" ca="1" si="35"/>
        <v/>
      </c>
      <c r="M123" s="142" t="str">
        <f t="shared" ca="1" si="36"/>
        <v/>
      </c>
      <c r="N123" s="77" t="str">
        <f t="shared" ca="1" si="37"/>
        <v/>
      </c>
      <c r="O123" s="140" t="str">
        <f t="shared" ca="1" si="38"/>
        <v/>
      </c>
    </row>
    <row r="124" spans="1:15" ht="16.5" customHeight="1">
      <c r="A124" s="159">
        <v>27</v>
      </c>
      <c r="B124" s="159" t="str">
        <f>TEXT(투자전략!$G$1+26, "[$-ko-KR]yyyy.mm.dd")</f>
        <v>2021.05.27</v>
      </c>
      <c r="C124" s="138" t="str">
        <f t="shared" ca="1" si="26"/>
        <v/>
      </c>
      <c r="D124" s="142" t="str">
        <f t="shared" ca="1" si="27"/>
        <v/>
      </c>
      <c r="E124" s="77" t="str">
        <f t="shared" ca="1" si="28"/>
        <v/>
      </c>
      <c r="F124" s="140" t="str">
        <f t="shared" ca="1" si="29"/>
        <v/>
      </c>
      <c r="G124" s="142" t="str">
        <f t="shared" ca="1" si="30"/>
        <v/>
      </c>
      <c r="H124" s="77" t="str">
        <f t="shared" ca="1" si="31"/>
        <v/>
      </c>
      <c r="I124" s="140" t="str">
        <f t="shared" ca="1" si="32"/>
        <v/>
      </c>
      <c r="J124" s="142" t="str">
        <f t="shared" ca="1" si="33"/>
        <v/>
      </c>
      <c r="K124" s="77" t="str">
        <f t="shared" ca="1" si="34"/>
        <v/>
      </c>
      <c r="L124" s="140" t="str">
        <f t="shared" ca="1" si="35"/>
        <v/>
      </c>
      <c r="M124" s="142" t="str">
        <f t="shared" ca="1" si="36"/>
        <v/>
      </c>
      <c r="N124" s="77" t="str">
        <f t="shared" ca="1" si="37"/>
        <v/>
      </c>
      <c r="O124" s="140" t="str">
        <f t="shared" ca="1" si="38"/>
        <v/>
      </c>
    </row>
    <row r="125" spans="1:15" ht="16.5" customHeight="1" thickBot="1">
      <c r="A125" s="161">
        <v>28</v>
      </c>
      <c r="B125" s="161" t="str">
        <f>TEXT(투자전략!$G$1+27, "[$-ko-KR]yyyy.mm.dd")</f>
        <v>2021.05.28</v>
      </c>
      <c r="C125" s="139" t="str">
        <f t="shared" ca="1" si="26"/>
        <v/>
      </c>
      <c r="D125" s="143" t="str">
        <f t="shared" ca="1" si="27"/>
        <v/>
      </c>
      <c r="E125" s="79" t="str">
        <f t="shared" ca="1" si="28"/>
        <v/>
      </c>
      <c r="F125" s="141" t="str">
        <f t="shared" ca="1" si="29"/>
        <v/>
      </c>
      <c r="G125" s="143" t="str">
        <f t="shared" ca="1" si="30"/>
        <v/>
      </c>
      <c r="H125" s="79" t="str">
        <f t="shared" ca="1" si="31"/>
        <v/>
      </c>
      <c r="I125" s="141" t="str">
        <f t="shared" ca="1" si="32"/>
        <v/>
      </c>
      <c r="J125" s="143" t="str">
        <f t="shared" ca="1" si="33"/>
        <v/>
      </c>
      <c r="K125" s="79" t="str">
        <f t="shared" ca="1" si="34"/>
        <v/>
      </c>
      <c r="L125" s="141" t="str">
        <f t="shared" ca="1" si="35"/>
        <v/>
      </c>
      <c r="M125" s="143" t="str">
        <f t="shared" ca="1" si="36"/>
        <v/>
      </c>
      <c r="N125" s="79" t="str">
        <f t="shared" ca="1" si="37"/>
        <v/>
      </c>
      <c r="O125" s="141" t="str">
        <f t="shared" ca="1" si="38"/>
        <v/>
      </c>
    </row>
    <row r="126" spans="1:15" ht="16.5" customHeight="1">
      <c r="A126" s="124">
        <v>29</v>
      </c>
      <c r="B126" s="160" t="str">
        <f>TEXT(투자전략!$G$1+28, "[$-ko-KR]yyyy.mm.dd")</f>
        <v>2021.05.29</v>
      </c>
      <c r="C126" s="138" t="str">
        <f t="shared" ca="1" si="26"/>
        <v/>
      </c>
      <c r="D126" s="142" t="str">
        <f t="shared" ca="1" si="27"/>
        <v/>
      </c>
      <c r="E126" s="77" t="str">
        <f t="shared" ca="1" si="28"/>
        <v/>
      </c>
      <c r="F126" s="140" t="str">
        <f t="shared" ca="1" si="29"/>
        <v/>
      </c>
      <c r="G126" s="142" t="str">
        <f t="shared" ca="1" si="30"/>
        <v/>
      </c>
      <c r="H126" s="77" t="str">
        <f t="shared" ca="1" si="31"/>
        <v/>
      </c>
      <c r="I126" s="140" t="str">
        <f t="shared" ca="1" si="32"/>
        <v/>
      </c>
      <c r="J126" s="142" t="str">
        <f t="shared" ca="1" si="33"/>
        <v/>
      </c>
      <c r="K126" s="77" t="str">
        <f t="shared" ca="1" si="34"/>
        <v/>
      </c>
      <c r="L126" s="140" t="str">
        <f t="shared" ca="1" si="35"/>
        <v/>
      </c>
      <c r="M126" s="142" t="str">
        <f t="shared" ca="1" si="36"/>
        <v/>
      </c>
      <c r="N126" s="77" t="str">
        <f t="shared" ca="1" si="37"/>
        <v/>
      </c>
      <c r="O126" s="140" t="str">
        <f t="shared" ca="1" si="38"/>
        <v/>
      </c>
    </row>
    <row r="127" spans="1:15" ht="16.5" customHeight="1">
      <c r="A127" s="124">
        <v>30</v>
      </c>
      <c r="B127" s="159" t="str">
        <f>TEXT(투자전략!$G$1+29, "[$-ko-KR]yyyy.mm.dd")</f>
        <v>2021.05.30</v>
      </c>
      <c r="C127" s="138" t="str">
        <f t="shared" ca="1" si="26"/>
        <v/>
      </c>
      <c r="D127" s="142" t="str">
        <f t="shared" ca="1" si="27"/>
        <v/>
      </c>
      <c r="E127" s="77" t="str">
        <f t="shared" ca="1" si="28"/>
        <v/>
      </c>
      <c r="F127" s="140" t="str">
        <f t="shared" ca="1" si="29"/>
        <v/>
      </c>
      <c r="G127" s="142" t="str">
        <f t="shared" ca="1" si="30"/>
        <v/>
      </c>
      <c r="H127" s="77" t="str">
        <f t="shared" ca="1" si="31"/>
        <v/>
      </c>
      <c r="I127" s="140" t="str">
        <f t="shared" ca="1" si="32"/>
        <v/>
      </c>
      <c r="J127" s="142" t="str">
        <f t="shared" ca="1" si="33"/>
        <v/>
      </c>
      <c r="K127" s="77" t="str">
        <f t="shared" ca="1" si="34"/>
        <v/>
      </c>
      <c r="L127" s="140" t="str">
        <f t="shared" ca="1" si="35"/>
        <v/>
      </c>
      <c r="M127" s="142" t="str">
        <f t="shared" ca="1" si="36"/>
        <v/>
      </c>
      <c r="N127" s="77" t="str">
        <f t="shared" ca="1" si="37"/>
        <v/>
      </c>
      <c r="O127" s="140" t="str">
        <f t="shared" ca="1" si="38"/>
        <v/>
      </c>
    </row>
    <row r="128" spans="1:15" ht="16.5" customHeight="1" thickBot="1">
      <c r="A128" s="124">
        <v>31</v>
      </c>
      <c r="B128" s="159" t="str">
        <f>TEXT(투자전략!$G$1+30, "[$-ko-KR]yyyy.mm.dd")</f>
        <v>2021.05.31</v>
      </c>
      <c r="C128" s="139" t="str">
        <f t="shared" ca="1" si="26"/>
        <v/>
      </c>
      <c r="D128" s="143" t="str">
        <f t="shared" ca="1" si="27"/>
        <v/>
      </c>
      <c r="E128" s="79" t="str">
        <f t="shared" ca="1" si="28"/>
        <v/>
      </c>
      <c r="F128" s="141" t="str">
        <f t="shared" ca="1" si="29"/>
        <v/>
      </c>
      <c r="G128" s="143" t="str">
        <f t="shared" ca="1" si="30"/>
        <v/>
      </c>
      <c r="H128" s="79" t="str">
        <f t="shared" ca="1" si="31"/>
        <v/>
      </c>
      <c r="I128" s="141" t="str">
        <f t="shared" ca="1" si="32"/>
        <v/>
      </c>
      <c r="J128" s="143" t="str">
        <f t="shared" ca="1" si="33"/>
        <v/>
      </c>
      <c r="K128" s="79" t="str">
        <f t="shared" ca="1" si="34"/>
        <v/>
      </c>
      <c r="L128" s="141" t="str">
        <f t="shared" ca="1" si="35"/>
        <v/>
      </c>
      <c r="M128" s="143" t="str">
        <f t="shared" ca="1" si="36"/>
        <v/>
      </c>
      <c r="N128" s="79" t="str">
        <f t="shared" ca="1" si="37"/>
        <v/>
      </c>
      <c r="O128" s="141" t="str">
        <f t="shared" ca="1" si="38"/>
        <v/>
      </c>
    </row>
    <row r="129" spans="1:15" ht="16.5" customHeight="1" thickBot="1">
      <c r="A129" s="202" t="s">
        <v>319</v>
      </c>
      <c r="B129" s="204"/>
      <c r="C129" s="135" t="s">
        <v>314</v>
      </c>
      <c r="D129" s="153" t="s">
        <v>315</v>
      </c>
      <c r="E129" s="154" t="s">
        <v>316</v>
      </c>
      <c r="F129" s="155" t="s">
        <v>317</v>
      </c>
      <c r="G129" s="153" t="s">
        <v>315</v>
      </c>
      <c r="H129" s="154" t="s">
        <v>316</v>
      </c>
      <c r="I129" s="155" t="s">
        <v>317</v>
      </c>
      <c r="J129" s="153" t="s">
        <v>315</v>
      </c>
      <c r="K129" s="154" t="s">
        <v>316</v>
      </c>
      <c r="L129" s="155" t="s">
        <v>317</v>
      </c>
      <c r="M129" s="153" t="s">
        <v>315</v>
      </c>
      <c r="N129" s="154" t="s">
        <v>316</v>
      </c>
      <c r="O129" s="155" t="s">
        <v>317</v>
      </c>
    </row>
    <row r="130" spans="1:15" ht="16.5" customHeight="1" thickBot="1">
      <c r="A130" s="208"/>
      <c r="B130" s="210"/>
      <c r="C130" s="139">
        <f ca="1">SUM(C98:C128)</f>
        <v>42000000</v>
      </c>
      <c r="D130" s="143">
        <f ca="1">SUM(D98:D128)</f>
        <v>42066278.726744734</v>
      </c>
      <c r="E130" s="79">
        <f ca="1">IFERROR(F130 / (SUM($C98:$C128) / COUNT($C98:$C128)), 0)</f>
        <v>1.5780649224938097E-2</v>
      </c>
      <c r="F130" s="141">
        <f ca="1">SUM(F98:F128)</f>
        <v>66278.726744740008</v>
      </c>
      <c r="G130" s="143">
        <f ca="1">SUM(G98:G128)</f>
        <v>42366036.500415884</v>
      </c>
      <c r="H130" s="79">
        <f ca="1">IFERROR(I130 / (SUM($C98:$C128) / COUNT($C98:$C128)), 0)</f>
        <v>8.7151547718067698E-2</v>
      </c>
      <c r="I130" s="141">
        <f ca="1">SUM(I98:I128)</f>
        <v>366036.50041588431</v>
      </c>
      <c r="J130" s="143">
        <f ca="1">SUM(J98:J128)</f>
        <v>42558655.745562933</v>
      </c>
      <c r="K130" s="79">
        <f ca="1">IFERROR(L130 / (SUM($C98:$C128) / COUNT($C98:$C128)), 0)</f>
        <v>0.13301327275307837</v>
      </c>
      <c r="L130" s="141">
        <f ca="1">SUM(L98:L128)</f>
        <v>558655.74556292908</v>
      </c>
      <c r="M130" s="143">
        <f ca="1">SUM(M98:M128)</f>
        <v>42266280.701067112</v>
      </c>
      <c r="N130" s="79">
        <f ca="1">IFERROR(O130 / (SUM($C98:$C128) / COUNT($C98:$C128)), 0)</f>
        <v>6.3400166920739798E-2</v>
      </c>
      <c r="O130" s="141">
        <f ca="1">SUM(O98:O128)</f>
        <v>266280.70106710715</v>
      </c>
    </row>
    <row r="132" spans="1:15" ht="16.5" customHeight="1" thickBot="1"/>
    <row r="133" spans="1:15" ht="16.5" customHeight="1" thickBot="1">
      <c r="A133" s="193" t="str">
        <f>TEXT(투자전략!$G$1, "[$-ko-KR]yyyy년 mm월 ") &amp; "전일대비 상승률 Top20 월말결산"</f>
        <v>2021년 05월 전일대비 상승률 Top20 월말결산</v>
      </c>
      <c r="B133" s="194"/>
      <c r="C133" s="194"/>
      <c r="D133" s="194"/>
      <c r="E133" s="194"/>
      <c r="F133" s="194"/>
      <c r="G133" s="194"/>
      <c r="H133" s="194"/>
      <c r="I133" s="194"/>
      <c r="J133" s="194"/>
      <c r="K133" s="194"/>
      <c r="L133" s="194"/>
      <c r="M133" s="194"/>
      <c r="N133" s="194"/>
      <c r="O133" s="195"/>
    </row>
    <row r="134" spans="1:15" ht="16.5" customHeight="1" thickBot="1">
      <c r="A134" s="254" t="s">
        <v>320</v>
      </c>
      <c r="B134" s="208" t="s">
        <v>318</v>
      </c>
      <c r="C134" s="210"/>
      <c r="D134" s="208" t="s">
        <v>310</v>
      </c>
      <c r="E134" s="209"/>
      <c r="F134" s="210"/>
      <c r="G134" s="208" t="s">
        <v>311</v>
      </c>
      <c r="H134" s="209"/>
      <c r="I134" s="210"/>
      <c r="J134" s="208" t="s">
        <v>312</v>
      </c>
      <c r="K134" s="209"/>
      <c r="L134" s="210"/>
      <c r="M134" s="208" t="s">
        <v>313</v>
      </c>
      <c r="N134" s="209"/>
      <c r="O134" s="210"/>
    </row>
    <row r="135" spans="1:15" ht="16.5" customHeight="1" thickBot="1">
      <c r="A135" s="258"/>
      <c r="B135" s="160" t="s">
        <v>308</v>
      </c>
      <c r="C135" s="160" t="s">
        <v>42</v>
      </c>
      <c r="D135" s="124" t="s">
        <v>309</v>
      </c>
      <c r="E135" s="136" t="s">
        <v>40</v>
      </c>
      <c r="F135" s="162" t="s">
        <v>41</v>
      </c>
      <c r="G135" s="124" t="s">
        <v>309</v>
      </c>
      <c r="H135" s="136" t="s">
        <v>40</v>
      </c>
      <c r="I135" s="162" t="s">
        <v>41</v>
      </c>
      <c r="J135" s="124" t="s">
        <v>309</v>
      </c>
      <c r="K135" s="136" t="s">
        <v>40</v>
      </c>
      <c r="L135" s="162" t="s">
        <v>41</v>
      </c>
      <c r="M135" s="124" t="s">
        <v>309</v>
      </c>
      <c r="N135" s="136" t="s">
        <v>40</v>
      </c>
      <c r="O135" s="162" t="s">
        <v>41</v>
      </c>
    </row>
    <row r="136" spans="1:15" ht="16.5" customHeight="1">
      <c r="A136" s="160">
        <v>1</v>
      </c>
      <c r="B136" s="160" t="str">
        <f>TEXT(투자전략!$G$1+0, "[$-ko-KR]yyyy.mm.dd")</f>
        <v>2021.05.01</v>
      </c>
      <c r="C136" s="137">
        <f ca="1">IFERROR(COUNTA(INDIRECT($B136&amp;"!A98:A117")) * INDIRECT($B136&amp;"!B118"), "")</f>
        <v>6000000</v>
      </c>
      <c r="D136" s="145">
        <f ca="1">IFERROR($C136 * (1 + E136), "")</f>
        <v>6107685.9856206654</v>
      </c>
      <c r="E136" s="76">
        <f ca="1">IFERROR(INDIRECT($B136&amp;"!E118"), "")</f>
        <v>1.7947664270110929E-2</v>
      </c>
      <c r="F136" s="144">
        <f ca="1">IFERROR(INDIRECT($B136&amp;"!F118"), "")</f>
        <v>107685.98562066558</v>
      </c>
      <c r="G136" s="145">
        <f ca="1">IFERROR($C136 * (1 + H136), "")</f>
        <v>6041745.7119217347</v>
      </c>
      <c r="H136" s="76">
        <f ca="1">IFERROR(INDIRECT($B136&amp;"!H118"), "")</f>
        <v>6.9576186536225324E-3</v>
      </c>
      <c r="I136" s="144">
        <f ca="1">IFERROR(INDIRECT($B136&amp;"!I118"), "")</f>
        <v>41745.711921735201</v>
      </c>
      <c r="J136" s="145">
        <f ca="1">IFERROR($C136 * (1 + K136), "")</f>
        <v>6120466.3950530048</v>
      </c>
      <c r="K136" s="76">
        <f ca="1">IFERROR(INDIRECT($B136&amp;"!K118"), "")</f>
        <v>2.0077732508834219E-2</v>
      </c>
      <c r="L136" s="144">
        <f ca="1">IFERROR(INDIRECT($B136&amp;"!L118"), "")</f>
        <v>120466.39505300528</v>
      </c>
      <c r="M136" s="145">
        <f ca="1">IFERROR($C136 * (1 + N136), "")</f>
        <v>6067393.3339623362</v>
      </c>
      <c r="N136" s="76">
        <f ca="1">IFERROR(INDIRECT($B136&amp;"!N118"), "")</f>
        <v>1.1232222327055948E-2</v>
      </c>
      <c r="O136" s="144">
        <f ca="1">IFERROR(INDIRECT($B136&amp;"!O118"), "")</f>
        <v>67393.333962335702</v>
      </c>
    </row>
    <row r="137" spans="1:15" ht="16.5" customHeight="1">
      <c r="A137" s="159">
        <v>2</v>
      </c>
      <c r="B137" s="159" t="str">
        <f>TEXT(투자전략!$G$1+1, "[$-ko-KR]yyyy.mm.dd")</f>
        <v>2021.05.02</v>
      </c>
      <c r="C137" s="138">
        <f t="shared" ref="C137:C166" ca="1" si="39">IFERROR(COUNTA(INDIRECT($B137&amp;"!A98:A117")) * INDIRECT($B137&amp;"!B118"), "")</f>
        <v>6000000</v>
      </c>
      <c r="D137" s="142">
        <f t="shared" ref="D137:D166" ca="1" si="40">IFERROR($C137 * (1 + E137), "")</f>
        <v>6011917.9977196138</v>
      </c>
      <c r="E137" s="77">
        <f t="shared" ref="E137:E166" ca="1" si="41">IFERROR(INDIRECT($B137&amp;"!E118"), "")</f>
        <v>1.9863329532690366E-3</v>
      </c>
      <c r="F137" s="140">
        <f t="shared" ref="F137:F166" ca="1" si="42">IFERROR(INDIRECT($B137&amp;"!F118"), "")</f>
        <v>11917.997719614215</v>
      </c>
      <c r="G137" s="142">
        <f t="shared" ref="G137:G166" ca="1" si="43">IFERROR($C137 * (1 + H137), "")</f>
        <v>6019023.1076206733</v>
      </c>
      <c r="H137" s="77">
        <f t="shared" ref="H137:H166" ca="1" si="44">IFERROR(INDIRECT($B137&amp;"!H118"), "")</f>
        <v>3.1705179367788605E-3</v>
      </c>
      <c r="I137" s="140">
        <f t="shared" ref="I137:I166" ca="1" si="45">IFERROR(INDIRECT($B137&amp;"!I118"), "")</f>
        <v>19023.107620673156</v>
      </c>
      <c r="J137" s="142">
        <f t="shared" ref="J137:J166" ca="1" si="46">IFERROR($C137 * (1 + K137), "")</f>
        <v>6044019.6087034903</v>
      </c>
      <c r="K137" s="77">
        <f t="shared" ref="K137:K166" ca="1" si="47">IFERROR(INDIRECT($B137&amp;"!K118"), "")</f>
        <v>7.3366014505818408E-3</v>
      </c>
      <c r="L137" s="140">
        <f t="shared" ref="L137:L166" ca="1" si="48">IFERROR(INDIRECT($B137&amp;"!L118"), "")</f>
        <v>44019.60870349106</v>
      </c>
      <c r="M137" s="142">
        <f t="shared" ref="M137:M166" ca="1" si="49">IFERROR($C137 * (1 + N137), "")</f>
        <v>6076007.4882986527</v>
      </c>
      <c r="N137" s="77">
        <f t="shared" ref="N137:N166" ca="1" si="50">IFERROR(INDIRECT($B137&amp;"!N118"), "")</f>
        <v>1.2667914716442175E-2</v>
      </c>
      <c r="O137" s="140">
        <f t="shared" ref="O137:O166" ca="1" si="51">IFERROR(INDIRECT($B137&amp;"!O118"), "")</f>
        <v>76007.488298653043</v>
      </c>
    </row>
    <row r="138" spans="1:15" ht="16.5" customHeight="1">
      <c r="A138" s="159">
        <v>3</v>
      </c>
      <c r="B138" s="159" t="str">
        <f>TEXT(투자전략!$G$1+2, "[$-ko-KR]yyyy.mm.dd")</f>
        <v>2021.05.03</v>
      </c>
      <c r="C138" s="138">
        <f t="shared" ca="1" si="39"/>
        <v>6000000</v>
      </c>
      <c r="D138" s="142">
        <f t="shared" ca="1" si="40"/>
        <v>6136832.6590279434</v>
      </c>
      <c r="E138" s="77">
        <f t="shared" ca="1" si="41"/>
        <v>2.2805443171323846E-2</v>
      </c>
      <c r="F138" s="140">
        <f t="shared" ca="1" si="42"/>
        <v>136832.65902794307</v>
      </c>
      <c r="G138" s="142">
        <f t="shared" ca="1" si="43"/>
        <v>6334655.8773899311</v>
      </c>
      <c r="H138" s="77">
        <f t="shared" ca="1" si="44"/>
        <v>5.577597956498849E-2</v>
      </c>
      <c r="I138" s="140">
        <f t="shared" ca="1" si="45"/>
        <v>334655.87738993095</v>
      </c>
      <c r="J138" s="142">
        <f t="shared" ca="1" si="46"/>
        <v>6367425.1025107373</v>
      </c>
      <c r="K138" s="77">
        <f t="shared" ca="1" si="47"/>
        <v>6.1237517085122928E-2</v>
      </c>
      <c r="L138" s="140">
        <f t="shared" ca="1" si="48"/>
        <v>367425.10251073749</v>
      </c>
      <c r="M138" s="142">
        <f t="shared" ca="1" si="49"/>
        <v>6270159.0766257513</v>
      </c>
      <c r="N138" s="77">
        <f t="shared" ca="1" si="50"/>
        <v>4.5026512770958503E-2</v>
      </c>
      <c r="O138" s="140">
        <f t="shared" ca="1" si="51"/>
        <v>270159.07662575098</v>
      </c>
    </row>
    <row r="139" spans="1:15" ht="16.5" customHeight="1">
      <c r="A139" s="159">
        <v>4</v>
      </c>
      <c r="B139" s="159" t="str">
        <f>TEXT(투자전략!$G$1+3, "[$-ko-KR]yyyy.mm.dd")</f>
        <v>2021.05.04</v>
      </c>
      <c r="C139" s="138">
        <f t="shared" ca="1" si="39"/>
        <v>6000000</v>
      </c>
      <c r="D139" s="142">
        <f t="shared" ca="1" si="40"/>
        <v>6206369.8758833455</v>
      </c>
      <c r="E139" s="77">
        <f t="shared" ca="1" si="41"/>
        <v>3.4394979313890843E-2</v>
      </c>
      <c r="F139" s="140">
        <f t="shared" ca="1" si="42"/>
        <v>206369.87588334508</v>
      </c>
      <c r="G139" s="142">
        <f t="shared" ca="1" si="43"/>
        <v>6214257.5310626356</v>
      </c>
      <c r="H139" s="77">
        <f t="shared" ca="1" si="44"/>
        <v>3.5709588510439344E-2</v>
      </c>
      <c r="I139" s="140">
        <f t="shared" ca="1" si="45"/>
        <v>214257.53106263612</v>
      </c>
      <c r="J139" s="142">
        <f t="shared" ca="1" si="46"/>
        <v>6259758.5882178135</v>
      </c>
      <c r="K139" s="77">
        <f t="shared" ca="1" si="47"/>
        <v>4.3293098036302172E-2</v>
      </c>
      <c r="L139" s="140">
        <f t="shared" ca="1" si="48"/>
        <v>259758.58821781303</v>
      </c>
      <c r="M139" s="142">
        <f t="shared" ca="1" si="49"/>
        <v>6057219.917349726</v>
      </c>
      <c r="N139" s="77">
        <f t="shared" ca="1" si="50"/>
        <v>9.5366528916209243E-3</v>
      </c>
      <c r="O139" s="140">
        <f t="shared" ca="1" si="51"/>
        <v>57219.917349725554</v>
      </c>
    </row>
    <row r="140" spans="1:15" ht="16.5" customHeight="1">
      <c r="A140" s="159">
        <v>5</v>
      </c>
      <c r="B140" s="159" t="str">
        <f>TEXT(투자전략!$G$1+4, "[$-ko-KR]yyyy.mm.dd")</f>
        <v>2021.05.05</v>
      </c>
      <c r="C140" s="138">
        <f t="shared" ca="1" si="39"/>
        <v>3000000</v>
      </c>
      <c r="D140" s="142">
        <f t="shared" ca="1" si="40"/>
        <v>3129708.5284158271</v>
      </c>
      <c r="E140" s="77">
        <f t="shared" ca="1" si="41"/>
        <v>4.3236176138609084E-2</v>
      </c>
      <c r="F140" s="140">
        <f t="shared" ca="1" si="42"/>
        <v>129708.52841582726</v>
      </c>
      <c r="G140" s="142">
        <f t="shared" ca="1" si="43"/>
        <v>3104189.9793890109</v>
      </c>
      <c r="H140" s="77">
        <f t="shared" ca="1" si="44"/>
        <v>3.4729993129670386E-2</v>
      </c>
      <c r="I140" s="140">
        <f t="shared" ca="1" si="45"/>
        <v>104189.97938901116</v>
      </c>
      <c r="J140" s="142">
        <f t="shared" ca="1" si="46"/>
        <v>3121031.4371483638</v>
      </c>
      <c r="K140" s="77">
        <f t="shared" ca="1" si="47"/>
        <v>4.0343812382787843E-2</v>
      </c>
      <c r="L140" s="140">
        <f t="shared" ca="1" si="48"/>
        <v>121031.43714836352</v>
      </c>
      <c r="M140" s="142">
        <f t="shared" ca="1" si="49"/>
        <v>3155510.8417207999</v>
      </c>
      <c r="N140" s="77">
        <f t="shared" ca="1" si="50"/>
        <v>5.1836947240266676E-2</v>
      </c>
      <c r="O140" s="140">
        <f t="shared" ca="1" si="51"/>
        <v>155510.84172079997</v>
      </c>
    </row>
    <row r="141" spans="1:15" ht="16.5" customHeight="1">
      <c r="A141" s="159">
        <v>6</v>
      </c>
      <c r="B141" s="159" t="str">
        <f>TEXT(투자전략!$G$1+5, "[$-ko-KR]yyyy.mm.dd")</f>
        <v>2021.05.06</v>
      </c>
      <c r="C141" s="138">
        <f t="shared" ca="1" si="39"/>
        <v>3000000</v>
      </c>
      <c r="D141" s="142">
        <f t="shared" ca="1" si="40"/>
        <v>3254274.7379167019</v>
      </c>
      <c r="E141" s="77">
        <f t="shared" ca="1" si="41"/>
        <v>8.4758245972233914E-2</v>
      </c>
      <c r="F141" s="140">
        <f t="shared" ca="1" si="42"/>
        <v>254274.73791670171</v>
      </c>
      <c r="G141" s="142">
        <f t="shared" ca="1" si="43"/>
        <v>3224069.4838745319</v>
      </c>
      <c r="H141" s="77">
        <f t="shared" ca="1" si="44"/>
        <v>7.4689827958177288E-2</v>
      </c>
      <c r="I141" s="140">
        <f t="shared" ca="1" si="45"/>
        <v>224069.48387453187</v>
      </c>
      <c r="J141" s="142">
        <f t="shared" ca="1" si="46"/>
        <v>3295827.6850731974</v>
      </c>
      <c r="K141" s="77">
        <f t="shared" ca="1" si="47"/>
        <v>9.8609228357732406E-2</v>
      </c>
      <c r="L141" s="140">
        <f t="shared" ca="1" si="48"/>
        <v>295827.68507319718</v>
      </c>
      <c r="M141" s="142">
        <f t="shared" ca="1" si="49"/>
        <v>3348323.467334698</v>
      </c>
      <c r="N141" s="77">
        <f t="shared" ca="1" si="50"/>
        <v>0.11610782244489937</v>
      </c>
      <c r="O141" s="140">
        <f t="shared" ca="1" si="51"/>
        <v>348323.46733469807</v>
      </c>
    </row>
    <row r="142" spans="1:15" ht="16.5" customHeight="1" thickBot="1">
      <c r="A142" s="161">
        <v>7</v>
      </c>
      <c r="B142" s="161" t="str">
        <f>TEXT(투자전략!$G$1+6, "[$-ko-KR]yyyy.mm.dd")</f>
        <v>2021.05.07</v>
      </c>
      <c r="C142" s="138">
        <f t="shared" ca="1" si="39"/>
        <v>3000000</v>
      </c>
      <c r="D142" s="142">
        <f t="shared" ca="1" si="40"/>
        <v>3139394.5491867843</v>
      </c>
      <c r="E142" s="77">
        <f t="shared" ca="1" si="41"/>
        <v>4.6464849728928163E-2</v>
      </c>
      <c r="F142" s="140">
        <f t="shared" ca="1" si="42"/>
        <v>139394.54918678451</v>
      </c>
      <c r="G142" s="142">
        <f t="shared" ca="1" si="43"/>
        <v>3249695.91004832</v>
      </c>
      <c r="H142" s="77">
        <f t="shared" ca="1" si="44"/>
        <v>8.3231970016106507E-2</v>
      </c>
      <c r="I142" s="140">
        <f t="shared" ca="1" si="45"/>
        <v>249695.91004831955</v>
      </c>
      <c r="J142" s="142">
        <f t="shared" ca="1" si="46"/>
        <v>3304484.0968257068</v>
      </c>
      <c r="K142" s="77">
        <f t="shared" ca="1" si="47"/>
        <v>0.10149469894190226</v>
      </c>
      <c r="L142" s="140">
        <f t="shared" ca="1" si="48"/>
        <v>304484.09682570671</v>
      </c>
      <c r="M142" s="142">
        <f t="shared" ca="1" si="49"/>
        <v>3291654.044557563</v>
      </c>
      <c r="N142" s="77">
        <f t="shared" ca="1" si="50"/>
        <v>9.7218014852521087E-2</v>
      </c>
      <c r="O142" s="140">
        <f t="shared" ca="1" si="51"/>
        <v>291654.0445575632</v>
      </c>
    </row>
    <row r="143" spans="1:15" ht="16.5" customHeight="1">
      <c r="A143" s="160">
        <v>8</v>
      </c>
      <c r="B143" s="160" t="str">
        <f>TEXT(투자전략!$G$1+7, "[$-ko-KR]yyyy.mm.dd")</f>
        <v>2021.05.08</v>
      </c>
      <c r="C143" s="137">
        <f t="shared" ca="1" si="39"/>
        <v>3000000</v>
      </c>
      <c r="D143" s="145">
        <f t="shared" ca="1" si="40"/>
        <v>2757888.4696549042</v>
      </c>
      <c r="E143" s="76">
        <f t="shared" ca="1" si="41"/>
        <v>-8.0703843448365217E-2</v>
      </c>
      <c r="F143" s="144">
        <f t="shared" ca="1" si="42"/>
        <v>-242111.53034509567</v>
      </c>
      <c r="G143" s="145">
        <f t="shared" ca="1" si="43"/>
        <v>2865418.5914868745</v>
      </c>
      <c r="H143" s="76">
        <f t="shared" ca="1" si="44"/>
        <v>-4.4860469504375153E-2</v>
      </c>
      <c r="I143" s="144">
        <f t="shared" ca="1" si="45"/>
        <v>-134581.40851312547</v>
      </c>
      <c r="J143" s="145">
        <f t="shared" ca="1" si="46"/>
        <v>2860424.3201779574</v>
      </c>
      <c r="K143" s="76">
        <f t="shared" ca="1" si="47"/>
        <v>-4.6525226607347502E-2</v>
      </c>
      <c r="L143" s="144">
        <f t="shared" ca="1" si="48"/>
        <v>-139575.67982204256</v>
      </c>
      <c r="M143" s="145">
        <f t="shared" ca="1" si="49"/>
        <v>2848645.2368146144</v>
      </c>
      <c r="N143" s="76">
        <f t="shared" ca="1" si="50"/>
        <v>-5.045158772846179E-2</v>
      </c>
      <c r="O143" s="144">
        <f t="shared" ca="1" si="51"/>
        <v>-151354.76318538532</v>
      </c>
    </row>
    <row r="144" spans="1:15" ht="16.5" customHeight="1">
      <c r="A144" s="159">
        <v>9</v>
      </c>
      <c r="B144" s="159" t="str">
        <f>TEXT(투자전략!$G$1+8, "[$-ko-KR]yyyy.mm.dd")</f>
        <v>2021.05.09</v>
      </c>
      <c r="C144" s="138">
        <f t="shared" ca="1" si="39"/>
        <v>3000000</v>
      </c>
      <c r="D144" s="142">
        <f t="shared" ca="1" si="40"/>
        <v>2918931.3777806736</v>
      </c>
      <c r="E144" s="77">
        <f t="shared" ca="1" si="41"/>
        <v>-2.7022874073108889E-2</v>
      </c>
      <c r="F144" s="140">
        <f t="shared" ca="1" si="42"/>
        <v>-81068.622219326688</v>
      </c>
      <c r="G144" s="142">
        <f t="shared" ca="1" si="43"/>
        <v>2884068.8371927086</v>
      </c>
      <c r="H144" s="77">
        <f t="shared" ca="1" si="44"/>
        <v>-3.8643720935763876E-2</v>
      </c>
      <c r="I144" s="140">
        <f t="shared" ca="1" si="45"/>
        <v>-115931.16280729162</v>
      </c>
      <c r="J144" s="142">
        <f t="shared" ca="1" si="46"/>
        <v>2845447.2451883759</v>
      </c>
      <c r="K144" s="77">
        <f t="shared" ca="1" si="47"/>
        <v>-5.1517584937208039E-2</v>
      </c>
      <c r="L144" s="140">
        <f t="shared" ca="1" si="48"/>
        <v>-154552.75481162412</v>
      </c>
      <c r="M144" s="142">
        <f t="shared" ca="1" si="49"/>
        <v>2852522.5337589793</v>
      </c>
      <c r="N144" s="77">
        <f t="shared" ca="1" si="50"/>
        <v>-4.9159155413673564E-2</v>
      </c>
      <c r="O144" s="140">
        <f t="shared" ca="1" si="51"/>
        <v>-147477.46624102071</v>
      </c>
    </row>
    <row r="145" spans="1:15" ht="16.5" customHeight="1">
      <c r="A145" s="159">
        <v>10</v>
      </c>
      <c r="B145" s="159" t="str">
        <f>TEXT(투자전략!$G$1+9, "[$-ko-KR]yyyy.mm.dd")</f>
        <v>2021.05.10</v>
      </c>
      <c r="C145" s="138">
        <f t="shared" ca="1" si="39"/>
        <v>3000000</v>
      </c>
      <c r="D145" s="142">
        <f t="shared" ca="1" si="40"/>
        <v>3010865.2271170379</v>
      </c>
      <c r="E145" s="77">
        <f t="shared" ca="1" si="41"/>
        <v>3.6217423723458085E-3</v>
      </c>
      <c r="F145" s="140">
        <f t="shared" ca="1" si="42"/>
        <v>10865.22711703743</v>
      </c>
      <c r="G145" s="142">
        <f t="shared" ca="1" si="43"/>
        <v>3058985.3892217488</v>
      </c>
      <c r="H145" s="77">
        <f t="shared" ca="1" si="44"/>
        <v>1.9661796407249688E-2</v>
      </c>
      <c r="I145" s="140">
        <f t="shared" ca="1" si="45"/>
        <v>58985.389221749065</v>
      </c>
      <c r="J145" s="142">
        <f t="shared" ca="1" si="46"/>
        <v>3047213.8864318477</v>
      </c>
      <c r="K145" s="77">
        <f t="shared" ca="1" si="47"/>
        <v>1.573796214394934E-2</v>
      </c>
      <c r="L145" s="140">
        <f t="shared" ca="1" si="48"/>
        <v>47213.886431848026</v>
      </c>
      <c r="M145" s="142">
        <f t="shared" ca="1" si="49"/>
        <v>3000000</v>
      </c>
      <c r="N145" s="77">
        <f t="shared" ca="1" si="50"/>
        <v>0</v>
      </c>
      <c r="O145" s="140">
        <f t="shared" ca="1" si="51"/>
        <v>0</v>
      </c>
    </row>
    <row r="146" spans="1:15" ht="16.5" customHeight="1">
      <c r="A146" s="159">
        <v>11</v>
      </c>
      <c r="B146" s="159" t="str">
        <f>TEXT(투자전략!$G$1+10, "[$-ko-KR]yyyy.mm.dd")</f>
        <v>2021.05.11</v>
      </c>
      <c r="C146" s="138" t="str">
        <f t="shared" ca="1" si="39"/>
        <v/>
      </c>
      <c r="D146" s="142" t="str">
        <f t="shared" ca="1" si="40"/>
        <v/>
      </c>
      <c r="E146" s="77" t="str">
        <f t="shared" ca="1" si="41"/>
        <v/>
      </c>
      <c r="F146" s="140" t="str">
        <f t="shared" ca="1" si="42"/>
        <v/>
      </c>
      <c r="G146" s="142" t="str">
        <f t="shared" ca="1" si="43"/>
        <v/>
      </c>
      <c r="H146" s="77" t="str">
        <f t="shared" ca="1" si="44"/>
        <v/>
      </c>
      <c r="I146" s="140" t="str">
        <f t="shared" ca="1" si="45"/>
        <v/>
      </c>
      <c r="J146" s="142" t="str">
        <f t="shared" ca="1" si="46"/>
        <v/>
      </c>
      <c r="K146" s="77" t="str">
        <f t="shared" ca="1" si="47"/>
        <v/>
      </c>
      <c r="L146" s="140" t="str">
        <f t="shared" ca="1" si="48"/>
        <v/>
      </c>
      <c r="M146" s="142" t="str">
        <f t="shared" ca="1" si="49"/>
        <v/>
      </c>
      <c r="N146" s="77" t="str">
        <f t="shared" ca="1" si="50"/>
        <v/>
      </c>
      <c r="O146" s="140" t="str">
        <f t="shared" ca="1" si="51"/>
        <v/>
      </c>
    </row>
    <row r="147" spans="1:15" ht="16.5" customHeight="1">
      <c r="A147" s="159">
        <v>12</v>
      </c>
      <c r="B147" s="159" t="str">
        <f>TEXT(투자전략!$G$1+11, "[$-ko-KR]yyyy.mm.dd")</f>
        <v>2021.05.12</v>
      </c>
      <c r="C147" s="138" t="str">
        <f t="shared" ca="1" si="39"/>
        <v/>
      </c>
      <c r="D147" s="142" t="str">
        <f t="shared" ca="1" si="40"/>
        <v/>
      </c>
      <c r="E147" s="77" t="str">
        <f t="shared" ca="1" si="41"/>
        <v/>
      </c>
      <c r="F147" s="140" t="str">
        <f t="shared" ca="1" si="42"/>
        <v/>
      </c>
      <c r="G147" s="142" t="str">
        <f t="shared" ca="1" si="43"/>
        <v/>
      </c>
      <c r="H147" s="77" t="str">
        <f t="shared" ca="1" si="44"/>
        <v/>
      </c>
      <c r="I147" s="140" t="str">
        <f t="shared" ca="1" si="45"/>
        <v/>
      </c>
      <c r="J147" s="142" t="str">
        <f t="shared" ca="1" si="46"/>
        <v/>
      </c>
      <c r="K147" s="77" t="str">
        <f t="shared" ca="1" si="47"/>
        <v/>
      </c>
      <c r="L147" s="140" t="str">
        <f t="shared" ca="1" si="48"/>
        <v/>
      </c>
      <c r="M147" s="142" t="str">
        <f t="shared" ca="1" si="49"/>
        <v/>
      </c>
      <c r="N147" s="77" t="str">
        <f t="shared" ca="1" si="50"/>
        <v/>
      </c>
      <c r="O147" s="140" t="str">
        <f t="shared" ca="1" si="51"/>
        <v/>
      </c>
    </row>
    <row r="148" spans="1:15" ht="16.5" customHeight="1">
      <c r="A148" s="159">
        <v>13</v>
      </c>
      <c r="B148" s="159" t="str">
        <f>TEXT(투자전략!$G$1+12, "[$-ko-KR]yyyy.mm.dd")</f>
        <v>2021.05.13</v>
      </c>
      <c r="C148" s="138" t="str">
        <f t="shared" ca="1" si="39"/>
        <v/>
      </c>
      <c r="D148" s="142" t="str">
        <f t="shared" ca="1" si="40"/>
        <v/>
      </c>
      <c r="E148" s="77" t="str">
        <f t="shared" ca="1" si="41"/>
        <v/>
      </c>
      <c r="F148" s="140" t="str">
        <f t="shared" ca="1" si="42"/>
        <v/>
      </c>
      <c r="G148" s="142" t="str">
        <f t="shared" ca="1" si="43"/>
        <v/>
      </c>
      <c r="H148" s="77" t="str">
        <f t="shared" ca="1" si="44"/>
        <v/>
      </c>
      <c r="I148" s="140" t="str">
        <f t="shared" ca="1" si="45"/>
        <v/>
      </c>
      <c r="J148" s="142" t="str">
        <f t="shared" ca="1" si="46"/>
        <v/>
      </c>
      <c r="K148" s="77" t="str">
        <f t="shared" ca="1" si="47"/>
        <v/>
      </c>
      <c r="L148" s="140" t="str">
        <f t="shared" ca="1" si="48"/>
        <v/>
      </c>
      <c r="M148" s="142" t="str">
        <f t="shared" ca="1" si="49"/>
        <v/>
      </c>
      <c r="N148" s="77" t="str">
        <f t="shared" ca="1" si="50"/>
        <v/>
      </c>
      <c r="O148" s="140" t="str">
        <f t="shared" ca="1" si="51"/>
        <v/>
      </c>
    </row>
    <row r="149" spans="1:15" ht="16.5" customHeight="1" thickBot="1">
      <c r="A149" s="161">
        <v>14</v>
      </c>
      <c r="B149" s="161" t="str">
        <f>TEXT(투자전략!$G$1+13, "[$-ko-KR]yyyy.mm.dd")</f>
        <v>2021.05.14</v>
      </c>
      <c r="C149" s="139" t="str">
        <f t="shared" ca="1" si="39"/>
        <v/>
      </c>
      <c r="D149" s="143" t="str">
        <f t="shared" ca="1" si="40"/>
        <v/>
      </c>
      <c r="E149" s="79" t="str">
        <f t="shared" ca="1" si="41"/>
        <v/>
      </c>
      <c r="F149" s="141" t="str">
        <f t="shared" ca="1" si="42"/>
        <v/>
      </c>
      <c r="G149" s="143" t="str">
        <f t="shared" ca="1" si="43"/>
        <v/>
      </c>
      <c r="H149" s="79" t="str">
        <f t="shared" ca="1" si="44"/>
        <v/>
      </c>
      <c r="I149" s="141" t="str">
        <f t="shared" ca="1" si="45"/>
        <v/>
      </c>
      <c r="J149" s="143" t="str">
        <f t="shared" ca="1" si="46"/>
        <v/>
      </c>
      <c r="K149" s="79" t="str">
        <f t="shared" ca="1" si="47"/>
        <v/>
      </c>
      <c r="L149" s="141" t="str">
        <f t="shared" ca="1" si="48"/>
        <v/>
      </c>
      <c r="M149" s="143" t="str">
        <f t="shared" ca="1" si="49"/>
        <v/>
      </c>
      <c r="N149" s="79" t="str">
        <f t="shared" ca="1" si="50"/>
        <v/>
      </c>
      <c r="O149" s="141" t="str">
        <f t="shared" ca="1" si="51"/>
        <v/>
      </c>
    </row>
    <row r="150" spans="1:15" ht="16.5" customHeight="1">
      <c r="A150" s="160">
        <v>15</v>
      </c>
      <c r="B150" s="160" t="str">
        <f>TEXT(투자전략!$G$1+14, "[$-ko-KR]yyyy.mm.dd")</f>
        <v>2021.05.15</v>
      </c>
      <c r="C150" s="138" t="str">
        <f t="shared" ca="1" si="39"/>
        <v/>
      </c>
      <c r="D150" s="142" t="str">
        <f t="shared" ca="1" si="40"/>
        <v/>
      </c>
      <c r="E150" s="77" t="str">
        <f t="shared" ca="1" si="41"/>
        <v/>
      </c>
      <c r="F150" s="140" t="str">
        <f t="shared" ca="1" si="42"/>
        <v/>
      </c>
      <c r="G150" s="142" t="str">
        <f t="shared" ca="1" si="43"/>
        <v/>
      </c>
      <c r="H150" s="77" t="str">
        <f t="shared" ca="1" si="44"/>
        <v/>
      </c>
      <c r="I150" s="140" t="str">
        <f t="shared" ca="1" si="45"/>
        <v/>
      </c>
      <c r="J150" s="142" t="str">
        <f t="shared" ca="1" si="46"/>
        <v/>
      </c>
      <c r="K150" s="77" t="str">
        <f t="shared" ca="1" si="47"/>
        <v/>
      </c>
      <c r="L150" s="140" t="str">
        <f t="shared" ca="1" si="48"/>
        <v/>
      </c>
      <c r="M150" s="142" t="str">
        <f t="shared" ca="1" si="49"/>
        <v/>
      </c>
      <c r="N150" s="77" t="str">
        <f t="shared" ca="1" si="50"/>
        <v/>
      </c>
      <c r="O150" s="140" t="str">
        <f t="shared" ca="1" si="51"/>
        <v/>
      </c>
    </row>
    <row r="151" spans="1:15" ht="16.5" customHeight="1">
      <c r="A151" s="159">
        <v>16</v>
      </c>
      <c r="B151" s="159" t="str">
        <f>TEXT(투자전략!$G$1+15, "[$-ko-KR]yyyy.mm.dd")</f>
        <v>2021.05.16</v>
      </c>
      <c r="C151" s="138" t="str">
        <f t="shared" ca="1" si="39"/>
        <v/>
      </c>
      <c r="D151" s="142" t="str">
        <f t="shared" ca="1" si="40"/>
        <v/>
      </c>
      <c r="E151" s="77" t="str">
        <f t="shared" ca="1" si="41"/>
        <v/>
      </c>
      <c r="F151" s="140" t="str">
        <f t="shared" ca="1" si="42"/>
        <v/>
      </c>
      <c r="G151" s="142" t="str">
        <f t="shared" ca="1" si="43"/>
        <v/>
      </c>
      <c r="H151" s="77" t="str">
        <f t="shared" ca="1" si="44"/>
        <v/>
      </c>
      <c r="I151" s="140" t="str">
        <f t="shared" ca="1" si="45"/>
        <v/>
      </c>
      <c r="J151" s="142" t="str">
        <f t="shared" ca="1" si="46"/>
        <v/>
      </c>
      <c r="K151" s="77" t="str">
        <f t="shared" ca="1" si="47"/>
        <v/>
      </c>
      <c r="L151" s="140" t="str">
        <f t="shared" ca="1" si="48"/>
        <v/>
      </c>
      <c r="M151" s="142" t="str">
        <f t="shared" ca="1" si="49"/>
        <v/>
      </c>
      <c r="N151" s="77" t="str">
        <f t="shared" ca="1" si="50"/>
        <v/>
      </c>
      <c r="O151" s="140" t="str">
        <f t="shared" ca="1" si="51"/>
        <v/>
      </c>
    </row>
    <row r="152" spans="1:15" ht="16.5" customHeight="1">
      <c r="A152" s="159">
        <v>17</v>
      </c>
      <c r="B152" s="159" t="str">
        <f>TEXT(투자전략!$G$1+16, "[$-ko-KR]yyyy.mm.dd")</f>
        <v>2021.05.17</v>
      </c>
      <c r="C152" s="138" t="str">
        <f t="shared" ca="1" si="39"/>
        <v/>
      </c>
      <c r="D152" s="142" t="str">
        <f t="shared" ca="1" si="40"/>
        <v/>
      </c>
      <c r="E152" s="77" t="str">
        <f t="shared" ca="1" si="41"/>
        <v/>
      </c>
      <c r="F152" s="140" t="str">
        <f t="shared" ca="1" si="42"/>
        <v/>
      </c>
      <c r="G152" s="142" t="str">
        <f t="shared" ca="1" si="43"/>
        <v/>
      </c>
      <c r="H152" s="77" t="str">
        <f t="shared" ca="1" si="44"/>
        <v/>
      </c>
      <c r="I152" s="140" t="str">
        <f t="shared" ca="1" si="45"/>
        <v/>
      </c>
      <c r="J152" s="142" t="str">
        <f t="shared" ca="1" si="46"/>
        <v/>
      </c>
      <c r="K152" s="77" t="str">
        <f t="shared" ca="1" si="47"/>
        <v/>
      </c>
      <c r="L152" s="140" t="str">
        <f t="shared" ca="1" si="48"/>
        <v/>
      </c>
      <c r="M152" s="142" t="str">
        <f t="shared" ca="1" si="49"/>
        <v/>
      </c>
      <c r="N152" s="77" t="str">
        <f t="shared" ca="1" si="50"/>
        <v/>
      </c>
      <c r="O152" s="140" t="str">
        <f t="shared" ca="1" si="51"/>
        <v/>
      </c>
    </row>
    <row r="153" spans="1:15" ht="16.5" customHeight="1">
      <c r="A153" s="159">
        <v>18</v>
      </c>
      <c r="B153" s="159" t="str">
        <f>TEXT(투자전략!$G$1+17, "[$-ko-KR]yyyy.mm.dd")</f>
        <v>2021.05.18</v>
      </c>
      <c r="C153" s="138" t="str">
        <f t="shared" ca="1" si="39"/>
        <v/>
      </c>
      <c r="D153" s="142" t="str">
        <f t="shared" ca="1" si="40"/>
        <v/>
      </c>
      <c r="E153" s="77" t="str">
        <f t="shared" ca="1" si="41"/>
        <v/>
      </c>
      <c r="F153" s="140" t="str">
        <f t="shared" ca="1" si="42"/>
        <v/>
      </c>
      <c r="G153" s="142" t="str">
        <f t="shared" ca="1" si="43"/>
        <v/>
      </c>
      <c r="H153" s="77" t="str">
        <f t="shared" ca="1" si="44"/>
        <v/>
      </c>
      <c r="I153" s="140" t="str">
        <f t="shared" ca="1" si="45"/>
        <v/>
      </c>
      <c r="J153" s="142" t="str">
        <f t="shared" ca="1" si="46"/>
        <v/>
      </c>
      <c r="K153" s="77" t="str">
        <f t="shared" ca="1" si="47"/>
        <v/>
      </c>
      <c r="L153" s="140" t="str">
        <f t="shared" ca="1" si="48"/>
        <v/>
      </c>
      <c r="M153" s="142" t="str">
        <f t="shared" ca="1" si="49"/>
        <v/>
      </c>
      <c r="N153" s="77" t="str">
        <f t="shared" ca="1" si="50"/>
        <v/>
      </c>
      <c r="O153" s="140" t="str">
        <f t="shared" ca="1" si="51"/>
        <v/>
      </c>
    </row>
    <row r="154" spans="1:15" ht="16.5" customHeight="1">
      <c r="A154" s="159">
        <v>19</v>
      </c>
      <c r="B154" s="159" t="str">
        <f>TEXT(투자전략!$G$1+18, "[$-ko-KR]yyyy.mm.dd")</f>
        <v>2021.05.19</v>
      </c>
      <c r="C154" s="138" t="str">
        <f t="shared" ca="1" si="39"/>
        <v/>
      </c>
      <c r="D154" s="142" t="str">
        <f t="shared" ca="1" si="40"/>
        <v/>
      </c>
      <c r="E154" s="77" t="str">
        <f t="shared" ca="1" si="41"/>
        <v/>
      </c>
      <c r="F154" s="140" t="str">
        <f t="shared" ca="1" si="42"/>
        <v/>
      </c>
      <c r="G154" s="142" t="str">
        <f t="shared" ca="1" si="43"/>
        <v/>
      </c>
      <c r="H154" s="77" t="str">
        <f t="shared" ca="1" si="44"/>
        <v/>
      </c>
      <c r="I154" s="140" t="str">
        <f t="shared" ca="1" si="45"/>
        <v/>
      </c>
      <c r="J154" s="142" t="str">
        <f t="shared" ca="1" si="46"/>
        <v/>
      </c>
      <c r="K154" s="77" t="str">
        <f t="shared" ca="1" si="47"/>
        <v/>
      </c>
      <c r="L154" s="140" t="str">
        <f t="shared" ca="1" si="48"/>
        <v/>
      </c>
      <c r="M154" s="142" t="str">
        <f t="shared" ca="1" si="49"/>
        <v/>
      </c>
      <c r="N154" s="77" t="str">
        <f t="shared" ca="1" si="50"/>
        <v/>
      </c>
      <c r="O154" s="140" t="str">
        <f t="shared" ca="1" si="51"/>
        <v/>
      </c>
    </row>
    <row r="155" spans="1:15" ht="16.5" customHeight="1">
      <c r="A155" s="159">
        <v>20</v>
      </c>
      <c r="B155" s="159" t="str">
        <f>TEXT(투자전략!$G$1+19, "[$-ko-KR]yyyy.mm.dd")</f>
        <v>2021.05.20</v>
      </c>
      <c r="C155" s="138" t="str">
        <f t="shared" ca="1" si="39"/>
        <v/>
      </c>
      <c r="D155" s="142" t="str">
        <f t="shared" ca="1" si="40"/>
        <v/>
      </c>
      <c r="E155" s="77" t="str">
        <f t="shared" ca="1" si="41"/>
        <v/>
      </c>
      <c r="F155" s="140" t="str">
        <f t="shared" ca="1" si="42"/>
        <v/>
      </c>
      <c r="G155" s="142" t="str">
        <f t="shared" ca="1" si="43"/>
        <v/>
      </c>
      <c r="H155" s="77" t="str">
        <f t="shared" ca="1" si="44"/>
        <v/>
      </c>
      <c r="I155" s="140" t="str">
        <f t="shared" ca="1" si="45"/>
        <v/>
      </c>
      <c r="J155" s="142" t="str">
        <f t="shared" ca="1" si="46"/>
        <v/>
      </c>
      <c r="K155" s="77" t="str">
        <f t="shared" ca="1" si="47"/>
        <v/>
      </c>
      <c r="L155" s="140" t="str">
        <f t="shared" ca="1" si="48"/>
        <v/>
      </c>
      <c r="M155" s="142" t="str">
        <f t="shared" ca="1" si="49"/>
        <v/>
      </c>
      <c r="N155" s="77" t="str">
        <f t="shared" ca="1" si="50"/>
        <v/>
      </c>
      <c r="O155" s="140" t="str">
        <f t="shared" ca="1" si="51"/>
        <v/>
      </c>
    </row>
    <row r="156" spans="1:15" ht="16.5" customHeight="1" thickBot="1">
      <c r="A156" s="161">
        <v>21</v>
      </c>
      <c r="B156" s="161" t="str">
        <f>TEXT(투자전략!$G$1+20, "[$-ko-KR]yyyy.mm.dd")</f>
        <v>2021.05.21</v>
      </c>
      <c r="C156" s="138" t="str">
        <f t="shared" ca="1" si="39"/>
        <v/>
      </c>
      <c r="D156" s="142" t="str">
        <f t="shared" ca="1" si="40"/>
        <v/>
      </c>
      <c r="E156" s="77" t="str">
        <f t="shared" ca="1" si="41"/>
        <v/>
      </c>
      <c r="F156" s="140" t="str">
        <f t="shared" ca="1" si="42"/>
        <v/>
      </c>
      <c r="G156" s="142" t="str">
        <f t="shared" ca="1" si="43"/>
        <v/>
      </c>
      <c r="H156" s="77" t="str">
        <f t="shared" ca="1" si="44"/>
        <v/>
      </c>
      <c r="I156" s="140" t="str">
        <f t="shared" ca="1" si="45"/>
        <v/>
      </c>
      <c r="J156" s="142" t="str">
        <f t="shared" ca="1" si="46"/>
        <v/>
      </c>
      <c r="K156" s="77" t="str">
        <f t="shared" ca="1" si="47"/>
        <v/>
      </c>
      <c r="L156" s="140" t="str">
        <f t="shared" ca="1" si="48"/>
        <v/>
      </c>
      <c r="M156" s="142" t="str">
        <f t="shared" ca="1" si="49"/>
        <v/>
      </c>
      <c r="N156" s="77" t="str">
        <f t="shared" ca="1" si="50"/>
        <v/>
      </c>
      <c r="O156" s="140" t="str">
        <f t="shared" ca="1" si="51"/>
        <v/>
      </c>
    </row>
    <row r="157" spans="1:15" ht="16.5" customHeight="1">
      <c r="A157" s="160">
        <v>22</v>
      </c>
      <c r="B157" s="160" t="str">
        <f>TEXT(투자전략!$G$1+21, "[$-ko-KR]yyyy.mm.dd")</f>
        <v>2021.05.22</v>
      </c>
      <c r="C157" s="137" t="str">
        <f t="shared" ca="1" si="39"/>
        <v/>
      </c>
      <c r="D157" s="145" t="str">
        <f t="shared" ca="1" si="40"/>
        <v/>
      </c>
      <c r="E157" s="76" t="str">
        <f t="shared" ca="1" si="41"/>
        <v/>
      </c>
      <c r="F157" s="144" t="str">
        <f t="shared" ca="1" si="42"/>
        <v/>
      </c>
      <c r="G157" s="145" t="str">
        <f t="shared" ca="1" si="43"/>
        <v/>
      </c>
      <c r="H157" s="76" t="str">
        <f t="shared" ca="1" si="44"/>
        <v/>
      </c>
      <c r="I157" s="144" t="str">
        <f t="shared" ca="1" si="45"/>
        <v/>
      </c>
      <c r="J157" s="145" t="str">
        <f t="shared" ca="1" si="46"/>
        <v/>
      </c>
      <c r="K157" s="76" t="str">
        <f t="shared" ca="1" si="47"/>
        <v/>
      </c>
      <c r="L157" s="144" t="str">
        <f t="shared" ca="1" si="48"/>
        <v/>
      </c>
      <c r="M157" s="145" t="str">
        <f t="shared" ca="1" si="49"/>
        <v/>
      </c>
      <c r="N157" s="76" t="str">
        <f t="shared" ca="1" si="50"/>
        <v/>
      </c>
      <c r="O157" s="144" t="str">
        <f t="shared" ca="1" si="51"/>
        <v/>
      </c>
    </row>
    <row r="158" spans="1:15" ht="16.5" customHeight="1">
      <c r="A158" s="159">
        <v>23</v>
      </c>
      <c r="B158" s="159" t="str">
        <f>TEXT(투자전략!$G$1+22, "[$-ko-KR]yyyy.mm.dd")</f>
        <v>2021.05.23</v>
      </c>
      <c r="C158" s="138" t="str">
        <f t="shared" ca="1" si="39"/>
        <v/>
      </c>
      <c r="D158" s="142" t="str">
        <f t="shared" ca="1" si="40"/>
        <v/>
      </c>
      <c r="E158" s="77" t="str">
        <f t="shared" ca="1" si="41"/>
        <v/>
      </c>
      <c r="F158" s="140" t="str">
        <f t="shared" ca="1" si="42"/>
        <v/>
      </c>
      <c r="G158" s="142" t="str">
        <f t="shared" ca="1" si="43"/>
        <v/>
      </c>
      <c r="H158" s="77" t="str">
        <f t="shared" ca="1" si="44"/>
        <v/>
      </c>
      <c r="I158" s="140" t="str">
        <f t="shared" ca="1" si="45"/>
        <v/>
      </c>
      <c r="J158" s="142" t="str">
        <f t="shared" ca="1" si="46"/>
        <v/>
      </c>
      <c r="K158" s="77" t="str">
        <f t="shared" ca="1" si="47"/>
        <v/>
      </c>
      <c r="L158" s="140" t="str">
        <f t="shared" ca="1" si="48"/>
        <v/>
      </c>
      <c r="M158" s="142" t="str">
        <f t="shared" ca="1" si="49"/>
        <v/>
      </c>
      <c r="N158" s="77" t="str">
        <f t="shared" ca="1" si="50"/>
        <v/>
      </c>
      <c r="O158" s="140" t="str">
        <f t="shared" ca="1" si="51"/>
        <v/>
      </c>
    </row>
    <row r="159" spans="1:15" ht="16.5" customHeight="1">
      <c r="A159" s="159">
        <v>24</v>
      </c>
      <c r="B159" s="159" t="str">
        <f>TEXT(투자전략!$G$1+23, "[$-ko-KR]yyyy.mm.dd")</f>
        <v>2021.05.24</v>
      </c>
      <c r="C159" s="138" t="str">
        <f t="shared" ca="1" si="39"/>
        <v/>
      </c>
      <c r="D159" s="142" t="str">
        <f t="shared" ca="1" si="40"/>
        <v/>
      </c>
      <c r="E159" s="77" t="str">
        <f t="shared" ca="1" si="41"/>
        <v/>
      </c>
      <c r="F159" s="140" t="str">
        <f t="shared" ca="1" si="42"/>
        <v/>
      </c>
      <c r="G159" s="142" t="str">
        <f t="shared" ca="1" si="43"/>
        <v/>
      </c>
      <c r="H159" s="77" t="str">
        <f t="shared" ca="1" si="44"/>
        <v/>
      </c>
      <c r="I159" s="140" t="str">
        <f t="shared" ca="1" si="45"/>
        <v/>
      </c>
      <c r="J159" s="142" t="str">
        <f t="shared" ca="1" si="46"/>
        <v/>
      </c>
      <c r="K159" s="77" t="str">
        <f t="shared" ca="1" si="47"/>
        <v/>
      </c>
      <c r="L159" s="140" t="str">
        <f t="shared" ca="1" si="48"/>
        <v/>
      </c>
      <c r="M159" s="142" t="str">
        <f t="shared" ca="1" si="49"/>
        <v/>
      </c>
      <c r="N159" s="77" t="str">
        <f t="shared" ca="1" si="50"/>
        <v/>
      </c>
      <c r="O159" s="140" t="str">
        <f t="shared" ca="1" si="51"/>
        <v/>
      </c>
    </row>
    <row r="160" spans="1:15" ht="16.5" customHeight="1">
      <c r="A160" s="159">
        <v>25</v>
      </c>
      <c r="B160" s="159" t="str">
        <f>TEXT(투자전략!$G$1+24, "[$-ko-KR]yyyy.mm.dd")</f>
        <v>2021.05.25</v>
      </c>
      <c r="C160" s="138" t="str">
        <f t="shared" ca="1" si="39"/>
        <v/>
      </c>
      <c r="D160" s="142" t="str">
        <f t="shared" ca="1" si="40"/>
        <v/>
      </c>
      <c r="E160" s="77" t="str">
        <f t="shared" ca="1" si="41"/>
        <v/>
      </c>
      <c r="F160" s="140" t="str">
        <f t="shared" ca="1" si="42"/>
        <v/>
      </c>
      <c r="G160" s="142" t="str">
        <f t="shared" ca="1" si="43"/>
        <v/>
      </c>
      <c r="H160" s="77" t="str">
        <f t="shared" ca="1" si="44"/>
        <v/>
      </c>
      <c r="I160" s="140" t="str">
        <f t="shared" ca="1" si="45"/>
        <v/>
      </c>
      <c r="J160" s="142" t="str">
        <f t="shared" ca="1" si="46"/>
        <v/>
      </c>
      <c r="K160" s="77" t="str">
        <f t="shared" ca="1" si="47"/>
        <v/>
      </c>
      <c r="L160" s="140" t="str">
        <f t="shared" ca="1" si="48"/>
        <v/>
      </c>
      <c r="M160" s="142" t="str">
        <f t="shared" ca="1" si="49"/>
        <v/>
      </c>
      <c r="N160" s="77" t="str">
        <f t="shared" ca="1" si="50"/>
        <v/>
      </c>
      <c r="O160" s="140" t="str">
        <f t="shared" ca="1" si="51"/>
        <v/>
      </c>
    </row>
    <row r="161" spans="1:15" ht="16.5" customHeight="1">
      <c r="A161" s="159">
        <v>26</v>
      </c>
      <c r="B161" s="159" t="str">
        <f>TEXT(투자전략!$G$1+25, "[$-ko-KR]yyyy.mm.dd")</f>
        <v>2021.05.26</v>
      </c>
      <c r="C161" s="138" t="str">
        <f t="shared" ca="1" si="39"/>
        <v/>
      </c>
      <c r="D161" s="142" t="str">
        <f t="shared" ca="1" si="40"/>
        <v/>
      </c>
      <c r="E161" s="77" t="str">
        <f t="shared" ca="1" si="41"/>
        <v/>
      </c>
      <c r="F161" s="140" t="str">
        <f t="shared" ca="1" si="42"/>
        <v/>
      </c>
      <c r="G161" s="142" t="str">
        <f t="shared" ca="1" si="43"/>
        <v/>
      </c>
      <c r="H161" s="77" t="str">
        <f t="shared" ca="1" si="44"/>
        <v/>
      </c>
      <c r="I161" s="140" t="str">
        <f t="shared" ca="1" si="45"/>
        <v/>
      </c>
      <c r="J161" s="142" t="str">
        <f t="shared" ca="1" si="46"/>
        <v/>
      </c>
      <c r="K161" s="77" t="str">
        <f t="shared" ca="1" si="47"/>
        <v/>
      </c>
      <c r="L161" s="140" t="str">
        <f t="shared" ca="1" si="48"/>
        <v/>
      </c>
      <c r="M161" s="142" t="str">
        <f t="shared" ca="1" si="49"/>
        <v/>
      </c>
      <c r="N161" s="77" t="str">
        <f t="shared" ca="1" si="50"/>
        <v/>
      </c>
      <c r="O161" s="140" t="str">
        <f t="shared" ca="1" si="51"/>
        <v/>
      </c>
    </row>
    <row r="162" spans="1:15" ht="16.5" customHeight="1">
      <c r="A162" s="159">
        <v>27</v>
      </c>
      <c r="B162" s="159" t="str">
        <f>TEXT(투자전략!$G$1+26, "[$-ko-KR]yyyy.mm.dd")</f>
        <v>2021.05.27</v>
      </c>
      <c r="C162" s="138" t="str">
        <f t="shared" ca="1" si="39"/>
        <v/>
      </c>
      <c r="D162" s="142" t="str">
        <f t="shared" ca="1" si="40"/>
        <v/>
      </c>
      <c r="E162" s="77" t="str">
        <f t="shared" ca="1" si="41"/>
        <v/>
      </c>
      <c r="F162" s="140" t="str">
        <f t="shared" ca="1" si="42"/>
        <v/>
      </c>
      <c r="G162" s="142" t="str">
        <f t="shared" ca="1" si="43"/>
        <v/>
      </c>
      <c r="H162" s="77" t="str">
        <f t="shared" ca="1" si="44"/>
        <v/>
      </c>
      <c r="I162" s="140" t="str">
        <f t="shared" ca="1" si="45"/>
        <v/>
      </c>
      <c r="J162" s="142" t="str">
        <f t="shared" ca="1" si="46"/>
        <v/>
      </c>
      <c r="K162" s="77" t="str">
        <f t="shared" ca="1" si="47"/>
        <v/>
      </c>
      <c r="L162" s="140" t="str">
        <f t="shared" ca="1" si="48"/>
        <v/>
      </c>
      <c r="M162" s="142" t="str">
        <f t="shared" ca="1" si="49"/>
        <v/>
      </c>
      <c r="N162" s="77" t="str">
        <f t="shared" ca="1" si="50"/>
        <v/>
      </c>
      <c r="O162" s="140" t="str">
        <f t="shared" ca="1" si="51"/>
        <v/>
      </c>
    </row>
    <row r="163" spans="1:15" ht="16.5" customHeight="1" thickBot="1">
      <c r="A163" s="161">
        <v>28</v>
      </c>
      <c r="B163" s="161" t="str">
        <f>TEXT(투자전략!$G$1+27, "[$-ko-KR]yyyy.mm.dd")</f>
        <v>2021.05.28</v>
      </c>
      <c r="C163" s="139" t="str">
        <f t="shared" ca="1" si="39"/>
        <v/>
      </c>
      <c r="D163" s="143" t="str">
        <f t="shared" ca="1" si="40"/>
        <v/>
      </c>
      <c r="E163" s="79" t="str">
        <f t="shared" ca="1" si="41"/>
        <v/>
      </c>
      <c r="F163" s="141" t="str">
        <f t="shared" ca="1" si="42"/>
        <v/>
      </c>
      <c r="G163" s="143" t="str">
        <f t="shared" ca="1" si="43"/>
        <v/>
      </c>
      <c r="H163" s="79" t="str">
        <f t="shared" ca="1" si="44"/>
        <v/>
      </c>
      <c r="I163" s="141" t="str">
        <f t="shared" ca="1" si="45"/>
        <v/>
      </c>
      <c r="J163" s="143" t="str">
        <f t="shared" ca="1" si="46"/>
        <v/>
      </c>
      <c r="K163" s="79" t="str">
        <f t="shared" ca="1" si="47"/>
        <v/>
      </c>
      <c r="L163" s="141" t="str">
        <f t="shared" ca="1" si="48"/>
        <v/>
      </c>
      <c r="M163" s="143" t="str">
        <f t="shared" ca="1" si="49"/>
        <v/>
      </c>
      <c r="N163" s="79" t="str">
        <f t="shared" ca="1" si="50"/>
        <v/>
      </c>
      <c r="O163" s="141" t="str">
        <f t="shared" ca="1" si="51"/>
        <v/>
      </c>
    </row>
    <row r="164" spans="1:15" ht="16.5" customHeight="1">
      <c r="A164" s="124">
        <v>29</v>
      </c>
      <c r="B164" s="160" t="str">
        <f>TEXT(투자전략!$G$1+28, "[$-ko-KR]yyyy.mm.dd")</f>
        <v>2021.05.29</v>
      </c>
      <c r="C164" s="138" t="str">
        <f t="shared" ca="1" si="39"/>
        <v/>
      </c>
      <c r="D164" s="142" t="str">
        <f t="shared" ca="1" si="40"/>
        <v/>
      </c>
      <c r="E164" s="77" t="str">
        <f t="shared" ca="1" si="41"/>
        <v/>
      </c>
      <c r="F164" s="140" t="str">
        <f t="shared" ca="1" si="42"/>
        <v/>
      </c>
      <c r="G164" s="142" t="str">
        <f t="shared" ca="1" si="43"/>
        <v/>
      </c>
      <c r="H164" s="77" t="str">
        <f t="shared" ca="1" si="44"/>
        <v/>
      </c>
      <c r="I164" s="140" t="str">
        <f t="shared" ca="1" si="45"/>
        <v/>
      </c>
      <c r="J164" s="142" t="str">
        <f t="shared" ca="1" si="46"/>
        <v/>
      </c>
      <c r="K164" s="77" t="str">
        <f t="shared" ca="1" si="47"/>
        <v/>
      </c>
      <c r="L164" s="140" t="str">
        <f t="shared" ca="1" si="48"/>
        <v/>
      </c>
      <c r="M164" s="142" t="str">
        <f t="shared" ca="1" si="49"/>
        <v/>
      </c>
      <c r="N164" s="77" t="str">
        <f t="shared" ca="1" si="50"/>
        <v/>
      </c>
      <c r="O164" s="140" t="str">
        <f t="shared" ca="1" si="51"/>
        <v/>
      </c>
    </row>
    <row r="165" spans="1:15" ht="16.5" customHeight="1">
      <c r="A165" s="124">
        <v>30</v>
      </c>
      <c r="B165" s="159" t="str">
        <f>TEXT(투자전략!$G$1+29, "[$-ko-KR]yyyy.mm.dd")</f>
        <v>2021.05.30</v>
      </c>
      <c r="C165" s="138" t="str">
        <f t="shared" ca="1" si="39"/>
        <v/>
      </c>
      <c r="D165" s="142" t="str">
        <f t="shared" ca="1" si="40"/>
        <v/>
      </c>
      <c r="E165" s="77" t="str">
        <f t="shared" ca="1" si="41"/>
        <v/>
      </c>
      <c r="F165" s="140" t="str">
        <f t="shared" ca="1" si="42"/>
        <v/>
      </c>
      <c r="G165" s="142" t="str">
        <f t="shared" ca="1" si="43"/>
        <v/>
      </c>
      <c r="H165" s="77" t="str">
        <f t="shared" ca="1" si="44"/>
        <v/>
      </c>
      <c r="I165" s="140" t="str">
        <f t="shared" ca="1" si="45"/>
        <v/>
      </c>
      <c r="J165" s="142" t="str">
        <f t="shared" ca="1" si="46"/>
        <v/>
      </c>
      <c r="K165" s="77" t="str">
        <f t="shared" ca="1" si="47"/>
        <v/>
      </c>
      <c r="L165" s="140" t="str">
        <f t="shared" ca="1" si="48"/>
        <v/>
      </c>
      <c r="M165" s="142" t="str">
        <f t="shared" ca="1" si="49"/>
        <v/>
      </c>
      <c r="N165" s="77" t="str">
        <f t="shared" ca="1" si="50"/>
        <v/>
      </c>
      <c r="O165" s="140" t="str">
        <f t="shared" ca="1" si="51"/>
        <v/>
      </c>
    </row>
    <row r="166" spans="1:15" ht="16.5" customHeight="1" thickBot="1">
      <c r="A166" s="124">
        <v>31</v>
      </c>
      <c r="B166" s="159" t="str">
        <f>TEXT(투자전략!$G$1+30, "[$-ko-KR]yyyy.mm.dd")</f>
        <v>2021.05.31</v>
      </c>
      <c r="C166" s="139" t="str">
        <f t="shared" ca="1" si="39"/>
        <v/>
      </c>
      <c r="D166" s="143" t="str">
        <f t="shared" ca="1" si="40"/>
        <v/>
      </c>
      <c r="E166" s="79" t="str">
        <f t="shared" ca="1" si="41"/>
        <v/>
      </c>
      <c r="F166" s="141" t="str">
        <f t="shared" ca="1" si="42"/>
        <v/>
      </c>
      <c r="G166" s="143" t="str">
        <f t="shared" ca="1" si="43"/>
        <v/>
      </c>
      <c r="H166" s="79" t="str">
        <f t="shared" ca="1" si="44"/>
        <v/>
      </c>
      <c r="I166" s="141" t="str">
        <f t="shared" ca="1" si="45"/>
        <v/>
      </c>
      <c r="J166" s="143" t="str">
        <f t="shared" ca="1" si="46"/>
        <v/>
      </c>
      <c r="K166" s="79" t="str">
        <f t="shared" ca="1" si="47"/>
        <v/>
      </c>
      <c r="L166" s="141" t="str">
        <f t="shared" ca="1" si="48"/>
        <v/>
      </c>
      <c r="M166" s="143" t="str">
        <f t="shared" ca="1" si="49"/>
        <v/>
      </c>
      <c r="N166" s="79" t="str">
        <f t="shared" ca="1" si="50"/>
        <v/>
      </c>
      <c r="O166" s="141" t="str">
        <f t="shared" ca="1" si="51"/>
        <v/>
      </c>
    </row>
    <row r="167" spans="1:15" ht="16.5" customHeight="1" thickBot="1">
      <c r="A167" s="202" t="s">
        <v>319</v>
      </c>
      <c r="B167" s="204"/>
      <c r="C167" s="135" t="s">
        <v>314</v>
      </c>
      <c r="D167" s="153" t="s">
        <v>315</v>
      </c>
      <c r="E167" s="154" t="s">
        <v>316</v>
      </c>
      <c r="F167" s="155" t="s">
        <v>317</v>
      </c>
      <c r="G167" s="153" t="s">
        <v>315</v>
      </c>
      <c r="H167" s="154" t="s">
        <v>316</v>
      </c>
      <c r="I167" s="155" t="s">
        <v>317</v>
      </c>
      <c r="J167" s="153" t="s">
        <v>315</v>
      </c>
      <c r="K167" s="154" t="s">
        <v>316</v>
      </c>
      <c r="L167" s="155" t="s">
        <v>317</v>
      </c>
      <c r="M167" s="153" t="s">
        <v>315</v>
      </c>
      <c r="N167" s="154" t="s">
        <v>316</v>
      </c>
      <c r="O167" s="155" t="s">
        <v>317</v>
      </c>
    </row>
    <row r="168" spans="1:15" ht="16.5" customHeight="1" thickBot="1">
      <c r="A168" s="208"/>
      <c r="B168" s="210"/>
      <c r="C168" s="139">
        <f ca="1">SUM(C136:C166)</f>
        <v>42000000</v>
      </c>
      <c r="D168" s="143">
        <f ca="1">SUM(D136:D166)</f>
        <v>42673869.408323489</v>
      </c>
      <c r="E168" s="79">
        <f ca="1">IFERROR(F168 / (SUM($C136:$C166) / COUNT($C136:$C166)), 0)</f>
        <v>0.16044509721988012</v>
      </c>
      <c r="F168" s="141">
        <f ca="1">SUM(F136:F166)</f>
        <v>673869.40832349646</v>
      </c>
      <c r="G168" s="143">
        <f ca="1">SUM(G136:G166)</f>
        <v>42996110.419208169</v>
      </c>
      <c r="H168" s="79">
        <f ca="1">IFERROR(I168 / (SUM($C136:$C166) / COUNT($C136:$C166)), 0)</f>
        <v>0.23716914743051665</v>
      </c>
      <c r="I168" s="141">
        <f ca="1">SUM(I136:I166)</f>
        <v>996110.41920816991</v>
      </c>
      <c r="J168" s="143">
        <f ca="1">SUM(J136:J166)</f>
        <v>43266098.365330495</v>
      </c>
      <c r="K168" s="79">
        <f ca="1">IFERROR(L168 / (SUM($C136:$C166) / COUNT($C136:$C166)), 0)</f>
        <v>0.30145199174535608</v>
      </c>
      <c r="L168" s="141">
        <f ca="1">SUM(L136:L166)</f>
        <v>1266098.3653304956</v>
      </c>
      <c r="M168" s="143">
        <f ca="1">SUM(M136:M166)</f>
        <v>42967435.940423131</v>
      </c>
      <c r="N168" s="79">
        <f ca="1">IFERROR(O168 / (SUM($C136:$C166) / COUNT($C136:$C166)), 0)</f>
        <v>0.23034189057693347</v>
      </c>
      <c r="O168" s="141">
        <f ca="1">SUM(O136:O166)</f>
        <v>967435.94042312051</v>
      </c>
    </row>
    <row r="170" spans="1:15" ht="16.5" customHeight="1" thickBot="1"/>
    <row r="171" spans="1:15" ht="16.5" customHeight="1" thickBot="1">
      <c r="A171" s="193" t="str">
        <f>TEXT(투자전략!$G$1, "[$-ko-KR]yyyy년 mm월 ") &amp; "[엽전코인] 전일대비 상승률 Bottom20 월말결산"</f>
        <v>2021년 05월 [엽전코인] 전일대비 상승률 Bottom20 월말결산</v>
      </c>
      <c r="B171" s="194"/>
      <c r="C171" s="194"/>
      <c r="D171" s="194"/>
      <c r="E171" s="194"/>
      <c r="F171" s="194"/>
      <c r="G171" s="194"/>
      <c r="H171" s="194"/>
      <c r="I171" s="194"/>
      <c r="J171" s="194"/>
      <c r="K171" s="194"/>
      <c r="L171" s="194"/>
      <c r="M171" s="194"/>
      <c r="N171" s="194"/>
      <c r="O171" s="195"/>
    </row>
    <row r="172" spans="1:15" ht="16.5" customHeight="1" thickBot="1">
      <c r="A172" s="254" t="s">
        <v>320</v>
      </c>
      <c r="B172" s="208" t="s">
        <v>318</v>
      </c>
      <c r="C172" s="210"/>
      <c r="D172" s="208" t="s">
        <v>310</v>
      </c>
      <c r="E172" s="209"/>
      <c r="F172" s="210"/>
      <c r="G172" s="208" t="s">
        <v>311</v>
      </c>
      <c r="H172" s="209"/>
      <c r="I172" s="210"/>
      <c r="J172" s="208" t="s">
        <v>312</v>
      </c>
      <c r="K172" s="209"/>
      <c r="L172" s="210"/>
      <c r="M172" s="208" t="s">
        <v>313</v>
      </c>
      <c r="N172" s="209"/>
      <c r="O172" s="210"/>
    </row>
    <row r="173" spans="1:15" ht="16.5" customHeight="1" thickBot="1">
      <c r="A173" s="258"/>
      <c r="B173" s="160" t="s">
        <v>308</v>
      </c>
      <c r="C173" s="160" t="s">
        <v>42</v>
      </c>
      <c r="D173" s="124" t="s">
        <v>309</v>
      </c>
      <c r="E173" s="136" t="s">
        <v>40</v>
      </c>
      <c r="F173" s="162" t="s">
        <v>41</v>
      </c>
      <c r="G173" s="124" t="s">
        <v>309</v>
      </c>
      <c r="H173" s="136" t="s">
        <v>40</v>
      </c>
      <c r="I173" s="162" t="s">
        <v>41</v>
      </c>
      <c r="J173" s="124" t="s">
        <v>309</v>
      </c>
      <c r="K173" s="136" t="s">
        <v>40</v>
      </c>
      <c r="L173" s="162" t="s">
        <v>41</v>
      </c>
      <c r="M173" s="124" t="s">
        <v>309</v>
      </c>
      <c r="N173" s="136" t="s">
        <v>40</v>
      </c>
      <c r="O173" s="162" t="s">
        <v>41</v>
      </c>
    </row>
    <row r="174" spans="1:15" ht="16.5" customHeight="1">
      <c r="A174" s="160">
        <v>1</v>
      </c>
      <c r="B174" s="160" t="str">
        <f>TEXT(투자전략!$G$1+0, "[$-ko-KR]yyyy.mm.dd")</f>
        <v>2021.05.01</v>
      </c>
      <c r="C174" s="137">
        <f ca="1">IFERROR(COUNTA(INDIRECT($B174&amp;"!A125:A144")) * INDIRECT($B174&amp;"!B145"), "")</f>
        <v>5700000</v>
      </c>
      <c r="D174" s="145">
        <f ca="1">IFERROR($C174 * (1 + E174), "")</f>
        <v>5796967.8582712999</v>
      </c>
      <c r="E174" s="76">
        <f ca="1">IFERROR(INDIRECT($B174&amp;"!E145"), "")</f>
        <v>1.7011904959877054E-2</v>
      </c>
      <c r="F174" s="144">
        <f ca="1">IFERROR(INDIRECT($B174&amp;"!F145"), "")</f>
        <v>96967.858271299192</v>
      </c>
      <c r="G174" s="145">
        <f ca="1">IFERROR($C174 * (1 + H174), "")</f>
        <v>5762497.1388724633</v>
      </c>
      <c r="H174" s="76">
        <f ca="1">IFERROR(INDIRECT($B174&amp;"!H145"), "")</f>
        <v>1.0964410328502251E-2</v>
      </c>
      <c r="I174" s="144">
        <f ca="1">IFERROR(INDIRECT($B174&amp;"!I145"), "")</f>
        <v>62497.138872462834</v>
      </c>
      <c r="J174" s="145">
        <f ca="1">IFERROR($C174 * (1 + K174), "")</f>
        <v>5794168.1462707957</v>
      </c>
      <c r="K174" s="76">
        <f ca="1">IFERROR(INDIRECT($B174&amp;"!K145"), "")</f>
        <v>1.6520727415929037E-2</v>
      </c>
      <c r="L174" s="144">
        <f ca="1">IFERROR(INDIRECT($B174&amp;"!L145"), "")</f>
        <v>94168.146270795492</v>
      </c>
      <c r="M174" s="145">
        <f ca="1">IFERROR($C174 * (1 + N174), "")</f>
        <v>5791895.125992734</v>
      </c>
      <c r="N174" s="76">
        <f ca="1">IFERROR(INDIRECT($B174&amp;"!N145"), "")</f>
        <v>1.6121951928549837E-2</v>
      </c>
      <c r="O174" s="144">
        <f ca="1">IFERROR(INDIRECT($B174&amp;"!O145"), "")</f>
        <v>91895.125992734043</v>
      </c>
    </row>
    <row r="175" spans="1:15" ht="16.5" customHeight="1">
      <c r="A175" s="159">
        <v>2</v>
      </c>
      <c r="B175" s="159" t="str">
        <f>TEXT(투자전략!$G$1+1, "[$-ko-KR]yyyy.mm.dd")</f>
        <v>2021.05.02</v>
      </c>
      <c r="C175" s="138">
        <f t="shared" ref="C175:C204" ca="1" si="52">IFERROR(COUNTA(INDIRECT($B175&amp;"!A125:A144")) * INDIRECT($B175&amp;"!B145"), "")</f>
        <v>5700000</v>
      </c>
      <c r="D175" s="142">
        <f t="shared" ref="D175:D204" ca="1" si="53">IFERROR($C175 * (1 + E175), "")</f>
        <v>5690911.4456432778</v>
      </c>
      <c r="E175" s="77">
        <f t="shared" ref="E175:E204" ca="1" si="54">IFERROR(INDIRECT($B175&amp;"!E145"), "")</f>
        <v>-1.594483220477585E-3</v>
      </c>
      <c r="F175" s="140">
        <f t="shared" ref="F175:F204" ca="1" si="55">IFERROR(INDIRECT($B175&amp;"!F145"), "")</f>
        <v>-9088.5543567222303</v>
      </c>
      <c r="G175" s="142">
        <f t="shared" ref="G175:G204" ca="1" si="56">IFERROR($C175 * (1 + H175), "")</f>
        <v>5690498.5045738928</v>
      </c>
      <c r="H175" s="77">
        <f t="shared" ref="H175:H204" ca="1" si="57">IFERROR(INDIRECT($B175&amp;"!H145"), "")</f>
        <v>-1.666929022124089E-3</v>
      </c>
      <c r="I175" s="140">
        <f t="shared" ref="I175:I204" ca="1" si="58">IFERROR(INDIRECT($B175&amp;"!I145"), "")</f>
        <v>-9501.4954261073035</v>
      </c>
      <c r="J175" s="142">
        <f t="shared" ref="J175:J204" ca="1" si="59">IFERROR($C175 * (1 + K175), "")</f>
        <v>5725292.5041279895</v>
      </c>
      <c r="K175" s="77">
        <f t="shared" ref="K175:K204" ca="1" si="60">IFERROR(INDIRECT($B175&amp;"!K145"), "")</f>
        <v>4.437281425962906E-3</v>
      </c>
      <c r="L175" s="140">
        <f t="shared" ref="L175:L204" ca="1" si="61">IFERROR(INDIRECT($B175&amp;"!L145"), "")</f>
        <v>25292.50412798857</v>
      </c>
      <c r="M175" s="142">
        <f t="shared" ref="M175:M204" ca="1" si="62">IFERROR($C175 * (1 + N175), "")</f>
        <v>5763933.8531855056</v>
      </c>
      <c r="N175" s="77">
        <f t="shared" ref="N175:N204" ca="1" si="63">IFERROR(INDIRECT($B175&amp;"!N145"), "")</f>
        <v>1.1216465471141364E-2</v>
      </c>
      <c r="O175" s="140">
        <f t="shared" ref="O175:O204" ca="1" si="64">IFERROR(INDIRECT($B175&amp;"!O145"), "")</f>
        <v>63933.853185505781</v>
      </c>
    </row>
    <row r="176" spans="1:15" ht="16.5" customHeight="1">
      <c r="A176" s="159">
        <v>3</v>
      </c>
      <c r="B176" s="159" t="str">
        <f>TEXT(투자전략!$G$1+2, "[$-ko-KR]yyyy.mm.dd")</f>
        <v>2021.05.03</v>
      </c>
      <c r="C176" s="138">
        <f t="shared" ca="1" si="52"/>
        <v>5400000</v>
      </c>
      <c r="D176" s="142">
        <f t="shared" ca="1" si="53"/>
        <v>5575496.9864295339</v>
      </c>
      <c r="E176" s="77">
        <f t="shared" ca="1" si="54"/>
        <v>3.2499441931395062E-2</v>
      </c>
      <c r="F176" s="140">
        <f t="shared" ca="1" si="55"/>
        <v>175496.9864295334</v>
      </c>
      <c r="G176" s="142">
        <f t="shared" ca="1" si="56"/>
        <v>5618685.4874268863</v>
      </c>
      <c r="H176" s="77">
        <f t="shared" ca="1" si="57"/>
        <v>4.0497312486460504E-2</v>
      </c>
      <c r="I176" s="140">
        <f t="shared" ca="1" si="58"/>
        <v>218685.48742688677</v>
      </c>
      <c r="J176" s="142">
        <f t="shared" ca="1" si="59"/>
        <v>5642781.0931354463</v>
      </c>
      <c r="K176" s="77">
        <f t="shared" ca="1" si="60"/>
        <v>4.4959461691749317E-2</v>
      </c>
      <c r="L176" s="140">
        <f t="shared" ca="1" si="61"/>
        <v>242781.09313544634</v>
      </c>
      <c r="M176" s="142">
        <f t="shared" ca="1" si="62"/>
        <v>5599398.2018607762</v>
      </c>
      <c r="N176" s="77">
        <f t="shared" ca="1" si="63"/>
        <v>3.6925592937180791E-2</v>
      </c>
      <c r="O176" s="140">
        <f t="shared" ca="1" si="64"/>
        <v>199398.20186077629</v>
      </c>
    </row>
    <row r="177" spans="1:15" ht="16.5" customHeight="1">
      <c r="A177" s="159">
        <v>4</v>
      </c>
      <c r="B177" s="159" t="str">
        <f>TEXT(투자전략!$G$1+3, "[$-ko-KR]yyyy.mm.dd")</f>
        <v>2021.05.04</v>
      </c>
      <c r="C177" s="138">
        <f t="shared" ca="1" si="52"/>
        <v>5100000</v>
      </c>
      <c r="D177" s="142">
        <f t="shared" ca="1" si="53"/>
        <v>4913291.8029331751</v>
      </c>
      <c r="E177" s="77">
        <f t="shared" ca="1" si="54"/>
        <v>-3.6609450405259723E-2</v>
      </c>
      <c r="F177" s="140">
        <f t="shared" ca="1" si="55"/>
        <v>-186708.19706682459</v>
      </c>
      <c r="G177" s="142">
        <f t="shared" ca="1" si="56"/>
        <v>4944548.6693847794</v>
      </c>
      <c r="H177" s="77">
        <f t="shared" ca="1" si="57"/>
        <v>-3.0480653061807909E-2</v>
      </c>
      <c r="I177" s="140">
        <f t="shared" ca="1" si="58"/>
        <v>-155451.3306152203</v>
      </c>
      <c r="J177" s="142">
        <f t="shared" ca="1" si="59"/>
        <v>4946341.5860611983</v>
      </c>
      <c r="K177" s="77">
        <f t="shared" ca="1" si="60"/>
        <v>-3.0129100772314142E-2</v>
      </c>
      <c r="L177" s="140">
        <f t="shared" ca="1" si="61"/>
        <v>-153658.41393880208</v>
      </c>
      <c r="M177" s="142">
        <f t="shared" ca="1" si="62"/>
        <v>4753721.9406563118</v>
      </c>
      <c r="N177" s="77">
        <f t="shared" ca="1" si="63"/>
        <v>-6.7897658694840837E-2</v>
      </c>
      <c r="O177" s="140">
        <f t="shared" ca="1" si="64"/>
        <v>-346278.05934368825</v>
      </c>
    </row>
    <row r="178" spans="1:15" ht="16.5" customHeight="1">
      <c r="A178" s="159">
        <v>5</v>
      </c>
      <c r="B178" s="159" t="str">
        <f>TEXT(투자전략!$G$1+4, "[$-ko-KR]yyyy.mm.dd")</f>
        <v>2021.05.05</v>
      </c>
      <c r="C178" s="138">
        <f t="shared" ca="1" si="52"/>
        <v>2550000</v>
      </c>
      <c r="D178" s="142">
        <f t="shared" ca="1" si="53"/>
        <v>2414283.6024819729</v>
      </c>
      <c r="E178" s="77">
        <f t="shared" ca="1" si="54"/>
        <v>-5.3222116673736088E-2</v>
      </c>
      <c r="F178" s="140">
        <f t="shared" ca="1" si="55"/>
        <v>-135716.39751802705</v>
      </c>
      <c r="G178" s="142">
        <f t="shared" ca="1" si="56"/>
        <v>2485506.2944377828</v>
      </c>
      <c r="H178" s="77">
        <f t="shared" ca="1" si="57"/>
        <v>-2.5291649240085156E-2</v>
      </c>
      <c r="I178" s="140">
        <f t="shared" ca="1" si="58"/>
        <v>-64493.705562217161</v>
      </c>
      <c r="J178" s="142">
        <f t="shared" ca="1" si="59"/>
        <v>2450988.7532001613</v>
      </c>
      <c r="K178" s="77">
        <f t="shared" ca="1" si="60"/>
        <v>-3.8827939921505517E-2</v>
      </c>
      <c r="L178" s="140">
        <f t="shared" ca="1" si="61"/>
        <v>-99011.246799839064</v>
      </c>
      <c r="M178" s="142">
        <f t="shared" ca="1" si="62"/>
        <v>2522166.9920933945</v>
      </c>
      <c r="N178" s="77">
        <f t="shared" ca="1" si="63"/>
        <v>-1.0914905061413859E-2</v>
      </c>
      <c r="O178" s="140">
        <f t="shared" ca="1" si="64"/>
        <v>-27833.007906605329</v>
      </c>
    </row>
    <row r="179" spans="1:15" ht="16.5" customHeight="1">
      <c r="A179" s="159">
        <v>6</v>
      </c>
      <c r="B179" s="159" t="str">
        <f>TEXT(투자전략!$G$1+5, "[$-ko-KR]yyyy.mm.dd")</f>
        <v>2021.05.06</v>
      </c>
      <c r="C179" s="138">
        <f t="shared" ca="1" si="52"/>
        <v>2700000</v>
      </c>
      <c r="D179" s="142">
        <f t="shared" ca="1" si="53"/>
        <v>2699243.1196434526</v>
      </c>
      <c r="E179" s="77">
        <f t="shared" ca="1" si="54"/>
        <v>-2.8032605798057489E-4</v>
      </c>
      <c r="F179" s="140">
        <f t="shared" ca="1" si="55"/>
        <v>-756.88035654755151</v>
      </c>
      <c r="G179" s="142">
        <f t="shared" ca="1" si="56"/>
        <v>2688883.5356454668</v>
      </c>
      <c r="H179" s="77">
        <f t="shared" ca="1" si="57"/>
        <v>-4.1172090201973717E-3</v>
      </c>
      <c r="I179" s="140">
        <f t="shared" ca="1" si="58"/>
        <v>-11116.464354532902</v>
      </c>
      <c r="J179" s="142">
        <f t="shared" ca="1" si="59"/>
        <v>2685218.8109180443</v>
      </c>
      <c r="K179" s="77">
        <f t="shared" ca="1" si="60"/>
        <v>-5.4745144747983601E-3</v>
      </c>
      <c r="L179" s="140">
        <f t="shared" ca="1" si="61"/>
        <v>-14781.189081955576</v>
      </c>
      <c r="M179" s="142">
        <f t="shared" ca="1" si="62"/>
        <v>2685739.9606291102</v>
      </c>
      <c r="N179" s="77">
        <f t="shared" ca="1" si="63"/>
        <v>-5.2814960632924903E-3</v>
      </c>
      <c r="O179" s="140">
        <f t="shared" ca="1" si="64"/>
        <v>-14260.03937088973</v>
      </c>
    </row>
    <row r="180" spans="1:15" ht="16.5" customHeight="1" thickBot="1">
      <c r="A180" s="161">
        <v>7</v>
      </c>
      <c r="B180" s="161" t="str">
        <f>TEXT(투자전략!$G$1+6, "[$-ko-KR]yyyy.mm.dd")</f>
        <v>2021.05.07</v>
      </c>
      <c r="C180" s="138">
        <f t="shared" ca="1" si="52"/>
        <v>2850000</v>
      </c>
      <c r="D180" s="142">
        <f t="shared" ca="1" si="53"/>
        <v>2678763.1230948311</v>
      </c>
      <c r="E180" s="77">
        <f t="shared" ca="1" si="54"/>
        <v>-6.0083114703568037E-2</v>
      </c>
      <c r="F180" s="140">
        <f t="shared" ca="1" si="55"/>
        <v>-171236.87690516893</v>
      </c>
      <c r="G180" s="142">
        <f t="shared" ca="1" si="56"/>
        <v>2739890.416816175</v>
      </c>
      <c r="H180" s="77">
        <f t="shared" ca="1" si="57"/>
        <v>-3.8634941468008686E-2</v>
      </c>
      <c r="I180" s="140">
        <f t="shared" ca="1" si="58"/>
        <v>-110109.58318382471</v>
      </c>
      <c r="J180" s="142">
        <f t="shared" ca="1" si="59"/>
        <v>2826150.8225448746</v>
      </c>
      <c r="K180" s="77">
        <f t="shared" ca="1" si="60"/>
        <v>-8.368132440394787E-3</v>
      </c>
      <c r="L180" s="140">
        <f t="shared" ca="1" si="61"/>
        <v>-23849.177455125144</v>
      </c>
      <c r="M180" s="142">
        <f t="shared" ca="1" si="62"/>
        <v>2855094.2695993325</v>
      </c>
      <c r="N180" s="77">
        <f t="shared" ca="1" si="63"/>
        <v>1.7874630173095435E-3</v>
      </c>
      <c r="O180" s="140">
        <f t="shared" ca="1" si="64"/>
        <v>5094.2695993321886</v>
      </c>
    </row>
    <row r="181" spans="1:15" ht="16.5" customHeight="1">
      <c r="A181" s="160">
        <v>8</v>
      </c>
      <c r="B181" s="160" t="str">
        <f>TEXT(투자전략!$G$1+7, "[$-ko-KR]yyyy.mm.dd")</f>
        <v>2021.05.08</v>
      </c>
      <c r="C181" s="137">
        <f t="shared" ca="1" si="52"/>
        <v>2850000</v>
      </c>
      <c r="D181" s="145">
        <f t="shared" ca="1" si="53"/>
        <v>2789719.4245896782</v>
      </c>
      <c r="E181" s="76">
        <f t="shared" ca="1" si="54"/>
        <v>-2.115107909134107E-2</v>
      </c>
      <c r="F181" s="144">
        <f t="shared" ca="1" si="55"/>
        <v>-60280.575410322046</v>
      </c>
      <c r="G181" s="145">
        <f t="shared" ca="1" si="56"/>
        <v>2800294.7024498149</v>
      </c>
      <c r="H181" s="76">
        <f t="shared" ca="1" si="57"/>
        <v>-1.7440455280766792E-2</v>
      </c>
      <c r="I181" s="144">
        <f t="shared" ca="1" si="58"/>
        <v>-49705.297550185358</v>
      </c>
      <c r="J181" s="145">
        <f t="shared" ca="1" si="59"/>
        <v>2803924.1807414507</v>
      </c>
      <c r="K181" s="76">
        <f t="shared" ca="1" si="60"/>
        <v>-1.6166954125806803E-2</v>
      </c>
      <c r="L181" s="144">
        <f t="shared" ca="1" si="61"/>
        <v>-46075.819258549382</v>
      </c>
      <c r="M181" s="145">
        <f t="shared" ca="1" si="62"/>
        <v>2795416.6521626255</v>
      </c>
      <c r="N181" s="76">
        <f t="shared" ca="1" si="63"/>
        <v>-1.9152051872762893E-2</v>
      </c>
      <c r="O181" s="144">
        <f t="shared" ca="1" si="64"/>
        <v>-54583.347837374262</v>
      </c>
    </row>
    <row r="182" spans="1:15" ht="16.5" customHeight="1">
      <c r="A182" s="159">
        <v>9</v>
      </c>
      <c r="B182" s="159" t="str">
        <f>TEXT(투자전략!$G$1+8, "[$-ko-KR]yyyy.mm.dd")</f>
        <v>2021.05.09</v>
      </c>
      <c r="C182" s="138">
        <f t="shared" ca="1" si="52"/>
        <v>2850000</v>
      </c>
      <c r="D182" s="142">
        <f t="shared" ca="1" si="53"/>
        <v>2766756.586740783</v>
      </c>
      <c r="E182" s="77">
        <f t="shared" ca="1" si="54"/>
        <v>-2.920821517867268E-2</v>
      </c>
      <c r="F182" s="140">
        <f t="shared" ca="1" si="55"/>
        <v>-83243.413259217152</v>
      </c>
      <c r="G182" s="142">
        <f t="shared" ca="1" si="56"/>
        <v>2729982.7965285233</v>
      </c>
      <c r="H182" s="77">
        <f t="shared" ca="1" si="57"/>
        <v>-4.2111299463675984E-2</v>
      </c>
      <c r="I182" s="140">
        <f t="shared" ca="1" si="58"/>
        <v>-120017.20347147653</v>
      </c>
      <c r="J182" s="142">
        <f t="shared" ca="1" si="59"/>
        <v>2693559.3527347138</v>
      </c>
      <c r="K182" s="77">
        <f t="shared" ca="1" si="60"/>
        <v>-5.489145518080224E-2</v>
      </c>
      <c r="L182" s="140">
        <f t="shared" ca="1" si="61"/>
        <v>-156440.64726528642</v>
      </c>
      <c r="M182" s="142">
        <f t="shared" ca="1" si="62"/>
        <v>2709175.3991925204</v>
      </c>
      <c r="N182" s="77">
        <f t="shared" ca="1" si="63"/>
        <v>-4.9412140634203336E-2</v>
      </c>
      <c r="O182" s="140">
        <f t="shared" ca="1" si="64"/>
        <v>-140824.6008074795</v>
      </c>
    </row>
    <row r="183" spans="1:15" ht="16.5" customHeight="1">
      <c r="A183" s="159">
        <v>10</v>
      </c>
      <c r="B183" s="159" t="str">
        <f>TEXT(투자전략!$G$1+9, "[$-ko-KR]yyyy.mm.dd")</f>
        <v>2021.05.10</v>
      </c>
      <c r="C183" s="138">
        <f t="shared" ca="1" si="52"/>
        <v>2850000</v>
      </c>
      <c r="D183" s="142">
        <f t="shared" ca="1" si="53"/>
        <v>2866664.89846153</v>
      </c>
      <c r="E183" s="77">
        <f t="shared" ca="1" si="54"/>
        <v>5.8473327935194466E-3</v>
      </c>
      <c r="F183" s="140">
        <f t="shared" ca="1" si="55"/>
        <v>16664.898461530418</v>
      </c>
      <c r="G183" s="142">
        <f t="shared" ca="1" si="56"/>
        <v>2882496.0997115215</v>
      </c>
      <c r="H183" s="77">
        <f t="shared" ca="1" si="57"/>
        <v>1.1402140249656689E-2</v>
      </c>
      <c r="I183" s="140">
        <f t="shared" ca="1" si="58"/>
        <v>32496.099711521561</v>
      </c>
      <c r="J183" s="142">
        <f t="shared" ca="1" si="59"/>
        <v>2880730.1903196112</v>
      </c>
      <c r="K183" s="77">
        <f t="shared" ca="1" si="60"/>
        <v>1.0782522919161781E-2</v>
      </c>
      <c r="L183" s="140">
        <f t="shared" ca="1" si="61"/>
        <v>30730.19031961108</v>
      </c>
      <c r="M183" s="142">
        <f t="shared" ca="1" si="62"/>
        <v>2850000</v>
      </c>
      <c r="N183" s="77">
        <f t="shared" ca="1" si="63"/>
        <v>0</v>
      </c>
      <c r="O183" s="140">
        <f t="shared" ca="1" si="64"/>
        <v>0</v>
      </c>
    </row>
    <row r="184" spans="1:15" ht="16.5" customHeight="1">
      <c r="A184" s="159">
        <v>11</v>
      </c>
      <c r="B184" s="159" t="str">
        <f>TEXT(투자전략!$G$1+10, "[$-ko-KR]yyyy.mm.dd")</f>
        <v>2021.05.11</v>
      </c>
      <c r="C184" s="138" t="str">
        <f t="shared" ca="1" si="52"/>
        <v/>
      </c>
      <c r="D184" s="142" t="str">
        <f t="shared" ca="1" si="53"/>
        <v/>
      </c>
      <c r="E184" s="77" t="str">
        <f t="shared" ca="1" si="54"/>
        <v/>
      </c>
      <c r="F184" s="140" t="str">
        <f t="shared" ca="1" si="55"/>
        <v/>
      </c>
      <c r="G184" s="142" t="str">
        <f t="shared" ca="1" si="56"/>
        <v/>
      </c>
      <c r="H184" s="77" t="str">
        <f t="shared" ca="1" si="57"/>
        <v/>
      </c>
      <c r="I184" s="140" t="str">
        <f t="shared" ca="1" si="58"/>
        <v/>
      </c>
      <c r="J184" s="142" t="str">
        <f t="shared" ca="1" si="59"/>
        <v/>
      </c>
      <c r="K184" s="77" t="str">
        <f t="shared" ca="1" si="60"/>
        <v/>
      </c>
      <c r="L184" s="140" t="str">
        <f t="shared" ca="1" si="61"/>
        <v/>
      </c>
      <c r="M184" s="142" t="str">
        <f t="shared" ca="1" si="62"/>
        <v/>
      </c>
      <c r="N184" s="77" t="str">
        <f t="shared" ca="1" si="63"/>
        <v/>
      </c>
      <c r="O184" s="140" t="str">
        <f t="shared" ca="1" si="64"/>
        <v/>
      </c>
    </row>
    <row r="185" spans="1:15" ht="16.5" customHeight="1">
      <c r="A185" s="159">
        <v>12</v>
      </c>
      <c r="B185" s="159" t="str">
        <f>TEXT(투자전략!$G$1+11, "[$-ko-KR]yyyy.mm.dd")</f>
        <v>2021.05.12</v>
      </c>
      <c r="C185" s="138" t="str">
        <f t="shared" ca="1" si="52"/>
        <v/>
      </c>
      <c r="D185" s="142" t="str">
        <f t="shared" ca="1" si="53"/>
        <v/>
      </c>
      <c r="E185" s="77" t="str">
        <f t="shared" ca="1" si="54"/>
        <v/>
      </c>
      <c r="F185" s="140" t="str">
        <f t="shared" ca="1" si="55"/>
        <v/>
      </c>
      <c r="G185" s="142" t="str">
        <f t="shared" ca="1" si="56"/>
        <v/>
      </c>
      <c r="H185" s="77" t="str">
        <f t="shared" ca="1" si="57"/>
        <v/>
      </c>
      <c r="I185" s="140" t="str">
        <f t="shared" ca="1" si="58"/>
        <v/>
      </c>
      <c r="J185" s="142" t="str">
        <f t="shared" ca="1" si="59"/>
        <v/>
      </c>
      <c r="K185" s="77" t="str">
        <f t="shared" ca="1" si="60"/>
        <v/>
      </c>
      <c r="L185" s="140" t="str">
        <f t="shared" ca="1" si="61"/>
        <v/>
      </c>
      <c r="M185" s="142" t="str">
        <f t="shared" ca="1" si="62"/>
        <v/>
      </c>
      <c r="N185" s="77" t="str">
        <f t="shared" ca="1" si="63"/>
        <v/>
      </c>
      <c r="O185" s="140" t="str">
        <f t="shared" ca="1" si="64"/>
        <v/>
      </c>
    </row>
    <row r="186" spans="1:15" ht="16.5" customHeight="1">
      <c r="A186" s="159">
        <v>13</v>
      </c>
      <c r="B186" s="159" t="str">
        <f>TEXT(투자전략!$G$1+12, "[$-ko-KR]yyyy.mm.dd")</f>
        <v>2021.05.13</v>
      </c>
      <c r="C186" s="138" t="str">
        <f t="shared" ca="1" si="52"/>
        <v/>
      </c>
      <c r="D186" s="142" t="str">
        <f t="shared" ca="1" si="53"/>
        <v/>
      </c>
      <c r="E186" s="77" t="str">
        <f t="shared" ca="1" si="54"/>
        <v/>
      </c>
      <c r="F186" s="140" t="str">
        <f t="shared" ca="1" si="55"/>
        <v/>
      </c>
      <c r="G186" s="142" t="str">
        <f t="shared" ca="1" si="56"/>
        <v/>
      </c>
      <c r="H186" s="77" t="str">
        <f t="shared" ca="1" si="57"/>
        <v/>
      </c>
      <c r="I186" s="140" t="str">
        <f t="shared" ca="1" si="58"/>
        <v/>
      </c>
      <c r="J186" s="142" t="str">
        <f t="shared" ca="1" si="59"/>
        <v/>
      </c>
      <c r="K186" s="77" t="str">
        <f t="shared" ca="1" si="60"/>
        <v/>
      </c>
      <c r="L186" s="140" t="str">
        <f t="shared" ca="1" si="61"/>
        <v/>
      </c>
      <c r="M186" s="142" t="str">
        <f t="shared" ca="1" si="62"/>
        <v/>
      </c>
      <c r="N186" s="77" t="str">
        <f t="shared" ca="1" si="63"/>
        <v/>
      </c>
      <c r="O186" s="140" t="str">
        <f t="shared" ca="1" si="64"/>
        <v/>
      </c>
    </row>
    <row r="187" spans="1:15" ht="16.5" customHeight="1" thickBot="1">
      <c r="A187" s="161">
        <v>14</v>
      </c>
      <c r="B187" s="161" t="str">
        <f>TEXT(투자전략!$G$1+13, "[$-ko-KR]yyyy.mm.dd")</f>
        <v>2021.05.14</v>
      </c>
      <c r="C187" s="139" t="str">
        <f t="shared" ca="1" si="52"/>
        <v/>
      </c>
      <c r="D187" s="143" t="str">
        <f t="shared" ca="1" si="53"/>
        <v/>
      </c>
      <c r="E187" s="79" t="str">
        <f t="shared" ca="1" si="54"/>
        <v/>
      </c>
      <c r="F187" s="141" t="str">
        <f t="shared" ca="1" si="55"/>
        <v/>
      </c>
      <c r="G187" s="143" t="str">
        <f t="shared" ca="1" si="56"/>
        <v/>
      </c>
      <c r="H187" s="79" t="str">
        <f t="shared" ca="1" si="57"/>
        <v/>
      </c>
      <c r="I187" s="141" t="str">
        <f t="shared" ca="1" si="58"/>
        <v/>
      </c>
      <c r="J187" s="143" t="str">
        <f t="shared" ca="1" si="59"/>
        <v/>
      </c>
      <c r="K187" s="79" t="str">
        <f t="shared" ca="1" si="60"/>
        <v/>
      </c>
      <c r="L187" s="141" t="str">
        <f t="shared" ca="1" si="61"/>
        <v/>
      </c>
      <c r="M187" s="143" t="str">
        <f t="shared" ca="1" si="62"/>
        <v/>
      </c>
      <c r="N187" s="79" t="str">
        <f t="shared" ca="1" si="63"/>
        <v/>
      </c>
      <c r="O187" s="141" t="str">
        <f t="shared" ca="1" si="64"/>
        <v/>
      </c>
    </row>
    <row r="188" spans="1:15" ht="16.5" customHeight="1">
      <c r="A188" s="160">
        <v>15</v>
      </c>
      <c r="B188" s="160" t="str">
        <f>TEXT(투자전략!$G$1+14, "[$-ko-KR]yyyy.mm.dd")</f>
        <v>2021.05.15</v>
      </c>
      <c r="C188" s="138" t="str">
        <f t="shared" ca="1" si="52"/>
        <v/>
      </c>
      <c r="D188" s="142" t="str">
        <f t="shared" ca="1" si="53"/>
        <v/>
      </c>
      <c r="E188" s="77" t="str">
        <f t="shared" ca="1" si="54"/>
        <v/>
      </c>
      <c r="F188" s="140" t="str">
        <f t="shared" ca="1" si="55"/>
        <v/>
      </c>
      <c r="G188" s="142" t="str">
        <f t="shared" ca="1" si="56"/>
        <v/>
      </c>
      <c r="H188" s="77" t="str">
        <f t="shared" ca="1" si="57"/>
        <v/>
      </c>
      <c r="I188" s="140" t="str">
        <f t="shared" ca="1" si="58"/>
        <v/>
      </c>
      <c r="J188" s="142" t="str">
        <f t="shared" ca="1" si="59"/>
        <v/>
      </c>
      <c r="K188" s="77" t="str">
        <f t="shared" ca="1" si="60"/>
        <v/>
      </c>
      <c r="L188" s="140" t="str">
        <f t="shared" ca="1" si="61"/>
        <v/>
      </c>
      <c r="M188" s="142" t="str">
        <f t="shared" ca="1" si="62"/>
        <v/>
      </c>
      <c r="N188" s="77" t="str">
        <f t="shared" ca="1" si="63"/>
        <v/>
      </c>
      <c r="O188" s="140" t="str">
        <f t="shared" ca="1" si="64"/>
        <v/>
      </c>
    </row>
    <row r="189" spans="1:15" ht="16.5" customHeight="1">
      <c r="A189" s="159">
        <v>16</v>
      </c>
      <c r="B189" s="159" t="str">
        <f>TEXT(투자전략!$G$1+15, "[$-ko-KR]yyyy.mm.dd")</f>
        <v>2021.05.16</v>
      </c>
      <c r="C189" s="138" t="str">
        <f t="shared" ca="1" si="52"/>
        <v/>
      </c>
      <c r="D189" s="142" t="str">
        <f t="shared" ca="1" si="53"/>
        <v/>
      </c>
      <c r="E189" s="77" t="str">
        <f t="shared" ca="1" si="54"/>
        <v/>
      </c>
      <c r="F189" s="140" t="str">
        <f t="shared" ca="1" si="55"/>
        <v/>
      </c>
      <c r="G189" s="142" t="str">
        <f t="shared" ca="1" si="56"/>
        <v/>
      </c>
      <c r="H189" s="77" t="str">
        <f t="shared" ca="1" si="57"/>
        <v/>
      </c>
      <c r="I189" s="140" t="str">
        <f t="shared" ca="1" si="58"/>
        <v/>
      </c>
      <c r="J189" s="142" t="str">
        <f t="shared" ca="1" si="59"/>
        <v/>
      </c>
      <c r="K189" s="77" t="str">
        <f t="shared" ca="1" si="60"/>
        <v/>
      </c>
      <c r="L189" s="140" t="str">
        <f t="shared" ca="1" si="61"/>
        <v/>
      </c>
      <c r="M189" s="142" t="str">
        <f t="shared" ca="1" si="62"/>
        <v/>
      </c>
      <c r="N189" s="77" t="str">
        <f t="shared" ca="1" si="63"/>
        <v/>
      </c>
      <c r="O189" s="140" t="str">
        <f t="shared" ca="1" si="64"/>
        <v/>
      </c>
    </row>
    <row r="190" spans="1:15" ht="16.5" customHeight="1">
      <c r="A190" s="159">
        <v>17</v>
      </c>
      <c r="B190" s="159" t="str">
        <f>TEXT(투자전략!$G$1+16, "[$-ko-KR]yyyy.mm.dd")</f>
        <v>2021.05.17</v>
      </c>
      <c r="C190" s="138" t="str">
        <f t="shared" ca="1" si="52"/>
        <v/>
      </c>
      <c r="D190" s="142" t="str">
        <f t="shared" ca="1" si="53"/>
        <v/>
      </c>
      <c r="E190" s="77" t="str">
        <f t="shared" ca="1" si="54"/>
        <v/>
      </c>
      <c r="F190" s="140" t="str">
        <f t="shared" ca="1" si="55"/>
        <v/>
      </c>
      <c r="G190" s="142" t="str">
        <f t="shared" ca="1" si="56"/>
        <v/>
      </c>
      <c r="H190" s="77" t="str">
        <f t="shared" ca="1" si="57"/>
        <v/>
      </c>
      <c r="I190" s="140" t="str">
        <f t="shared" ca="1" si="58"/>
        <v/>
      </c>
      <c r="J190" s="142" t="str">
        <f t="shared" ca="1" si="59"/>
        <v/>
      </c>
      <c r="K190" s="77" t="str">
        <f t="shared" ca="1" si="60"/>
        <v/>
      </c>
      <c r="L190" s="140" t="str">
        <f t="shared" ca="1" si="61"/>
        <v/>
      </c>
      <c r="M190" s="142" t="str">
        <f t="shared" ca="1" si="62"/>
        <v/>
      </c>
      <c r="N190" s="77" t="str">
        <f t="shared" ca="1" si="63"/>
        <v/>
      </c>
      <c r="O190" s="140" t="str">
        <f t="shared" ca="1" si="64"/>
        <v/>
      </c>
    </row>
    <row r="191" spans="1:15" ht="16.5" customHeight="1">
      <c r="A191" s="159">
        <v>18</v>
      </c>
      <c r="B191" s="159" t="str">
        <f>TEXT(투자전략!$G$1+17, "[$-ko-KR]yyyy.mm.dd")</f>
        <v>2021.05.18</v>
      </c>
      <c r="C191" s="138" t="str">
        <f t="shared" ca="1" si="52"/>
        <v/>
      </c>
      <c r="D191" s="142" t="str">
        <f t="shared" ca="1" si="53"/>
        <v/>
      </c>
      <c r="E191" s="77" t="str">
        <f t="shared" ca="1" si="54"/>
        <v/>
      </c>
      <c r="F191" s="140" t="str">
        <f t="shared" ca="1" si="55"/>
        <v/>
      </c>
      <c r="G191" s="142" t="str">
        <f t="shared" ca="1" si="56"/>
        <v/>
      </c>
      <c r="H191" s="77" t="str">
        <f t="shared" ca="1" si="57"/>
        <v/>
      </c>
      <c r="I191" s="140" t="str">
        <f t="shared" ca="1" si="58"/>
        <v/>
      </c>
      <c r="J191" s="142" t="str">
        <f t="shared" ca="1" si="59"/>
        <v/>
      </c>
      <c r="K191" s="77" t="str">
        <f t="shared" ca="1" si="60"/>
        <v/>
      </c>
      <c r="L191" s="140" t="str">
        <f t="shared" ca="1" si="61"/>
        <v/>
      </c>
      <c r="M191" s="142" t="str">
        <f t="shared" ca="1" si="62"/>
        <v/>
      </c>
      <c r="N191" s="77" t="str">
        <f t="shared" ca="1" si="63"/>
        <v/>
      </c>
      <c r="O191" s="140" t="str">
        <f t="shared" ca="1" si="64"/>
        <v/>
      </c>
    </row>
    <row r="192" spans="1:15" ht="16.5" customHeight="1">
      <c r="A192" s="159">
        <v>19</v>
      </c>
      <c r="B192" s="159" t="str">
        <f>TEXT(투자전략!$G$1+18, "[$-ko-KR]yyyy.mm.dd")</f>
        <v>2021.05.19</v>
      </c>
      <c r="C192" s="138" t="str">
        <f t="shared" ca="1" si="52"/>
        <v/>
      </c>
      <c r="D192" s="142" t="str">
        <f t="shared" ca="1" si="53"/>
        <v/>
      </c>
      <c r="E192" s="77" t="str">
        <f t="shared" ca="1" si="54"/>
        <v/>
      </c>
      <c r="F192" s="140" t="str">
        <f t="shared" ca="1" si="55"/>
        <v/>
      </c>
      <c r="G192" s="142" t="str">
        <f t="shared" ca="1" si="56"/>
        <v/>
      </c>
      <c r="H192" s="77" t="str">
        <f t="shared" ca="1" si="57"/>
        <v/>
      </c>
      <c r="I192" s="140" t="str">
        <f t="shared" ca="1" si="58"/>
        <v/>
      </c>
      <c r="J192" s="142" t="str">
        <f t="shared" ca="1" si="59"/>
        <v/>
      </c>
      <c r="K192" s="77" t="str">
        <f t="shared" ca="1" si="60"/>
        <v/>
      </c>
      <c r="L192" s="140" t="str">
        <f t="shared" ca="1" si="61"/>
        <v/>
      </c>
      <c r="M192" s="142" t="str">
        <f t="shared" ca="1" si="62"/>
        <v/>
      </c>
      <c r="N192" s="77" t="str">
        <f t="shared" ca="1" si="63"/>
        <v/>
      </c>
      <c r="O192" s="140" t="str">
        <f t="shared" ca="1" si="64"/>
        <v/>
      </c>
    </row>
    <row r="193" spans="1:15" ht="16.5" customHeight="1">
      <c r="A193" s="159">
        <v>20</v>
      </c>
      <c r="B193" s="159" t="str">
        <f>TEXT(투자전략!$G$1+19, "[$-ko-KR]yyyy.mm.dd")</f>
        <v>2021.05.20</v>
      </c>
      <c r="C193" s="138" t="str">
        <f t="shared" ca="1" si="52"/>
        <v/>
      </c>
      <c r="D193" s="142" t="str">
        <f t="shared" ca="1" si="53"/>
        <v/>
      </c>
      <c r="E193" s="77" t="str">
        <f t="shared" ca="1" si="54"/>
        <v/>
      </c>
      <c r="F193" s="140" t="str">
        <f t="shared" ca="1" si="55"/>
        <v/>
      </c>
      <c r="G193" s="142" t="str">
        <f t="shared" ca="1" si="56"/>
        <v/>
      </c>
      <c r="H193" s="77" t="str">
        <f t="shared" ca="1" si="57"/>
        <v/>
      </c>
      <c r="I193" s="140" t="str">
        <f t="shared" ca="1" si="58"/>
        <v/>
      </c>
      <c r="J193" s="142" t="str">
        <f t="shared" ca="1" si="59"/>
        <v/>
      </c>
      <c r="K193" s="77" t="str">
        <f t="shared" ca="1" si="60"/>
        <v/>
      </c>
      <c r="L193" s="140" t="str">
        <f t="shared" ca="1" si="61"/>
        <v/>
      </c>
      <c r="M193" s="142" t="str">
        <f t="shared" ca="1" si="62"/>
        <v/>
      </c>
      <c r="N193" s="77" t="str">
        <f t="shared" ca="1" si="63"/>
        <v/>
      </c>
      <c r="O193" s="140" t="str">
        <f t="shared" ca="1" si="64"/>
        <v/>
      </c>
    </row>
    <row r="194" spans="1:15" ht="16.5" customHeight="1" thickBot="1">
      <c r="A194" s="161">
        <v>21</v>
      </c>
      <c r="B194" s="161" t="str">
        <f>TEXT(투자전략!$G$1+20, "[$-ko-KR]yyyy.mm.dd")</f>
        <v>2021.05.21</v>
      </c>
      <c r="C194" s="138" t="str">
        <f t="shared" ca="1" si="52"/>
        <v/>
      </c>
      <c r="D194" s="142" t="str">
        <f t="shared" ca="1" si="53"/>
        <v/>
      </c>
      <c r="E194" s="77" t="str">
        <f t="shared" ca="1" si="54"/>
        <v/>
      </c>
      <c r="F194" s="140" t="str">
        <f t="shared" ca="1" si="55"/>
        <v/>
      </c>
      <c r="G194" s="142" t="str">
        <f t="shared" ca="1" si="56"/>
        <v/>
      </c>
      <c r="H194" s="77" t="str">
        <f t="shared" ca="1" si="57"/>
        <v/>
      </c>
      <c r="I194" s="140" t="str">
        <f t="shared" ca="1" si="58"/>
        <v/>
      </c>
      <c r="J194" s="142" t="str">
        <f t="shared" ca="1" si="59"/>
        <v/>
      </c>
      <c r="K194" s="77" t="str">
        <f t="shared" ca="1" si="60"/>
        <v/>
      </c>
      <c r="L194" s="140" t="str">
        <f t="shared" ca="1" si="61"/>
        <v/>
      </c>
      <c r="M194" s="142" t="str">
        <f t="shared" ca="1" si="62"/>
        <v/>
      </c>
      <c r="N194" s="77" t="str">
        <f t="shared" ca="1" si="63"/>
        <v/>
      </c>
      <c r="O194" s="140" t="str">
        <f t="shared" ca="1" si="64"/>
        <v/>
      </c>
    </row>
    <row r="195" spans="1:15" ht="16.5" customHeight="1">
      <c r="A195" s="160">
        <v>22</v>
      </c>
      <c r="B195" s="160" t="str">
        <f>TEXT(투자전략!$G$1+21, "[$-ko-KR]yyyy.mm.dd")</f>
        <v>2021.05.22</v>
      </c>
      <c r="C195" s="137" t="str">
        <f t="shared" ca="1" si="52"/>
        <v/>
      </c>
      <c r="D195" s="145" t="str">
        <f t="shared" ca="1" si="53"/>
        <v/>
      </c>
      <c r="E195" s="76" t="str">
        <f t="shared" ca="1" si="54"/>
        <v/>
      </c>
      <c r="F195" s="144" t="str">
        <f t="shared" ca="1" si="55"/>
        <v/>
      </c>
      <c r="G195" s="145" t="str">
        <f t="shared" ca="1" si="56"/>
        <v/>
      </c>
      <c r="H195" s="76" t="str">
        <f t="shared" ca="1" si="57"/>
        <v/>
      </c>
      <c r="I195" s="144" t="str">
        <f t="shared" ca="1" si="58"/>
        <v/>
      </c>
      <c r="J195" s="145" t="str">
        <f t="shared" ca="1" si="59"/>
        <v/>
      </c>
      <c r="K195" s="76" t="str">
        <f t="shared" ca="1" si="60"/>
        <v/>
      </c>
      <c r="L195" s="144" t="str">
        <f t="shared" ca="1" si="61"/>
        <v/>
      </c>
      <c r="M195" s="145" t="str">
        <f t="shared" ca="1" si="62"/>
        <v/>
      </c>
      <c r="N195" s="76" t="str">
        <f t="shared" ca="1" si="63"/>
        <v/>
      </c>
      <c r="O195" s="144" t="str">
        <f t="shared" ca="1" si="64"/>
        <v/>
      </c>
    </row>
    <row r="196" spans="1:15" ht="16.5" customHeight="1">
      <c r="A196" s="159">
        <v>23</v>
      </c>
      <c r="B196" s="159" t="str">
        <f>TEXT(투자전략!$G$1+22, "[$-ko-KR]yyyy.mm.dd")</f>
        <v>2021.05.23</v>
      </c>
      <c r="C196" s="138" t="str">
        <f t="shared" ca="1" si="52"/>
        <v/>
      </c>
      <c r="D196" s="142" t="str">
        <f t="shared" ca="1" si="53"/>
        <v/>
      </c>
      <c r="E196" s="77" t="str">
        <f t="shared" ca="1" si="54"/>
        <v/>
      </c>
      <c r="F196" s="140" t="str">
        <f t="shared" ca="1" si="55"/>
        <v/>
      </c>
      <c r="G196" s="142" t="str">
        <f t="shared" ca="1" si="56"/>
        <v/>
      </c>
      <c r="H196" s="77" t="str">
        <f t="shared" ca="1" si="57"/>
        <v/>
      </c>
      <c r="I196" s="140" t="str">
        <f t="shared" ca="1" si="58"/>
        <v/>
      </c>
      <c r="J196" s="142" t="str">
        <f t="shared" ca="1" si="59"/>
        <v/>
      </c>
      <c r="K196" s="77" t="str">
        <f t="shared" ca="1" si="60"/>
        <v/>
      </c>
      <c r="L196" s="140" t="str">
        <f t="shared" ca="1" si="61"/>
        <v/>
      </c>
      <c r="M196" s="142" t="str">
        <f t="shared" ca="1" si="62"/>
        <v/>
      </c>
      <c r="N196" s="77" t="str">
        <f t="shared" ca="1" si="63"/>
        <v/>
      </c>
      <c r="O196" s="140" t="str">
        <f t="shared" ca="1" si="64"/>
        <v/>
      </c>
    </row>
    <row r="197" spans="1:15" ht="16.5" customHeight="1">
      <c r="A197" s="159">
        <v>24</v>
      </c>
      <c r="B197" s="159" t="str">
        <f>TEXT(투자전략!$G$1+23, "[$-ko-KR]yyyy.mm.dd")</f>
        <v>2021.05.24</v>
      </c>
      <c r="C197" s="138" t="str">
        <f t="shared" ca="1" si="52"/>
        <v/>
      </c>
      <c r="D197" s="142" t="str">
        <f t="shared" ca="1" si="53"/>
        <v/>
      </c>
      <c r="E197" s="77" t="str">
        <f t="shared" ca="1" si="54"/>
        <v/>
      </c>
      <c r="F197" s="140" t="str">
        <f t="shared" ca="1" si="55"/>
        <v/>
      </c>
      <c r="G197" s="142" t="str">
        <f t="shared" ca="1" si="56"/>
        <v/>
      </c>
      <c r="H197" s="77" t="str">
        <f t="shared" ca="1" si="57"/>
        <v/>
      </c>
      <c r="I197" s="140" t="str">
        <f t="shared" ca="1" si="58"/>
        <v/>
      </c>
      <c r="J197" s="142" t="str">
        <f t="shared" ca="1" si="59"/>
        <v/>
      </c>
      <c r="K197" s="77" t="str">
        <f t="shared" ca="1" si="60"/>
        <v/>
      </c>
      <c r="L197" s="140" t="str">
        <f t="shared" ca="1" si="61"/>
        <v/>
      </c>
      <c r="M197" s="142" t="str">
        <f t="shared" ca="1" si="62"/>
        <v/>
      </c>
      <c r="N197" s="77" t="str">
        <f t="shared" ca="1" si="63"/>
        <v/>
      </c>
      <c r="O197" s="140" t="str">
        <f t="shared" ca="1" si="64"/>
        <v/>
      </c>
    </row>
    <row r="198" spans="1:15" ht="16.5" customHeight="1">
      <c r="A198" s="159">
        <v>25</v>
      </c>
      <c r="B198" s="159" t="str">
        <f>TEXT(투자전략!$G$1+24, "[$-ko-KR]yyyy.mm.dd")</f>
        <v>2021.05.25</v>
      </c>
      <c r="C198" s="138" t="str">
        <f t="shared" ca="1" si="52"/>
        <v/>
      </c>
      <c r="D198" s="142" t="str">
        <f t="shared" ca="1" si="53"/>
        <v/>
      </c>
      <c r="E198" s="77" t="str">
        <f t="shared" ca="1" si="54"/>
        <v/>
      </c>
      <c r="F198" s="140" t="str">
        <f t="shared" ca="1" si="55"/>
        <v/>
      </c>
      <c r="G198" s="142" t="str">
        <f t="shared" ca="1" si="56"/>
        <v/>
      </c>
      <c r="H198" s="77" t="str">
        <f t="shared" ca="1" si="57"/>
        <v/>
      </c>
      <c r="I198" s="140" t="str">
        <f t="shared" ca="1" si="58"/>
        <v/>
      </c>
      <c r="J198" s="142" t="str">
        <f t="shared" ca="1" si="59"/>
        <v/>
      </c>
      <c r="K198" s="77" t="str">
        <f t="shared" ca="1" si="60"/>
        <v/>
      </c>
      <c r="L198" s="140" t="str">
        <f t="shared" ca="1" si="61"/>
        <v/>
      </c>
      <c r="M198" s="142" t="str">
        <f t="shared" ca="1" si="62"/>
        <v/>
      </c>
      <c r="N198" s="77" t="str">
        <f t="shared" ca="1" si="63"/>
        <v/>
      </c>
      <c r="O198" s="140" t="str">
        <f t="shared" ca="1" si="64"/>
        <v/>
      </c>
    </row>
    <row r="199" spans="1:15" ht="16.5" customHeight="1">
      <c r="A199" s="159">
        <v>26</v>
      </c>
      <c r="B199" s="159" t="str">
        <f>TEXT(투자전략!$G$1+25, "[$-ko-KR]yyyy.mm.dd")</f>
        <v>2021.05.26</v>
      </c>
      <c r="C199" s="138" t="str">
        <f t="shared" ca="1" si="52"/>
        <v/>
      </c>
      <c r="D199" s="142" t="str">
        <f t="shared" ca="1" si="53"/>
        <v/>
      </c>
      <c r="E199" s="77" t="str">
        <f t="shared" ca="1" si="54"/>
        <v/>
      </c>
      <c r="F199" s="140" t="str">
        <f t="shared" ca="1" si="55"/>
        <v/>
      </c>
      <c r="G199" s="142" t="str">
        <f t="shared" ca="1" si="56"/>
        <v/>
      </c>
      <c r="H199" s="77" t="str">
        <f t="shared" ca="1" si="57"/>
        <v/>
      </c>
      <c r="I199" s="140" t="str">
        <f t="shared" ca="1" si="58"/>
        <v/>
      </c>
      <c r="J199" s="142" t="str">
        <f t="shared" ca="1" si="59"/>
        <v/>
      </c>
      <c r="K199" s="77" t="str">
        <f t="shared" ca="1" si="60"/>
        <v/>
      </c>
      <c r="L199" s="140" t="str">
        <f t="shared" ca="1" si="61"/>
        <v/>
      </c>
      <c r="M199" s="142" t="str">
        <f t="shared" ca="1" si="62"/>
        <v/>
      </c>
      <c r="N199" s="77" t="str">
        <f t="shared" ca="1" si="63"/>
        <v/>
      </c>
      <c r="O199" s="140" t="str">
        <f t="shared" ca="1" si="64"/>
        <v/>
      </c>
    </row>
    <row r="200" spans="1:15" ht="16.5" customHeight="1">
      <c r="A200" s="159">
        <v>27</v>
      </c>
      <c r="B200" s="159" t="str">
        <f>TEXT(투자전략!$G$1+26, "[$-ko-KR]yyyy.mm.dd")</f>
        <v>2021.05.27</v>
      </c>
      <c r="C200" s="138" t="str">
        <f t="shared" ca="1" si="52"/>
        <v/>
      </c>
      <c r="D200" s="142" t="str">
        <f t="shared" ca="1" si="53"/>
        <v/>
      </c>
      <c r="E200" s="77" t="str">
        <f t="shared" ca="1" si="54"/>
        <v/>
      </c>
      <c r="F200" s="140" t="str">
        <f t="shared" ca="1" si="55"/>
        <v/>
      </c>
      <c r="G200" s="142" t="str">
        <f t="shared" ca="1" si="56"/>
        <v/>
      </c>
      <c r="H200" s="77" t="str">
        <f t="shared" ca="1" si="57"/>
        <v/>
      </c>
      <c r="I200" s="140" t="str">
        <f t="shared" ca="1" si="58"/>
        <v/>
      </c>
      <c r="J200" s="142" t="str">
        <f t="shared" ca="1" si="59"/>
        <v/>
      </c>
      <c r="K200" s="77" t="str">
        <f t="shared" ca="1" si="60"/>
        <v/>
      </c>
      <c r="L200" s="140" t="str">
        <f t="shared" ca="1" si="61"/>
        <v/>
      </c>
      <c r="M200" s="142" t="str">
        <f t="shared" ca="1" si="62"/>
        <v/>
      </c>
      <c r="N200" s="77" t="str">
        <f t="shared" ca="1" si="63"/>
        <v/>
      </c>
      <c r="O200" s="140" t="str">
        <f t="shared" ca="1" si="64"/>
        <v/>
      </c>
    </row>
    <row r="201" spans="1:15" ht="16.5" customHeight="1" thickBot="1">
      <c r="A201" s="161">
        <v>28</v>
      </c>
      <c r="B201" s="161" t="str">
        <f>TEXT(투자전략!$G$1+27, "[$-ko-KR]yyyy.mm.dd")</f>
        <v>2021.05.28</v>
      </c>
      <c r="C201" s="139" t="str">
        <f t="shared" ca="1" si="52"/>
        <v/>
      </c>
      <c r="D201" s="143" t="str">
        <f t="shared" ca="1" si="53"/>
        <v/>
      </c>
      <c r="E201" s="79" t="str">
        <f t="shared" ca="1" si="54"/>
        <v/>
      </c>
      <c r="F201" s="141" t="str">
        <f t="shared" ca="1" si="55"/>
        <v/>
      </c>
      <c r="G201" s="143" t="str">
        <f t="shared" ca="1" si="56"/>
        <v/>
      </c>
      <c r="H201" s="79" t="str">
        <f t="shared" ca="1" si="57"/>
        <v/>
      </c>
      <c r="I201" s="141" t="str">
        <f t="shared" ca="1" si="58"/>
        <v/>
      </c>
      <c r="J201" s="143" t="str">
        <f t="shared" ca="1" si="59"/>
        <v/>
      </c>
      <c r="K201" s="79" t="str">
        <f t="shared" ca="1" si="60"/>
        <v/>
      </c>
      <c r="L201" s="141" t="str">
        <f t="shared" ca="1" si="61"/>
        <v/>
      </c>
      <c r="M201" s="143" t="str">
        <f t="shared" ca="1" si="62"/>
        <v/>
      </c>
      <c r="N201" s="79" t="str">
        <f t="shared" ca="1" si="63"/>
        <v/>
      </c>
      <c r="O201" s="141" t="str">
        <f t="shared" ca="1" si="64"/>
        <v/>
      </c>
    </row>
    <row r="202" spans="1:15" ht="16.5" customHeight="1">
      <c r="A202" s="124">
        <v>29</v>
      </c>
      <c r="B202" s="160" t="str">
        <f>TEXT(투자전략!$G$1+28, "[$-ko-KR]yyyy.mm.dd")</f>
        <v>2021.05.29</v>
      </c>
      <c r="C202" s="138" t="str">
        <f t="shared" ca="1" si="52"/>
        <v/>
      </c>
      <c r="D202" s="142" t="str">
        <f t="shared" ca="1" si="53"/>
        <v/>
      </c>
      <c r="E202" s="77" t="str">
        <f t="shared" ca="1" si="54"/>
        <v/>
      </c>
      <c r="F202" s="140" t="str">
        <f t="shared" ca="1" si="55"/>
        <v/>
      </c>
      <c r="G202" s="142" t="str">
        <f t="shared" ca="1" si="56"/>
        <v/>
      </c>
      <c r="H202" s="77" t="str">
        <f t="shared" ca="1" si="57"/>
        <v/>
      </c>
      <c r="I202" s="140" t="str">
        <f t="shared" ca="1" si="58"/>
        <v/>
      </c>
      <c r="J202" s="142" t="str">
        <f t="shared" ca="1" si="59"/>
        <v/>
      </c>
      <c r="K202" s="77" t="str">
        <f t="shared" ca="1" si="60"/>
        <v/>
      </c>
      <c r="L202" s="140" t="str">
        <f t="shared" ca="1" si="61"/>
        <v/>
      </c>
      <c r="M202" s="142" t="str">
        <f t="shared" ca="1" si="62"/>
        <v/>
      </c>
      <c r="N202" s="77" t="str">
        <f t="shared" ca="1" si="63"/>
        <v/>
      </c>
      <c r="O202" s="140" t="str">
        <f t="shared" ca="1" si="64"/>
        <v/>
      </c>
    </row>
    <row r="203" spans="1:15" ht="16.5" customHeight="1">
      <c r="A203" s="124">
        <v>30</v>
      </c>
      <c r="B203" s="159" t="str">
        <f>TEXT(투자전략!$G$1+29, "[$-ko-KR]yyyy.mm.dd")</f>
        <v>2021.05.30</v>
      </c>
      <c r="C203" s="138" t="str">
        <f t="shared" ca="1" si="52"/>
        <v/>
      </c>
      <c r="D203" s="142" t="str">
        <f t="shared" ca="1" si="53"/>
        <v/>
      </c>
      <c r="E203" s="77" t="str">
        <f t="shared" ca="1" si="54"/>
        <v/>
      </c>
      <c r="F203" s="140" t="str">
        <f t="shared" ca="1" si="55"/>
        <v/>
      </c>
      <c r="G203" s="142" t="str">
        <f t="shared" ca="1" si="56"/>
        <v/>
      </c>
      <c r="H203" s="77" t="str">
        <f t="shared" ca="1" si="57"/>
        <v/>
      </c>
      <c r="I203" s="140" t="str">
        <f t="shared" ca="1" si="58"/>
        <v/>
      </c>
      <c r="J203" s="142" t="str">
        <f t="shared" ca="1" si="59"/>
        <v/>
      </c>
      <c r="K203" s="77" t="str">
        <f t="shared" ca="1" si="60"/>
        <v/>
      </c>
      <c r="L203" s="140" t="str">
        <f t="shared" ca="1" si="61"/>
        <v/>
      </c>
      <c r="M203" s="142" t="str">
        <f t="shared" ca="1" si="62"/>
        <v/>
      </c>
      <c r="N203" s="77" t="str">
        <f t="shared" ca="1" si="63"/>
        <v/>
      </c>
      <c r="O203" s="140" t="str">
        <f t="shared" ca="1" si="64"/>
        <v/>
      </c>
    </row>
    <row r="204" spans="1:15" ht="16.5" customHeight="1" thickBot="1">
      <c r="A204" s="124">
        <v>31</v>
      </c>
      <c r="B204" s="159" t="str">
        <f>TEXT(투자전략!$G$1+30, "[$-ko-KR]yyyy.mm.dd")</f>
        <v>2021.05.31</v>
      </c>
      <c r="C204" s="139" t="str">
        <f t="shared" ca="1" si="52"/>
        <v/>
      </c>
      <c r="D204" s="143" t="str">
        <f t="shared" ca="1" si="53"/>
        <v/>
      </c>
      <c r="E204" s="79" t="str">
        <f t="shared" ca="1" si="54"/>
        <v/>
      </c>
      <c r="F204" s="141" t="str">
        <f t="shared" ca="1" si="55"/>
        <v/>
      </c>
      <c r="G204" s="143" t="str">
        <f t="shared" ca="1" si="56"/>
        <v/>
      </c>
      <c r="H204" s="79" t="str">
        <f t="shared" ca="1" si="57"/>
        <v/>
      </c>
      <c r="I204" s="141" t="str">
        <f t="shared" ca="1" si="58"/>
        <v/>
      </c>
      <c r="J204" s="143" t="str">
        <f t="shared" ca="1" si="59"/>
        <v/>
      </c>
      <c r="K204" s="79" t="str">
        <f t="shared" ca="1" si="60"/>
        <v/>
      </c>
      <c r="L204" s="141" t="str">
        <f t="shared" ca="1" si="61"/>
        <v/>
      </c>
      <c r="M204" s="143" t="str">
        <f t="shared" ca="1" si="62"/>
        <v/>
      </c>
      <c r="N204" s="79" t="str">
        <f t="shared" ca="1" si="63"/>
        <v/>
      </c>
      <c r="O204" s="141" t="str">
        <f t="shared" ca="1" si="64"/>
        <v/>
      </c>
    </row>
    <row r="205" spans="1:15" ht="16.5" customHeight="1" thickBot="1">
      <c r="A205" s="202" t="s">
        <v>319</v>
      </c>
      <c r="B205" s="204"/>
      <c r="C205" s="135" t="s">
        <v>314</v>
      </c>
      <c r="D205" s="153" t="s">
        <v>315</v>
      </c>
      <c r="E205" s="154" t="s">
        <v>316</v>
      </c>
      <c r="F205" s="155" t="s">
        <v>317</v>
      </c>
      <c r="G205" s="153" t="s">
        <v>315</v>
      </c>
      <c r="H205" s="154" t="s">
        <v>316</v>
      </c>
      <c r="I205" s="155" t="s">
        <v>317</v>
      </c>
      <c r="J205" s="153" t="s">
        <v>315</v>
      </c>
      <c r="K205" s="154" t="s">
        <v>316</v>
      </c>
      <c r="L205" s="155" t="s">
        <v>317</v>
      </c>
      <c r="M205" s="153" t="s">
        <v>315</v>
      </c>
      <c r="N205" s="154" t="s">
        <v>316</v>
      </c>
      <c r="O205" s="155" t="s">
        <v>317</v>
      </c>
    </row>
    <row r="206" spans="1:15" ht="16.5" customHeight="1" thickBot="1">
      <c r="A206" s="208"/>
      <c r="B206" s="210"/>
      <c r="C206" s="139">
        <f ca="1">SUM(C174:C204)</f>
        <v>38550000</v>
      </c>
      <c r="D206" s="143">
        <f ca="1">SUM(D174:D204)</f>
        <v>38192098.848289534</v>
      </c>
      <c r="E206" s="79">
        <f ca="1">IFERROR(F206 / (SUM($C174:$C204) / COUNT($C174:$C204)), 0)</f>
        <v>-9.2840765683648921E-2</v>
      </c>
      <c r="F206" s="141">
        <f ca="1">SUM(F174:F204)</f>
        <v>-357901.1517104666</v>
      </c>
      <c r="G206" s="143">
        <f ca="1">SUM(G174:G204)</f>
        <v>38343283.645847298</v>
      </c>
      <c r="H206" s="79">
        <f ca="1">IFERROR(I206 / (SUM($C174:$C204) / COUNT($C174:$C204)), 0)</f>
        <v>-5.3622919365160344E-2</v>
      </c>
      <c r="I206" s="141">
        <f ca="1">SUM(I174:I204)</f>
        <v>-206716.35415269312</v>
      </c>
      <c r="J206" s="143">
        <f ca="1">SUM(J174:J204)</f>
        <v>38449155.44005429</v>
      </c>
      <c r="K206" s="79">
        <f ca="1">IFERROR(L206 / (SUM($C174:$C204) / COUNT($C174:$C204)), 0)</f>
        <v>-2.6159418922364775E-2</v>
      </c>
      <c r="L206" s="141">
        <f ca="1">SUM(L174:L204)</f>
        <v>-100844.5599457162</v>
      </c>
      <c r="M206" s="143">
        <f ca="1">SUM(M174:M204)</f>
        <v>38326542.395372309</v>
      </c>
      <c r="N206" s="79">
        <f ca="1">IFERROR(O206 / (SUM($C174:$C204) / COUNT($C174:$C204)), 0)</f>
        <v>-5.796565619395299E-2</v>
      </c>
      <c r="O206" s="141">
        <f ca="1">SUM(O174:O204)</f>
        <v>-223457.60462768876</v>
      </c>
    </row>
    <row r="208" spans="1:15" ht="16.5" customHeight="1" thickBot="1"/>
    <row r="209" spans="1:15" ht="16.5" customHeight="1" thickBot="1">
      <c r="A209" s="193" t="str">
        <f>TEXT(투자전략!$G$1, "[$-ko-KR]yyyy년 mm월 ") &amp; "[동전코인] 전일대비 상승률 Bottom20 월말결산"</f>
        <v>2021년 05월 [동전코인] 전일대비 상승률 Bottom20 월말결산</v>
      </c>
      <c r="B209" s="194"/>
      <c r="C209" s="194"/>
      <c r="D209" s="194"/>
      <c r="E209" s="194"/>
      <c r="F209" s="194"/>
      <c r="G209" s="194"/>
      <c r="H209" s="194"/>
      <c r="I209" s="194"/>
      <c r="J209" s="194"/>
      <c r="K209" s="194"/>
      <c r="L209" s="194"/>
      <c r="M209" s="194"/>
      <c r="N209" s="194"/>
      <c r="O209" s="195"/>
    </row>
    <row r="210" spans="1:15" ht="16.5" customHeight="1" thickBot="1">
      <c r="A210" s="254" t="s">
        <v>320</v>
      </c>
      <c r="B210" s="208" t="s">
        <v>318</v>
      </c>
      <c r="C210" s="210"/>
      <c r="D210" s="208" t="s">
        <v>310</v>
      </c>
      <c r="E210" s="209"/>
      <c r="F210" s="210"/>
      <c r="G210" s="208" t="s">
        <v>311</v>
      </c>
      <c r="H210" s="209"/>
      <c r="I210" s="210"/>
      <c r="J210" s="208" t="s">
        <v>312</v>
      </c>
      <c r="K210" s="209"/>
      <c r="L210" s="210"/>
      <c r="M210" s="208" t="s">
        <v>313</v>
      </c>
      <c r="N210" s="209"/>
      <c r="O210" s="210"/>
    </row>
    <row r="211" spans="1:15" ht="16.5" customHeight="1" thickBot="1">
      <c r="A211" s="258"/>
      <c r="B211" s="160" t="s">
        <v>308</v>
      </c>
      <c r="C211" s="160" t="s">
        <v>42</v>
      </c>
      <c r="D211" s="124" t="s">
        <v>309</v>
      </c>
      <c r="E211" s="136" t="s">
        <v>40</v>
      </c>
      <c r="F211" s="162" t="s">
        <v>41</v>
      </c>
      <c r="G211" s="124" t="s">
        <v>309</v>
      </c>
      <c r="H211" s="136" t="s">
        <v>40</v>
      </c>
      <c r="I211" s="162" t="s">
        <v>41</v>
      </c>
      <c r="J211" s="124" t="s">
        <v>309</v>
      </c>
      <c r="K211" s="136" t="s">
        <v>40</v>
      </c>
      <c r="L211" s="162" t="s">
        <v>41</v>
      </c>
      <c r="M211" s="124" t="s">
        <v>309</v>
      </c>
      <c r="N211" s="136" t="s">
        <v>40</v>
      </c>
      <c r="O211" s="162" t="s">
        <v>41</v>
      </c>
    </row>
    <row r="212" spans="1:15" ht="16.5" customHeight="1">
      <c r="A212" s="160">
        <v>1</v>
      </c>
      <c r="B212" s="160" t="str">
        <f>TEXT(투자전략!$G$1+0, "[$-ko-KR]yyyy.mm.dd")</f>
        <v>2021.05.01</v>
      </c>
      <c r="C212" s="137">
        <f ca="1">IFERROR(COUNTA(INDIRECT($B212&amp;"!A152:A171")) * INDIRECT($B212&amp;"!B172"), "")</f>
        <v>6000000</v>
      </c>
      <c r="D212" s="145">
        <f ca="1">IFERROR($C212 * (1 + E212), "")</f>
        <v>6124643.8078743648</v>
      </c>
      <c r="E212" s="76">
        <f ca="1">IFERROR(INDIRECT($B212&amp;"!E172"), "")</f>
        <v>2.0773967979060941E-2</v>
      </c>
      <c r="F212" s="144">
        <f ca="1">IFERROR(INDIRECT($B212&amp;"!F172"), "")</f>
        <v>124643.80787436568</v>
      </c>
      <c r="G212" s="145">
        <f ca="1">IFERROR($C212 * (1 + H212), "")</f>
        <v>6105413.1165179126</v>
      </c>
      <c r="H212" s="76">
        <f ca="1">IFERROR(INDIRECT($B212&amp;"!H172"), "")</f>
        <v>1.7568852752985451E-2</v>
      </c>
      <c r="I212" s="144">
        <f ca="1">IFERROR(INDIRECT($B212&amp;"!I172"), "")</f>
        <v>105413.11651791273</v>
      </c>
      <c r="J212" s="145">
        <f ca="1">IFERROR($C212 * (1 + K212), "")</f>
        <v>6163717.9750172189</v>
      </c>
      <c r="K212" s="76">
        <f ca="1">IFERROR(INDIRECT($B212&amp;"!K172"), "")</f>
        <v>2.7286329169536477E-2</v>
      </c>
      <c r="L212" s="144">
        <f ca="1">IFERROR(INDIRECT($B212&amp;"!L172"), "")</f>
        <v>163717.97501721897</v>
      </c>
      <c r="M212" s="145">
        <f ca="1">IFERROR($C212 * (1 + N212), "")</f>
        <v>6157901.8330953205</v>
      </c>
      <c r="N212" s="76">
        <f ca="1">IFERROR(INDIRECT($B212&amp;"!N172"), "")</f>
        <v>2.6316972182553383E-2</v>
      </c>
      <c r="O212" s="144">
        <f ca="1">IFERROR(INDIRECT($B212&amp;"!O172"), "")</f>
        <v>157901.8330953203</v>
      </c>
    </row>
    <row r="213" spans="1:15" ht="16.5" customHeight="1">
      <c r="A213" s="159">
        <v>2</v>
      </c>
      <c r="B213" s="159" t="str">
        <f>TEXT(투자전략!$G$1+1, "[$-ko-KR]yyyy.mm.dd")</f>
        <v>2021.05.02</v>
      </c>
      <c r="C213" s="138">
        <f t="shared" ref="C213:C242" ca="1" si="65">IFERROR(COUNTA(INDIRECT($B213&amp;"!A152:A171")) * INDIRECT($B213&amp;"!B172"), "")</f>
        <v>6000000</v>
      </c>
      <c r="D213" s="142">
        <f t="shared" ref="D213:D242" ca="1" si="66">IFERROR($C213 * (1 + E213), "")</f>
        <v>5961370.5070159072</v>
      </c>
      <c r="E213" s="77">
        <f t="shared" ref="E213:E242" ca="1" si="67">IFERROR(INDIRECT($B213&amp;"!E172"), "")</f>
        <v>-6.4382488306821582E-3</v>
      </c>
      <c r="F213" s="140">
        <f t="shared" ref="F213:F242" ca="1" si="68">IFERROR(INDIRECT($B213&amp;"!F172"), "")</f>
        <v>-38629.492984092954</v>
      </c>
      <c r="G213" s="142">
        <f t="shared" ref="G213:G242" ca="1" si="69">IFERROR($C213 * (1 + H213), "")</f>
        <v>5966190.2954432806</v>
      </c>
      <c r="H213" s="77">
        <f t="shared" ref="H213:H242" ca="1" si="70">IFERROR(INDIRECT($B213&amp;"!H172"), "")</f>
        <v>-5.6349507594533142E-3</v>
      </c>
      <c r="I213" s="140">
        <f t="shared" ref="I213:I242" ca="1" si="71">IFERROR(INDIRECT($B213&amp;"!I172"), "")</f>
        <v>-33809.704556719887</v>
      </c>
      <c r="J213" s="142">
        <f t="shared" ref="J213:J242" ca="1" si="72">IFERROR($C213 * (1 + K213), "")</f>
        <v>6004574.4043603446</v>
      </c>
      <c r="K213" s="77">
        <f t="shared" ref="K213:K242" ca="1" si="73">IFERROR(INDIRECT($B213&amp;"!K172"), "")</f>
        <v>7.6240072672426322E-4</v>
      </c>
      <c r="L213" s="140">
        <f t="shared" ref="L213:L242" ca="1" si="74">IFERROR(INDIRECT($B213&amp;"!L172"), "")</f>
        <v>4574.404360345583</v>
      </c>
      <c r="M213" s="142">
        <f t="shared" ref="M213:M242" ca="1" si="75">IFERROR($C213 * (1 + N213), "")</f>
        <v>6066987.4722006135</v>
      </c>
      <c r="N213" s="77">
        <f t="shared" ref="N213:N242" ca="1" si="76">IFERROR(INDIRECT($B213&amp;"!N172"), "")</f>
        <v>1.1164578700102153E-2</v>
      </c>
      <c r="O213" s="140">
        <f t="shared" ref="O213:O242" ca="1" si="77">IFERROR(INDIRECT($B213&amp;"!O172"), "")</f>
        <v>66987.472200612887</v>
      </c>
    </row>
    <row r="214" spans="1:15" ht="16.5" customHeight="1">
      <c r="A214" s="159">
        <v>3</v>
      </c>
      <c r="B214" s="159" t="str">
        <f>TEXT(투자전략!$G$1+2, "[$-ko-KR]yyyy.mm.dd")</f>
        <v>2021.05.03</v>
      </c>
      <c r="C214" s="138">
        <f t="shared" ca="1" si="65"/>
        <v>6000000</v>
      </c>
      <c r="D214" s="142">
        <f t="shared" ca="1" si="66"/>
        <v>6128356.0662969947</v>
      </c>
      <c r="E214" s="77">
        <f t="shared" ca="1" si="67"/>
        <v>2.1392677716165733E-2</v>
      </c>
      <c r="F214" s="140">
        <f t="shared" ca="1" si="68"/>
        <v>128356.06629699441</v>
      </c>
      <c r="G214" s="142">
        <f t="shared" ca="1" si="69"/>
        <v>6240631.5506008863</v>
      </c>
      <c r="H214" s="77">
        <f t="shared" ca="1" si="70"/>
        <v>4.010525843348102E-2</v>
      </c>
      <c r="I214" s="140">
        <f t="shared" ca="1" si="71"/>
        <v>240631.55060088605</v>
      </c>
      <c r="J214" s="142">
        <f t="shared" ca="1" si="72"/>
        <v>6248225.5412954725</v>
      </c>
      <c r="K214" s="77">
        <f t="shared" ca="1" si="73"/>
        <v>4.1370923549245493E-2</v>
      </c>
      <c r="L214" s="140">
        <f t="shared" ca="1" si="74"/>
        <v>248225.541295473</v>
      </c>
      <c r="M214" s="142">
        <f t="shared" ca="1" si="75"/>
        <v>6222210.6952812904</v>
      </c>
      <c r="N214" s="77">
        <f t="shared" ca="1" si="76"/>
        <v>3.7035115880215207E-2</v>
      </c>
      <c r="O214" s="140">
        <f t="shared" ca="1" si="77"/>
        <v>222210.69528129121</v>
      </c>
    </row>
    <row r="215" spans="1:15" ht="16.5" customHeight="1">
      <c r="A215" s="159">
        <v>4</v>
      </c>
      <c r="B215" s="159" t="str">
        <f>TEXT(투자전략!$G$1+3, "[$-ko-KR]yyyy.mm.dd")</f>
        <v>2021.05.04</v>
      </c>
      <c r="C215" s="138">
        <f t="shared" ca="1" si="65"/>
        <v>6000000</v>
      </c>
      <c r="D215" s="142">
        <f t="shared" ca="1" si="66"/>
        <v>5752840.7580823554</v>
      </c>
      <c r="E215" s="77">
        <f t="shared" ca="1" si="67"/>
        <v>-4.1193206986274031E-2</v>
      </c>
      <c r="F215" s="140">
        <f t="shared" ca="1" si="68"/>
        <v>-247159.24191764425</v>
      </c>
      <c r="G215" s="142">
        <f t="shared" ca="1" si="69"/>
        <v>5793742.7243329585</v>
      </c>
      <c r="H215" s="77">
        <f t="shared" ca="1" si="70"/>
        <v>-3.4376212611173518E-2</v>
      </c>
      <c r="I215" s="140">
        <f t="shared" ca="1" si="71"/>
        <v>-206257.27566704105</v>
      </c>
      <c r="J215" s="142">
        <f t="shared" ca="1" si="72"/>
        <v>5765221.5588728925</v>
      </c>
      <c r="K215" s="77">
        <f t="shared" ca="1" si="73"/>
        <v>-3.9129740187851314E-2</v>
      </c>
      <c r="L215" s="140">
        <f t="shared" ca="1" si="74"/>
        <v>-234778.441127108</v>
      </c>
      <c r="M215" s="142">
        <f t="shared" ca="1" si="75"/>
        <v>5573575.2806062503</v>
      </c>
      <c r="N215" s="77">
        <f t="shared" ca="1" si="76"/>
        <v>-7.1070786565624905E-2</v>
      </c>
      <c r="O215" s="140">
        <f t="shared" ca="1" si="77"/>
        <v>-426424.71939374949</v>
      </c>
    </row>
    <row r="216" spans="1:15" ht="16.5" customHeight="1">
      <c r="A216" s="159">
        <v>5</v>
      </c>
      <c r="B216" s="159" t="str">
        <f>TEXT(투자전략!$G$1+4, "[$-ko-KR]yyyy.mm.dd")</f>
        <v>2021.05.05</v>
      </c>
      <c r="C216" s="138">
        <f t="shared" ca="1" si="65"/>
        <v>3000000</v>
      </c>
      <c r="D216" s="142">
        <f t="shared" ca="1" si="66"/>
        <v>2859213.9310296546</v>
      </c>
      <c r="E216" s="77">
        <f t="shared" ca="1" si="67"/>
        <v>-4.6928689656781777E-2</v>
      </c>
      <c r="F216" s="140">
        <f t="shared" ca="1" si="68"/>
        <v>-140786.06897034537</v>
      </c>
      <c r="G216" s="142">
        <f t="shared" ca="1" si="69"/>
        <v>2903434.1887083645</v>
      </c>
      <c r="H216" s="77">
        <f t="shared" ca="1" si="70"/>
        <v>-3.2188603763878595E-2</v>
      </c>
      <c r="I216" s="140">
        <f t="shared" ca="1" si="71"/>
        <v>-96565.811291635808</v>
      </c>
      <c r="J216" s="142">
        <f t="shared" ca="1" si="72"/>
        <v>2859883.4321260368</v>
      </c>
      <c r="K216" s="77">
        <f t="shared" ca="1" si="73"/>
        <v>-4.6705522624654335E-2</v>
      </c>
      <c r="L216" s="140">
        <f t="shared" ca="1" si="74"/>
        <v>-140116.56787396301</v>
      </c>
      <c r="M216" s="142">
        <f t="shared" ca="1" si="75"/>
        <v>2910276.6014548303</v>
      </c>
      <c r="N216" s="77">
        <f t="shared" ca="1" si="76"/>
        <v>-2.9907799515056555E-2</v>
      </c>
      <c r="O216" s="140">
        <f t="shared" ca="1" si="77"/>
        <v>-89723.398545169664</v>
      </c>
    </row>
    <row r="217" spans="1:15" ht="16.5" customHeight="1">
      <c r="A217" s="159">
        <v>6</v>
      </c>
      <c r="B217" s="159" t="str">
        <f>TEXT(투자전략!$G$1+5, "[$-ko-KR]yyyy.mm.dd")</f>
        <v>2021.05.06</v>
      </c>
      <c r="C217" s="138">
        <f t="shared" ca="1" si="65"/>
        <v>3000000</v>
      </c>
      <c r="D217" s="142">
        <f t="shared" ca="1" si="66"/>
        <v>3051209.0012251437</v>
      </c>
      <c r="E217" s="77">
        <f t="shared" ca="1" si="67"/>
        <v>1.7069667075047916E-2</v>
      </c>
      <c r="F217" s="140">
        <f t="shared" ca="1" si="68"/>
        <v>51209.001225143751</v>
      </c>
      <c r="G217" s="142">
        <f t="shared" ca="1" si="69"/>
        <v>3039003.1049177893</v>
      </c>
      <c r="H217" s="77">
        <f t="shared" ca="1" si="70"/>
        <v>1.300103497259641E-2</v>
      </c>
      <c r="I217" s="140">
        <f t="shared" ca="1" si="71"/>
        <v>39003.104917789227</v>
      </c>
      <c r="J217" s="142">
        <f t="shared" ca="1" si="72"/>
        <v>3029908.0315797902</v>
      </c>
      <c r="K217" s="77">
        <f t="shared" ca="1" si="73"/>
        <v>9.9693438599300147E-3</v>
      </c>
      <c r="L217" s="140">
        <f t="shared" ca="1" si="74"/>
        <v>29908.031579790048</v>
      </c>
      <c r="M217" s="142">
        <f t="shared" ca="1" si="75"/>
        <v>3007956.3399408925</v>
      </c>
      <c r="N217" s="77">
        <f t="shared" ca="1" si="76"/>
        <v>2.6521133136307622E-3</v>
      </c>
      <c r="O217" s="140">
        <f t="shared" ca="1" si="77"/>
        <v>7956.3399408922869</v>
      </c>
    </row>
    <row r="218" spans="1:15" ht="16.5" customHeight="1" thickBot="1">
      <c r="A218" s="161">
        <v>7</v>
      </c>
      <c r="B218" s="161" t="str">
        <f>TEXT(투자전략!$G$1+6, "[$-ko-KR]yyyy.mm.dd")</f>
        <v>2021.05.07</v>
      </c>
      <c r="C218" s="138">
        <f t="shared" ca="1" si="65"/>
        <v>3000000</v>
      </c>
      <c r="D218" s="142">
        <f t="shared" ca="1" si="66"/>
        <v>2805375.8685839912</v>
      </c>
      <c r="E218" s="77">
        <f t="shared" ca="1" si="67"/>
        <v>-6.4874710472002869E-2</v>
      </c>
      <c r="F218" s="140">
        <f t="shared" ca="1" si="68"/>
        <v>-194624.13141600866</v>
      </c>
      <c r="G218" s="142">
        <f t="shared" ca="1" si="69"/>
        <v>2851711.8765159096</v>
      </c>
      <c r="H218" s="77">
        <f t="shared" ca="1" si="70"/>
        <v>-4.9429374494696816E-2</v>
      </c>
      <c r="I218" s="140">
        <f t="shared" ca="1" si="71"/>
        <v>-148288.12348409035</v>
      </c>
      <c r="J218" s="142">
        <f t="shared" ca="1" si="72"/>
        <v>2947203.4301671609</v>
      </c>
      <c r="K218" s="77">
        <f t="shared" ca="1" si="73"/>
        <v>-1.7598856610946283E-2</v>
      </c>
      <c r="L218" s="140">
        <f t="shared" ca="1" si="74"/>
        <v>-52796.569832838817</v>
      </c>
      <c r="M218" s="142">
        <f t="shared" ca="1" si="75"/>
        <v>2974959.4558363748</v>
      </c>
      <c r="N218" s="77">
        <f t="shared" ca="1" si="76"/>
        <v>-8.3468480545416755E-3</v>
      </c>
      <c r="O218" s="140">
        <f t="shared" ca="1" si="77"/>
        <v>-25040.544163625025</v>
      </c>
    </row>
    <row r="219" spans="1:15" ht="16.5" customHeight="1">
      <c r="A219" s="160">
        <v>8</v>
      </c>
      <c r="B219" s="160" t="str">
        <f>TEXT(투자전략!$G$1+7, "[$-ko-KR]yyyy.mm.dd")</f>
        <v>2021.05.08</v>
      </c>
      <c r="C219" s="137">
        <f t="shared" ca="1" si="65"/>
        <v>3000000</v>
      </c>
      <c r="D219" s="145">
        <f t="shared" ca="1" si="66"/>
        <v>2998331.1032371502</v>
      </c>
      <c r="E219" s="76">
        <f t="shared" ca="1" si="67"/>
        <v>-5.5629892094985326E-4</v>
      </c>
      <c r="F219" s="144">
        <f t="shared" ca="1" si="68"/>
        <v>-1668.8967628495541</v>
      </c>
      <c r="G219" s="145">
        <f t="shared" ca="1" si="69"/>
        <v>3011721.7892449298</v>
      </c>
      <c r="H219" s="76">
        <f t="shared" ca="1" si="70"/>
        <v>3.9072630816432688E-3</v>
      </c>
      <c r="I219" s="144">
        <f t="shared" ca="1" si="71"/>
        <v>11721.789244929811</v>
      </c>
      <c r="J219" s="145">
        <f t="shared" ca="1" si="72"/>
        <v>3014960.7107148245</v>
      </c>
      <c r="K219" s="76">
        <f t="shared" ca="1" si="73"/>
        <v>4.9869035716082035E-3</v>
      </c>
      <c r="L219" s="144">
        <f t="shared" ca="1" si="74"/>
        <v>14960.710714824621</v>
      </c>
      <c r="M219" s="145">
        <f t="shared" ca="1" si="75"/>
        <v>3018415.3518237369</v>
      </c>
      <c r="N219" s="76">
        <f t="shared" ca="1" si="76"/>
        <v>6.138450607912219E-3</v>
      </c>
      <c r="O219" s="144">
        <f t="shared" ca="1" si="77"/>
        <v>18415.351823736666</v>
      </c>
    </row>
    <row r="220" spans="1:15" ht="16.5" customHeight="1">
      <c r="A220" s="159">
        <v>9</v>
      </c>
      <c r="B220" s="159" t="str">
        <f>TEXT(투자전략!$G$1+8, "[$-ko-KR]yyyy.mm.dd")</f>
        <v>2021.05.09</v>
      </c>
      <c r="C220" s="138">
        <f t="shared" ca="1" si="65"/>
        <v>3000000</v>
      </c>
      <c r="D220" s="142">
        <f t="shared" ca="1" si="66"/>
        <v>2944165.3081130967</v>
      </c>
      <c r="E220" s="77">
        <f t="shared" ca="1" si="67"/>
        <v>-1.861156396230107E-2</v>
      </c>
      <c r="F220" s="140">
        <f t="shared" ca="1" si="68"/>
        <v>-55834.691886903216</v>
      </c>
      <c r="G220" s="142">
        <f t="shared" ca="1" si="69"/>
        <v>2911798.1064200858</v>
      </c>
      <c r="H220" s="77">
        <f t="shared" ca="1" si="70"/>
        <v>-2.9400631193304761E-2</v>
      </c>
      <c r="I220" s="140">
        <f t="shared" ca="1" si="71"/>
        <v>-88201.893579914278</v>
      </c>
      <c r="J220" s="142">
        <f t="shared" ca="1" si="72"/>
        <v>2868830.8808625829</v>
      </c>
      <c r="K220" s="77">
        <f t="shared" ca="1" si="73"/>
        <v>-4.3723039712472413E-2</v>
      </c>
      <c r="L220" s="140">
        <f t="shared" ca="1" si="74"/>
        <v>-131169.11913741723</v>
      </c>
      <c r="M220" s="142">
        <f t="shared" ca="1" si="75"/>
        <v>2892693.2025718405</v>
      </c>
      <c r="N220" s="77">
        <f t="shared" ca="1" si="76"/>
        <v>-3.5768932476053207E-2</v>
      </c>
      <c r="O220" s="140">
        <f t="shared" ca="1" si="77"/>
        <v>-107306.7974281596</v>
      </c>
    </row>
    <row r="221" spans="1:15" ht="16.5" customHeight="1">
      <c r="A221" s="159">
        <v>10</v>
      </c>
      <c r="B221" s="159" t="str">
        <f>TEXT(투자전략!$G$1+9, "[$-ko-KR]yyyy.mm.dd")</f>
        <v>2021.05.10</v>
      </c>
      <c r="C221" s="138">
        <f t="shared" ca="1" si="65"/>
        <v>3000000</v>
      </c>
      <c r="D221" s="142">
        <f t="shared" ca="1" si="66"/>
        <v>3061304.4377617794</v>
      </c>
      <c r="E221" s="77">
        <f t="shared" ca="1" si="67"/>
        <v>2.0434812587259661E-2</v>
      </c>
      <c r="F221" s="140">
        <f t="shared" ca="1" si="68"/>
        <v>61304.437761778987</v>
      </c>
      <c r="G221" s="142">
        <f t="shared" ca="1" si="69"/>
        <v>3079396.4316040818</v>
      </c>
      <c r="H221" s="77">
        <f t="shared" ca="1" si="70"/>
        <v>2.6465477201360704E-2</v>
      </c>
      <c r="I221" s="140">
        <f t="shared" ca="1" si="71"/>
        <v>79396.431604082114</v>
      </c>
      <c r="J221" s="142">
        <f t="shared" ca="1" si="72"/>
        <v>3073425.6309876954</v>
      </c>
      <c r="K221" s="77">
        <f t="shared" ca="1" si="73"/>
        <v>2.4475210329231858E-2</v>
      </c>
      <c r="L221" s="140">
        <f t="shared" ca="1" si="74"/>
        <v>73425.630987695564</v>
      </c>
      <c r="M221" s="142">
        <f t="shared" ca="1" si="75"/>
        <v>3000000</v>
      </c>
      <c r="N221" s="77">
        <f t="shared" ca="1" si="76"/>
        <v>0</v>
      </c>
      <c r="O221" s="140">
        <f t="shared" ca="1" si="77"/>
        <v>0</v>
      </c>
    </row>
    <row r="222" spans="1:15" ht="16.5" customHeight="1">
      <c r="A222" s="159">
        <v>11</v>
      </c>
      <c r="B222" s="159" t="str">
        <f>TEXT(투자전략!$G$1+10, "[$-ko-KR]yyyy.mm.dd")</f>
        <v>2021.05.11</v>
      </c>
      <c r="C222" s="138" t="str">
        <f t="shared" ca="1" si="65"/>
        <v/>
      </c>
      <c r="D222" s="142" t="str">
        <f t="shared" ca="1" si="66"/>
        <v/>
      </c>
      <c r="E222" s="77" t="str">
        <f t="shared" ca="1" si="67"/>
        <v/>
      </c>
      <c r="F222" s="140" t="str">
        <f t="shared" ca="1" si="68"/>
        <v/>
      </c>
      <c r="G222" s="142" t="str">
        <f t="shared" ca="1" si="69"/>
        <v/>
      </c>
      <c r="H222" s="77" t="str">
        <f t="shared" ca="1" si="70"/>
        <v/>
      </c>
      <c r="I222" s="140" t="str">
        <f t="shared" ca="1" si="71"/>
        <v/>
      </c>
      <c r="J222" s="142" t="str">
        <f t="shared" ca="1" si="72"/>
        <v/>
      </c>
      <c r="K222" s="77" t="str">
        <f t="shared" ca="1" si="73"/>
        <v/>
      </c>
      <c r="L222" s="140" t="str">
        <f t="shared" ca="1" si="74"/>
        <v/>
      </c>
      <c r="M222" s="142" t="str">
        <f t="shared" ca="1" si="75"/>
        <v/>
      </c>
      <c r="N222" s="77" t="str">
        <f t="shared" ca="1" si="76"/>
        <v/>
      </c>
      <c r="O222" s="140" t="str">
        <f t="shared" ca="1" si="77"/>
        <v/>
      </c>
    </row>
    <row r="223" spans="1:15" ht="16.5" customHeight="1">
      <c r="A223" s="159">
        <v>12</v>
      </c>
      <c r="B223" s="159" t="str">
        <f>TEXT(투자전략!$G$1+11, "[$-ko-KR]yyyy.mm.dd")</f>
        <v>2021.05.12</v>
      </c>
      <c r="C223" s="138" t="str">
        <f t="shared" ca="1" si="65"/>
        <v/>
      </c>
      <c r="D223" s="142" t="str">
        <f t="shared" ca="1" si="66"/>
        <v/>
      </c>
      <c r="E223" s="77" t="str">
        <f t="shared" ca="1" si="67"/>
        <v/>
      </c>
      <c r="F223" s="140" t="str">
        <f t="shared" ca="1" si="68"/>
        <v/>
      </c>
      <c r="G223" s="142" t="str">
        <f t="shared" ca="1" si="69"/>
        <v/>
      </c>
      <c r="H223" s="77" t="str">
        <f t="shared" ca="1" si="70"/>
        <v/>
      </c>
      <c r="I223" s="140" t="str">
        <f t="shared" ca="1" si="71"/>
        <v/>
      </c>
      <c r="J223" s="142" t="str">
        <f t="shared" ca="1" si="72"/>
        <v/>
      </c>
      <c r="K223" s="77" t="str">
        <f t="shared" ca="1" si="73"/>
        <v/>
      </c>
      <c r="L223" s="140" t="str">
        <f t="shared" ca="1" si="74"/>
        <v/>
      </c>
      <c r="M223" s="142" t="str">
        <f t="shared" ca="1" si="75"/>
        <v/>
      </c>
      <c r="N223" s="77" t="str">
        <f t="shared" ca="1" si="76"/>
        <v/>
      </c>
      <c r="O223" s="140" t="str">
        <f t="shared" ca="1" si="77"/>
        <v/>
      </c>
    </row>
    <row r="224" spans="1:15" ht="16.5" customHeight="1">
      <c r="A224" s="159">
        <v>13</v>
      </c>
      <c r="B224" s="159" t="str">
        <f>TEXT(투자전략!$G$1+12, "[$-ko-KR]yyyy.mm.dd")</f>
        <v>2021.05.13</v>
      </c>
      <c r="C224" s="138" t="str">
        <f t="shared" ca="1" si="65"/>
        <v/>
      </c>
      <c r="D224" s="142" t="str">
        <f t="shared" ca="1" si="66"/>
        <v/>
      </c>
      <c r="E224" s="77" t="str">
        <f t="shared" ca="1" si="67"/>
        <v/>
      </c>
      <c r="F224" s="140" t="str">
        <f t="shared" ca="1" si="68"/>
        <v/>
      </c>
      <c r="G224" s="142" t="str">
        <f t="shared" ca="1" si="69"/>
        <v/>
      </c>
      <c r="H224" s="77" t="str">
        <f t="shared" ca="1" si="70"/>
        <v/>
      </c>
      <c r="I224" s="140" t="str">
        <f t="shared" ca="1" si="71"/>
        <v/>
      </c>
      <c r="J224" s="142" t="str">
        <f t="shared" ca="1" si="72"/>
        <v/>
      </c>
      <c r="K224" s="77" t="str">
        <f t="shared" ca="1" si="73"/>
        <v/>
      </c>
      <c r="L224" s="140" t="str">
        <f t="shared" ca="1" si="74"/>
        <v/>
      </c>
      <c r="M224" s="142" t="str">
        <f t="shared" ca="1" si="75"/>
        <v/>
      </c>
      <c r="N224" s="77" t="str">
        <f t="shared" ca="1" si="76"/>
        <v/>
      </c>
      <c r="O224" s="140" t="str">
        <f t="shared" ca="1" si="77"/>
        <v/>
      </c>
    </row>
    <row r="225" spans="1:15" ht="16.5" customHeight="1" thickBot="1">
      <c r="A225" s="161">
        <v>14</v>
      </c>
      <c r="B225" s="161" t="str">
        <f>TEXT(투자전략!$G$1+13, "[$-ko-KR]yyyy.mm.dd")</f>
        <v>2021.05.14</v>
      </c>
      <c r="C225" s="139" t="str">
        <f t="shared" ca="1" si="65"/>
        <v/>
      </c>
      <c r="D225" s="143" t="str">
        <f t="shared" ca="1" si="66"/>
        <v/>
      </c>
      <c r="E225" s="79" t="str">
        <f t="shared" ca="1" si="67"/>
        <v/>
      </c>
      <c r="F225" s="141" t="str">
        <f t="shared" ca="1" si="68"/>
        <v/>
      </c>
      <c r="G225" s="143" t="str">
        <f t="shared" ca="1" si="69"/>
        <v/>
      </c>
      <c r="H225" s="79" t="str">
        <f t="shared" ca="1" si="70"/>
        <v/>
      </c>
      <c r="I225" s="141" t="str">
        <f t="shared" ca="1" si="71"/>
        <v/>
      </c>
      <c r="J225" s="143" t="str">
        <f t="shared" ca="1" si="72"/>
        <v/>
      </c>
      <c r="K225" s="79" t="str">
        <f t="shared" ca="1" si="73"/>
        <v/>
      </c>
      <c r="L225" s="141" t="str">
        <f t="shared" ca="1" si="74"/>
        <v/>
      </c>
      <c r="M225" s="143" t="str">
        <f t="shared" ca="1" si="75"/>
        <v/>
      </c>
      <c r="N225" s="79" t="str">
        <f t="shared" ca="1" si="76"/>
        <v/>
      </c>
      <c r="O225" s="141" t="str">
        <f t="shared" ca="1" si="77"/>
        <v/>
      </c>
    </row>
    <row r="226" spans="1:15" ht="16.5" customHeight="1">
      <c r="A226" s="160">
        <v>15</v>
      </c>
      <c r="B226" s="160" t="str">
        <f>TEXT(투자전략!$G$1+14, "[$-ko-KR]yyyy.mm.dd")</f>
        <v>2021.05.15</v>
      </c>
      <c r="C226" s="138" t="str">
        <f t="shared" ca="1" si="65"/>
        <v/>
      </c>
      <c r="D226" s="142" t="str">
        <f t="shared" ca="1" si="66"/>
        <v/>
      </c>
      <c r="E226" s="77" t="str">
        <f t="shared" ca="1" si="67"/>
        <v/>
      </c>
      <c r="F226" s="140" t="str">
        <f t="shared" ca="1" si="68"/>
        <v/>
      </c>
      <c r="G226" s="142" t="str">
        <f t="shared" ca="1" si="69"/>
        <v/>
      </c>
      <c r="H226" s="77" t="str">
        <f t="shared" ca="1" si="70"/>
        <v/>
      </c>
      <c r="I226" s="140" t="str">
        <f t="shared" ca="1" si="71"/>
        <v/>
      </c>
      <c r="J226" s="142" t="str">
        <f t="shared" ca="1" si="72"/>
        <v/>
      </c>
      <c r="K226" s="77" t="str">
        <f t="shared" ca="1" si="73"/>
        <v/>
      </c>
      <c r="L226" s="140" t="str">
        <f t="shared" ca="1" si="74"/>
        <v/>
      </c>
      <c r="M226" s="142" t="str">
        <f t="shared" ca="1" si="75"/>
        <v/>
      </c>
      <c r="N226" s="77" t="str">
        <f t="shared" ca="1" si="76"/>
        <v/>
      </c>
      <c r="O226" s="140" t="str">
        <f t="shared" ca="1" si="77"/>
        <v/>
      </c>
    </row>
    <row r="227" spans="1:15" ht="16.5" customHeight="1">
      <c r="A227" s="159">
        <v>16</v>
      </c>
      <c r="B227" s="159" t="str">
        <f>TEXT(투자전략!$G$1+15, "[$-ko-KR]yyyy.mm.dd")</f>
        <v>2021.05.16</v>
      </c>
      <c r="C227" s="138" t="str">
        <f t="shared" ca="1" si="65"/>
        <v/>
      </c>
      <c r="D227" s="142" t="str">
        <f t="shared" ca="1" si="66"/>
        <v/>
      </c>
      <c r="E227" s="77" t="str">
        <f t="shared" ca="1" si="67"/>
        <v/>
      </c>
      <c r="F227" s="140" t="str">
        <f t="shared" ca="1" si="68"/>
        <v/>
      </c>
      <c r="G227" s="142" t="str">
        <f t="shared" ca="1" si="69"/>
        <v/>
      </c>
      <c r="H227" s="77" t="str">
        <f t="shared" ca="1" si="70"/>
        <v/>
      </c>
      <c r="I227" s="140" t="str">
        <f t="shared" ca="1" si="71"/>
        <v/>
      </c>
      <c r="J227" s="142" t="str">
        <f t="shared" ca="1" si="72"/>
        <v/>
      </c>
      <c r="K227" s="77" t="str">
        <f t="shared" ca="1" si="73"/>
        <v/>
      </c>
      <c r="L227" s="140" t="str">
        <f t="shared" ca="1" si="74"/>
        <v/>
      </c>
      <c r="M227" s="142" t="str">
        <f t="shared" ca="1" si="75"/>
        <v/>
      </c>
      <c r="N227" s="77" t="str">
        <f t="shared" ca="1" si="76"/>
        <v/>
      </c>
      <c r="O227" s="140" t="str">
        <f t="shared" ca="1" si="77"/>
        <v/>
      </c>
    </row>
    <row r="228" spans="1:15" ht="16.5" customHeight="1">
      <c r="A228" s="159">
        <v>17</v>
      </c>
      <c r="B228" s="159" t="str">
        <f>TEXT(투자전략!$G$1+16, "[$-ko-KR]yyyy.mm.dd")</f>
        <v>2021.05.17</v>
      </c>
      <c r="C228" s="138" t="str">
        <f t="shared" ca="1" si="65"/>
        <v/>
      </c>
      <c r="D228" s="142" t="str">
        <f t="shared" ca="1" si="66"/>
        <v/>
      </c>
      <c r="E228" s="77" t="str">
        <f t="shared" ca="1" si="67"/>
        <v/>
      </c>
      <c r="F228" s="140" t="str">
        <f t="shared" ca="1" si="68"/>
        <v/>
      </c>
      <c r="G228" s="142" t="str">
        <f t="shared" ca="1" si="69"/>
        <v/>
      </c>
      <c r="H228" s="77" t="str">
        <f t="shared" ca="1" si="70"/>
        <v/>
      </c>
      <c r="I228" s="140" t="str">
        <f t="shared" ca="1" si="71"/>
        <v/>
      </c>
      <c r="J228" s="142" t="str">
        <f t="shared" ca="1" si="72"/>
        <v/>
      </c>
      <c r="K228" s="77" t="str">
        <f t="shared" ca="1" si="73"/>
        <v/>
      </c>
      <c r="L228" s="140" t="str">
        <f t="shared" ca="1" si="74"/>
        <v/>
      </c>
      <c r="M228" s="142" t="str">
        <f t="shared" ca="1" si="75"/>
        <v/>
      </c>
      <c r="N228" s="77" t="str">
        <f t="shared" ca="1" si="76"/>
        <v/>
      </c>
      <c r="O228" s="140" t="str">
        <f t="shared" ca="1" si="77"/>
        <v/>
      </c>
    </row>
    <row r="229" spans="1:15" ht="16.5" customHeight="1">
      <c r="A229" s="159">
        <v>18</v>
      </c>
      <c r="B229" s="159" t="str">
        <f>TEXT(투자전략!$G$1+17, "[$-ko-KR]yyyy.mm.dd")</f>
        <v>2021.05.18</v>
      </c>
      <c r="C229" s="138" t="str">
        <f t="shared" ca="1" si="65"/>
        <v/>
      </c>
      <c r="D229" s="142" t="str">
        <f t="shared" ca="1" si="66"/>
        <v/>
      </c>
      <c r="E229" s="77" t="str">
        <f t="shared" ca="1" si="67"/>
        <v/>
      </c>
      <c r="F229" s="140" t="str">
        <f t="shared" ca="1" si="68"/>
        <v/>
      </c>
      <c r="G229" s="142" t="str">
        <f t="shared" ca="1" si="69"/>
        <v/>
      </c>
      <c r="H229" s="77" t="str">
        <f t="shared" ca="1" si="70"/>
        <v/>
      </c>
      <c r="I229" s="140" t="str">
        <f t="shared" ca="1" si="71"/>
        <v/>
      </c>
      <c r="J229" s="142" t="str">
        <f t="shared" ca="1" si="72"/>
        <v/>
      </c>
      <c r="K229" s="77" t="str">
        <f t="shared" ca="1" si="73"/>
        <v/>
      </c>
      <c r="L229" s="140" t="str">
        <f t="shared" ca="1" si="74"/>
        <v/>
      </c>
      <c r="M229" s="142" t="str">
        <f t="shared" ca="1" si="75"/>
        <v/>
      </c>
      <c r="N229" s="77" t="str">
        <f t="shared" ca="1" si="76"/>
        <v/>
      </c>
      <c r="O229" s="140" t="str">
        <f t="shared" ca="1" si="77"/>
        <v/>
      </c>
    </row>
    <row r="230" spans="1:15" ht="16.5" customHeight="1">
      <c r="A230" s="159">
        <v>19</v>
      </c>
      <c r="B230" s="159" t="str">
        <f>TEXT(투자전략!$G$1+18, "[$-ko-KR]yyyy.mm.dd")</f>
        <v>2021.05.19</v>
      </c>
      <c r="C230" s="138" t="str">
        <f t="shared" ca="1" si="65"/>
        <v/>
      </c>
      <c r="D230" s="142" t="str">
        <f t="shared" ca="1" si="66"/>
        <v/>
      </c>
      <c r="E230" s="77" t="str">
        <f t="shared" ca="1" si="67"/>
        <v/>
      </c>
      <c r="F230" s="140" t="str">
        <f t="shared" ca="1" si="68"/>
        <v/>
      </c>
      <c r="G230" s="142" t="str">
        <f t="shared" ca="1" si="69"/>
        <v/>
      </c>
      <c r="H230" s="77" t="str">
        <f t="shared" ca="1" si="70"/>
        <v/>
      </c>
      <c r="I230" s="140" t="str">
        <f t="shared" ca="1" si="71"/>
        <v/>
      </c>
      <c r="J230" s="142" t="str">
        <f t="shared" ca="1" si="72"/>
        <v/>
      </c>
      <c r="K230" s="77" t="str">
        <f t="shared" ca="1" si="73"/>
        <v/>
      </c>
      <c r="L230" s="140" t="str">
        <f t="shared" ca="1" si="74"/>
        <v/>
      </c>
      <c r="M230" s="142" t="str">
        <f t="shared" ca="1" si="75"/>
        <v/>
      </c>
      <c r="N230" s="77" t="str">
        <f t="shared" ca="1" si="76"/>
        <v/>
      </c>
      <c r="O230" s="140" t="str">
        <f t="shared" ca="1" si="77"/>
        <v/>
      </c>
    </row>
    <row r="231" spans="1:15" ht="16.5" customHeight="1">
      <c r="A231" s="159">
        <v>20</v>
      </c>
      <c r="B231" s="159" t="str">
        <f>TEXT(투자전략!$G$1+19, "[$-ko-KR]yyyy.mm.dd")</f>
        <v>2021.05.20</v>
      </c>
      <c r="C231" s="138" t="str">
        <f t="shared" ca="1" si="65"/>
        <v/>
      </c>
      <c r="D231" s="142" t="str">
        <f t="shared" ca="1" si="66"/>
        <v/>
      </c>
      <c r="E231" s="77" t="str">
        <f t="shared" ca="1" si="67"/>
        <v/>
      </c>
      <c r="F231" s="140" t="str">
        <f t="shared" ca="1" si="68"/>
        <v/>
      </c>
      <c r="G231" s="142" t="str">
        <f t="shared" ca="1" si="69"/>
        <v/>
      </c>
      <c r="H231" s="77" t="str">
        <f t="shared" ca="1" si="70"/>
        <v/>
      </c>
      <c r="I231" s="140" t="str">
        <f t="shared" ca="1" si="71"/>
        <v/>
      </c>
      <c r="J231" s="142" t="str">
        <f t="shared" ca="1" si="72"/>
        <v/>
      </c>
      <c r="K231" s="77" t="str">
        <f t="shared" ca="1" si="73"/>
        <v/>
      </c>
      <c r="L231" s="140" t="str">
        <f t="shared" ca="1" si="74"/>
        <v/>
      </c>
      <c r="M231" s="142" t="str">
        <f t="shared" ca="1" si="75"/>
        <v/>
      </c>
      <c r="N231" s="77" t="str">
        <f t="shared" ca="1" si="76"/>
        <v/>
      </c>
      <c r="O231" s="140" t="str">
        <f t="shared" ca="1" si="77"/>
        <v/>
      </c>
    </row>
    <row r="232" spans="1:15" ht="16.5" customHeight="1" thickBot="1">
      <c r="A232" s="161">
        <v>21</v>
      </c>
      <c r="B232" s="161" t="str">
        <f>TEXT(투자전략!$G$1+20, "[$-ko-KR]yyyy.mm.dd")</f>
        <v>2021.05.21</v>
      </c>
      <c r="C232" s="138" t="str">
        <f t="shared" ca="1" si="65"/>
        <v/>
      </c>
      <c r="D232" s="142" t="str">
        <f t="shared" ca="1" si="66"/>
        <v/>
      </c>
      <c r="E232" s="77" t="str">
        <f t="shared" ca="1" si="67"/>
        <v/>
      </c>
      <c r="F232" s="140" t="str">
        <f t="shared" ca="1" si="68"/>
        <v/>
      </c>
      <c r="G232" s="142" t="str">
        <f t="shared" ca="1" si="69"/>
        <v/>
      </c>
      <c r="H232" s="77" t="str">
        <f t="shared" ca="1" si="70"/>
        <v/>
      </c>
      <c r="I232" s="140" t="str">
        <f t="shared" ca="1" si="71"/>
        <v/>
      </c>
      <c r="J232" s="142" t="str">
        <f t="shared" ca="1" si="72"/>
        <v/>
      </c>
      <c r="K232" s="77" t="str">
        <f t="shared" ca="1" si="73"/>
        <v/>
      </c>
      <c r="L232" s="140" t="str">
        <f t="shared" ca="1" si="74"/>
        <v/>
      </c>
      <c r="M232" s="142" t="str">
        <f t="shared" ca="1" si="75"/>
        <v/>
      </c>
      <c r="N232" s="77" t="str">
        <f t="shared" ca="1" si="76"/>
        <v/>
      </c>
      <c r="O232" s="140" t="str">
        <f t="shared" ca="1" si="77"/>
        <v/>
      </c>
    </row>
    <row r="233" spans="1:15" ht="16.5" customHeight="1">
      <c r="A233" s="160">
        <v>22</v>
      </c>
      <c r="B233" s="160" t="str">
        <f>TEXT(투자전략!$G$1+21, "[$-ko-KR]yyyy.mm.dd")</f>
        <v>2021.05.22</v>
      </c>
      <c r="C233" s="137" t="str">
        <f t="shared" ca="1" si="65"/>
        <v/>
      </c>
      <c r="D233" s="145" t="str">
        <f t="shared" ca="1" si="66"/>
        <v/>
      </c>
      <c r="E233" s="76" t="str">
        <f t="shared" ca="1" si="67"/>
        <v/>
      </c>
      <c r="F233" s="144" t="str">
        <f t="shared" ca="1" si="68"/>
        <v/>
      </c>
      <c r="G233" s="145" t="str">
        <f t="shared" ca="1" si="69"/>
        <v/>
      </c>
      <c r="H233" s="76" t="str">
        <f t="shared" ca="1" si="70"/>
        <v/>
      </c>
      <c r="I233" s="144" t="str">
        <f t="shared" ca="1" si="71"/>
        <v/>
      </c>
      <c r="J233" s="145" t="str">
        <f t="shared" ca="1" si="72"/>
        <v/>
      </c>
      <c r="K233" s="76" t="str">
        <f t="shared" ca="1" si="73"/>
        <v/>
      </c>
      <c r="L233" s="144" t="str">
        <f t="shared" ca="1" si="74"/>
        <v/>
      </c>
      <c r="M233" s="145" t="str">
        <f t="shared" ca="1" si="75"/>
        <v/>
      </c>
      <c r="N233" s="76" t="str">
        <f t="shared" ca="1" si="76"/>
        <v/>
      </c>
      <c r="O233" s="144" t="str">
        <f t="shared" ca="1" si="77"/>
        <v/>
      </c>
    </row>
    <row r="234" spans="1:15" ht="16.5" customHeight="1">
      <c r="A234" s="159">
        <v>23</v>
      </c>
      <c r="B234" s="159" t="str">
        <f>TEXT(투자전략!$G$1+22, "[$-ko-KR]yyyy.mm.dd")</f>
        <v>2021.05.23</v>
      </c>
      <c r="C234" s="138" t="str">
        <f t="shared" ca="1" si="65"/>
        <v/>
      </c>
      <c r="D234" s="142" t="str">
        <f t="shared" ca="1" si="66"/>
        <v/>
      </c>
      <c r="E234" s="77" t="str">
        <f t="shared" ca="1" si="67"/>
        <v/>
      </c>
      <c r="F234" s="140" t="str">
        <f t="shared" ca="1" si="68"/>
        <v/>
      </c>
      <c r="G234" s="142" t="str">
        <f t="shared" ca="1" si="69"/>
        <v/>
      </c>
      <c r="H234" s="77" t="str">
        <f t="shared" ca="1" si="70"/>
        <v/>
      </c>
      <c r="I234" s="140" t="str">
        <f t="shared" ca="1" si="71"/>
        <v/>
      </c>
      <c r="J234" s="142" t="str">
        <f t="shared" ca="1" si="72"/>
        <v/>
      </c>
      <c r="K234" s="77" t="str">
        <f t="shared" ca="1" si="73"/>
        <v/>
      </c>
      <c r="L234" s="140" t="str">
        <f t="shared" ca="1" si="74"/>
        <v/>
      </c>
      <c r="M234" s="142" t="str">
        <f t="shared" ca="1" si="75"/>
        <v/>
      </c>
      <c r="N234" s="77" t="str">
        <f t="shared" ca="1" si="76"/>
        <v/>
      </c>
      <c r="O234" s="140" t="str">
        <f t="shared" ca="1" si="77"/>
        <v/>
      </c>
    </row>
    <row r="235" spans="1:15" ht="16.5" customHeight="1">
      <c r="A235" s="159">
        <v>24</v>
      </c>
      <c r="B235" s="159" t="str">
        <f>TEXT(투자전략!$G$1+23, "[$-ko-KR]yyyy.mm.dd")</f>
        <v>2021.05.24</v>
      </c>
      <c r="C235" s="138" t="str">
        <f t="shared" ca="1" si="65"/>
        <v/>
      </c>
      <c r="D235" s="142" t="str">
        <f t="shared" ca="1" si="66"/>
        <v/>
      </c>
      <c r="E235" s="77" t="str">
        <f t="shared" ca="1" si="67"/>
        <v/>
      </c>
      <c r="F235" s="140" t="str">
        <f t="shared" ca="1" si="68"/>
        <v/>
      </c>
      <c r="G235" s="142" t="str">
        <f t="shared" ca="1" si="69"/>
        <v/>
      </c>
      <c r="H235" s="77" t="str">
        <f t="shared" ca="1" si="70"/>
        <v/>
      </c>
      <c r="I235" s="140" t="str">
        <f t="shared" ca="1" si="71"/>
        <v/>
      </c>
      <c r="J235" s="142" t="str">
        <f t="shared" ca="1" si="72"/>
        <v/>
      </c>
      <c r="K235" s="77" t="str">
        <f t="shared" ca="1" si="73"/>
        <v/>
      </c>
      <c r="L235" s="140" t="str">
        <f t="shared" ca="1" si="74"/>
        <v/>
      </c>
      <c r="M235" s="142" t="str">
        <f t="shared" ca="1" si="75"/>
        <v/>
      </c>
      <c r="N235" s="77" t="str">
        <f t="shared" ca="1" si="76"/>
        <v/>
      </c>
      <c r="O235" s="140" t="str">
        <f t="shared" ca="1" si="77"/>
        <v/>
      </c>
    </row>
    <row r="236" spans="1:15" ht="16.5" customHeight="1">
      <c r="A236" s="159">
        <v>25</v>
      </c>
      <c r="B236" s="159" t="str">
        <f>TEXT(투자전략!$G$1+24, "[$-ko-KR]yyyy.mm.dd")</f>
        <v>2021.05.25</v>
      </c>
      <c r="C236" s="138" t="str">
        <f t="shared" ca="1" si="65"/>
        <v/>
      </c>
      <c r="D236" s="142" t="str">
        <f t="shared" ca="1" si="66"/>
        <v/>
      </c>
      <c r="E236" s="77" t="str">
        <f t="shared" ca="1" si="67"/>
        <v/>
      </c>
      <c r="F236" s="140" t="str">
        <f t="shared" ca="1" si="68"/>
        <v/>
      </c>
      <c r="G236" s="142" t="str">
        <f t="shared" ca="1" si="69"/>
        <v/>
      </c>
      <c r="H236" s="77" t="str">
        <f t="shared" ca="1" si="70"/>
        <v/>
      </c>
      <c r="I236" s="140" t="str">
        <f t="shared" ca="1" si="71"/>
        <v/>
      </c>
      <c r="J236" s="142" t="str">
        <f t="shared" ca="1" si="72"/>
        <v/>
      </c>
      <c r="K236" s="77" t="str">
        <f t="shared" ca="1" si="73"/>
        <v/>
      </c>
      <c r="L236" s="140" t="str">
        <f t="shared" ca="1" si="74"/>
        <v/>
      </c>
      <c r="M236" s="142" t="str">
        <f t="shared" ca="1" si="75"/>
        <v/>
      </c>
      <c r="N236" s="77" t="str">
        <f t="shared" ca="1" si="76"/>
        <v/>
      </c>
      <c r="O236" s="140" t="str">
        <f t="shared" ca="1" si="77"/>
        <v/>
      </c>
    </row>
    <row r="237" spans="1:15" ht="16.5" customHeight="1">
      <c r="A237" s="159">
        <v>26</v>
      </c>
      <c r="B237" s="159" t="str">
        <f>TEXT(투자전략!$G$1+25, "[$-ko-KR]yyyy.mm.dd")</f>
        <v>2021.05.26</v>
      </c>
      <c r="C237" s="138" t="str">
        <f t="shared" ca="1" si="65"/>
        <v/>
      </c>
      <c r="D237" s="142" t="str">
        <f t="shared" ca="1" si="66"/>
        <v/>
      </c>
      <c r="E237" s="77" t="str">
        <f t="shared" ca="1" si="67"/>
        <v/>
      </c>
      <c r="F237" s="140" t="str">
        <f t="shared" ca="1" si="68"/>
        <v/>
      </c>
      <c r="G237" s="142" t="str">
        <f t="shared" ca="1" si="69"/>
        <v/>
      </c>
      <c r="H237" s="77" t="str">
        <f t="shared" ca="1" si="70"/>
        <v/>
      </c>
      <c r="I237" s="140" t="str">
        <f t="shared" ca="1" si="71"/>
        <v/>
      </c>
      <c r="J237" s="142" t="str">
        <f t="shared" ca="1" si="72"/>
        <v/>
      </c>
      <c r="K237" s="77" t="str">
        <f t="shared" ca="1" si="73"/>
        <v/>
      </c>
      <c r="L237" s="140" t="str">
        <f t="shared" ca="1" si="74"/>
        <v/>
      </c>
      <c r="M237" s="142" t="str">
        <f t="shared" ca="1" si="75"/>
        <v/>
      </c>
      <c r="N237" s="77" t="str">
        <f t="shared" ca="1" si="76"/>
        <v/>
      </c>
      <c r="O237" s="140" t="str">
        <f t="shared" ca="1" si="77"/>
        <v/>
      </c>
    </row>
    <row r="238" spans="1:15" ht="16.5" customHeight="1">
      <c r="A238" s="159">
        <v>27</v>
      </c>
      <c r="B238" s="159" t="str">
        <f>TEXT(투자전략!$G$1+26, "[$-ko-KR]yyyy.mm.dd")</f>
        <v>2021.05.27</v>
      </c>
      <c r="C238" s="138" t="str">
        <f t="shared" ca="1" si="65"/>
        <v/>
      </c>
      <c r="D238" s="142" t="str">
        <f t="shared" ca="1" si="66"/>
        <v/>
      </c>
      <c r="E238" s="77" t="str">
        <f t="shared" ca="1" si="67"/>
        <v/>
      </c>
      <c r="F238" s="140" t="str">
        <f t="shared" ca="1" si="68"/>
        <v/>
      </c>
      <c r="G238" s="142" t="str">
        <f t="shared" ca="1" si="69"/>
        <v/>
      </c>
      <c r="H238" s="77" t="str">
        <f t="shared" ca="1" si="70"/>
        <v/>
      </c>
      <c r="I238" s="140" t="str">
        <f t="shared" ca="1" si="71"/>
        <v/>
      </c>
      <c r="J238" s="142" t="str">
        <f t="shared" ca="1" si="72"/>
        <v/>
      </c>
      <c r="K238" s="77" t="str">
        <f t="shared" ca="1" si="73"/>
        <v/>
      </c>
      <c r="L238" s="140" t="str">
        <f t="shared" ca="1" si="74"/>
        <v/>
      </c>
      <c r="M238" s="142" t="str">
        <f t="shared" ca="1" si="75"/>
        <v/>
      </c>
      <c r="N238" s="77" t="str">
        <f t="shared" ca="1" si="76"/>
        <v/>
      </c>
      <c r="O238" s="140" t="str">
        <f t="shared" ca="1" si="77"/>
        <v/>
      </c>
    </row>
    <row r="239" spans="1:15" ht="16.5" customHeight="1" thickBot="1">
      <c r="A239" s="161">
        <v>28</v>
      </c>
      <c r="B239" s="161" t="str">
        <f>TEXT(투자전략!$G$1+27, "[$-ko-KR]yyyy.mm.dd")</f>
        <v>2021.05.28</v>
      </c>
      <c r="C239" s="139" t="str">
        <f t="shared" ca="1" si="65"/>
        <v/>
      </c>
      <c r="D239" s="143" t="str">
        <f t="shared" ca="1" si="66"/>
        <v/>
      </c>
      <c r="E239" s="79" t="str">
        <f t="shared" ca="1" si="67"/>
        <v/>
      </c>
      <c r="F239" s="141" t="str">
        <f t="shared" ca="1" si="68"/>
        <v/>
      </c>
      <c r="G239" s="143" t="str">
        <f t="shared" ca="1" si="69"/>
        <v/>
      </c>
      <c r="H239" s="79" t="str">
        <f t="shared" ca="1" si="70"/>
        <v/>
      </c>
      <c r="I239" s="141" t="str">
        <f t="shared" ca="1" si="71"/>
        <v/>
      </c>
      <c r="J239" s="143" t="str">
        <f t="shared" ca="1" si="72"/>
        <v/>
      </c>
      <c r="K239" s="79" t="str">
        <f t="shared" ca="1" si="73"/>
        <v/>
      </c>
      <c r="L239" s="141" t="str">
        <f t="shared" ca="1" si="74"/>
        <v/>
      </c>
      <c r="M239" s="143" t="str">
        <f t="shared" ca="1" si="75"/>
        <v/>
      </c>
      <c r="N239" s="79" t="str">
        <f t="shared" ca="1" si="76"/>
        <v/>
      </c>
      <c r="O239" s="141" t="str">
        <f t="shared" ca="1" si="77"/>
        <v/>
      </c>
    </row>
    <row r="240" spans="1:15" ht="16.5" customHeight="1">
      <c r="A240" s="124">
        <v>29</v>
      </c>
      <c r="B240" s="160" t="str">
        <f>TEXT(투자전략!$G$1+28, "[$-ko-KR]yyyy.mm.dd")</f>
        <v>2021.05.29</v>
      </c>
      <c r="C240" s="138" t="str">
        <f t="shared" ca="1" si="65"/>
        <v/>
      </c>
      <c r="D240" s="142" t="str">
        <f t="shared" ca="1" si="66"/>
        <v/>
      </c>
      <c r="E240" s="77" t="str">
        <f t="shared" ca="1" si="67"/>
        <v/>
      </c>
      <c r="F240" s="140" t="str">
        <f t="shared" ca="1" si="68"/>
        <v/>
      </c>
      <c r="G240" s="142" t="str">
        <f t="shared" ca="1" si="69"/>
        <v/>
      </c>
      <c r="H240" s="77" t="str">
        <f t="shared" ca="1" si="70"/>
        <v/>
      </c>
      <c r="I240" s="140" t="str">
        <f t="shared" ca="1" si="71"/>
        <v/>
      </c>
      <c r="J240" s="142" t="str">
        <f t="shared" ca="1" si="72"/>
        <v/>
      </c>
      <c r="K240" s="77" t="str">
        <f t="shared" ca="1" si="73"/>
        <v/>
      </c>
      <c r="L240" s="140" t="str">
        <f t="shared" ca="1" si="74"/>
        <v/>
      </c>
      <c r="M240" s="142" t="str">
        <f t="shared" ca="1" si="75"/>
        <v/>
      </c>
      <c r="N240" s="77" t="str">
        <f t="shared" ca="1" si="76"/>
        <v/>
      </c>
      <c r="O240" s="140" t="str">
        <f t="shared" ca="1" si="77"/>
        <v/>
      </c>
    </row>
    <row r="241" spans="1:15" ht="16.5" customHeight="1">
      <c r="A241" s="124">
        <v>30</v>
      </c>
      <c r="B241" s="159" t="str">
        <f>TEXT(투자전략!$G$1+29, "[$-ko-KR]yyyy.mm.dd")</f>
        <v>2021.05.30</v>
      </c>
      <c r="C241" s="138" t="str">
        <f t="shared" ca="1" si="65"/>
        <v/>
      </c>
      <c r="D241" s="142" t="str">
        <f t="shared" ca="1" si="66"/>
        <v/>
      </c>
      <c r="E241" s="77" t="str">
        <f t="shared" ca="1" si="67"/>
        <v/>
      </c>
      <c r="F241" s="140" t="str">
        <f t="shared" ca="1" si="68"/>
        <v/>
      </c>
      <c r="G241" s="142" t="str">
        <f t="shared" ca="1" si="69"/>
        <v/>
      </c>
      <c r="H241" s="77" t="str">
        <f t="shared" ca="1" si="70"/>
        <v/>
      </c>
      <c r="I241" s="140" t="str">
        <f t="shared" ca="1" si="71"/>
        <v/>
      </c>
      <c r="J241" s="142" t="str">
        <f t="shared" ca="1" si="72"/>
        <v/>
      </c>
      <c r="K241" s="77" t="str">
        <f t="shared" ca="1" si="73"/>
        <v/>
      </c>
      <c r="L241" s="140" t="str">
        <f t="shared" ca="1" si="74"/>
        <v/>
      </c>
      <c r="M241" s="142" t="str">
        <f t="shared" ca="1" si="75"/>
        <v/>
      </c>
      <c r="N241" s="77" t="str">
        <f t="shared" ca="1" si="76"/>
        <v/>
      </c>
      <c r="O241" s="140" t="str">
        <f t="shared" ca="1" si="77"/>
        <v/>
      </c>
    </row>
    <row r="242" spans="1:15" ht="16.5" customHeight="1" thickBot="1">
      <c r="A242" s="124">
        <v>31</v>
      </c>
      <c r="B242" s="159" t="str">
        <f>TEXT(투자전략!$G$1+30, "[$-ko-KR]yyyy.mm.dd")</f>
        <v>2021.05.31</v>
      </c>
      <c r="C242" s="139" t="str">
        <f t="shared" ca="1" si="65"/>
        <v/>
      </c>
      <c r="D242" s="143" t="str">
        <f t="shared" ca="1" si="66"/>
        <v/>
      </c>
      <c r="E242" s="79" t="str">
        <f t="shared" ca="1" si="67"/>
        <v/>
      </c>
      <c r="F242" s="141" t="str">
        <f t="shared" ca="1" si="68"/>
        <v/>
      </c>
      <c r="G242" s="143" t="str">
        <f t="shared" ca="1" si="69"/>
        <v/>
      </c>
      <c r="H242" s="79" t="str">
        <f t="shared" ca="1" si="70"/>
        <v/>
      </c>
      <c r="I242" s="141" t="str">
        <f t="shared" ca="1" si="71"/>
        <v/>
      </c>
      <c r="J242" s="143" t="str">
        <f t="shared" ca="1" si="72"/>
        <v/>
      </c>
      <c r="K242" s="79" t="str">
        <f t="shared" ca="1" si="73"/>
        <v/>
      </c>
      <c r="L242" s="141" t="str">
        <f t="shared" ca="1" si="74"/>
        <v/>
      </c>
      <c r="M242" s="143" t="str">
        <f t="shared" ca="1" si="75"/>
        <v/>
      </c>
      <c r="N242" s="79" t="str">
        <f t="shared" ca="1" si="76"/>
        <v/>
      </c>
      <c r="O242" s="141" t="str">
        <f t="shared" ca="1" si="77"/>
        <v/>
      </c>
    </row>
    <row r="243" spans="1:15" ht="16.5" customHeight="1" thickBot="1">
      <c r="A243" s="202" t="s">
        <v>319</v>
      </c>
      <c r="B243" s="204"/>
      <c r="C243" s="135" t="s">
        <v>314</v>
      </c>
      <c r="D243" s="153" t="s">
        <v>315</v>
      </c>
      <c r="E243" s="154" t="s">
        <v>316</v>
      </c>
      <c r="F243" s="155" t="s">
        <v>317</v>
      </c>
      <c r="G243" s="153" t="s">
        <v>315</v>
      </c>
      <c r="H243" s="154" t="s">
        <v>316</v>
      </c>
      <c r="I243" s="155" t="s">
        <v>317</v>
      </c>
      <c r="J243" s="153" t="s">
        <v>315</v>
      </c>
      <c r="K243" s="154" t="s">
        <v>316</v>
      </c>
      <c r="L243" s="155" t="s">
        <v>317</v>
      </c>
      <c r="M243" s="153" t="s">
        <v>315</v>
      </c>
      <c r="N243" s="154" t="s">
        <v>316</v>
      </c>
      <c r="O243" s="155" t="s">
        <v>317</v>
      </c>
    </row>
    <row r="244" spans="1:15" ht="16.5" customHeight="1" thickBot="1">
      <c r="A244" s="208"/>
      <c r="B244" s="210"/>
      <c r="C244" s="139">
        <f ca="1">SUM(C212:C242)</f>
        <v>42000000</v>
      </c>
      <c r="D244" s="143">
        <f ca="1">SUM(D212:D242)</f>
        <v>41686810.789220437</v>
      </c>
      <c r="E244" s="79">
        <f ca="1">IFERROR(F244 / (SUM($C212:$C242) / COUNT($C212:$C242)), 0)</f>
        <v>-7.4568859709419302E-2</v>
      </c>
      <c r="F244" s="141">
        <f ca="1">SUM(F212:F242)</f>
        <v>-313189.21077956108</v>
      </c>
      <c r="G244" s="143">
        <f ca="1">SUM(G212:G242)</f>
        <v>41903043.184306197</v>
      </c>
      <c r="H244" s="79">
        <f ca="1">IFERROR(I244 / (SUM($C212:$C242) / COUNT($C212:$C242)), 0)</f>
        <v>-2.3084956117571772E-2</v>
      </c>
      <c r="I244" s="141">
        <f ca="1">SUM(I212:I242)</f>
        <v>-96956.815693801444</v>
      </c>
      <c r="J244" s="143">
        <f ca="1">SUM(J212:J242)</f>
        <v>41975951.595984027</v>
      </c>
      <c r="K244" s="79">
        <f ca="1">IFERROR(L244 / (SUM($C212:$C242) / COUNT($C212:$C242)), 0)</f>
        <v>-5.7258104799950702E-3</v>
      </c>
      <c r="L244" s="141">
        <f ca="1">SUM(L212:L242)</f>
        <v>-24048.404015979293</v>
      </c>
      <c r="M244" s="143">
        <f ca="1">SUM(M212:M242)</f>
        <v>41824976.232811145</v>
      </c>
      <c r="N244" s="79">
        <f ca="1">IFERROR(O244 / (SUM($C212:$C242) / COUNT($C212:$C242)), 0)</f>
        <v>-4.1672325521154852E-2</v>
      </c>
      <c r="O244" s="141">
        <f ca="1">SUM(O212:O242)</f>
        <v>-175023.76718885038</v>
      </c>
    </row>
    <row r="246" spans="1:15" ht="16.5" customHeight="1" thickBot="1"/>
    <row r="247" spans="1:15" ht="16.5" customHeight="1" thickBot="1">
      <c r="A247" s="193" t="str">
        <f>TEXT(투자전략!$G$1, "[$-ko-KR]yyyy년 mm월 ") &amp; "전일대비 상승률 Bottom20 월말결산"</f>
        <v>2021년 05월 전일대비 상승률 Bottom20 월말결산</v>
      </c>
      <c r="B247" s="194"/>
      <c r="C247" s="194"/>
      <c r="D247" s="194"/>
      <c r="E247" s="194"/>
      <c r="F247" s="194"/>
      <c r="G247" s="194"/>
      <c r="H247" s="194"/>
      <c r="I247" s="194"/>
      <c r="J247" s="194"/>
      <c r="K247" s="194"/>
      <c r="L247" s="194"/>
      <c r="M247" s="194"/>
      <c r="N247" s="194"/>
      <c r="O247" s="195"/>
    </row>
    <row r="248" spans="1:15" ht="16.5" customHeight="1" thickBot="1">
      <c r="A248" s="254" t="s">
        <v>320</v>
      </c>
      <c r="B248" s="208" t="s">
        <v>318</v>
      </c>
      <c r="C248" s="210"/>
      <c r="D248" s="208" t="s">
        <v>310</v>
      </c>
      <c r="E248" s="209"/>
      <c r="F248" s="210"/>
      <c r="G248" s="208" t="s">
        <v>311</v>
      </c>
      <c r="H248" s="209"/>
      <c r="I248" s="210"/>
      <c r="J248" s="208" t="s">
        <v>312</v>
      </c>
      <c r="K248" s="209"/>
      <c r="L248" s="210"/>
      <c r="M248" s="208" t="s">
        <v>313</v>
      </c>
      <c r="N248" s="209"/>
      <c r="O248" s="210"/>
    </row>
    <row r="249" spans="1:15" ht="16.5" customHeight="1" thickBot="1">
      <c r="A249" s="258"/>
      <c r="B249" s="160" t="s">
        <v>308</v>
      </c>
      <c r="C249" s="160" t="s">
        <v>42</v>
      </c>
      <c r="D249" s="124" t="s">
        <v>309</v>
      </c>
      <c r="E249" s="136" t="s">
        <v>40</v>
      </c>
      <c r="F249" s="162" t="s">
        <v>41</v>
      </c>
      <c r="G249" s="124" t="s">
        <v>309</v>
      </c>
      <c r="H249" s="136" t="s">
        <v>40</v>
      </c>
      <c r="I249" s="162" t="s">
        <v>41</v>
      </c>
      <c r="J249" s="124" t="s">
        <v>309</v>
      </c>
      <c r="K249" s="136" t="s">
        <v>40</v>
      </c>
      <c r="L249" s="162" t="s">
        <v>41</v>
      </c>
      <c r="M249" s="124" t="s">
        <v>309</v>
      </c>
      <c r="N249" s="136" t="s">
        <v>40</v>
      </c>
      <c r="O249" s="162" t="s">
        <v>41</v>
      </c>
    </row>
    <row r="250" spans="1:15" ht="16.5" customHeight="1">
      <c r="A250" s="160">
        <v>1</v>
      </c>
      <c r="B250" s="160" t="str">
        <f>TEXT(투자전략!$G$1+0, "[$-ko-KR]yyyy.mm.dd")</f>
        <v>2021.05.01</v>
      </c>
      <c r="C250" s="137">
        <f ca="1">IFERROR(COUNTA(INDIRECT($B250&amp;"!A179:A198")) * INDIRECT($B250&amp;"!B199"), "")</f>
        <v>6000000</v>
      </c>
      <c r="D250" s="145">
        <f ca="1">IFERROR($C250 * (1 + E250), "")</f>
        <v>6025352.5779671101</v>
      </c>
      <c r="E250" s="76">
        <f ca="1">IFERROR(INDIRECT($B250&amp;"!E199"), "")</f>
        <v>4.225429661185073E-3</v>
      </c>
      <c r="F250" s="144">
        <f ca="1">IFERROR(INDIRECT($B250&amp;"!F199"), "")</f>
        <v>25352.577967110439</v>
      </c>
      <c r="G250" s="145">
        <f ca="1">IFERROR($C250 * (1 + H250), "")</f>
        <v>5996980.6855061799</v>
      </c>
      <c r="H250" s="76">
        <f ca="1">IFERROR(INDIRECT($B250&amp;"!H199"), "")</f>
        <v>-5.0321908230329965E-4</v>
      </c>
      <c r="I250" s="144">
        <f ca="1">IFERROR(INDIRECT($B250&amp;"!I199"), "")</f>
        <v>-3019.3144938197966</v>
      </c>
      <c r="J250" s="145">
        <f ca="1">IFERROR($C250 * (1 + K250), "")</f>
        <v>6034904.925586124</v>
      </c>
      <c r="K250" s="76">
        <f ca="1">IFERROR(INDIRECT($B250&amp;"!K199"), "")</f>
        <v>5.8174875976873385E-3</v>
      </c>
      <c r="L250" s="144">
        <f ca="1">IFERROR(INDIRECT($B250&amp;"!L199"), "")</f>
        <v>34904.925586124016</v>
      </c>
      <c r="M250" s="145">
        <f ca="1">IFERROR($C250 * (1 + N250), "")</f>
        <v>6031271.9438245064</v>
      </c>
      <c r="N250" s="76">
        <f ca="1">IFERROR(INDIRECT($B250&amp;"!N199"), "")</f>
        <v>5.2119906374178248E-3</v>
      </c>
      <c r="O250" s="144">
        <f ca="1">IFERROR(INDIRECT($B250&amp;"!O199"), "")</f>
        <v>31271.943824506943</v>
      </c>
    </row>
    <row r="251" spans="1:15" ht="16.5" customHeight="1">
      <c r="A251" s="159">
        <v>2</v>
      </c>
      <c r="B251" s="159" t="str">
        <f>TEXT(투자전략!$G$1+1, "[$-ko-KR]yyyy.mm.dd")</f>
        <v>2021.05.02</v>
      </c>
      <c r="C251" s="138">
        <f t="shared" ref="C251:C280" ca="1" si="78">IFERROR(COUNTA(INDIRECT($B251&amp;"!A179:A198")) * INDIRECT($B251&amp;"!B199"), "")</f>
        <v>6000000</v>
      </c>
      <c r="D251" s="142">
        <f t="shared" ref="D251:D280" ca="1" si="79">IFERROR($C251 * (1 + E251), "")</f>
        <v>5959697.9038826097</v>
      </c>
      <c r="E251" s="77">
        <f t="shared" ref="E251:E280" ca="1" si="80">IFERROR(INDIRECT($B251&amp;"!E199"), "")</f>
        <v>-6.7170160195650138E-3</v>
      </c>
      <c r="F251" s="140">
        <f t="shared" ref="F251:F280" ca="1" si="81">IFERROR(INDIRECT($B251&amp;"!F199"), "")</f>
        <v>-40302.096117390087</v>
      </c>
      <c r="G251" s="142">
        <f t="shared" ref="G251:G280" ca="1" si="82">IFERROR($C251 * (1 + H251), "")</f>
        <v>5959870.4826934347</v>
      </c>
      <c r="H251" s="77">
        <f t="shared" ref="H251:H280" ca="1" si="83">IFERROR(INDIRECT($B251&amp;"!H199"), "")</f>
        <v>-6.6882528844275577E-3</v>
      </c>
      <c r="I251" s="140">
        <f t="shared" ref="I251:I280" ca="1" si="84">IFERROR(INDIRECT($B251&amp;"!I199"), "")</f>
        <v>-40129.517306565351</v>
      </c>
      <c r="J251" s="142">
        <f t="shared" ref="J251:J280" ca="1" si="85">IFERROR($C251 * (1 + K251), "")</f>
        <v>5994027.282291309</v>
      </c>
      <c r="K251" s="77">
        <f t="shared" ref="K251:K280" ca="1" si="86">IFERROR(INDIRECT($B251&amp;"!K199"), "")</f>
        <v>-9.9545295144856704E-4</v>
      </c>
      <c r="L251" s="140">
        <f t="shared" ref="L251:L280" ca="1" si="87">IFERROR(INDIRECT($B251&amp;"!L199"), "")</f>
        <v>-5972.7177086913989</v>
      </c>
      <c r="M251" s="142">
        <f t="shared" ref="M251:M280" ca="1" si="88">IFERROR($C251 * (1 + N251), "")</f>
        <v>6026319.5175636429</v>
      </c>
      <c r="N251" s="77">
        <f t="shared" ref="N251:N280" ca="1" si="89">IFERROR(INDIRECT($B251&amp;"!N199"), "")</f>
        <v>4.3865862606072333E-3</v>
      </c>
      <c r="O251" s="140">
        <f t="shared" ref="O251:O280" ca="1" si="90">IFERROR(INDIRECT($B251&amp;"!O199"), "")</f>
        <v>26319.517563643429</v>
      </c>
    </row>
    <row r="252" spans="1:15" ht="16.5" customHeight="1">
      <c r="A252" s="159">
        <v>3</v>
      </c>
      <c r="B252" s="159" t="str">
        <f>TEXT(투자전략!$G$1+2, "[$-ko-KR]yyyy.mm.dd")</f>
        <v>2021.05.03</v>
      </c>
      <c r="C252" s="138">
        <f t="shared" ca="1" si="78"/>
        <v>6000000</v>
      </c>
      <c r="D252" s="142">
        <f t="shared" ca="1" si="79"/>
        <v>6071850.281338485</v>
      </c>
      <c r="E252" s="77">
        <f t="shared" ca="1" si="80"/>
        <v>1.1975046889747402E-2</v>
      </c>
      <c r="F252" s="140">
        <f t="shared" ca="1" si="81"/>
        <v>71850.281338484405</v>
      </c>
      <c r="G252" s="142">
        <f t="shared" ca="1" si="82"/>
        <v>6151029.5048125805</v>
      </c>
      <c r="H252" s="77">
        <f t="shared" ca="1" si="83"/>
        <v>2.5171584135429977E-2</v>
      </c>
      <c r="I252" s="140">
        <f t="shared" ca="1" si="84"/>
        <v>151029.50481257981</v>
      </c>
      <c r="J252" s="142">
        <f t="shared" ca="1" si="85"/>
        <v>6162494.5289060026</v>
      </c>
      <c r="K252" s="77">
        <f t="shared" ca="1" si="86"/>
        <v>2.7082421484333614E-2</v>
      </c>
      <c r="L252" s="140">
        <f t="shared" ca="1" si="87"/>
        <v>162494.52890600168</v>
      </c>
      <c r="M252" s="142">
        <f t="shared" ca="1" si="88"/>
        <v>6130557.5460285367</v>
      </c>
      <c r="N252" s="77">
        <f t="shared" ca="1" si="89"/>
        <v>2.1759591004756114E-2</v>
      </c>
      <c r="O252" s="140">
        <f t="shared" ca="1" si="90"/>
        <v>130557.54602853667</v>
      </c>
    </row>
    <row r="253" spans="1:15" ht="16.5" customHeight="1">
      <c r="A253" s="159">
        <v>4</v>
      </c>
      <c r="B253" s="159" t="str">
        <f>TEXT(투자전략!$G$1+3, "[$-ko-KR]yyyy.mm.dd")</f>
        <v>2021.05.04</v>
      </c>
      <c r="C253" s="138">
        <f t="shared" ca="1" si="78"/>
        <v>6000000</v>
      </c>
      <c r="D253" s="142">
        <f t="shared" ca="1" si="79"/>
        <v>5762140.4655281333</v>
      </c>
      <c r="E253" s="77">
        <f t="shared" ca="1" si="80"/>
        <v>-3.9643255745311128E-2</v>
      </c>
      <c r="F253" s="140">
        <f t="shared" ca="1" si="81"/>
        <v>-237859.53447186679</v>
      </c>
      <c r="G253" s="142">
        <f t="shared" ca="1" si="82"/>
        <v>5824763.0404309658</v>
      </c>
      <c r="H253" s="77">
        <f t="shared" ca="1" si="83"/>
        <v>-2.9206159928172278E-2</v>
      </c>
      <c r="I253" s="140">
        <f t="shared" ca="1" si="84"/>
        <v>-175236.95956903361</v>
      </c>
      <c r="J253" s="142">
        <f t="shared" ca="1" si="85"/>
        <v>5788235.523084146</v>
      </c>
      <c r="K253" s="77">
        <f t="shared" ca="1" si="86"/>
        <v>-3.5294079485975779E-2</v>
      </c>
      <c r="L253" s="140">
        <f t="shared" ca="1" si="87"/>
        <v>-211764.47691585461</v>
      </c>
      <c r="M253" s="142">
        <f t="shared" ca="1" si="88"/>
        <v>5596409.9469873086</v>
      </c>
      <c r="N253" s="77">
        <f t="shared" ca="1" si="89"/>
        <v>-6.7265008835448475E-2</v>
      </c>
      <c r="O253" s="140">
        <f t="shared" ca="1" si="90"/>
        <v>-403590.05301269086</v>
      </c>
    </row>
    <row r="254" spans="1:15" ht="16.5" customHeight="1">
      <c r="A254" s="159">
        <v>5</v>
      </c>
      <c r="B254" s="159" t="str">
        <f>TEXT(투자전략!$G$1+4, "[$-ko-KR]yyyy.mm.dd")</f>
        <v>2021.05.05</v>
      </c>
      <c r="C254" s="138">
        <f t="shared" ca="1" si="78"/>
        <v>3000000</v>
      </c>
      <c r="D254" s="142">
        <f t="shared" ca="1" si="79"/>
        <v>2857823.9727074876</v>
      </c>
      <c r="E254" s="77">
        <f t="shared" ca="1" si="80"/>
        <v>-4.7392009097504052E-2</v>
      </c>
      <c r="F254" s="140">
        <f t="shared" ca="1" si="81"/>
        <v>-142176.02729251215</v>
      </c>
      <c r="G254" s="142">
        <f t="shared" ca="1" si="82"/>
        <v>2914503.427127427</v>
      </c>
      <c r="H254" s="77">
        <f t="shared" ca="1" si="83"/>
        <v>-2.8498857624190993E-2</v>
      </c>
      <c r="I254" s="140">
        <f t="shared" ca="1" si="84"/>
        <v>-85496.572872572986</v>
      </c>
      <c r="J254" s="142">
        <f t="shared" ca="1" si="85"/>
        <v>2881248.0135192964</v>
      </c>
      <c r="K254" s="77">
        <f t="shared" ca="1" si="86"/>
        <v>-3.9583995493567829E-2</v>
      </c>
      <c r="L254" s="140">
        <f t="shared" ca="1" si="87"/>
        <v>-118751.98648070348</v>
      </c>
      <c r="M254" s="142">
        <f t="shared" ca="1" si="88"/>
        <v>2949129.973231947</v>
      </c>
      <c r="N254" s="77">
        <f t="shared" ca="1" si="89"/>
        <v>-1.6956675589350954E-2</v>
      </c>
      <c r="O254" s="140">
        <f t="shared" ca="1" si="90"/>
        <v>-50870.026768052856</v>
      </c>
    </row>
    <row r="255" spans="1:15" ht="16.5" customHeight="1">
      <c r="A255" s="159">
        <v>6</v>
      </c>
      <c r="B255" s="159" t="str">
        <f>TEXT(투자전략!$G$1+5, "[$-ko-KR]yyyy.mm.dd")</f>
        <v>2021.05.06</v>
      </c>
      <c r="C255" s="138">
        <f t="shared" ca="1" si="78"/>
        <v>3000000</v>
      </c>
      <c r="D255" s="142">
        <f t="shared" ca="1" si="79"/>
        <v>3032923.5696568191</v>
      </c>
      <c r="E255" s="77">
        <f t="shared" ca="1" si="80"/>
        <v>1.0974523218939785E-2</v>
      </c>
      <c r="F255" s="140">
        <f t="shared" ca="1" si="81"/>
        <v>32923.56965681936</v>
      </c>
      <c r="G255" s="142">
        <f t="shared" ca="1" si="82"/>
        <v>3029173.7488214332</v>
      </c>
      <c r="H255" s="77">
        <f t="shared" ca="1" si="83"/>
        <v>9.7245829404777676E-3</v>
      </c>
      <c r="I255" s="140">
        <f t="shared" ca="1" si="84"/>
        <v>29173.748821433299</v>
      </c>
      <c r="J255" s="142">
        <f t="shared" ca="1" si="85"/>
        <v>3037321.7469989774</v>
      </c>
      <c r="K255" s="77">
        <f t="shared" ca="1" si="86"/>
        <v>1.2440582332992497E-2</v>
      </c>
      <c r="L255" s="140">
        <f t="shared" ca="1" si="87"/>
        <v>37321.746998977498</v>
      </c>
      <c r="M255" s="142">
        <f t="shared" ca="1" si="88"/>
        <v>3001063.6822244455</v>
      </c>
      <c r="N255" s="77">
        <f t="shared" ca="1" si="89"/>
        <v>3.5456074148180057E-4</v>
      </c>
      <c r="O255" s="140">
        <f t="shared" ca="1" si="90"/>
        <v>1063.6822244454038</v>
      </c>
    </row>
    <row r="256" spans="1:15" ht="16.5" customHeight="1" thickBot="1">
      <c r="A256" s="161">
        <v>7</v>
      </c>
      <c r="B256" s="161" t="str">
        <f>TEXT(투자전략!$G$1+6, "[$-ko-KR]yyyy.mm.dd")</f>
        <v>2021.05.07</v>
      </c>
      <c r="C256" s="138">
        <f t="shared" ca="1" si="78"/>
        <v>3000000</v>
      </c>
      <c r="D256" s="142">
        <f t="shared" ca="1" si="79"/>
        <v>2780552.1730083278</v>
      </c>
      <c r="E256" s="77">
        <f t="shared" ca="1" si="80"/>
        <v>-7.3149275663890678E-2</v>
      </c>
      <c r="F256" s="140">
        <f t="shared" ca="1" si="81"/>
        <v>-219447.82699167202</v>
      </c>
      <c r="G256" s="142">
        <f t="shared" ca="1" si="82"/>
        <v>2836638.1312083574</v>
      </c>
      <c r="H256" s="77">
        <f t="shared" ca="1" si="83"/>
        <v>-5.4453956263880873E-2</v>
      </c>
      <c r="I256" s="140">
        <f t="shared" ca="1" si="84"/>
        <v>-163361.8687916426</v>
      </c>
      <c r="J256" s="142">
        <f t="shared" ca="1" si="85"/>
        <v>2940004.2227224642</v>
      </c>
      <c r="K256" s="77">
        <f t="shared" ca="1" si="86"/>
        <v>-1.9998592425845285E-2</v>
      </c>
      <c r="L256" s="140">
        <f t="shared" ca="1" si="87"/>
        <v>-59995.777277535846</v>
      </c>
      <c r="M256" s="142">
        <f t="shared" ca="1" si="88"/>
        <v>2947624.3279117458</v>
      </c>
      <c r="N256" s="77">
        <f t="shared" ca="1" si="89"/>
        <v>-1.7458557362751391E-2</v>
      </c>
      <c r="O256" s="140">
        <f t="shared" ca="1" si="90"/>
        <v>-52375.67208825417</v>
      </c>
    </row>
    <row r="257" spans="1:15" ht="16.5" customHeight="1">
      <c r="A257" s="160">
        <v>8</v>
      </c>
      <c r="B257" s="160" t="str">
        <f>TEXT(투자전략!$G$1+7, "[$-ko-KR]yyyy.mm.dd")</f>
        <v>2021.05.08</v>
      </c>
      <c r="C257" s="137">
        <f t="shared" ca="1" si="78"/>
        <v>3000000</v>
      </c>
      <c r="D257" s="145">
        <f t="shared" ca="1" si="79"/>
        <v>2928458.3041285169</v>
      </c>
      <c r="E257" s="76">
        <f t="shared" ca="1" si="80"/>
        <v>-2.3847231957161014E-2</v>
      </c>
      <c r="F257" s="144">
        <f t="shared" ca="1" si="81"/>
        <v>-71541.695871483054</v>
      </c>
      <c r="G257" s="145">
        <f t="shared" ca="1" si="82"/>
        <v>2956593.4403385627</v>
      </c>
      <c r="H257" s="76">
        <f t="shared" ca="1" si="83"/>
        <v>-1.4468853220479094E-2</v>
      </c>
      <c r="I257" s="144">
        <f t="shared" ca="1" si="84"/>
        <v>-43406.55966143727</v>
      </c>
      <c r="J257" s="145">
        <f t="shared" ca="1" si="85"/>
        <v>2944041.2443186501</v>
      </c>
      <c r="K257" s="76">
        <f t="shared" ca="1" si="86"/>
        <v>-1.8652918560449917E-2</v>
      </c>
      <c r="L257" s="144">
        <f t="shared" ca="1" si="87"/>
        <v>-55958.755681349743</v>
      </c>
      <c r="M257" s="145">
        <f t="shared" ca="1" si="88"/>
        <v>2940165.1811366268</v>
      </c>
      <c r="N257" s="76">
        <f t="shared" ca="1" si="89"/>
        <v>-1.9944939621124414E-2</v>
      </c>
      <c r="O257" s="144">
        <f t="shared" ca="1" si="90"/>
        <v>-59834.818863373235</v>
      </c>
    </row>
    <row r="258" spans="1:15" ht="16.5" customHeight="1">
      <c r="A258" s="159">
        <v>9</v>
      </c>
      <c r="B258" s="159" t="str">
        <f>TEXT(투자전략!$G$1+8, "[$-ko-KR]yyyy.mm.dd")</f>
        <v>2021.05.09</v>
      </c>
      <c r="C258" s="138">
        <f t="shared" ca="1" si="78"/>
        <v>3000000</v>
      </c>
      <c r="D258" s="142">
        <f t="shared" ca="1" si="79"/>
        <v>2995070.5747460211</v>
      </c>
      <c r="E258" s="77">
        <f t="shared" ca="1" si="80"/>
        <v>-1.6431417513262984E-3</v>
      </c>
      <c r="F258" s="140">
        <f t="shared" ca="1" si="81"/>
        <v>-4929.4252539789049</v>
      </c>
      <c r="G258" s="142">
        <f t="shared" ca="1" si="82"/>
        <v>2945887.6493639452</v>
      </c>
      <c r="H258" s="77">
        <f t="shared" ca="1" si="83"/>
        <v>-1.8037450212018209E-2</v>
      </c>
      <c r="I258" s="140">
        <f t="shared" ca="1" si="84"/>
        <v>-54112.350636054609</v>
      </c>
      <c r="J258" s="142">
        <f t="shared" ca="1" si="85"/>
        <v>2913897.163610959</v>
      </c>
      <c r="K258" s="77">
        <f t="shared" ca="1" si="86"/>
        <v>-2.8700945463013567E-2</v>
      </c>
      <c r="L258" s="140">
        <f t="shared" ca="1" si="87"/>
        <v>-86102.83638904072</v>
      </c>
      <c r="M258" s="142">
        <f t="shared" ca="1" si="88"/>
        <v>2945929.5199583615</v>
      </c>
      <c r="N258" s="77">
        <f t="shared" ca="1" si="89"/>
        <v>-1.8023493347212784E-2</v>
      </c>
      <c r="O258" s="140">
        <f t="shared" ca="1" si="90"/>
        <v>-54070.480041638366</v>
      </c>
    </row>
    <row r="259" spans="1:15" ht="16.5" customHeight="1">
      <c r="A259" s="159">
        <v>10</v>
      </c>
      <c r="B259" s="159" t="str">
        <f>TEXT(투자전략!$G$1+9, "[$-ko-KR]yyyy.mm.dd")</f>
        <v>2021.05.10</v>
      </c>
      <c r="C259" s="138">
        <f t="shared" ca="1" si="78"/>
        <v>3000000</v>
      </c>
      <c r="D259" s="142">
        <f t="shared" ca="1" si="79"/>
        <v>3069791.002509499</v>
      </c>
      <c r="E259" s="77">
        <f t="shared" ca="1" si="80"/>
        <v>2.3263667503166295E-2</v>
      </c>
      <c r="F259" s="140">
        <f t="shared" ca="1" si="81"/>
        <v>69791.002509498881</v>
      </c>
      <c r="G259" s="142">
        <f t="shared" ca="1" si="82"/>
        <v>3069947.7296672021</v>
      </c>
      <c r="H259" s="77">
        <f t="shared" ca="1" si="83"/>
        <v>2.3315909889067479E-2</v>
      </c>
      <c r="I259" s="140">
        <f t="shared" ca="1" si="84"/>
        <v>69947.729667202453</v>
      </c>
      <c r="J259" s="142">
        <f t="shared" ca="1" si="85"/>
        <v>3058358.4998436966</v>
      </c>
      <c r="K259" s="77">
        <f t="shared" ca="1" si="86"/>
        <v>1.945283328123237E-2</v>
      </c>
      <c r="L259" s="140">
        <f t="shared" ca="1" si="87"/>
        <v>58358.499843697115</v>
      </c>
      <c r="M259" s="142">
        <f t="shared" ca="1" si="88"/>
        <v>3000000</v>
      </c>
      <c r="N259" s="77">
        <f t="shared" ca="1" si="89"/>
        <v>0</v>
      </c>
      <c r="O259" s="140">
        <f t="shared" ca="1" si="90"/>
        <v>0</v>
      </c>
    </row>
    <row r="260" spans="1:15" ht="16.5" customHeight="1">
      <c r="A260" s="159">
        <v>11</v>
      </c>
      <c r="B260" s="159" t="str">
        <f>TEXT(투자전략!$G$1+10, "[$-ko-KR]yyyy.mm.dd")</f>
        <v>2021.05.11</v>
      </c>
      <c r="C260" s="138" t="str">
        <f t="shared" ca="1" si="78"/>
        <v/>
      </c>
      <c r="D260" s="142" t="str">
        <f t="shared" ca="1" si="79"/>
        <v/>
      </c>
      <c r="E260" s="77" t="str">
        <f t="shared" ca="1" si="80"/>
        <v/>
      </c>
      <c r="F260" s="140" t="str">
        <f t="shared" ca="1" si="81"/>
        <v/>
      </c>
      <c r="G260" s="142" t="str">
        <f t="shared" ca="1" si="82"/>
        <v/>
      </c>
      <c r="H260" s="77" t="str">
        <f t="shared" ca="1" si="83"/>
        <v/>
      </c>
      <c r="I260" s="140" t="str">
        <f t="shared" ca="1" si="84"/>
        <v/>
      </c>
      <c r="J260" s="142" t="str">
        <f t="shared" ca="1" si="85"/>
        <v/>
      </c>
      <c r="K260" s="77" t="str">
        <f t="shared" ca="1" si="86"/>
        <v/>
      </c>
      <c r="L260" s="140" t="str">
        <f t="shared" ca="1" si="87"/>
        <v/>
      </c>
      <c r="M260" s="142" t="str">
        <f t="shared" ca="1" si="88"/>
        <v/>
      </c>
      <c r="N260" s="77" t="str">
        <f t="shared" ca="1" si="89"/>
        <v/>
      </c>
      <c r="O260" s="140" t="str">
        <f t="shared" ca="1" si="90"/>
        <v/>
      </c>
    </row>
    <row r="261" spans="1:15" ht="16.5" customHeight="1">
      <c r="A261" s="159">
        <v>12</v>
      </c>
      <c r="B261" s="159" t="str">
        <f>TEXT(투자전략!$G$1+11, "[$-ko-KR]yyyy.mm.dd")</f>
        <v>2021.05.12</v>
      </c>
      <c r="C261" s="138" t="str">
        <f t="shared" ca="1" si="78"/>
        <v/>
      </c>
      <c r="D261" s="142" t="str">
        <f t="shared" ca="1" si="79"/>
        <v/>
      </c>
      <c r="E261" s="77" t="str">
        <f t="shared" ca="1" si="80"/>
        <v/>
      </c>
      <c r="F261" s="140" t="str">
        <f t="shared" ca="1" si="81"/>
        <v/>
      </c>
      <c r="G261" s="142" t="str">
        <f t="shared" ca="1" si="82"/>
        <v/>
      </c>
      <c r="H261" s="77" t="str">
        <f t="shared" ca="1" si="83"/>
        <v/>
      </c>
      <c r="I261" s="140" t="str">
        <f t="shared" ca="1" si="84"/>
        <v/>
      </c>
      <c r="J261" s="142" t="str">
        <f t="shared" ca="1" si="85"/>
        <v/>
      </c>
      <c r="K261" s="77" t="str">
        <f t="shared" ca="1" si="86"/>
        <v/>
      </c>
      <c r="L261" s="140" t="str">
        <f t="shared" ca="1" si="87"/>
        <v/>
      </c>
      <c r="M261" s="142" t="str">
        <f t="shared" ca="1" si="88"/>
        <v/>
      </c>
      <c r="N261" s="77" t="str">
        <f t="shared" ca="1" si="89"/>
        <v/>
      </c>
      <c r="O261" s="140" t="str">
        <f t="shared" ca="1" si="90"/>
        <v/>
      </c>
    </row>
    <row r="262" spans="1:15" ht="16.5" customHeight="1">
      <c r="A262" s="159">
        <v>13</v>
      </c>
      <c r="B262" s="159" t="str">
        <f>TEXT(투자전략!$G$1+12, "[$-ko-KR]yyyy.mm.dd")</f>
        <v>2021.05.13</v>
      </c>
      <c r="C262" s="138" t="str">
        <f t="shared" ca="1" si="78"/>
        <v/>
      </c>
      <c r="D262" s="142" t="str">
        <f t="shared" ca="1" si="79"/>
        <v/>
      </c>
      <c r="E262" s="77" t="str">
        <f t="shared" ca="1" si="80"/>
        <v/>
      </c>
      <c r="F262" s="140" t="str">
        <f t="shared" ca="1" si="81"/>
        <v/>
      </c>
      <c r="G262" s="142" t="str">
        <f t="shared" ca="1" si="82"/>
        <v/>
      </c>
      <c r="H262" s="77" t="str">
        <f t="shared" ca="1" si="83"/>
        <v/>
      </c>
      <c r="I262" s="140" t="str">
        <f t="shared" ca="1" si="84"/>
        <v/>
      </c>
      <c r="J262" s="142" t="str">
        <f t="shared" ca="1" si="85"/>
        <v/>
      </c>
      <c r="K262" s="77" t="str">
        <f t="shared" ca="1" si="86"/>
        <v/>
      </c>
      <c r="L262" s="140" t="str">
        <f t="shared" ca="1" si="87"/>
        <v/>
      </c>
      <c r="M262" s="142" t="str">
        <f t="shared" ca="1" si="88"/>
        <v/>
      </c>
      <c r="N262" s="77" t="str">
        <f t="shared" ca="1" si="89"/>
        <v/>
      </c>
      <c r="O262" s="140" t="str">
        <f t="shared" ca="1" si="90"/>
        <v/>
      </c>
    </row>
    <row r="263" spans="1:15" ht="16.5" customHeight="1" thickBot="1">
      <c r="A263" s="161">
        <v>14</v>
      </c>
      <c r="B263" s="161" t="str">
        <f>TEXT(투자전략!$G$1+13, "[$-ko-KR]yyyy.mm.dd")</f>
        <v>2021.05.14</v>
      </c>
      <c r="C263" s="139" t="str">
        <f t="shared" ca="1" si="78"/>
        <v/>
      </c>
      <c r="D263" s="143" t="str">
        <f t="shared" ca="1" si="79"/>
        <v/>
      </c>
      <c r="E263" s="79" t="str">
        <f t="shared" ca="1" si="80"/>
        <v/>
      </c>
      <c r="F263" s="141" t="str">
        <f t="shared" ca="1" si="81"/>
        <v/>
      </c>
      <c r="G263" s="143" t="str">
        <f t="shared" ca="1" si="82"/>
        <v/>
      </c>
      <c r="H263" s="79" t="str">
        <f t="shared" ca="1" si="83"/>
        <v/>
      </c>
      <c r="I263" s="141" t="str">
        <f t="shared" ca="1" si="84"/>
        <v/>
      </c>
      <c r="J263" s="143" t="str">
        <f t="shared" ca="1" si="85"/>
        <v/>
      </c>
      <c r="K263" s="79" t="str">
        <f t="shared" ca="1" si="86"/>
        <v/>
      </c>
      <c r="L263" s="141" t="str">
        <f t="shared" ca="1" si="87"/>
        <v/>
      </c>
      <c r="M263" s="143" t="str">
        <f t="shared" ca="1" si="88"/>
        <v/>
      </c>
      <c r="N263" s="79" t="str">
        <f t="shared" ca="1" si="89"/>
        <v/>
      </c>
      <c r="O263" s="141" t="str">
        <f t="shared" ca="1" si="90"/>
        <v/>
      </c>
    </row>
    <row r="264" spans="1:15" ht="16.5" customHeight="1">
      <c r="A264" s="160">
        <v>15</v>
      </c>
      <c r="B264" s="160" t="str">
        <f>TEXT(투자전략!$G$1+14, "[$-ko-KR]yyyy.mm.dd")</f>
        <v>2021.05.15</v>
      </c>
      <c r="C264" s="138" t="str">
        <f t="shared" ca="1" si="78"/>
        <v/>
      </c>
      <c r="D264" s="142" t="str">
        <f t="shared" ca="1" si="79"/>
        <v/>
      </c>
      <c r="E264" s="77" t="str">
        <f t="shared" ca="1" si="80"/>
        <v/>
      </c>
      <c r="F264" s="140" t="str">
        <f t="shared" ca="1" si="81"/>
        <v/>
      </c>
      <c r="G264" s="142" t="str">
        <f t="shared" ca="1" si="82"/>
        <v/>
      </c>
      <c r="H264" s="77" t="str">
        <f t="shared" ca="1" si="83"/>
        <v/>
      </c>
      <c r="I264" s="140" t="str">
        <f t="shared" ca="1" si="84"/>
        <v/>
      </c>
      <c r="J264" s="142" t="str">
        <f t="shared" ca="1" si="85"/>
        <v/>
      </c>
      <c r="K264" s="77" t="str">
        <f t="shared" ca="1" si="86"/>
        <v/>
      </c>
      <c r="L264" s="140" t="str">
        <f t="shared" ca="1" si="87"/>
        <v/>
      </c>
      <c r="M264" s="142" t="str">
        <f t="shared" ca="1" si="88"/>
        <v/>
      </c>
      <c r="N264" s="77" t="str">
        <f t="shared" ca="1" si="89"/>
        <v/>
      </c>
      <c r="O264" s="140" t="str">
        <f t="shared" ca="1" si="90"/>
        <v/>
      </c>
    </row>
    <row r="265" spans="1:15" ht="16.5" customHeight="1">
      <c r="A265" s="159">
        <v>16</v>
      </c>
      <c r="B265" s="159" t="str">
        <f>TEXT(투자전략!$G$1+15, "[$-ko-KR]yyyy.mm.dd")</f>
        <v>2021.05.16</v>
      </c>
      <c r="C265" s="138" t="str">
        <f t="shared" ca="1" si="78"/>
        <v/>
      </c>
      <c r="D265" s="142" t="str">
        <f t="shared" ca="1" si="79"/>
        <v/>
      </c>
      <c r="E265" s="77" t="str">
        <f t="shared" ca="1" si="80"/>
        <v/>
      </c>
      <c r="F265" s="140" t="str">
        <f t="shared" ca="1" si="81"/>
        <v/>
      </c>
      <c r="G265" s="142" t="str">
        <f t="shared" ca="1" si="82"/>
        <v/>
      </c>
      <c r="H265" s="77" t="str">
        <f t="shared" ca="1" si="83"/>
        <v/>
      </c>
      <c r="I265" s="140" t="str">
        <f t="shared" ca="1" si="84"/>
        <v/>
      </c>
      <c r="J265" s="142" t="str">
        <f t="shared" ca="1" si="85"/>
        <v/>
      </c>
      <c r="K265" s="77" t="str">
        <f t="shared" ca="1" si="86"/>
        <v/>
      </c>
      <c r="L265" s="140" t="str">
        <f t="shared" ca="1" si="87"/>
        <v/>
      </c>
      <c r="M265" s="142" t="str">
        <f t="shared" ca="1" si="88"/>
        <v/>
      </c>
      <c r="N265" s="77" t="str">
        <f t="shared" ca="1" si="89"/>
        <v/>
      </c>
      <c r="O265" s="140" t="str">
        <f t="shared" ca="1" si="90"/>
        <v/>
      </c>
    </row>
    <row r="266" spans="1:15" ht="16.5" customHeight="1">
      <c r="A266" s="159">
        <v>17</v>
      </c>
      <c r="B266" s="159" t="str">
        <f>TEXT(투자전략!$G$1+16, "[$-ko-KR]yyyy.mm.dd")</f>
        <v>2021.05.17</v>
      </c>
      <c r="C266" s="138" t="str">
        <f t="shared" ca="1" si="78"/>
        <v/>
      </c>
      <c r="D266" s="142" t="str">
        <f t="shared" ca="1" si="79"/>
        <v/>
      </c>
      <c r="E266" s="77" t="str">
        <f t="shared" ca="1" si="80"/>
        <v/>
      </c>
      <c r="F266" s="140" t="str">
        <f t="shared" ca="1" si="81"/>
        <v/>
      </c>
      <c r="G266" s="142" t="str">
        <f t="shared" ca="1" si="82"/>
        <v/>
      </c>
      <c r="H266" s="77" t="str">
        <f t="shared" ca="1" si="83"/>
        <v/>
      </c>
      <c r="I266" s="140" t="str">
        <f t="shared" ca="1" si="84"/>
        <v/>
      </c>
      <c r="J266" s="142" t="str">
        <f t="shared" ca="1" si="85"/>
        <v/>
      </c>
      <c r="K266" s="77" t="str">
        <f t="shared" ca="1" si="86"/>
        <v/>
      </c>
      <c r="L266" s="140" t="str">
        <f t="shared" ca="1" si="87"/>
        <v/>
      </c>
      <c r="M266" s="142" t="str">
        <f t="shared" ca="1" si="88"/>
        <v/>
      </c>
      <c r="N266" s="77" t="str">
        <f t="shared" ca="1" si="89"/>
        <v/>
      </c>
      <c r="O266" s="140" t="str">
        <f t="shared" ca="1" si="90"/>
        <v/>
      </c>
    </row>
    <row r="267" spans="1:15" ht="16.5" customHeight="1">
      <c r="A267" s="159">
        <v>18</v>
      </c>
      <c r="B267" s="159" t="str">
        <f>TEXT(투자전략!$G$1+17, "[$-ko-KR]yyyy.mm.dd")</f>
        <v>2021.05.18</v>
      </c>
      <c r="C267" s="138" t="str">
        <f t="shared" ca="1" si="78"/>
        <v/>
      </c>
      <c r="D267" s="142" t="str">
        <f t="shared" ca="1" si="79"/>
        <v/>
      </c>
      <c r="E267" s="77" t="str">
        <f t="shared" ca="1" si="80"/>
        <v/>
      </c>
      <c r="F267" s="140" t="str">
        <f t="shared" ca="1" si="81"/>
        <v/>
      </c>
      <c r="G267" s="142" t="str">
        <f t="shared" ca="1" si="82"/>
        <v/>
      </c>
      <c r="H267" s="77" t="str">
        <f t="shared" ca="1" si="83"/>
        <v/>
      </c>
      <c r="I267" s="140" t="str">
        <f t="shared" ca="1" si="84"/>
        <v/>
      </c>
      <c r="J267" s="142" t="str">
        <f t="shared" ca="1" si="85"/>
        <v/>
      </c>
      <c r="K267" s="77" t="str">
        <f t="shared" ca="1" si="86"/>
        <v/>
      </c>
      <c r="L267" s="140" t="str">
        <f t="shared" ca="1" si="87"/>
        <v/>
      </c>
      <c r="M267" s="142" t="str">
        <f t="shared" ca="1" si="88"/>
        <v/>
      </c>
      <c r="N267" s="77" t="str">
        <f t="shared" ca="1" si="89"/>
        <v/>
      </c>
      <c r="O267" s="140" t="str">
        <f t="shared" ca="1" si="90"/>
        <v/>
      </c>
    </row>
    <row r="268" spans="1:15" ht="16.5" customHeight="1">
      <c r="A268" s="159">
        <v>19</v>
      </c>
      <c r="B268" s="159" t="str">
        <f>TEXT(투자전략!$G$1+18, "[$-ko-KR]yyyy.mm.dd")</f>
        <v>2021.05.19</v>
      </c>
      <c r="C268" s="138" t="str">
        <f t="shared" ca="1" si="78"/>
        <v/>
      </c>
      <c r="D268" s="142" t="str">
        <f t="shared" ca="1" si="79"/>
        <v/>
      </c>
      <c r="E268" s="77" t="str">
        <f t="shared" ca="1" si="80"/>
        <v/>
      </c>
      <c r="F268" s="140" t="str">
        <f t="shared" ca="1" si="81"/>
        <v/>
      </c>
      <c r="G268" s="142" t="str">
        <f t="shared" ca="1" si="82"/>
        <v/>
      </c>
      <c r="H268" s="77" t="str">
        <f t="shared" ca="1" si="83"/>
        <v/>
      </c>
      <c r="I268" s="140" t="str">
        <f t="shared" ca="1" si="84"/>
        <v/>
      </c>
      <c r="J268" s="142" t="str">
        <f t="shared" ca="1" si="85"/>
        <v/>
      </c>
      <c r="K268" s="77" t="str">
        <f t="shared" ca="1" si="86"/>
        <v/>
      </c>
      <c r="L268" s="140" t="str">
        <f t="shared" ca="1" si="87"/>
        <v/>
      </c>
      <c r="M268" s="142" t="str">
        <f t="shared" ca="1" si="88"/>
        <v/>
      </c>
      <c r="N268" s="77" t="str">
        <f t="shared" ca="1" si="89"/>
        <v/>
      </c>
      <c r="O268" s="140" t="str">
        <f t="shared" ca="1" si="90"/>
        <v/>
      </c>
    </row>
    <row r="269" spans="1:15" ht="16.5" customHeight="1">
      <c r="A269" s="159">
        <v>20</v>
      </c>
      <c r="B269" s="159" t="str">
        <f>TEXT(투자전략!$G$1+19, "[$-ko-KR]yyyy.mm.dd")</f>
        <v>2021.05.20</v>
      </c>
      <c r="C269" s="138" t="str">
        <f t="shared" ca="1" si="78"/>
        <v/>
      </c>
      <c r="D269" s="142" t="str">
        <f t="shared" ca="1" si="79"/>
        <v/>
      </c>
      <c r="E269" s="77" t="str">
        <f t="shared" ca="1" si="80"/>
        <v/>
      </c>
      <c r="F269" s="140" t="str">
        <f t="shared" ca="1" si="81"/>
        <v/>
      </c>
      <c r="G269" s="142" t="str">
        <f t="shared" ca="1" si="82"/>
        <v/>
      </c>
      <c r="H269" s="77" t="str">
        <f t="shared" ca="1" si="83"/>
        <v/>
      </c>
      <c r="I269" s="140" t="str">
        <f t="shared" ca="1" si="84"/>
        <v/>
      </c>
      <c r="J269" s="142" t="str">
        <f t="shared" ca="1" si="85"/>
        <v/>
      </c>
      <c r="K269" s="77" t="str">
        <f t="shared" ca="1" si="86"/>
        <v/>
      </c>
      <c r="L269" s="140" t="str">
        <f t="shared" ca="1" si="87"/>
        <v/>
      </c>
      <c r="M269" s="142" t="str">
        <f t="shared" ca="1" si="88"/>
        <v/>
      </c>
      <c r="N269" s="77" t="str">
        <f t="shared" ca="1" si="89"/>
        <v/>
      </c>
      <c r="O269" s="140" t="str">
        <f t="shared" ca="1" si="90"/>
        <v/>
      </c>
    </row>
    <row r="270" spans="1:15" ht="16.5" customHeight="1" thickBot="1">
      <c r="A270" s="161">
        <v>21</v>
      </c>
      <c r="B270" s="161" t="str">
        <f>TEXT(투자전략!$G$1+20, "[$-ko-KR]yyyy.mm.dd")</f>
        <v>2021.05.21</v>
      </c>
      <c r="C270" s="138" t="str">
        <f t="shared" ca="1" si="78"/>
        <v/>
      </c>
      <c r="D270" s="142" t="str">
        <f t="shared" ca="1" si="79"/>
        <v/>
      </c>
      <c r="E270" s="77" t="str">
        <f t="shared" ca="1" si="80"/>
        <v/>
      </c>
      <c r="F270" s="140" t="str">
        <f t="shared" ca="1" si="81"/>
        <v/>
      </c>
      <c r="G270" s="142" t="str">
        <f t="shared" ca="1" si="82"/>
        <v/>
      </c>
      <c r="H270" s="77" t="str">
        <f t="shared" ca="1" si="83"/>
        <v/>
      </c>
      <c r="I270" s="140" t="str">
        <f t="shared" ca="1" si="84"/>
        <v/>
      </c>
      <c r="J270" s="142" t="str">
        <f t="shared" ca="1" si="85"/>
        <v/>
      </c>
      <c r="K270" s="77" t="str">
        <f t="shared" ca="1" si="86"/>
        <v/>
      </c>
      <c r="L270" s="140" t="str">
        <f t="shared" ca="1" si="87"/>
        <v/>
      </c>
      <c r="M270" s="142" t="str">
        <f t="shared" ca="1" si="88"/>
        <v/>
      </c>
      <c r="N270" s="77" t="str">
        <f t="shared" ca="1" si="89"/>
        <v/>
      </c>
      <c r="O270" s="140" t="str">
        <f t="shared" ca="1" si="90"/>
        <v/>
      </c>
    </row>
    <row r="271" spans="1:15" ht="16.5" customHeight="1">
      <c r="A271" s="160">
        <v>22</v>
      </c>
      <c r="B271" s="160" t="str">
        <f>TEXT(투자전략!$G$1+21, "[$-ko-KR]yyyy.mm.dd")</f>
        <v>2021.05.22</v>
      </c>
      <c r="C271" s="137" t="str">
        <f t="shared" ca="1" si="78"/>
        <v/>
      </c>
      <c r="D271" s="145" t="str">
        <f t="shared" ca="1" si="79"/>
        <v/>
      </c>
      <c r="E271" s="76" t="str">
        <f t="shared" ca="1" si="80"/>
        <v/>
      </c>
      <c r="F271" s="144" t="str">
        <f t="shared" ca="1" si="81"/>
        <v/>
      </c>
      <c r="G271" s="145" t="str">
        <f t="shared" ca="1" si="82"/>
        <v/>
      </c>
      <c r="H271" s="76" t="str">
        <f t="shared" ca="1" si="83"/>
        <v/>
      </c>
      <c r="I271" s="144" t="str">
        <f t="shared" ca="1" si="84"/>
        <v/>
      </c>
      <c r="J271" s="145" t="str">
        <f t="shared" ca="1" si="85"/>
        <v/>
      </c>
      <c r="K271" s="76" t="str">
        <f t="shared" ca="1" si="86"/>
        <v/>
      </c>
      <c r="L271" s="144" t="str">
        <f t="shared" ca="1" si="87"/>
        <v/>
      </c>
      <c r="M271" s="145" t="str">
        <f t="shared" ca="1" si="88"/>
        <v/>
      </c>
      <c r="N271" s="76" t="str">
        <f t="shared" ca="1" si="89"/>
        <v/>
      </c>
      <c r="O271" s="144" t="str">
        <f t="shared" ca="1" si="90"/>
        <v/>
      </c>
    </row>
    <row r="272" spans="1:15" ht="16.5" customHeight="1">
      <c r="A272" s="159">
        <v>23</v>
      </c>
      <c r="B272" s="159" t="str">
        <f>TEXT(투자전략!$G$1+22, "[$-ko-KR]yyyy.mm.dd")</f>
        <v>2021.05.23</v>
      </c>
      <c r="C272" s="138" t="str">
        <f t="shared" ca="1" si="78"/>
        <v/>
      </c>
      <c r="D272" s="142" t="str">
        <f t="shared" ca="1" si="79"/>
        <v/>
      </c>
      <c r="E272" s="77" t="str">
        <f t="shared" ca="1" si="80"/>
        <v/>
      </c>
      <c r="F272" s="140" t="str">
        <f t="shared" ca="1" si="81"/>
        <v/>
      </c>
      <c r="G272" s="142" t="str">
        <f t="shared" ca="1" si="82"/>
        <v/>
      </c>
      <c r="H272" s="77" t="str">
        <f t="shared" ca="1" si="83"/>
        <v/>
      </c>
      <c r="I272" s="140" t="str">
        <f t="shared" ca="1" si="84"/>
        <v/>
      </c>
      <c r="J272" s="142" t="str">
        <f t="shared" ca="1" si="85"/>
        <v/>
      </c>
      <c r="K272" s="77" t="str">
        <f t="shared" ca="1" si="86"/>
        <v/>
      </c>
      <c r="L272" s="140" t="str">
        <f t="shared" ca="1" si="87"/>
        <v/>
      </c>
      <c r="M272" s="142" t="str">
        <f t="shared" ca="1" si="88"/>
        <v/>
      </c>
      <c r="N272" s="77" t="str">
        <f t="shared" ca="1" si="89"/>
        <v/>
      </c>
      <c r="O272" s="140" t="str">
        <f t="shared" ca="1" si="90"/>
        <v/>
      </c>
    </row>
    <row r="273" spans="1:15" ht="16.5" customHeight="1">
      <c r="A273" s="159">
        <v>24</v>
      </c>
      <c r="B273" s="159" t="str">
        <f>TEXT(투자전략!$G$1+23, "[$-ko-KR]yyyy.mm.dd")</f>
        <v>2021.05.24</v>
      </c>
      <c r="C273" s="138" t="str">
        <f t="shared" ca="1" si="78"/>
        <v/>
      </c>
      <c r="D273" s="142" t="str">
        <f t="shared" ca="1" si="79"/>
        <v/>
      </c>
      <c r="E273" s="77" t="str">
        <f t="shared" ca="1" si="80"/>
        <v/>
      </c>
      <c r="F273" s="140" t="str">
        <f t="shared" ca="1" si="81"/>
        <v/>
      </c>
      <c r="G273" s="142" t="str">
        <f t="shared" ca="1" si="82"/>
        <v/>
      </c>
      <c r="H273" s="77" t="str">
        <f t="shared" ca="1" si="83"/>
        <v/>
      </c>
      <c r="I273" s="140" t="str">
        <f t="shared" ca="1" si="84"/>
        <v/>
      </c>
      <c r="J273" s="142" t="str">
        <f t="shared" ca="1" si="85"/>
        <v/>
      </c>
      <c r="K273" s="77" t="str">
        <f t="shared" ca="1" si="86"/>
        <v/>
      </c>
      <c r="L273" s="140" t="str">
        <f t="shared" ca="1" si="87"/>
        <v/>
      </c>
      <c r="M273" s="142" t="str">
        <f t="shared" ca="1" si="88"/>
        <v/>
      </c>
      <c r="N273" s="77" t="str">
        <f t="shared" ca="1" si="89"/>
        <v/>
      </c>
      <c r="O273" s="140" t="str">
        <f t="shared" ca="1" si="90"/>
        <v/>
      </c>
    </row>
    <row r="274" spans="1:15" ht="16.5" customHeight="1">
      <c r="A274" s="159">
        <v>25</v>
      </c>
      <c r="B274" s="159" t="str">
        <f>TEXT(투자전략!$G$1+24, "[$-ko-KR]yyyy.mm.dd")</f>
        <v>2021.05.25</v>
      </c>
      <c r="C274" s="138" t="str">
        <f t="shared" ca="1" si="78"/>
        <v/>
      </c>
      <c r="D274" s="142" t="str">
        <f t="shared" ca="1" si="79"/>
        <v/>
      </c>
      <c r="E274" s="77" t="str">
        <f t="shared" ca="1" si="80"/>
        <v/>
      </c>
      <c r="F274" s="140" t="str">
        <f t="shared" ca="1" si="81"/>
        <v/>
      </c>
      <c r="G274" s="142" t="str">
        <f t="shared" ca="1" si="82"/>
        <v/>
      </c>
      <c r="H274" s="77" t="str">
        <f t="shared" ca="1" si="83"/>
        <v/>
      </c>
      <c r="I274" s="140" t="str">
        <f t="shared" ca="1" si="84"/>
        <v/>
      </c>
      <c r="J274" s="142" t="str">
        <f t="shared" ca="1" si="85"/>
        <v/>
      </c>
      <c r="K274" s="77" t="str">
        <f t="shared" ca="1" si="86"/>
        <v/>
      </c>
      <c r="L274" s="140" t="str">
        <f t="shared" ca="1" si="87"/>
        <v/>
      </c>
      <c r="M274" s="142" t="str">
        <f t="shared" ca="1" si="88"/>
        <v/>
      </c>
      <c r="N274" s="77" t="str">
        <f t="shared" ca="1" si="89"/>
        <v/>
      </c>
      <c r="O274" s="140" t="str">
        <f t="shared" ca="1" si="90"/>
        <v/>
      </c>
    </row>
    <row r="275" spans="1:15" ht="16.5" customHeight="1">
      <c r="A275" s="159">
        <v>26</v>
      </c>
      <c r="B275" s="159" t="str">
        <f>TEXT(투자전략!$G$1+25, "[$-ko-KR]yyyy.mm.dd")</f>
        <v>2021.05.26</v>
      </c>
      <c r="C275" s="138" t="str">
        <f t="shared" ca="1" si="78"/>
        <v/>
      </c>
      <c r="D275" s="142" t="str">
        <f t="shared" ca="1" si="79"/>
        <v/>
      </c>
      <c r="E275" s="77" t="str">
        <f t="shared" ca="1" si="80"/>
        <v/>
      </c>
      <c r="F275" s="140" t="str">
        <f t="shared" ca="1" si="81"/>
        <v/>
      </c>
      <c r="G275" s="142" t="str">
        <f t="shared" ca="1" si="82"/>
        <v/>
      </c>
      <c r="H275" s="77" t="str">
        <f t="shared" ca="1" si="83"/>
        <v/>
      </c>
      <c r="I275" s="140" t="str">
        <f t="shared" ca="1" si="84"/>
        <v/>
      </c>
      <c r="J275" s="142" t="str">
        <f t="shared" ca="1" si="85"/>
        <v/>
      </c>
      <c r="K275" s="77" t="str">
        <f t="shared" ca="1" si="86"/>
        <v/>
      </c>
      <c r="L275" s="140" t="str">
        <f t="shared" ca="1" si="87"/>
        <v/>
      </c>
      <c r="M275" s="142" t="str">
        <f t="shared" ca="1" si="88"/>
        <v/>
      </c>
      <c r="N275" s="77" t="str">
        <f t="shared" ca="1" si="89"/>
        <v/>
      </c>
      <c r="O275" s="140" t="str">
        <f t="shared" ca="1" si="90"/>
        <v/>
      </c>
    </row>
    <row r="276" spans="1:15" ht="16.5" customHeight="1">
      <c r="A276" s="159">
        <v>27</v>
      </c>
      <c r="B276" s="159" t="str">
        <f>TEXT(투자전략!$G$1+26, "[$-ko-KR]yyyy.mm.dd")</f>
        <v>2021.05.27</v>
      </c>
      <c r="C276" s="138" t="str">
        <f t="shared" ca="1" si="78"/>
        <v/>
      </c>
      <c r="D276" s="142" t="str">
        <f t="shared" ca="1" si="79"/>
        <v/>
      </c>
      <c r="E276" s="77" t="str">
        <f t="shared" ca="1" si="80"/>
        <v/>
      </c>
      <c r="F276" s="140" t="str">
        <f t="shared" ca="1" si="81"/>
        <v/>
      </c>
      <c r="G276" s="142" t="str">
        <f t="shared" ca="1" si="82"/>
        <v/>
      </c>
      <c r="H276" s="77" t="str">
        <f t="shared" ca="1" si="83"/>
        <v/>
      </c>
      <c r="I276" s="140" t="str">
        <f t="shared" ca="1" si="84"/>
        <v/>
      </c>
      <c r="J276" s="142" t="str">
        <f t="shared" ca="1" si="85"/>
        <v/>
      </c>
      <c r="K276" s="77" t="str">
        <f t="shared" ca="1" si="86"/>
        <v/>
      </c>
      <c r="L276" s="140" t="str">
        <f t="shared" ca="1" si="87"/>
        <v/>
      </c>
      <c r="M276" s="142" t="str">
        <f t="shared" ca="1" si="88"/>
        <v/>
      </c>
      <c r="N276" s="77" t="str">
        <f t="shared" ca="1" si="89"/>
        <v/>
      </c>
      <c r="O276" s="140" t="str">
        <f t="shared" ca="1" si="90"/>
        <v/>
      </c>
    </row>
    <row r="277" spans="1:15" ht="16.5" customHeight="1" thickBot="1">
      <c r="A277" s="161">
        <v>28</v>
      </c>
      <c r="B277" s="161" t="str">
        <f>TEXT(투자전략!$G$1+27, "[$-ko-KR]yyyy.mm.dd")</f>
        <v>2021.05.28</v>
      </c>
      <c r="C277" s="139" t="str">
        <f t="shared" ca="1" si="78"/>
        <v/>
      </c>
      <c r="D277" s="143" t="str">
        <f t="shared" ca="1" si="79"/>
        <v/>
      </c>
      <c r="E277" s="79" t="str">
        <f t="shared" ca="1" si="80"/>
        <v/>
      </c>
      <c r="F277" s="141" t="str">
        <f t="shared" ca="1" si="81"/>
        <v/>
      </c>
      <c r="G277" s="143" t="str">
        <f t="shared" ca="1" si="82"/>
        <v/>
      </c>
      <c r="H277" s="79" t="str">
        <f t="shared" ca="1" si="83"/>
        <v/>
      </c>
      <c r="I277" s="141" t="str">
        <f t="shared" ca="1" si="84"/>
        <v/>
      </c>
      <c r="J277" s="143" t="str">
        <f t="shared" ca="1" si="85"/>
        <v/>
      </c>
      <c r="K277" s="79" t="str">
        <f t="shared" ca="1" si="86"/>
        <v/>
      </c>
      <c r="L277" s="141" t="str">
        <f t="shared" ca="1" si="87"/>
        <v/>
      </c>
      <c r="M277" s="143" t="str">
        <f t="shared" ca="1" si="88"/>
        <v/>
      </c>
      <c r="N277" s="79" t="str">
        <f t="shared" ca="1" si="89"/>
        <v/>
      </c>
      <c r="O277" s="141" t="str">
        <f t="shared" ca="1" si="90"/>
        <v/>
      </c>
    </row>
    <row r="278" spans="1:15" ht="16.5" customHeight="1">
      <c r="A278" s="124">
        <v>29</v>
      </c>
      <c r="B278" s="160" t="str">
        <f>TEXT(투자전략!$G$1+28, "[$-ko-KR]yyyy.mm.dd")</f>
        <v>2021.05.29</v>
      </c>
      <c r="C278" s="138" t="str">
        <f t="shared" ca="1" si="78"/>
        <v/>
      </c>
      <c r="D278" s="142" t="str">
        <f t="shared" ca="1" si="79"/>
        <v/>
      </c>
      <c r="E278" s="77" t="str">
        <f t="shared" ca="1" si="80"/>
        <v/>
      </c>
      <c r="F278" s="140" t="str">
        <f t="shared" ca="1" si="81"/>
        <v/>
      </c>
      <c r="G278" s="142" t="str">
        <f t="shared" ca="1" si="82"/>
        <v/>
      </c>
      <c r="H278" s="77" t="str">
        <f t="shared" ca="1" si="83"/>
        <v/>
      </c>
      <c r="I278" s="140" t="str">
        <f t="shared" ca="1" si="84"/>
        <v/>
      </c>
      <c r="J278" s="142" t="str">
        <f t="shared" ca="1" si="85"/>
        <v/>
      </c>
      <c r="K278" s="77" t="str">
        <f t="shared" ca="1" si="86"/>
        <v/>
      </c>
      <c r="L278" s="140" t="str">
        <f t="shared" ca="1" si="87"/>
        <v/>
      </c>
      <c r="M278" s="142" t="str">
        <f t="shared" ca="1" si="88"/>
        <v/>
      </c>
      <c r="N278" s="77" t="str">
        <f t="shared" ca="1" si="89"/>
        <v/>
      </c>
      <c r="O278" s="140" t="str">
        <f t="shared" ca="1" si="90"/>
        <v/>
      </c>
    </row>
    <row r="279" spans="1:15" ht="16.5" customHeight="1">
      <c r="A279" s="124">
        <v>30</v>
      </c>
      <c r="B279" s="159" t="str">
        <f>TEXT(투자전략!$G$1+29, "[$-ko-KR]yyyy.mm.dd")</f>
        <v>2021.05.30</v>
      </c>
      <c r="C279" s="138" t="str">
        <f t="shared" ca="1" si="78"/>
        <v/>
      </c>
      <c r="D279" s="142" t="str">
        <f t="shared" ca="1" si="79"/>
        <v/>
      </c>
      <c r="E279" s="77" t="str">
        <f t="shared" ca="1" si="80"/>
        <v/>
      </c>
      <c r="F279" s="140" t="str">
        <f t="shared" ca="1" si="81"/>
        <v/>
      </c>
      <c r="G279" s="142" t="str">
        <f t="shared" ca="1" si="82"/>
        <v/>
      </c>
      <c r="H279" s="77" t="str">
        <f t="shared" ca="1" si="83"/>
        <v/>
      </c>
      <c r="I279" s="140" t="str">
        <f t="shared" ca="1" si="84"/>
        <v/>
      </c>
      <c r="J279" s="142" t="str">
        <f t="shared" ca="1" si="85"/>
        <v/>
      </c>
      <c r="K279" s="77" t="str">
        <f t="shared" ca="1" si="86"/>
        <v/>
      </c>
      <c r="L279" s="140" t="str">
        <f t="shared" ca="1" si="87"/>
        <v/>
      </c>
      <c r="M279" s="142" t="str">
        <f t="shared" ca="1" si="88"/>
        <v/>
      </c>
      <c r="N279" s="77" t="str">
        <f t="shared" ca="1" si="89"/>
        <v/>
      </c>
      <c r="O279" s="140" t="str">
        <f t="shared" ca="1" si="90"/>
        <v/>
      </c>
    </row>
    <row r="280" spans="1:15" ht="16.5" customHeight="1" thickBot="1">
      <c r="A280" s="124">
        <v>31</v>
      </c>
      <c r="B280" s="159" t="str">
        <f>TEXT(투자전략!$G$1+30, "[$-ko-KR]yyyy.mm.dd")</f>
        <v>2021.05.31</v>
      </c>
      <c r="C280" s="139" t="str">
        <f t="shared" ca="1" si="78"/>
        <v/>
      </c>
      <c r="D280" s="143" t="str">
        <f t="shared" ca="1" si="79"/>
        <v/>
      </c>
      <c r="E280" s="79" t="str">
        <f t="shared" ca="1" si="80"/>
        <v/>
      </c>
      <c r="F280" s="141" t="str">
        <f t="shared" ca="1" si="81"/>
        <v/>
      </c>
      <c r="G280" s="143" t="str">
        <f t="shared" ca="1" si="82"/>
        <v/>
      </c>
      <c r="H280" s="79" t="str">
        <f t="shared" ca="1" si="83"/>
        <v/>
      </c>
      <c r="I280" s="141" t="str">
        <f t="shared" ca="1" si="84"/>
        <v/>
      </c>
      <c r="J280" s="143" t="str">
        <f t="shared" ca="1" si="85"/>
        <v/>
      </c>
      <c r="K280" s="79" t="str">
        <f t="shared" ca="1" si="86"/>
        <v/>
      </c>
      <c r="L280" s="141" t="str">
        <f t="shared" ca="1" si="87"/>
        <v/>
      </c>
      <c r="M280" s="143" t="str">
        <f t="shared" ca="1" si="88"/>
        <v/>
      </c>
      <c r="N280" s="79" t="str">
        <f t="shared" ca="1" si="89"/>
        <v/>
      </c>
      <c r="O280" s="141" t="str">
        <f t="shared" ca="1" si="90"/>
        <v/>
      </c>
    </row>
    <row r="281" spans="1:15" ht="16.5" customHeight="1" thickBot="1">
      <c r="A281" s="202" t="s">
        <v>319</v>
      </c>
      <c r="B281" s="204"/>
      <c r="C281" s="135" t="s">
        <v>314</v>
      </c>
      <c r="D281" s="153" t="s">
        <v>315</v>
      </c>
      <c r="E281" s="154" t="s">
        <v>316</v>
      </c>
      <c r="F281" s="155" t="s">
        <v>317</v>
      </c>
      <c r="G281" s="153" t="s">
        <v>315</v>
      </c>
      <c r="H281" s="154" t="s">
        <v>316</v>
      </c>
      <c r="I281" s="155" t="s">
        <v>317</v>
      </c>
      <c r="J281" s="153" t="s">
        <v>315</v>
      </c>
      <c r="K281" s="154" t="s">
        <v>316</v>
      </c>
      <c r="L281" s="155" t="s">
        <v>317</v>
      </c>
      <c r="M281" s="153" t="s">
        <v>315</v>
      </c>
      <c r="N281" s="154" t="s">
        <v>316</v>
      </c>
      <c r="O281" s="155" t="s">
        <v>317</v>
      </c>
    </row>
    <row r="282" spans="1:15" ht="16.5" customHeight="1" thickBot="1">
      <c r="A282" s="208"/>
      <c r="B282" s="210"/>
      <c r="C282" s="139">
        <f ca="1">SUM(C250:C280)</f>
        <v>42000000</v>
      </c>
      <c r="D282" s="143">
        <f ca="1">SUM(D250:D280)</f>
        <v>41483660.825473011</v>
      </c>
      <c r="E282" s="79">
        <f ca="1">IFERROR(F282 / (SUM($C250:$C280) / COUNT($C250:$C280)), 0)</f>
        <v>-0.12293789869690239</v>
      </c>
      <c r="F282" s="141">
        <f ca="1">SUM(F250:F280)</f>
        <v>-516339.17452699004</v>
      </c>
      <c r="G282" s="143">
        <f ca="1">SUM(G250:G280)</f>
        <v>41685387.839970082</v>
      </c>
      <c r="H282" s="79">
        <f ca="1">IFERROR(I282 / (SUM($C250:$C280) / COUNT($C250:$C280)), 0)</f>
        <v>-7.4907657149978726E-2</v>
      </c>
      <c r="I282" s="141">
        <f ca="1">SUM(I250:I280)</f>
        <v>-314612.16002991068</v>
      </c>
      <c r="J282" s="143">
        <f ca="1">SUM(J250:J280)</f>
        <v>41754533.150881626</v>
      </c>
      <c r="K282" s="79">
        <f ca="1">IFERROR(L282 / (SUM($C250:$C280) / COUNT($C250:$C280)), 0)</f>
        <v>-5.8444487885327502E-2</v>
      </c>
      <c r="L282" s="141">
        <f ca="1">SUM(L250:L280)</f>
        <v>-245466.84911837551</v>
      </c>
      <c r="M282" s="143">
        <f ca="1">SUM(M250:M280)</f>
        <v>41568471.638867117</v>
      </c>
      <c r="N282" s="79">
        <f ca="1">IFERROR(O282 / (SUM($C250:$C280) / COUNT($C250:$C280)), 0)</f>
        <v>-0.10274484788878026</v>
      </c>
      <c r="O282" s="141">
        <f ca="1">SUM(O250:O280)</f>
        <v>-431528.36113287706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2031" priority="323">
      <formula>$E$54 &gt; 0</formula>
    </cfRule>
    <cfRule type="expression" dxfId="2030" priority="324">
      <formula>$E$54 = 0</formula>
    </cfRule>
    <cfRule type="expression" dxfId="2029" priority="325">
      <formula>$E$54 &lt; 0</formula>
    </cfRule>
  </conditionalFormatting>
  <conditionalFormatting sqref="G20:I21 H54:I54">
    <cfRule type="expression" dxfId="2028" priority="320">
      <formula>$H$54 &gt; 0</formula>
    </cfRule>
    <cfRule type="expression" dxfId="2027" priority="321">
      <formula>$H$54 = 0</formula>
    </cfRule>
    <cfRule type="expression" dxfId="2026" priority="322">
      <formula>$H$54 &lt; 0</formula>
    </cfRule>
  </conditionalFormatting>
  <conditionalFormatting sqref="J20:L21 K54:L54">
    <cfRule type="expression" dxfId="2025" priority="317">
      <formula>$K$54 &gt; 0</formula>
    </cfRule>
    <cfRule type="expression" dxfId="2024" priority="318">
      <formula>$K$54 = 0</formula>
    </cfRule>
    <cfRule type="expression" dxfId="2023" priority="319">
      <formula>$K$54 &lt; 0</formula>
    </cfRule>
  </conditionalFormatting>
  <conditionalFormatting sqref="M20:O21 N54:O54">
    <cfRule type="expression" dxfId="2022" priority="314">
      <formula>$N$54 &gt; 0</formula>
    </cfRule>
    <cfRule type="expression" dxfId="2021" priority="315">
      <formula>$N$54 = 0</formula>
    </cfRule>
    <cfRule type="expression" dxfId="2020" priority="316">
      <formula>$N$54 &lt; 0</formula>
    </cfRule>
  </conditionalFormatting>
  <conditionalFormatting sqref="D22:F52">
    <cfRule type="expression" dxfId="2019" priority="299">
      <formula>AND($E22 &gt; 0, ISNUMBER($E22))</formula>
    </cfRule>
    <cfRule type="expression" dxfId="2018" priority="300">
      <formula>AND($E22 = 0, ISNUMBER($E22))</formula>
    </cfRule>
    <cfRule type="expression" dxfId="2017" priority="301">
      <formula>AND($E22 &lt; 0, ISNUMBER($E22))</formula>
    </cfRule>
  </conditionalFormatting>
  <conditionalFormatting sqref="G22:I52">
    <cfRule type="expression" dxfId="2016" priority="296">
      <formula>AND($H22 &gt; 0, ISNUMBER($H22))</formula>
    </cfRule>
    <cfRule type="expression" dxfId="2015" priority="297">
      <formula>AND($H22 = 0, ISNUMBER($H22))</formula>
    </cfRule>
    <cfRule type="expression" dxfId="2014" priority="298">
      <formula>AND($H22 &lt; 0, ISNUMBER($H22))</formula>
    </cfRule>
  </conditionalFormatting>
  <conditionalFormatting sqref="J22:L52">
    <cfRule type="expression" dxfId="2013" priority="293">
      <formula>AND($K22 &gt; 0, ISNUMBER($K22))</formula>
    </cfRule>
    <cfRule type="expression" dxfId="2012" priority="294">
      <formula>AND($K22 = 0, ISNUMBER($K22))</formula>
    </cfRule>
    <cfRule type="expression" dxfId="2011" priority="295">
      <formula>AND($K22 &lt; 0, ISNUMBER($K22))</formula>
    </cfRule>
  </conditionalFormatting>
  <conditionalFormatting sqref="M22:O52">
    <cfRule type="expression" dxfId="2010" priority="290">
      <formula>AND($N22 &gt; 0, ISNUMBER($N22))</formula>
    </cfRule>
    <cfRule type="expression" dxfId="2009" priority="291">
      <formula>AND($N22 = 0, ISNUMBER($N22))</formula>
    </cfRule>
    <cfRule type="expression" dxfId="2008" priority="292">
      <formula>AND($N22 &lt; 0, ISNUMBER($N22))</formula>
    </cfRule>
  </conditionalFormatting>
  <conditionalFormatting sqref="D58:F59 E92:F92">
    <cfRule type="expression" dxfId="2007" priority="287">
      <formula>$E$92 &gt; 0</formula>
    </cfRule>
    <cfRule type="expression" dxfId="2006" priority="288">
      <formula>$E$92 = 0</formula>
    </cfRule>
    <cfRule type="expression" dxfId="2005" priority="289">
      <formula>$E$92 &lt; 0</formula>
    </cfRule>
  </conditionalFormatting>
  <conditionalFormatting sqref="G58:I59 H92:I92">
    <cfRule type="expression" dxfId="2004" priority="284">
      <formula>$H$92 &gt; 0</formula>
    </cfRule>
    <cfRule type="expression" dxfId="2003" priority="285">
      <formula>$H$92 = 0</formula>
    </cfRule>
    <cfRule type="expression" dxfId="2002" priority="286">
      <formula>$H$92 &lt; 0</formula>
    </cfRule>
  </conditionalFormatting>
  <conditionalFormatting sqref="J58:L59 K92:L92">
    <cfRule type="expression" dxfId="2001" priority="281">
      <formula>$K$92 &gt; 0</formula>
    </cfRule>
    <cfRule type="expression" dxfId="2000" priority="282">
      <formula>$K$92 = 0</formula>
    </cfRule>
    <cfRule type="expression" dxfId="1999" priority="283">
      <formula>$K$92 &lt; 0</formula>
    </cfRule>
  </conditionalFormatting>
  <conditionalFormatting sqref="M58:O59 N92:O92">
    <cfRule type="expression" dxfId="1998" priority="278">
      <formula>$N$92 &gt; 0</formula>
    </cfRule>
    <cfRule type="expression" dxfId="1997" priority="279">
      <formula>$N$92 = 0</formula>
    </cfRule>
    <cfRule type="expression" dxfId="1996" priority="280">
      <formula>$N$92 &lt; 0</formula>
    </cfRule>
  </conditionalFormatting>
  <conditionalFormatting sqref="D60:F90">
    <cfRule type="expression" dxfId="1995" priority="275">
      <formula>AND($E60 &gt; 0, ISNUMBER($E60))</formula>
    </cfRule>
    <cfRule type="expression" dxfId="1994" priority="276">
      <formula>AND($E60 = 0, ISNUMBER($E60))</formula>
    </cfRule>
    <cfRule type="expression" dxfId="1993" priority="277">
      <formula>AND($E60 &lt; 0, ISNUMBER($E60))</formula>
    </cfRule>
  </conditionalFormatting>
  <conditionalFormatting sqref="G60:I90">
    <cfRule type="expression" dxfId="1992" priority="272">
      <formula>AND($H60 &gt; 0, ISNUMBER($H60))</formula>
    </cfRule>
    <cfRule type="expression" dxfId="1991" priority="273">
      <formula>AND($H60 = 0, ISNUMBER($H60))</formula>
    </cfRule>
    <cfRule type="expression" dxfId="1990" priority="274">
      <formula>AND($H60 &lt; 0, ISNUMBER($H60))</formula>
    </cfRule>
  </conditionalFormatting>
  <conditionalFormatting sqref="J60:L90">
    <cfRule type="expression" dxfId="1989" priority="269">
      <formula>AND($K60 &gt; 0, ISNUMBER($K60))</formula>
    </cfRule>
    <cfRule type="expression" dxfId="1988" priority="270">
      <formula>AND($K60 = 0, ISNUMBER($K60))</formula>
    </cfRule>
    <cfRule type="expression" dxfId="1987" priority="271">
      <formula>AND($K60 &lt; 0, ISNUMBER($K60))</formula>
    </cfRule>
  </conditionalFormatting>
  <conditionalFormatting sqref="M60:O90">
    <cfRule type="expression" dxfId="1986" priority="266">
      <formula>AND($N60 &gt; 0, ISNUMBER($N60))</formula>
    </cfRule>
    <cfRule type="expression" dxfId="1985" priority="267">
      <formula>AND($N60 = 0, ISNUMBER($N60))</formula>
    </cfRule>
    <cfRule type="expression" dxfId="1984" priority="268">
      <formula>AND($N60 &lt; 0, ISNUMBER($N60))</formula>
    </cfRule>
  </conditionalFormatting>
  <conditionalFormatting sqref="D96:F97 E130:F130">
    <cfRule type="expression" dxfId="1983" priority="263">
      <formula>$E$130 &gt; 0</formula>
    </cfRule>
    <cfRule type="expression" dxfId="1982" priority="264">
      <formula>$E$130 = 0</formula>
    </cfRule>
    <cfRule type="expression" dxfId="1981" priority="265">
      <formula>$E$130 &lt; 0</formula>
    </cfRule>
  </conditionalFormatting>
  <conditionalFormatting sqref="G96:I97 H130:I130">
    <cfRule type="expression" dxfId="1980" priority="260">
      <formula>$H$130 &gt; 0</formula>
    </cfRule>
    <cfRule type="expression" dxfId="1979" priority="261">
      <formula>$H$130 = 0</formula>
    </cfRule>
    <cfRule type="expression" dxfId="1978" priority="262">
      <formula>$H$130 &lt; 0</formula>
    </cfRule>
  </conditionalFormatting>
  <conditionalFormatting sqref="J96:L97 K130:L130">
    <cfRule type="expression" dxfId="1977" priority="257">
      <formula>$K$130 &gt; 0</formula>
    </cfRule>
    <cfRule type="expression" dxfId="1976" priority="258">
      <formula>$K$130 = 0</formula>
    </cfRule>
    <cfRule type="expression" dxfId="1975" priority="259">
      <formula>$K$130 &lt; 0</formula>
    </cfRule>
  </conditionalFormatting>
  <conditionalFormatting sqref="M96:O97 N130:O130">
    <cfRule type="expression" dxfId="1974" priority="254">
      <formula>$N$130 &gt; 0</formula>
    </cfRule>
    <cfRule type="expression" dxfId="1973" priority="255">
      <formula>$N$130 = 0</formula>
    </cfRule>
    <cfRule type="expression" dxfId="1972" priority="256">
      <formula>$N$130 &lt; 0</formula>
    </cfRule>
  </conditionalFormatting>
  <conditionalFormatting sqref="D98:F128">
    <cfRule type="expression" dxfId="1971" priority="251">
      <formula>AND($E98 &gt; 0, ISNUMBER($E98))</formula>
    </cfRule>
    <cfRule type="expression" dxfId="1970" priority="252">
      <formula>AND($E98 = 0, ISNUMBER($E98))</formula>
    </cfRule>
    <cfRule type="expression" dxfId="1969" priority="253">
      <formula>AND($E98 &lt; 0, ISNUMBER($E98))</formula>
    </cfRule>
  </conditionalFormatting>
  <conditionalFormatting sqref="G98:I128">
    <cfRule type="expression" dxfId="1968" priority="248">
      <formula>AND($H98 &gt; 0, ISNUMBER($H98))</formula>
    </cfRule>
    <cfRule type="expression" dxfId="1967" priority="249">
      <formula>AND($H98 = 0, ISNUMBER($H98))</formula>
    </cfRule>
    <cfRule type="expression" dxfId="1966" priority="250">
      <formula>AND($H98 &lt; 0, ISNUMBER($H98))</formula>
    </cfRule>
  </conditionalFormatting>
  <conditionalFormatting sqref="J98:L128">
    <cfRule type="expression" dxfId="1965" priority="245">
      <formula>AND($K98 &gt; 0, ISNUMBER($K98))</formula>
    </cfRule>
    <cfRule type="expression" dxfId="1964" priority="246">
      <formula>AND($K98 = 0, ISNUMBER($K98))</formula>
    </cfRule>
    <cfRule type="expression" dxfId="1963" priority="247">
      <formula>AND($K98 &lt; 0, ISNUMBER($K98))</formula>
    </cfRule>
  </conditionalFormatting>
  <conditionalFormatting sqref="M98:O128">
    <cfRule type="expression" dxfId="1962" priority="242">
      <formula>AND($N98 &gt; 0, ISNUMBER($N98))</formula>
    </cfRule>
    <cfRule type="expression" dxfId="1961" priority="243">
      <formula>AND($N98 = 0, ISNUMBER($N98))</formula>
    </cfRule>
    <cfRule type="expression" dxfId="1960" priority="244">
      <formula>AND($N98 &lt; 0, ISNUMBER($N98))</formula>
    </cfRule>
  </conditionalFormatting>
  <conditionalFormatting sqref="D134:F135 E168:F168">
    <cfRule type="expression" dxfId="1959" priority="239">
      <formula>$E$168 &gt; 0</formula>
    </cfRule>
    <cfRule type="expression" dxfId="1958" priority="240">
      <formula>$E$168 = 0</formula>
    </cfRule>
    <cfRule type="expression" dxfId="1957" priority="241">
      <formula>$E$168 &lt; 0</formula>
    </cfRule>
  </conditionalFormatting>
  <conditionalFormatting sqref="G134:I135 H168:I168">
    <cfRule type="expression" dxfId="1956" priority="236">
      <formula>$H$168 &gt; 0</formula>
    </cfRule>
    <cfRule type="expression" dxfId="1955" priority="237">
      <formula>$H$168 = 0</formula>
    </cfRule>
    <cfRule type="expression" dxfId="1954" priority="238">
      <formula>$H$168 &lt; 0</formula>
    </cfRule>
  </conditionalFormatting>
  <conditionalFormatting sqref="J134:L135 K168:L168">
    <cfRule type="expression" dxfId="1953" priority="233">
      <formula>$K$168 &gt; 0</formula>
    </cfRule>
    <cfRule type="expression" dxfId="1952" priority="234">
      <formula>$K$168 = 0</formula>
    </cfRule>
    <cfRule type="expression" dxfId="1951" priority="235">
      <formula>$K$168 &lt; 0</formula>
    </cfRule>
  </conditionalFormatting>
  <conditionalFormatting sqref="M134:O135 N168:O168">
    <cfRule type="expression" dxfId="1950" priority="230">
      <formula>$N$168 &gt; 0</formula>
    </cfRule>
    <cfRule type="expression" dxfId="1949" priority="231">
      <formula>$N$168 = 0</formula>
    </cfRule>
    <cfRule type="expression" dxfId="1948" priority="232">
      <formula>$N$168 &lt; 0</formula>
    </cfRule>
  </conditionalFormatting>
  <conditionalFormatting sqref="D136:F166">
    <cfRule type="expression" dxfId="1947" priority="227">
      <formula>AND($E136 &gt; 0, ISNUMBER($E136))</formula>
    </cfRule>
    <cfRule type="expression" dxfId="1946" priority="228">
      <formula>AND($E136 = 0, ISNUMBER($E136))</formula>
    </cfRule>
    <cfRule type="expression" dxfId="1945" priority="229">
      <formula>AND($E136 &lt; 0, ISNUMBER($E136))</formula>
    </cfRule>
  </conditionalFormatting>
  <conditionalFormatting sqref="G136:I166">
    <cfRule type="expression" dxfId="1944" priority="224">
      <formula>AND($H136 &gt; 0, ISNUMBER($H136))</formula>
    </cfRule>
    <cfRule type="expression" dxfId="1943" priority="225">
      <formula>AND($H136 = 0, ISNUMBER($H136))</formula>
    </cfRule>
    <cfRule type="expression" dxfId="1942" priority="226">
      <formula>AND($H136 &lt; 0, ISNUMBER($H136))</formula>
    </cfRule>
  </conditionalFormatting>
  <conditionalFormatting sqref="J136:L166">
    <cfRule type="expression" dxfId="1941" priority="221">
      <formula>AND($K136 &gt; 0, ISNUMBER($K136))</formula>
    </cfRule>
    <cfRule type="expression" dxfId="1940" priority="222">
      <formula>AND($K136 = 0, ISNUMBER($K136))</formula>
    </cfRule>
    <cfRule type="expression" dxfId="1939" priority="223">
      <formula>AND($K136 &lt; 0, ISNUMBER($K136))</formula>
    </cfRule>
  </conditionalFormatting>
  <conditionalFormatting sqref="M136:O166">
    <cfRule type="expression" dxfId="1938" priority="218">
      <formula>AND($N136 &gt; 0, ISNUMBER($N136))</formula>
    </cfRule>
    <cfRule type="expression" dxfId="1937" priority="219">
      <formula>AND($N136 = 0, ISNUMBER($N136))</formula>
    </cfRule>
    <cfRule type="expression" dxfId="1936" priority="220">
      <formula>AND($N136 &lt; 0, ISNUMBER($N136))</formula>
    </cfRule>
  </conditionalFormatting>
  <conditionalFormatting sqref="D172:F173 E206:F206">
    <cfRule type="expression" dxfId="1935" priority="215">
      <formula>$E$206 &gt; 0</formula>
    </cfRule>
    <cfRule type="expression" dxfId="1934" priority="216">
      <formula>$E$206 = 0</formula>
    </cfRule>
    <cfRule type="expression" dxfId="1933" priority="217">
      <formula>$E$206 &lt; 0</formula>
    </cfRule>
  </conditionalFormatting>
  <conditionalFormatting sqref="G172:I173 H206:I206">
    <cfRule type="expression" dxfId="1932" priority="212">
      <formula>$H$206 &gt; 0</formula>
    </cfRule>
    <cfRule type="expression" dxfId="1931" priority="213">
      <formula>$H$206 = 0</formula>
    </cfRule>
    <cfRule type="expression" dxfId="1930" priority="214">
      <formula>$H$206 &lt; 0</formula>
    </cfRule>
  </conditionalFormatting>
  <conditionalFormatting sqref="J172:L173 K206:L206">
    <cfRule type="expression" dxfId="1929" priority="209">
      <formula>$K$206 &gt; 0</formula>
    </cfRule>
    <cfRule type="expression" dxfId="1928" priority="210">
      <formula>$K$206 = 0</formula>
    </cfRule>
    <cfRule type="expression" dxfId="1927" priority="211">
      <formula>$K$206 &lt; 0</formula>
    </cfRule>
  </conditionalFormatting>
  <conditionalFormatting sqref="M172:O173 N206:O206">
    <cfRule type="expression" dxfId="1926" priority="206">
      <formula>$N$206 &gt; 0</formula>
    </cfRule>
    <cfRule type="expression" dxfId="1925" priority="207">
      <formula>$N$206 = 0</formula>
    </cfRule>
    <cfRule type="expression" dxfId="1924" priority="208">
      <formula>$N$206 &lt; 0</formula>
    </cfRule>
  </conditionalFormatting>
  <conditionalFormatting sqref="D174:F204">
    <cfRule type="expression" dxfId="1923" priority="203">
      <formula>AND($E174 &gt; 0, ISNUMBER($E174))</formula>
    </cfRule>
    <cfRule type="expression" dxfId="1922" priority="204">
      <formula>AND($E174 = 0, ISNUMBER($E174))</formula>
    </cfRule>
    <cfRule type="expression" dxfId="1921" priority="205">
      <formula>AND($E174 &lt; 0, ISNUMBER($E174))</formula>
    </cfRule>
  </conditionalFormatting>
  <conditionalFormatting sqref="G174:I204">
    <cfRule type="expression" dxfId="1920" priority="200">
      <formula>AND($H174 &gt; 0, ISNUMBER($H174))</formula>
    </cfRule>
    <cfRule type="expression" dxfId="1919" priority="201">
      <formula>AND($H174 = 0, ISNUMBER($H174))</formula>
    </cfRule>
    <cfRule type="expression" dxfId="1918" priority="202">
      <formula>AND($H174 &lt; 0, ISNUMBER($H174))</formula>
    </cfRule>
  </conditionalFormatting>
  <conditionalFormatting sqref="J174:L204">
    <cfRule type="expression" dxfId="1917" priority="197">
      <formula>AND($K174 &gt; 0, ISNUMBER($K174))</formula>
    </cfRule>
    <cfRule type="expression" dxfId="1916" priority="198">
      <formula>AND($K174 = 0, ISNUMBER($K174))</formula>
    </cfRule>
    <cfRule type="expression" dxfId="1915" priority="199">
      <formula>AND($K174 &lt; 0, ISNUMBER($K174))</formula>
    </cfRule>
  </conditionalFormatting>
  <conditionalFormatting sqref="M174:O204">
    <cfRule type="expression" dxfId="1914" priority="194">
      <formula>AND($N174 &gt; 0, ISNUMBER($N174))</formula>
    </cfRule>
    <cfRule type="expression" dxfId="1913" priority="195">
      <formula>AND($N174 = 0, ISNUMBER($N174))</formula>
    </cfRule>
    <cfRule type="expression" dxfId="1912" priority="196">
      <formula>AND($N174 &lt; 0, ISNUMBER($N174))</formula>
    </cfRule>
  </conditionalFormatting>
  <conditionalFormatting sqref="D210:F211 E244:F244">
    <cfRule type="expression" dxfId="1911" priority="191">
      <formula>$E$244 &gt; 0</formula>
    </cfRule>
    <cfRule type="expression" dxfId="1910" priority="192">
      <formula>$E$244 = 0</formula>
    </cfRule>
    <cfRule type="expression" dxfId="1909" priority="193">
      <formula>$E$244 &lt; 0</formula>
    </cfRule>
  </conditionalFormatting>
  <conditionalFormatting sqref="G210:I211 H244:I244">
    <cfRule type="expression" dxfId="1908" priority="188">
      <formula>$H$244 &gt; 0</formula>
    </cfRule>
    <cfRule type="expression" dxfId="1907" priority="189">
      <formula>$H$244 = 0</formula>
    </cfRule>
    <cfRule type="expression" dxfId="1906" priority="190">
      <formula>$H$244 &lt; 0</formula>
    </cfRule>
  </conditionalFormatting>
  <conditionalFormatting sqref="J210:L211 K244:L244">
    <cfRule type="expression" dxfId="1905" priority="185">
      <formula>$K$244 &gt; 0</formula>
    </cfRule>
    <cfRule type="expression" dxfId="1904" priority="186">
      <formula>$K$244 = 0</formula>
    </cfRule>
    <cfRule type="expression" dxfId="1903" priority="187">
      <formula>$K$244 &lt; 0</formula>
    </cfRule>
  </conditionalFormatting>
  <conditionalFormatting sqref="M210:O211 N244:O244">
    <cfRule type="expression" dxfId="1902" priority="182">
      <formula>$N$244 &gt; 0</formula>
    </cfRule>
    <cfRule type="expression" dxfId="1901" priority="183">
      <formula>$N$244 = 0</formula>
    </cfRule>
    <cfRule type="expression" dxfId="1900" priority="184">
      <formula>$N$244 &lt; 0</formula>
    </cfRule>
  </conditionalFormatting>
  <conditionalFormatting sqref="D212:F242">
    <cfRule type="expression" dxfId="1899" priority="179">
      <formula>AND($E212 &gt; 0, ISNUMBER($E212))</formula>
    </cfRule>
    <cfRule type="expression" dxfId="1898" priority="180">
      <formula>AND($E212 = 0, ISNUMBER($E212))</formula>
    </cfRule>
    <cfRule type="expression" dxfId="1897" priority="181">
      <formula>AND($E212 &lt; 0, ISNUMBER($E212))</formula>
    </cfRule>
  </conditionalFormatting>
  <conditionalFormatting sqref="G212:I242">
    <cfRule type="expression" dxfId="1896" priority="176">
      <formula>AND($H212 &gt; 0, ISNUMBER($H212))</formula>
    </cfRule>
    <cfRule type="expression" dxfId="1895" priority="177">
      <formula>AND($H212 = 0, ISNUMBER($H212))</formula>
    </cfRule>
    <cfRule type="expression" dxfId="1894" priority="178">
      <formula>AND($H212 &lt; 0, ISNUMBER($H212))</formula>
    </cfRule>
  </conditionalFormatting>
  <conditionalFormatting sqref="J212:L242">
    <cfRule type="expression" dxfId="1893" priority="173">
      <formula>AND($K212 &gt; 0, ISNUMBER($K212))</formula>
    </cfRule>
    <cfRule type="expression" dxfId="1892" priority="174">
      <formula>AND($K212 = 0, ISNUMBER($K212))</formula>
    </cfRule>
    <cfRule type="expression" dxfId="1891" priority="175">
      <formula>AND($K212 &lt; 0, ISNUMBER($K212))</formula>
    </cfRule>
  </conditionalFormatting>
  <conditionalFormatting sqref="M212:O242">
    <cfRule type="expression" dxfId="1890" priority="170">
      <formula>AND($N212 &gt; 0, ISNUMBER($N212))</formula>
    </cfRule>
    <cfRule type="expression" dxfId="1889" priority="171">
      <formula>AND($N212 = 0, ISNUMBER($N212))</formula>
    </cfRule>
    <cfRule type="expression" dxfId="1888" priority="172">
      <formula>AND($N212 &lt; 0, ISNUMBER($N212))</formula>
    </cfRule>
  </conditionalFormatting>
  <conditionalFormatting sqref="D248:F249 E282:F282">
    <cfRule type="expression" dxfId="1887" priority="167">
      <formula>$E$282 &gt; 0</formula>
    </cfRule>
    <cfRule type="expression" dxfId="1886" priority="168">
      <formula>$E$282 = 0</formula>
    </cfRule>
    <cfRule type="expression" dxfId="1885" priority="169">
      <formula>$E$282 &lt; 0</formula>
    </cfRule>
  </conditionalFormatting>
  <conditionalFormatting sqref="G248:I249 H282:I282">
    <cfRule type="expression" dxfId="1884" priority="164">
      <formula>$H$282 &gt; 0</formula>
    </cfRule>
    <cfRule type="expression" dxfId="1883" priority="165">
      <formula>$H$282 = 0</formula>
    </cfRule>
    <cfRule type="expression" dxfId="1882" priority="166">
      <formula>$H$282 &lt; 0</formula>
    </cfRule>
  </conditionalFormatting>
  <conditionalFormatting sqref="J248:L249 K282:L282">
    <cfRule type="expression" dxfId="1881" priority="161">
      <formula>$K$282 &gt; 0</formula>
    </cfRule>
    <cfRule type="expression" dxfId="1880" priority="162">
      <formula>$K$282 = 0</formula>
    </cfRule>
    <cfRule type="expression" dxfId="1879" priority="163">
      <formula>$K$282 &lt; 0</formula>
    </cfRule>
  </conditionalFormatting>
  <conditionalFormatting sqref="M248:O249 N282:O282">
    <cfRule type="expression" dxfId="1878" priority="158">
      <formula>$N$282 &gt; 0</formula>
    </cfRule>
    <cfRule type="expression" dxfId="1877" priority="159">
      <formula>$N$282 = 0</formula>
    </cfRule>
    <cfRule type="expression" dxfId="1876" priority="160">
      <formula>$N$282 &lt; 0</formula>
    </cfRule>
  </conditionalFormatting>
  <conditionalFormatting sqref="D250:F280">
    <cfRule type="expression" dxfId="1875" priority="155">
      <formula>AND($E250 &gt; 0, ISNUMBER($E250))</formula>
    </cfRule>
    <cfRule type="expression" dxfId="1874" priority="156">
      <formula>AND($E250 = 0, ISNUMBER($E250))</formula>
    </cfRule>
    <cfRule type="expression" dxfId="1873" priority="157">
      <formula>AND($E250 &lt; 0, ISNUMBER($E250))</formula>
    </cfRule>
  </conditionalFormatting>
  <conditionalFormatting sqref="G250:I280">
    <cfRule type="expression" dxfId="1872" priority="152">
      <formula>AND($H250 &gt; 0, ISNUMBER($H250))</formula>
    </cfRule>
    <cfRule type="expression" dxfId="1871" priority="153">
      <formula>AND($H250 = 0, ISNUMBER($H250))</formula>
    </cfRule>
    <cfRule type="expression" dxfId="1870" priority="154">
      <formula>AND($H250 &lt; 0, ISNUMBER($H250))</formula>
    </cfRule>
  </conditionalFormatting>
  <conditionalFormatting sqref="J250:L280">
    <cfRule type="expression" dxfId="1869" priority="149">
      <formula>AND($K250 &gt; 0, ISNUMBER($K250))</formula>
    </cfRule>
    <cfRule type="expression" dxfId="1868" priority="150">
      <formula>AND($K250 = 0, ISNUMBER($K250))</formula>
    </cfRule>
    <cfRule type="expression" dxfId="1867" priority="151">
      <formula>AND($K250 &lt; 0, ISNUMBER($K250))</formula>
    </cfRule>
  </conditionalFormatting>
  <conditionalFormatting sqref="M250:O280">
    <cfRule type="expression" dxfId="1866" priority="146">
      <formula>AND($N250 &gt; 0, ISNUMBER($N250))</formula>
    </cfRule>
    <cfRule type="expression" dxfId="1865" priority="147">
      <formula>AND($N250 = 0, ISNUMBER($N250))</formula>
    </cfRule>
    <cfRule type="expression" dxfId="1864" priority="148">
      <formula>AND($N250 &lt; 0, ISNUMBER($N250))</formula>
    </cfRule>
  </conditionalFormatting>
  <conditionalFormatting sqref="D5:F6">
    <cfRule type="expression" dxfId="1863" priority="143">
      <formula>$F$130 &gt; 0</formula>
    </cfRule>
    <cfRule type="expression" dxfId="1862" priority="144">
      <formula>$F$130 = 0</formula>
    </cfRule>
    <cfRule type="expression" dxfId="1861" priority="145">
      <formula>$F$130 &lt; 0</formula>
    </cfRule>
  </conditionalFormatting>
  <conditionalFormatting sqref="D7:F8">
    <cfRule type="expression" dxfId="1860" priority="140">
      <formula>$F$206 &gt; 0</formula>
    </cfRule>
    <cfRule type="expression" dxfId="1859" priority="141">
      <formula>$F$206 = 0</formula>
    </cfRule>
    <cfRule type="expression" dxfId="1858" priority="142">
      <formula>$F$206 &lt; 0</formula>
    </cfRule>
  </conditionalFormatting>
  <conditionalFormatting sqref="D9:F10">
    <cfRule type="expression" dxfId="1857" priority="137">
      <formula>$F$244 &gt; 0</formula>
    </cfRule>
    <cfRule type="expression" dxfId="1856" priority="138">
      <formula>$F$244 = 0</formula>
    </cfRule>
    <cfRule type="expression" dxfId="1855" priority="139">
      <formula>$F$244 &lt; 0</formula>
    </cfRule>
  </conditionalFormatting>
  <conditionalFormatting sqref="D11:F12">
    <cfRule type="expression" dxfId="1854" priority="134">
      <formula>$F$168 &gt; 0</formula>
    </cfRule>
    <cfRule type="expression" dxfId="1853" priority="135">
      <formula>$F$168 = 0</formula>
    </cfRule>
    <cfRule type="expression" dxfId="1852" priority="136">
      <formula>$F$168 &lt; 0</formula>
    </cfRule>
  </conditionalFormatting>
  <conditionalFormatting sqref="D13:F14">
    <cfRule type="expression" dxfId="1851" priority="92">
      <formula>$F$282 &gt; 0</formula>
    </cfRule>
    <cfRule type="expression" dxfId="1850" priority="93">
      <formula>$F$282 = 0</formula>
    </cfRule>
    <cfRule type="expression" dxfId="1849" priority="94">
      <formula>$F$282 &lt; 0</formula>
    </cfRule>
  </conditionalFormatting>
  <conditionalFormatting sqref="D15:F16">
    <cfRule type="expression" dxfId="1848" priority="77">
      <formula>$F$54 &gt; 0</formula>
    </cfRule>
    <cfRule type="expression" dxfId="1847" priority="78">
      <formula>$F$54 = 0</formula>
    </cfRule>
    <cfRule type="expression" dxfId="1846" priority="79">
      <formula>$F$54 &lt; 0</formula>
    </cfRule>
  </conditionalFormatting>
  <conditionalFormatting sqref="G5:I6">
    <cfRule type="expression" dxfId="1845" priority="65">
      <formula>$I$130 &gt; 0</formula>
    </cfRule>
    <cfRule type="expression" dxfId="1844" priority="66">
      <formula>$I$130 = 0</formula>
    </cfRule>
    <cfRule type="expression" dxfId="1843" priority="67">
      <formula>$I$130 &lt; 0</formula>
    </cfRule>
  </conditionalFormatting>
  <conditionalFormatting sqref="G7:I8">
    <cfRule type="expression" dxfId="1842" priority="62">
      <formula>$I$206 &gt; 0</formula>
    </cfRule>
    <cfRule type="expression" dxfId="1841" priority="63">
      <formula>$I$206 = 0</formula>
    </cfRule>
    <cfRule type="expression" dxfId="1840" priority="64">
      <formula>$I$206 &lt; 0</formula>
    </cfRule>
  </conditionalFormatting>
  <conditionalFormatting sqref="G9:I10">
    <cfRule type="expression" dxfId="1839" priority="59">
      <formula>$I$244 &gt; 0</formula>
    </cfRule>
    <cfRule type="expression" dxfId="1838" priority="60">
      <formula>$I$244 = 0</formula>
    </cfRule>
    <cfRule type="expression" dxfId="1837" priority="61">
      <formula>$I$244 &lt; 0</formula>
    </cfRule>
  </conditionalFormatting>
  <conditionalFormatting sqref="G11:I12">
    <cfRule type="expression" dxfId="1836" priority="56">
      <formula>$I$168 &gt; 0</formula>
    </cfRule>
    <cfRule type="expression" dxfId="1835" priority="57">
      <formula>$I$168 = 0</formula>
    </cfRule>
    <cfRule type="expression" dxfId="1834" priority="58">
      <formula>$I$168 &lt; 0</formula>
    </cfRule>
  </conditionalFormatting>
  <conditionalFormatting sqref="G13:I14">
    <cfRule type="expression" dxfId="1833" priority="53">
      <formula>$I$282 &gt; 0</formula>
    </cfRule>
    <cfRule type="expression" dxfId="1832" priority="54">
      <formula>$I$282 = 0</formula>
    </cfRule>
    <cfRule type="expression" dxfId="1831" priority="55">
      <formula>$I$282 &lt; 0</formula>
    </cfRule>
  </conditionalFormatting>
  <conditionalFormatting sqref="G15:I16">
    <cfRule type="expression" dxfId="1830" priority="50">
      <formula>$I$54 &gt; 0</formula>
    </cfRule>
    <cfRule type="expression" dxfId="1829" priority="51">
      <formula>$I$54 = 0</formula>
    </cfRule>
    <cfRule type="expression" dxfId="1828" priority="52">
      <formula>$I$54 &lt; 0</formula>
    </cfRule>
  </conditionalFormatting>
  <conditionalFormatting sqref="J5:L6">
    <cfRule type="expression" dxfId="1827" priority="47">
      <formula>$L$130 &gt; 0</formula>
    </cfRule>
    <cfRule type="expression" dxfId="1826" priority="48">
      <formula>$L$130 = 0</formula>
    </cfRule>
    <cfRule type="expression" dxfId="1825" priority="49">
      <formula>$L$130 &lt; 0</formula>
    </cfRule>
  </conditionalFormatting>
  <conditionalFormatting sqref="J7:L8">
    <cfRule type="expression" dxfId="1824" priority="44">
      <formula>$L$206 &gt; 0</formula>
    </cfRule>
    <cfRule type="expression" dxfId="1823" priority="45">
      <formula>$L$206 = 0</formula>
    </cfRule>
    <cfRule type="expression" dxfId="1822" priority="46">
      <formula>$L$206 &lt; 0</formula>
    </cfRule>
  </conditionalFormatting>
  <conditionalFormatting sqref="J9:L10">
    <cfRule type="expression" dxfId="1821" priority="41">
      <formula>$L$244 &gt; 0</formula>
    </cfRule>
    <cfRule type="expression" dxfId="1820" priority="42">
      <formula>$L$244 = 0</formula>
    </cfRule>
    <cfRule type="expression" dxfId="1819" priority="43">
      <formula>$L$244 &lt; 0</formula>
    </cfRule>
  </conditionalFormatting>
  <conditionalFormatting sqref="J11:L12">
    <cfRule type="expression" dxfId="1818" priority="38">
      <formula>$L$168 &gt; 0</formula>
    </cfRule>
    <cfRule type="expression" dxfId="1817" priority="39">
      <formula>$L$168 = 0</formula>
    </cfRule>
    <cfRule type="expression" dxfId="1816" priority="40">
      <formula>$L$168 &lt; 0</formula>
    </cfRule>
  </conditionalFormatting>
  <conditionalFormatting sqref="J13:L14">
    <cfRule type="expression" dxfId="1815" priority="35">
      <formula>$L$282 &gt; 0</formula>
    </cfRule>
    <cfRule type="expression" dxfId="1814" priority="36">
      <formula>$L$282 = 0</formula>
    </cfRule>
    <cfRule type="expression" dxfId="1813" priority="37">
      <formula>$L$282 &lt; 0</formula>
    </cfRule>
  </conditionalFormatting>
  <conditionalFormatting sqref="J15:L16">
    <cfRule type="expression" dxfId="1812" priority="32">
      <formula>$L$54 &gt; 0</formula>
    </cfRule>
    <cfRule type="expression" dxfId="1811" priority="33">
      <formula>$L$54 = 0</formula>
    </cfRule>
    <cfRule type="expression" dxfId="1810" priority="34">
      <formula>$L$54 &lt; 0</formula>
    </cfRule>
  </conditionalFormatting>
  <conditionalFormatting sqref="M5:O6">
    <cfRule type="expression" dxfId="1809" priority="29">
      <formula>$O$130 &gt; 0</formula>
    </cfRule>
    <cfRule type="expression" dxfId="1808" priority="30">
      <formula>$O$130 = 0</formula>
    </cfRule>
    <cfRule type="expression" dxfId="1807" priority="31">
      <formula>$O$130 &lt; 0</formula>
    </cfRule>
  </conditionalFormatting>
  <conditionalFormatting sqref="M7:O8">
    <cfRule type="expression" dxfId="1806" priority="26">
      <formula>$O$206 &gt; 0</formula>
    </cfRule>
    <cfRule type="expression" dxfId="1805" priority="27">
      <formula>$O$206 = 0</formula>
    </cfRule>
    <cfRule type="expression" dxfId="1804" priority="28">
      <formula>$O$206 &lt; 0</formula>
    </cfRule>
  </conditionalFormatting>
  <conditionalFormatting sqref="M9:O10">
    <cfRule type="expression" dxfId="1803" priority="23">
      <formula>$O$244 &gt; 0</formula>
    </cfRule>
    <cfRule type="expression" dxfId="1802" priority="24">
      <formula>$O$244 = 0</formula>
    </cfRule>
    <cfRule type="expression" dxfId="1801" priority="25">
      <formula>$O$244 &lt; 0</formula>
    </cfRule>
  </conditionalFormatting>
  <conditionalFormatting sqref="M11:O12">
    <cfRule type="expression" dxfId="1800" priority="20">
      <formula>$O$168 &gt; 0</formula>
    </cfRule>
    <cfRule type="expression" dxfId="1799" priority="21">
      <formula>$O$168 = 0</formula>
    </cfRule>
    <cfRule type="expression" dxfId="1798" priority="22">
      <formula>$O$168 &lt; 0</formula>
    </cfRule>
  </conditionalFormatting>
  <conditionalFormatting sqref="M13:O14">
    <cfRule type="expression" dxfId="1797" priority="17">
      <formula>$O$282 &gt; 0</formula>
    </cfRule>
    <cfRule type="expression" dxfId="1796" priority="18">
      <formula>$O$282 = 0</formula>
    </cfRule>
    <cfRule type="expression" dxfId="1795" priority="19">
      <formula>$O$282 &lt; 0</formula>
    </cfRule>
  </conditionalFormatting>
  <conditionalFormatting sqref="M15:O16">
    <cfRule type="expression" dxfId="1794" priority="14">
      <formula>$O$54 &gt; 0</formula>
    </cfRule>
    <cfRule type="expression" dxfId="1793" priority="15">
      <formula>$O$54 = 0</formula>
    </cfRule>
    <cfRule type="expression" dxfId="1792" priority="16">
      <formula>$O$54 &lt; 0</formula>
    </cfRule>
  </conditionalFormatting>
  <conditionalFormatting sqref="D3:F4">
    <cfRule type="expression" dxfId="1791" priority="13">
      <formula>$F$92 &lt; 0</formula>
    </cfRule>
    <cfRule type="expression" dxfId="1790" priority="12">
      <formula>$F$92 = 0</formula>
    </cfRule>
    <cfRule type="expression" dxfId="1789" priority="11">
      <formula>$F$92 &gt; 0</formula>
    </cfRule>
  </conditionalFormatting>
  <conditionalFormatting sqref="G3:I4">
    <cfRule type="expression" dxfId="1788" priority="10">
      <formula>$I$92 &lt; 0</formula>
    </cfRule>
    <cfRule type="expression" dxfId="1787" priority="9">
      <formula>$I$92 = 0</formula>
    </cfRule>
    <cfRule type="expression" dxfId="1786" priority="8">
      <formula>$I$92 &gt; 0</formula>
    </cfRule>
  </conditionalFormatting>
  <conditionalFormatting sqref="J3:L4">
    <cfRule type="expression" dxfId="1785" priority="5">
      <formula>$L$92 &gt; 0</formula>
    </cfRule>
    <cfRule type="expression" dxfId="1784" priority="6">
      <formula>$L$92 = 0</formula>
    </cfRule>
    <cfRule type="expression" dxfId="1783" priority="7">
      <formula>$L$92 &lt; 0</formula>
    </cfRule>
  </conditionalFormatting>
  <conditionalFormatting sqref="M3:O4">
    <cfRule type="expression" dxfId="1782" priority="2">
      <formula>$O$92 &gt; 0</formula>
    </cfRule>
    <cfRule type="expression" dxfId="1781" priority="3">
      <formula>$O$92 = 0</formula>
    </cfRule>
    <cfRule type="expression" dxfId="178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13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44317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" t="s">
        <v>3</v>
      </c>
      <c r="B2" s="199" t="s">
        <v>4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5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4" t="s">
        <v>7</v>
      </c>
      <c r="B3" s="205" t="s">
        <v>8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209"/>
      <c r="I3" s="210"/>
      <c r="J3" s="4" t="s">
        <v>7</v>
      </c>
      <c r="K3" s="205" t="s">
        <v>9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05" t="s">
        <v>12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13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05" t="s">
        <v>16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209"/>
      <c r="I5" s="210"/>
      <c r="J5" s="4" t="s">
        <v>15</v>
      </c>
      <c r="K5" s="205" t="s">
        <v>17</v>
      </c>
      <c r="L5" s="206"/>
      <c r="M5" s="206"/>
      <c r="N5" s="206"/>
      <c r="O5" s="207"/>
    </row>
    <row r="6" spans="1:19">
      <c r="A6" s="4" t="s">
        <v>18</v>
      </c>
      <c r="B6" s="205" t="s">
        <v>19</v>
      </c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20</v>
      </c>
      <c r="L6" s="206"/>
      <c r="M6" s="206"/>
      <c r="N6" s="206"/>
      <c r="O6" s="207"/>
    </row>
    <row r="7" spans="1:19" ht="17.25" thickBot="1">
      <c r="A7" s="4" t="s">
        <v>21</v>
      </c>
      <c r="B7" s="205" t="s">
        <v>22</v>
      </c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209"/>
      <c r="I7" s="210"/>
      <c r="J7" s="4" t="s">
        <v>21</v>
      </c>
      <c r="K7" s="205" t="s">
        <v>23</v>
      </c>
      <c r="L7" s="206"/>
      <c r="M7" s="206"/>
      <c r="N7" s="206"/>
      <c r="O7" s="207"/>
    </row>
    <row r="8" spans="1:19" ht="17.25" thickBot="1">
      <c r="A8" s="4" t="s">
        <v>24</v>
      </c>
      <c r="B8" s="205" t="s">
        <v>25</v>
      </c>
      <c r="C8" s="206"/>
      <c r="D8" s="206"/>
      <c r="E8" s="206"/>
      <c r="F8" s="207"/>
      <c r="G8" s="202" t="s">
        <v>285</v>
      </c>
      <c r="H8" s="203"/>
      <c r="I8" s="204"/>
      <c r="J8" s="4" t="s">
        <v>24</v>
      </c>
      <c r="K8" s="205" t="s">
        <v>26</v>
      </c>
      <c r="L8" s="206"/>
      <c r="M8" s="206"/>
      <c r="N8" s="206"/>
      <c r="O8" s="207"/>
      <c r="Q8" s="193" t="s">
        <v>27</v>
      </c>
      <c r="R8" s="195"/>
    </row>
    <row r="9" spans="1:19" ht="17.25" thickBot="1">
      <c r="A9" s="4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209"/>
      <c r="I9" s="210"/>
      <c r="J9" s="4" t="s">
        <v>28</v>
      </c>
      <c r="K9" s="205" t="s">
        <v>293</v>
      </c>
      <c r="L9" s="206"/>
      <c r="M9" s="206"/>
      <c r="N9" s="206"/>
      <c r="O9" s="207"/>
      <c r="Q9" s="2" t="s">
        <v>29</v>
      </c>
      <c r="R9" s="6">
        <v>10</v>
      </c>
    </row>
    <row r="10" spans="1:19">
      <c r="A10" s="4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/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7" t="s">
        <v>32</v>
      </c>
      <c r="B11" s="211"/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209"/>
      <c r="I11" s="210"/>
      <c r="J11" s="7" t="s">
        <v>32</v>
      </c>
      <c r="K11" s="211"/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11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72158000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9.1322285000000007E-3</v>
      </c>
      <c r="N14" s="224"/>
      <c r="O14" s="225"/>
      <c r="Q14" s="214"/>
      <c r="R14" s="214"/>
      <c r="S14" s="214"/>
    </row>
    <row r="15" spans="1:19" ht="17.25" customHeight="1" thickBot="1">
      <c r="A15" s="215" t="s">
        <v>39</v>
      </c>
      <c r="B15" s="226" t="str">
        <f>TEXT($G$1, "[$-ko-KR]yyyy-mm-dd(ddd) ") &amp; "오전 00:00"</f>
        <v>2021-05-01(토) 오전 00:00</v>
      </c>
      <c r="C15" s="227"/>
      <c r="D15" s="216" t="str">
        <f>TEXT($G$1, "[$-ko-KR]yyyy-mm-dd(ddd) ") &amp; "오후 14:00"</f>
        <v>2021-05-01(토) 오후 14:00</v>
      </c>
      <c r="E15" s="217"/>
      <c r="F15" s="218"/>
      <c r="G15" s="216" t="str">
        <f>TEXT($G$1, "[$-ko-KR]yyyy-mm-dd(ddd) ") &amp; "오후 19:00"</f>
        <v>2021-05-01(토) 오후 19:00</v>
      </c>
      <c r="H15" s="217"/>
      <c r="I15" s="218"/>
      <c r="J15" s="216" t="str">
        <f>TEXT($G$1, "[$-ko-KR]yyyy-mm-dd(ddd) ") &amp; "오후 21:00"</f>
        <v>2021-05-01(토) 오후 21:00</v>
      </c>
      <c r="K15" s="217"/>
      <c r="L15" s="218"/>
      <c r="M15" s="216" t="str">
        <f>TEXT($G$1+1, "[$-ko-KR]yyyy-mm-dd(ddd) ") &amp; "오전 00:00"</f>
        <v>2021-05-02(일) 오전 00:00</v>
      </c>
      <c r="N15" s="217"/>
      <c r="O15" s="218"/>
      <c r="Q15" s="214"/>
      <c r="R15" s="214"/>
      <c r="S15" s="214"/>
    </row>
    <row r="16" spans="1:19" ht="17.25" customHeight="1" thickBot="1">
      <c r="A16" s="21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100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214"/>
      <c r="R17" s="214"/>
      <c r="S17" s="214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101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214"/>
      <c r="R18" s="214"/>
      <c r="S18" s="214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101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219"/>
      <c r="R19" s="219"/>
      <c r="S19" s="219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101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219"/>
      <c r="R20" s="219"/>
      <c r="S20" s="219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5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219"/>
      <c r="R21" s="219"/>
      <c r="S21" s="219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26" t="s">
        <v>42</v>
      </c>
      <c r="B37" s="250">
        <v>300000</v>
      </c>
      <c r="C37" s="251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11" t="s">
        <v>298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72158000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9.1322285000000007E-3</v>
      </c>
      <c r="N41" s="224"/>
      <c r="O41" s="225"/>
      <c r="Q41" s="214"/>
      <c r="R41" s="214"/>
      <c r="S41" s="214"/>
    </row>
    <row r="42" spans="1:19" ht="17.25" customHeight="1" thickBot="1">
      <c r="A42" s="237" t="s">
        <v>55</v>
      </c>
      <c r="B42" s="239" t="str">
        <f>TEXT($G$1, "[$-ko-KR]yyyy-mm-dd(ddd) ") &amp; "오전 00:00"</f>
        <v>2021-05-01(토) 오전 00:00</v>
      </c>
      <c r="C42" s="240"/>
      <c r="D42" s="216" t="str">
        <f>TEXT($G$1, "[$-ko-KR]yyyy-mm-dd(ddd) ") &amp; "오후 14:00"</f>
        <v>2021-05-01(토) 오후 14:00</v>
      </c>
      <c r="E42" s="217"/>
      <c r="F42" s="218"/>
      <c r="G42" s="216" t="str">
        <f>TEXT($G$1, "[$-ko-KR]yyyy-mm-dd(ddd) ") &amp; "오후 19:00"</f>
        <v>2021-05-01(토) 오후 19:00</v>
      </c>
      <c r="H42" s="217"/>
      <c r="I42" s="218"/>
      <c r="J42" s="216" t="str">
        <f>TEXT($G$1, "[$-ko-KR]yyyy-mm-dd(ddd) ") &amp; "오후 21:00"</f>
        <v>2021-05-01(토) 오후 21:00</v>
      </c>
      <c r="K42" s="217"/>
      <c r="L42" s="218"/>
      <c r="M42" s="216" t="str">
        <f>TEXT($G$1+1, "[$-ko-KR]yyyy-mm-dd(ddd) ") &amp; "오전 00:00"</f>
        <v>2021-05-02(일) 오전 00:00</v>
      </c>
      <c r="N42" s="217"/>
      <c r="O42" s="218"/>
      <c r="Q42" s="214"/>
      <c r="R42" s="214"/>
      <c r="S42" s="214"/>
    </row>
    <row r="43" spans="1:19" ht="17.25" customHeight="1" thickBot="1">
      <c r="A43" s="238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219"/>
      <c r="R43" s="219"/>
      <c r="S43" s="219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100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214"/>
      <c r="R44" s="214"/>
      <c r="S44" s="214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101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214"/>
      <c r="R45" s="214"/>
      <c r="S45" s="214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101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219"/>
      <c r="R46" s="219"/>
      <c r="S46" s="219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101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219"/>
      <c r="R47" s="219"/>
      <c r="S47" s="219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5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219"/>
      <c r="R48" s="219"/>
      <c r="S48" s="219"/>
    </row>
    <row r="49" spans="1:19" ht="17.25" customHeight="1" thickBot="1">
      <c r="A49" s="17" t="s">
        <v>72</v>
      </c>
      <c r="B49" s="106">
        <v>35.4</v>
      </c>
      <c r="C49" s="107">
        <v>2.3121387300000001E-2</v>
      </c>
      <c r="D49" s="106">
        <v>37.200000000000003</v>
      </c>
      <c r="E49" s="107">
        <f>IF(ISNUMBER(D49), (D49 - $B49) / $B49, "")</f>
        <v>5.0847457627118765E-2</v>
      </c>
      <c r="F49" s="108">
        <f>IF(ISNUMBER(D49), $B64 * E49, "")</f>
        <v>15254.23728813563</v>
      </c>
      <c r="G49" s="109">
        <v>36.6</v>
      </c>
      <c r="H49" s="107">
        <f>IF(ISNUMBER(G49), (G49 - $B49) / $B49, "")</f>
        <v>3.3898305084745846E-2</v>
      </c>
      <c r="I49" s="110">
        <f>IF(ISNUMBER(G49), $B64 * H49, "")</f>
        <v>10169.491525423753</v>
      </c>
      <c r="J49" s="106">
        <v>36.9</v>
      </c>
      <c r="K49" s="107">
        <f>IF(ISNUMBER(J49), (J49 - $B49) / $B49, "")</f>
        <v>4.2372881355932208E-2</v>
      </c>
      <c r="L49" s="108">
        <f>IF(ISNUMBER(J49), $B64 * K49, "")</f>
        <v>12711.864406779663</v>
      </c>
      <c r="M49" s="109">
        <v>37.4</v>
      </c>
      <c r="N49" s="107">
        <f>IF(ISNUMBER(M49), (M49 - $B49) / $B49, "")</f>
        <v>5.6497175141242938E-2</v>
      </c>
      <c r="O49" s="108">
        <f>IF(ISNUMBER(M49), $B64 * N49, "")</f>
        <v>16949.152542372882</v>
      </c>
      <c r="Q49" s="219"/>
      <c r="R49" s="219"/>
      <c r="S49" s="219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219"/>
      <c r="R50" s="219"/>
      <c r="S50" s="219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101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219"/>
      <c r="R51" s="219"/>
      <c r="S51" s="219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101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4">
        <f>IF(ISNUMBER(D53), $B64 * E53, "")</f>
        <v>0</v>
      </c>
      <c r="G53" s="102">
        <v>19.899999999999999</v>
      </c>
      <c r="H53" s="25">
        <f t="shared" si="19"/>
        <v>-9.9502487562190458E-3</v>
      </c>
      <c r="I53" s="103">
        <f>IF(ISNUMBER(G53), $B64 * H53, "")</f>
        <v>-2985.0746268657135</v>
      </c>
      <c r="J53" s="24">
        <v>20.100000000000001</v>
      </c>
      <c r="K53" s="25">
        <f t="shared" si="20"/>
        <v>0</v>
      </c>
      <c r="L53" s="104">
        <f>IF(ISNUMBER(J53), $B64 * K53, "")</f>
        <v>0</v>
      </c>
      <c r="M53" s="102">
        <v>20.100000000000001</v>
      </c>
      <c r="N53" s="25">
        <f t="shared" si="21"/>
        <v>0</v>
      </c>
      <c r="O53" s="104">
        <f>IF(ISNUMBER(M53), $B64 * N53, "")</f>
        <v>0</v>
      </c>
      <c r="Q53" s="228"/>
      <c r="R53" s="229"/>
      <c r="S53" s="230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100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231"/>
      <c r="R54" s="232"/>
      <c r="S54" s="233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101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234"/>
      <c r="R55" s="235"/>
      <c r="S55" s="236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101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219"/>
      <c r="R56" s="219"/>
      <c r="S56" s="219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101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214"/>
      <c r="R57" s="214"/>
      <c r="S57" s="214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5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214"/>
      <c r="R58" s="214"/>
      <c r="S58" s="214"/>
    </row>
    <row r="59" spans="1:19" ht="17.25" customHeight="1" thickBot="1">
      <c r="A59" s="17" t="s">
        <v>186</v>
      </c>
      <c r="B59" s="106">
        <v>26.1</v>
      </c>
      <c r="C59" s="107">
        <v>-3.8167939000000001E-3</v>
      </c>
      <c r="D59" s="106">
        <v>26.6</v>
      </c>
      <c r="E59" s="107">
        <f>IF(ISNUMBER(D59), (D59 - $B59) / $B59, "")</f>
        <v>1.9157088122605363E-2</v>
      </c>
      <c r="F59" s="108">
        <f>IF(ISNUMBER(D59), $B64 * E59, "")</f>
        <v>5747.1264367816084</v>
      </c>
      <c r="G59" s="109">
        <v>26.2</v>
      </c>
      <c r="H59" s="107">
        <f>IF(ISNUMBER(G59), (G59 - $B59) / $B59, "")</f>
        <v>3.8314176245209911E-3</v>
      </c>
      <c r="I59" s="110">
        <f>IF(ISNUMBER(G59), $B64 * H59, "")</f>
        <v>1149.4252873562973</v>
      </c>
      <c r="J59" s="106">
        <v>26.5</v>
      </c>
      <c r="K59" s="107">
        <f>IF(ISNUMBER(J59), (J59 - $B59) / $B59, "")</f>
        <v>1.5325670498084237E-2</v>
      </c>
      <c r="L59" s="108">
        <f>IF(ISNUMBER(J59), $B64 * K59, "")</f>
        <v>4597.7011494252711</v>
      </c>
      <c r="M59" s="109">
        <v>26.3</v>
      </c>
      <c r="N59" s="107">
        <f>IF(ISNUMBER(M59), (M59 - $B59) / $B59, "")</f>
        <v>7.6628352490421183E-3</v>
      </c>
      <c r="O59" s="108">
        <f>IF(ISNUMBER(M59), $B64 * N59, "")</f>
        <v>2298.8505747126355</v>
      </c>
      <c r="Q59" s="219"/>
      <c r="R59" s="219"/>
      <c r="S59" s="219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101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219"/>
      <c r="R60" s="219"/>
      <c r="S60" s="219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101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219"/>
      <c r="R61" s="219"/>
      <c r="S61" s="219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101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241"/>
      <c r="R62" s="242"/>
      <c r="S62" s="243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26" t="s">
        <v>301</v>
      </c>
      <c r="B64" s="250">
        <f>$B$37</f>
        <v>300000</v>
      </c>
      <c r="C64" s="251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11" t="s">
        <v>298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72158000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9.1322285000000007E-3</v>
      </c>
      <c r="N68" s="224"/>
      <c r="O68" s="225"/>
      <c r="Q68" s="214"/>
      <c r="R68" s="214"/>
      <c r="S68" s="214"/>
    </row>
    <row r="69" spans="1:19" ht="17.25" thickBot="1">
      <c r="A69" s="237" t="s">
        <v>55</v>
      </c>
      <c r="B69" s="239" t="str">
        <f>TEXT($G$1, "[$-ko-KR]yyyy-mm-dd(ddd) ") &amp; "오전 00:00"</f>
        <v>2021-05-01(토) 오전 00:00</v>
      </c>
      <c r="C69" s="240"/>
      <c r="D69" s="216" t="str">
        <f>TEXT($G$1, "[$-ko-KR]yyyy-mm-dd(ddd) ") &amp; "오후 14:00"</f>
        <v>2021-05-01(토) 오후 14:00</v>
      </c>
      <c r="E69" s="217"/>
      <c r="F69" s="218"/>
      <c r="G69" s="216" t="str">
        <f>TEXT($G$1, "[$-ko-KR]yyyy-mm-dd(ddd) ") &amp; "오후 19:00"</f>
        <v>2021-05-01(토) 오후 19:00</v>
      </c>
      <c r="H69" s="217"/>
      <c r="I69" s="218"/>
      <c r="J69" s="216" t="str">
        <f>TEXT($G$1, "[$-ko-KR]yyyy-mm-dd(ddd) ") &amp; "오후 21:00"</f>
        <v>2021-05-01(토) 오후 21:00</v>
      </c>
      <c r="K69" s="217"/>
      <c r="L69" s="218"/>
      <c r="M69" s="216" t="str">
        <f>TEXT($G$1+1, "[$-ko-KR]yyyy-mm-dd(ddd) ") &amp; "오전 00:00"</f>
        <v>2021-05-02(일) 오전 00:00</v>
      </c>
      <c r="N69" s="217"/>
      <c r="O69" s="218"/>
      <c r="Q69" s="214"/>
      <c r="R69" s="214"/>
      <c r="S69" s="214"/>
    </row>
    <row r="70" spans="1:19" ht="17.25" thickBot="1">
      <c r="A70" s="238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219"/>
      <c r="R70" s="219"/>
      <c r="S70" s="219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100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214"/>
      <c r="R71" s="214"/>
      <c r="S71" s="214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101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14"/>
      <c r="R72" s="214"/>
      <c r="S72" s="214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101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219"/>
      <c r="R73" s="219"/>
      <c r="S73" s="219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101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219"/>
      <c r="R74" s="219"/>
      <c r="S74" s="219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5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219"/>
      <c r="R75" s="219"/>
      <c r="S75" s="219"/>
    </row>
    <row r="76" spans="1:19" ht="17.25" thickBot="1">
      <c r="A76" s="17" t="s">
        <v>156</v>
      </c>
      <c r="B76" s="106">
        <v>151</v>
      </c>
      <c r="C76" s="107">
        <v>4.13793103E-2</v>
      </c>
      <c r="D76" s="106">
        <v>156</v>
      </c>
      <c r="E76" s="107">
        <f>IF(ISNUMBER(D76), (D76 - $B76) / $B76, "")</f>
        <v>3.3112582781456956E-2</v>
      </c>
      <c r="F76" s="108">
        <f>IF(ISNUMBER(D76), $B91 * E76, "")</f>
        <v>9933.7748344370866</v>
      </c>
      <c r="G76" s="109">
        <v>155</v>
      </c>
      <c r="H76" s="107">
        <f>IF(ISNUMBER(G76), (G76 - $B76) / $B76, "")</f>
        <v>2.6490066225165563E-2</v>
      </c>
      <c r="I76" s="110">
        <f>IF(ISNUMBER(G76), $B91 * H76, "")</f>
        <v>7947.0198675496686</v>
      </c>
      <c r="J76" s="106">
        <v>156</v>
      </c>
      <c r="K76" s="107">
        <f>IF(ISNUMBER(J76), (J76 - $B76) / $B76, "")</f>
        <v>3.3112582781456956E-2</v>
      </c>
      <c r="L76" s="108">
        <f>IF(ISNUMBER(J76), $B91 * K76, "")</f>
        <v>9933.7748344370866</v>
      </c>
      <c r="M76" s="109">
        <v>153</v>
      </c>
      <c r="N76" s="107">
        <f>IF(ISNUMBER(M76), (M76 - $B76) / $B76, "")</f>
        <v>1.3245033112582781E-2</v>
      </c>
      <c r="O76" s="108">
        <f>IF(ISNUMBER(M76), $B91 * N76, "")</f>
        <v>3973.5099337748343</v>
      </c>
      <c r="Q76" s="219"/>
      <c r="R76" s="219"/>
      <c r="S76" s="219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101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219"/>
      <c r="R77" s="219"/>
      <c r="S77" s="219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101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219"/>
      <c r="R78" s="219"/>
      <c r="S78" s="219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101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4">
        <f>IF(ISNUMBER(D80), $B91 * E80, "")</f>
        <v>27717.391304347824</v>
      </c>
      <c r="G80" s="102">
        <v>200</v>
      </c>
      <c r="H80" s="25">
        <f t="shared" si="35"/>
        <v>8.6956521739130432E-2</v>
      </c>
      <c r="I80" s="103">
        <f>IF(ISNUMBER(G80), $B91 * H80, "")</f>
        <v>26086.956521739128</v>
      </c>
      <c r="J80" s="24">
        <v>203</v>
      </c>
      <c r="K80" s="25">
        <f t="shared" si="36"/>
        <v>0.10326086956521739</v>
      </c>
      <c r="L80" s="104">
        <f>IF(ISNUMBER(J80), $B91 * K80, "")</f>
        <v>30978.260869565216</v>
      </c>
      <c r="M80" s="102">
        <v>202</v>
      </c>
      <c r="N80" s="25">
        <f t="shared" si="37"/>
        <v>9.7826086956521743E-2</v>
      </c>
      <c r="O80" s="104">
        <f>IF(ISNUMBER(M80), $B91 * N80, "")</f>
        <v>29347.826086956524</v>
      </c>
      <c r="Q80" s="228"/>
      <c r="R80" s="229"/>
      <c r="S80" s="230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100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231"/>
      <c r="R81" s="232"/>
      <c r="S81" s="233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101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234"/>
      <c r="R82" s="235"/>
      <c r="S82" s="236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101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219"/>
      <c r="R83" s="219"/>
      <c r="S83" s="219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101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214"/>
      <c r="R84" s="214"/>
      <c r="S84" s="214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5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214"/>
      <c r="R85" s="214"/>
      <c r="S85" s="214"/>
    </row>
    <row r="86" spans="1:19" ht="17.25" thickBot="1">
      <c r="A86" s="17" t="s">
        <v>142</v>
      </c>
      <c r="B86" s="106">
        <v>410</v>
      </c>
      <c r="C86" s="107">
        <v>2.2443890300000002E-2</v>
      </c>
      <c r="D86" s="106">
        <v>441</v>
      </c>
      <c r="E86" s="107">
        <f>IF(ISNUMBER(D86), (D86 - $B86) / $B86, "")</f>
        <v>7.5609756097560973E-2</v>
      </c>
      <c r="F86" s="108">
        <f>IF(ISNUMBER(D86), $B91 * E86, "")</f>
        <v>22682.926829268294</v>
      </c>
      <c r="G86" s="109">
        <v>428</v>
      </c>
      <c r="H86" s="107">
        <f>IF(ISNUMBER(G86), (G86 - $B86) / $B86, "")</f>
        <v>4.3902439024390241E-2</v>
      </c>
      <c r="I86" s="110">
        <f>IF(ISNUMBER(G86), $B91 * H86, "")</f>
        <v>13170.731707317073</v>
      </c>
      <c r="J86" s="106">
        <v>430</v>
      </c>
      <c r="K86" s="107">
        <f>IF(ISNUMBER(J86), (J86 - $B86) / $B86, "")</f>
        <v>4.878048780487805E-2</v>
      </c>
      <c r="L86" s="108">
        <f>IF(ISNUMBER(J86), $B91 * K86, "")</f>
        <v>14634.146341463415</v>
      </c>
      <c r="M86" s="109">
        <v>428</v>
      </c>
      <c r="N86" s="107">
        <f>IF(ISNUMBER(M86), (M86 - $B86) / $B86, "")</f>
        <v>4.3902439024390241E-2</v>
      </c>
      <c r="O86" s="108">
        <f>IF(ISNUMBER(M86), $B91 * N86, "")</f>
        <v>13170.731707317073</v>
      </c>
      <c r="Q86" s="219"/>
      <c r="R86" s="219"/>
      <c r="S86" s="219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101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219"/>
      <c r="R87" s="219"/>
      <c r="S87" s="219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101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219"/>
      <c r="R88" s="219"/>
      <c r="S88" s="219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101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241"/>
      <c r="R89" s="242"/>
      <c r="S89" s="243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4">
        <f>IF(ISNUMBER(D90), $B91 * E90, "")</f>
        <v>3272.727272727273</v>
      </c>
      <c r="G90" s="102">
        <v>274</v>
      </c>
      <c r="H90" s="25">
        <f t="shared" si="43"/>
        <v>-3.6363636363636364E-3</v>
      </c>
      <c r="I90" s="103">
        <f>IF(ISNUMBER(G90), $B91 * H90, "")</f>
        <v>-1090.909090909091</v>
      </c>
      <c r="J90" s="24">
        <v>278</v>
      </c>
      <c r="K90" s="25">
        <f t="shared" si="44"/>
        <v>1.090909090909091E-2</v>
      </c>
      <c r="L90" s="104">
        <f>IF(ISNUMBER(J90), $B91 * K90, "")</f>
        <v>3272.727272727273</v>
      </c>
      <c r="M90" s="102">
        <v>276</v>
      </c>
      <c r="N90" s="25">
        <f t="shared" si="45"/>
        <v>3.6363636363636364E-3</v>
      </c>
      <c r="O90" s="104">
        <f>IF(ISNUMBER(M90), $B91 * N90, "")</f>
        <v>1090.909090909091</v>
      </c>
      <c r="Q90" s="244"/>
      <c r="R90" s="245"/>
      <c r="S90" s="246"/>
    </row>
    <row r="91" spans="1:19" ht="17.25" thickBot="1">
      <c r="A91" s="26" t="s">
        <v>301</v>
      </c>
      <c r="B91" s="250">
        <f>$B$37</f>
        <v>300000</v>
      </c>
      <c r="C91" s="251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11" t="s">
        <v>298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72158000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9.1322285000000007E-3</v>
      </c>
      <c r="N95" s="224"/>
      <c r="O95" s="225"/>
      <c r="Q95" s="214"/>
      <c r="R95" s="214"/>
      <c r="S95" s="214"/>
    </row>
    <row r="96" spans="1:19" ht="17.25" thickBot="1">
      <c r="A96" s="237" t="s">
        <v>55</v>
      </c>
      <c r="B96" s="239" t="str">
        <f>TEXT($G$1, "[$-ko-KR]yyyy-mm-dd(ddd) ") &amp; "오전 00:00"</f>
        <v>2021-05-01(토) 오전 00:00</v>
      </c>
      <c r="C96" s="240"/>
      <c r="D96" s="216" t="str">
        <f>TEXT($G$1, "[$-ko-KR]yyyy-mm-dd(ddd) ") &amp; "오후 14:00"</f>
        <v>2021-05-01(토) 오후 14:00</v>
      </c>
      <c r="E96" s="217"/>
      <c r="F96" s="218"/>
      <c r="G96" s="216" t="str">
        <f>TEXT($G$1, "[$-ko-KR]yyyy-mm-dd(ddd) ") &amp; "오후 19:00"</f>
        <v>2021-05-01(토) 오후 19:00</v>
      </c>
      <c r="H96" s="217"/>
      <c r="I96" s="218"/>
      <c r="J96" s="216" t="str">
        <f>TEXT($G$1, "[$-ko-KR]yyyy-mm-dd(ddd) ") &amp; "오후 21:00"</f>
        <v>2021-05-01(토) 오후 21:00</v>
      </c>
      <c r="K96" s="217"/>
      <c r="L96" s="218"/>
      <c r="M96" s="216" t="str">
        <f>TEXT($G$1+1, "[$-ko-KR]yyyy-mm-dd(ddd) ") &amp; "오전 00:00"</f>
        <v>2021-05-02(일) 오전 00:00</v>
      </c>
      <c r="N96" s="217"/>
      <c r="O96" s="218"/>
      <c r="Q96" s="214"/>
      <c r="R96" s="214"/>
      <c r="S96" s="214"/>
    </row>
    <row r="97" spans="1:19" ht="17.25" thickBot="1">
      <c r="A97" s="238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219"/>
      <c r="R97" s="219"/>
      <c r="S97" s="219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100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214"/>
      <c r="R98" s="214"/>
      <c r="S98" s="214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101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214"/>
      <c r="R99" s="214"/>
      <c r="S99" s="214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101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219"/>
      <c r="R100" s="219"/>
      <c r="S100" s="219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101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219"/>
      <c r="R101" s="219"/>
      <c r="S101" s="219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5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219"/>
      <c r="R102" s="219"/>
      <c r="S102" s="219"/>
    </row>
    <row r="103" spans="1:19" ht="17.25" thickBot="1">
      <c r="A103" s="17" t="s">
        <v>162</v>
      </c>
      <c r="B103" s="106">
        <v>2225</v>
      </c>
      <c r="C103" s="107">
        <v>7.7481840199999999E-2</v>
      </c>
      <c r="D103" s="106">
        <v>2230</v>
      </c>
      <c r="E103" s="107">
        <f>IF(ISNUMBER(D103), (D103 - $B103) / $B103, "")</f>
        <v>2.2471910112359553E-3</v>
      </c>
      <c r="F103" s="108">
        <f>IF(ISNUMBER(D103), $B118 * E103, "")</f>
        <v>674.15730337078662</v>
      </c>
      <c r="G103" s="109">
        <v>2225</v>
      </c>
      <c r="H103" s="107">
        <f>IF(ISNUMBER(G103), (G103 - $B103) / $B103, "")</f>
        <v>0</v>
      </c>
      <c r="I103" s="110">
        <f>IF(ISNUMBER(G103), $B118 * H103, "")</f>
        <v>0</v>
      </c>
      <c r="J103" s="106">
        <v>2225</v>
      </c>
      <c r="K103" s="107">
        <f>IF(ISNUMBER(J103), (J103 - $B103) / $B103, "")</f>
        <v>0</v>
      </c>
      <c r="L103" s="108">
        <f>IF(ISNUMBER(J103), $B118 * K103, "")</f>
        <v>0</v>
      </c>
      <c r="M103" s="109">
        <v>2220</v>
      </c>
      <c r="N103" s="107">
        <f>IF(ISNUMBER(M103), (M103 - $B103) / $B103, "")</f>
        <v>-2.2471910112359553E-3</v>
      </c>
      <c r="O103" s="108">
        <f>IF(ISNUMBER(M103), $B118 * N103, "")</f>
        <v>-674.15730337078662</v>
      </c>
      <c r="Q103" s="219"/>
      <c r="R103" s="219"/>
      <c r="S103" s="219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101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19"/>
      <c r="R104" s="219"/>
      <c r="S104" s="219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101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219"/>
      <c r="R105" s="219"/>
      <c r="S105" s="219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101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4">
        <f>IF(ISNUMBER(D107), $B118 * E107, "")</f>
        <v>479.23322683706067</v>
      </c>
      <c r="G107" s="102">
        <v>619</v>
      </c>
      <c r="H107" s="25">
        <f t="shared" si="51"/>
        <v>-1.1182108626198083E-2</v>
      </c>
      <c r="I107" s="103">
        <f>IF(ISNUMBER(G107), $B118 * H107, "")</f>
        <v>-3354.6325878594248</v>
      </c>
      <c r="J107" s="24">
        <v>626</v>
      </c>
      <c r="K107" s="25">
        <f t="shared" si="52"/>
        <v>0</v>
      </c>
      <c r="L107" s="104">
        <f>IF(ISNUMBER(J107), $B118 * K107, "")</f>
        <v>0</v>
      </c>
      <c r="M107" s="102">
        <v>620</v>
      </c>
      <c r="N107" s="25">
        <f t="shared" si="53"/>
        <v>-9.5846645367412137E-3</v>
      </c>
      <c r="O107" s="104">
        <f>IF(ISNUMBER(M107), $B118 * N107, "")</f>
        <v>-2875.3993610223642</v>
      </c>
      <c r="Q107" s="228"/>
      <c r="R107" s="229"/>
      <c r="S107" s="230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100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231"/>
      <c r="R108" s="232"/>
      <c r="S108" s="233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101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234"/>
      <c r="R109" s="235"/>
      <c r="S109" s="236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101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219"/>
      <c r="R110" s="219"/>
      <c r="S110" s="219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101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214"/>
      <c r="R111" s="214"/>
      <c r="S111" s="214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5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214"/>
      <c r="R112" s="214"/>
      <c r="S112" s="214"/>
    </row>
    <row r="113" spans="1:19" ht="17.25" thickBot="1">
      <c r="A113" s="17" t="s">
        <v>192</v>
      </c>
      <c r="B113" s="106">
        <v>1175</v>
      </c>
      <c r="C113" s="107">
        <v>5.38116592E-2</v>
      </c>
      <c r="D113" s="106">
        <v>1180</v>
      </c>
      <c r="E113" s="107">
        <f>IF(ISNUMBER(D113), (D113 - $B113) / $B113, "")</f>
        <v>4.2553191489361703E-3</v>
      </c>
      <c r="F113" s="108">
        <f>IF(ISNUMBER(D113), $B118 * E113, "")</f>
        <v>1276.5957446808511</v>
      </c>
      <c r="G113" s="109">
        <v>1165</v>
      </c>
      <c r="H113" s="107">
        <f>IF(ISNUMBER(G113), (G113 - $B113) / $B113, "")</f>
        <v>-8.5106382978723406E-3</v>
      </c>
      <c r="I113" s="110">
        <f>IF(ISNUMBER(G113), $B118 * H113, "")</f>
        <v>-2553.1914893617022</v>
      </c>
      <c r="J113" s="106">
        <v>1180</v>
      </c>
      <c r="K113" s="107">
        <f>IF(ISNUMBER(J113), (J113 - $B113) / $B113, "")</f>
        <v>4.2553191489361703E-3</v>
      </c>
      <c r="L113" s="108">
        <f>IF(ISNUMBER(J113), $B118 * K113, "")</f>
        <v>1276.5957446808511</v>
      </c>
      <c r="M113" s="109">
        <v>1170</v>
      </c>
      <c r="N113" s="107">
        <f>IF(ISNUMBER(M113), (M113 - $B113) / $B113, "")</f>
        <v>-4.2553191489361703E-3</v>
      </c>
      <c r="O113" s="108">
        <f>IF(ISNUMBER(M113), $B118 * N113, "")</f>
        <v>-1276.5957446808511</v>
      </c>
      <c r="Q113" s="219"/>
      <c r="R113" s="219"/>
      <c r="S113" s="219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101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219"/>
      <c r="R114" s="219"/>
      <c r="S114" s="219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101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219"/>
      <c r="R115" s="219"/>
      <c r="S115" s="219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101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241"/>
      <c r="R116" s="242"/>
      <c r="S116" s="243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4">
        <f>IF(ISNUMBER(D117), $B118 * E117, "")</f>
        <v>1119.6487376509331</v>
      </c>
      <c r="G117" s="102">
        <v>45490</v>
      </c>
      <c r="H117" s="25">
        <f t="shared" si="59"/>
        <v>-1.3172338090010978E-3</v>
      </c>
      <c r="I117" s="103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4">
        <f>IF(ISNUMBER(J117), $B118 * K117, "")</f>
        <v>6256.8605927552144</v>
      </c>
      <c r="M117" s="102">
        <v>46510</v>
      </c>
      <c r="N117" s="25">
        <f t="shared" si="61"/>
        <v>2.1075740944017565E-2</v>
      </c>
      <c r="O117" s="104">
        <f>IF(ISNUMBER(M117), $B118 * N117, "")</f>
        <v>6322.7222832052694</v>
      </c>
      <c r="Q117" s="244"/>
      <c r="R117" s="245"/>
      <c r="S117" s="246"/>
    </row>
    <row r="118" spans="1:19" ht="17.25" thickBot="1">
      <c r="A118" s="26" t="s">
        <v>301</v>
      </c>
      <c r="B118" s="250">
        <f>$B$37</f>
        <v>300000</v>
      </c>
      <c r="C118" s="251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247"/>
      <c r="R118" s="248"/>
      <c r="S118" s="249"/>
    </row>
    <row r="120" spans="1:19" ht="17.25" thickBot="1"/>
    <row r="121" spans="1:19" ht="17.25" thickBot="1">
      <c r="A121" s="193" t="s">
        <v>288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11" t="s">
        <v>298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72158000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9.1322285000000007E-3</v>
      </c>
      <c r="N122" s="224"/>
      <c r="O122" s="225"/>
      <c r="Q122" s="214"/>
      <c r="R122" s="214"/>
      <c r="S122" s="214"/>
    </row>
    <row r="123" spans="1:19" ht="17.25" thickBot="1">
      <c r="A123" s="237" t="s">
        <v>55</v>
      </c>
      <c r="B123" s="239" t="str">
        <f>TEXT($G$1, "[$-ko-KR]yyyy-mm-dd(ddd) ") &amp; "오전 00:00"</f>
        <v>2021-05-01(토) 오전 00:00</v>
      </c>
      <c r="C123" s="240"/>
      <c r="D123" s="216" t="str">
        <f>TEXT($G$1, "[$-ko-KR]yyyy-mm-dd(ddd) ") &amp; "오후 14:00"</f>
        <v>2021-05-01(토) 오후 14:00</v>
      </c>
      <c r="E123" s="217"/>
      <c r="F123" s="218"/>
      <c r="G123" s="216" t="str">
        <f>TEXT($G$1, "[$-ko-KR]yyyy-mm-dd(ddd) ") &amp; "오후 19:00"</f>
        <v>2021-05-01(토) 오후 19:00</v>
      </c>
      <c r="H123" s="217"/>
      <c r="I123" s="218"/>
      <c r="J123" s="216" t="str">
        <f>TEXT($G$1, "[$-ko-KR]yyyy-mm-dd(ddd) ") &amp; "오후 21:00"</f>
        <v>2021-05-01(토) 오후 21:00</v>
      </c>
      <c r="K123" s="217"/>
      <c r="L123" s="218"/>
      <c r="M123" s="216" t="str">
        <f>TEXT($G$1+1, "[$-ko-KR]yyyy-mm-dd(ddd) ") &amp; "오전 00:00"</f>
        <v>2021-05-02(일) 오전 00:00</v>
      </c>
      <c r="N123" s="217"/>
      <c r="O123" s="218"/>
      <c r="Q123" s="214"/>
      <c r="R123" s="214"/>
      <c r="S123" s="214"/>
    </row>
    <row r="124" spans="1:19" ht="17.25" thickBot="1">
      <c r="A124" s="238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219"/>
      <c r="R124" s="219"/>
      <c r="S124" s="219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100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214"/>
      <c r="R125" s="214"/>
      <c r="S125" s="214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101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214"/>
      <c r="R126" s="214"/>
      <c r="S126" s="214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101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219"/>
      <c r="R127" s="219"/>
      <c r="S127" s="219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101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219"/>
      <c r="R128" s="219"/>
      <c r="S128" s="219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5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219"/>
      <c r="R129" s="219"/>
      <c r="S129" s="219"/>
    </row>
    <row r="130" spans="1:19" ht="17.25" thickBot="1">
      <c r="A130" s="17" t="s">
        <v>72</v>
      </c>
      <c r="B130" s="106">
        <v>35.4</v>
      </c>
      <c r="C130" s="107">
        <v>2.3121387300000001E-2</v>
      </c>
      <c r="D130" s="106">
        <v>37.200000000000003</v>
      </c>
      <c r="E130" s="107">
        <f>IF(ISNUMBER(D130), (D130 - $B130) / $B130, "")</f>
        <v>5.0847457627118765E-2</v>
      </c>
      <c r="F130" s="108">
        <f>IF(ISNUMBER(D130), $B145 * E130, "")</f>
        <v>15254.23728813563</v>
      </c>
      <c r="G130" s="109">
        <v>36.6</v>
      </c>
      <c r="H130" s="107">
        <f>IF(ISNUMBER(G130), (G130 - $B130) / $B130, "")</f>
        <v>3.3898305084745846E-2</v>
      </c>
      <c r="I130" s="110">
        <f>IF(ISNUMBER(G130), $B145 * H130, "")</f>
        <v>10169.491525423753</v>
      </c>
      <c r="J130" s="106">
        <v>36.9</v>
      </c>
      <c r="K130" s="107">
        <f>IF(ISNUMBER(J130), (J130 - $B130) / $B130, "")</f>
        <v>4.2372881355932208E-2</v>
      </c>
      <c r="L130" s="108">
        <f>IF(ISNUMBER(J130), $B145 * K130, "")</f>
        <v>12711.864406779663</v>
      </c>
      <c r="M130" s="109">
        <v>37.4</v>
      </c>
      <c r="N130" s="107">
        <f>IF(ISNUMBER(M130), (M130 - $B130) / $B130, "")</f>
        <v>5.6497175141242938E-2</v>
      </c>
      <c r="O130" s="108">
        <f>IF(ISNUMBER(M130), $B145 * N130, "")</f>
        <v>16949.152542372882</v>
      </c>
      <c r="Q130" s="219"/>
      <c r="R130" s="219"/>
      <c r="S130" s="219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219"/>
      <c r="R131" s="219"/>
      <c r="S131" s="219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101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219"/>
      <c r="R132" s="219"/>
      <c r="S132" s="219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101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4">
        <f>IF(ISNUMBER(D134), $B145 * E134, "")</f>
        <v>0</v>
      </c>
      <c r="G134" s="102">
        <v>19.899999999999999</v>
      </c>
      <c r="H134" s="25">
        <f t="shared" si="67"/>
        <v>-9.9502487562190458E-3</v>
      </c>
      <c r="I134" s="103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4">
        <f>IF(ISNUMBER(J134), $B145 * K134, "")</f>
        <v>0</v>
      </c>
      <c r="M134" s="102">
        <v>20.100000000000001</v>
      </c>
      <c r="N134" s="25">
        <f t="shared" si="69"/>
        <v>0</v>
      </c>
      <c r="O134" s="104">
        <f>IF(ISNUMBER(M134), $B145 * N134, "")</f>
        <v>0</v>
      </c>
      <c r="Q134" s="228"/>
      <c r="R134" s="229"/>
      <c r="S134" s="230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100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231"/>
      <c r="R135" s="232"/>
      <c r="S135" s="233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101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234"/>
      <c r="R136" s="235"/>
      <c r="S136" s="236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101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219"/>
      <c r="R137" s="219"/>
      <c r="S137" s="219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101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214"/>
      <c r="R138" s="214"/>
      <c r="S138" s="214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5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214"/>
      <c r="R139" s="214"/>
      <c r="S139" s="214"/>
    </row>
    <row r="140" spans="1:19" ht="17.25" thickBot="1">
      <c r="A140" s="17" t="s">
        <v>186</v>
      </c>
      <c r="B140" s="106">
        <v>26.1</v>
      </c>
      <c r="C140" s="107">
        <v>-3.8167939000000001E-3</v>
      </c>
      <c r="D140" s="106">
        <v>26.6</v>
      </c>
      <c r="E140" s="107">
        <f>IF(ISNUMBER(D140), (D140 - $B140) / $B140, "")</f>
        <v>1.9157088122605363E-2</v>
      </c>
      <c r="F140" s="108">
        <f>IF(ISNUMBER(D140), $B145 * E140, "")</f>
        <v>5747.1264367816084</v>
      </c>
      <c r="G140" s="109">
        <v>26.2</v>
      </c>
      <c r="H140" s="107">
        <f>IF(ISNUMBER(G140), (G140 - $B140) / $B140, "")</f>
        <v>3.8314176245209911E-3</v>
      </c>
      <c r="I140" s="110">
        <f>IF(ISNUMBER(G140), $B145 * H140, "")</f>
        <v>1149.4252873562973</v>
      </c>
      <c r="J140" s="106">
        <v>26.5</v>
      </c>
      <c r="K140" s="107">
        <f>IF(ISNUMBER(J140), (J140 - $B140) / $B140, "")</f>
        <v>1.5325670498084237E-2</v>
      </c>
      <c r="L140" s="108">
        <f>IF(ISNUMBER(J140), $B145 * K140, "")</f>
        <v>4597.7011494252711</v>
      </c>
      <c r="M140" s="109">
        <v>26.3</v>
      </c>
      <c r="N140" s="107">
        <f>IF(ISNUMBER(M140), (M140 - $B140) / $B140, "")</f>
        <v>7.6628352490421183E-3</v>
      </c>
      <c r="O140" s="108">
        <f>IF(ISNUMBER(M140), $B145 * N140, "")</f>
        <v>2298.8505747126355</v>
      </c>
      <c r="Q140" s="219"/>
      <c r="R140" s="219"/>
      <c r="S140" s="219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101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219"/>
      <c r="R141" s="219"/>
      <c r="S141" s="219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101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219"/>
      <c r="R142" s="219"/>
      <c r="S142" s="219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101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241"/>
      <c r="R143" s="242"/>
      <c r="S143" s="243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26" t="s">
        <v>301</v>
      </c>
      <c r="B145" s="250">
        <f>$B$37</f>
        <v>300000</v>
      </c>
      <c r="C145" s="251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247"/>
      <c r="R145" s="248"/>
      <c r="S145" s="249"/>
    </row>
    <row r="147" spans="1:19" ht="17.25" thickBot="1"/>
    <row r="148" spans="1:19" ht="17.25" thickBot="1">
      <c r="A148" s="193" t="s">
        <v>289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11" t="s">
        <v>298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72158000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9.1322285000000007E-3</v>
      </c>
      <c r="N149" s="224"/>
      <c r="O149" s="225"/>
      <c r="Q149" s="214"/>
      <c r="R149" s="214"/>
      <c r="S149" s="214"/>
    </row>
    <row r="150" spans="1:19" ht="17.25" thickBot="1">
      <c r="A150" s="237" t="s">
        <v>55</v>
      </c>
      <c r="B150" s="239" t="str">
        <f>TEXT($G$1, "[$-ko-KR]yyyy-mm-dd(ddd) ") &amp; "오전 00:00"</f>
        <v>2021-05-01(토) 오전 00:00</v>
      </c>
      <c r="C150" s="240"/>
      <c r="D150" s="216" t="str">
        <f>TEXT($G$1, "[$-ko-KR]yyyy-mm-dd(ddd) ") &amp; "오후 14:00"</f>
        <v>2021-05-01(토) 오후 14:00</v>
      </c>
      <c r="E150" s="217"/>
      <c r="F150" s="218"/>
      <c r="G150" s="216" t="str">
        <f>TEXT($G$1, "[$-ko-KR]yyyy-mm-dd(ddd) ") &amp; "오후 19:00"</f>
        <v>2021-05-01(토) 오후 19:00</v>
      </c>
      <c r="H150" s="217"/>
      <c r="I150" s="218"/>
      <c r="J150" s="216" t="str">
        <f>TEXT($G$1, "[$-ko-KR]yyyy-mm-dd(ddd) ") &amp; "오후 21:00"</f>
        <v>2021-05-01(토) 오후 21:00</v>
      </c>
      <c r="K150" s="217"/>
      <c r="L150" s="218"/>
      <c r="M150" s="216" t="str">
        <f>TEXT($G$1+1, "[$-ko-KR]yyyy-mm-dd(ddd) ") &amp; "오전 00:00"</f>
        <v>2021-05-02(일) 오전 00:00</v>
      </c>
      <c r="N150" s="217"/>
      <c r="O150" s="218"/>
      <c r="Q150" s="214"/>
      <c r="R150" s="214"/>
      <c r="S150" s="214"/>
    </row>
    <row r="151" spans="1:19" ht="17.25" thickBot="1">
      <c r="A151" s="238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219"/>
      <c r="R151" s="219"/>
      <c r="S151" s="219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100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214"/>
      <c r="R152" s="214"/>
      <c r="S152" s="214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101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214"/>
      <c r="R153" s="214"/>
      <c r="S153" s="214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101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219"/>
      <c r="R154" s="219"/>
      <c r="S154" s="219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101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219"/>
      <c r="R155" s="219"/>
      <c r="S155" s="219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5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219"/>
      <c r="R156" s="219"/>
      <c r="S156" s="219"/>
    </row>
    <row r="157" spans="1:19" ht="17.25" thickBot="1">
      <c r="A157" s="17" t="s">
        <v>282</v>
      </c>
      <c r="B157" s="106">
        <v>182</v>
      </c>
      <c r="C157" s="107">
        <v>0</v>
      </c>
      <c r="D157" s="106">
        <v>181</v>
      </c>
      <c r="E157" s="107">
        <f>IF(ISNUMBER(D157), (D157 - $B157) / $B157, "")</f>
        <v>-5.4945054945054949E-3</v>
      </c>
      <c r="F157" s="108">
        <f>IF(ISNUMBER(D157), $B172 * E157, "")</f>
        <v>-1648.3516483516485</v>
      </c>
      <c r="G157" s="109">
        <v>182</v>
      </c>
      <c r="H157" s="107">
        <f>IF(ISNUMBER(G157), (G157 - $B157) / $B157, "")</f>
        <v>0</v>
      </c>
      <c r="I157" s="110">
        <f>IF(ISNUMBER(G157), $B172 * H157, "")</f>
        <v>0</v>
      </c>
      <c r="J157" s="106">
        <v>182</v>
      </c>
      <c r="K157" s="107">
        <f>IF(ISNUMBER(J157), (J157 - $B157) / $B157, "")</f>
        <v>0</v>
      </c>
      <c r="L157" s="108">
        <f>IF(ISNUMBER(J157), $B172 * K157, "")</f>
        <v>0</v>
      </c>
      <c r="M157" s="109">
        <v>184</v>
      </c>
      <c r="N157" s="107">
        <f>IF(ISNUMBER(M157), (M157 - $B157) / $B157, "")</f>
        <v>1.098901098901099E-2</v>
      </c>
      <c r="O157" s="108">
        <f>IF(ISNUMBER(M157), $B172 * N157, "")</f>
        <v>3296.7032967032969</v>
      </c>
      <c r="Q157" s="219"/>
      <c r="R157" s="219"/>
      <c r="S157" s="219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101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219"/>
      <c r="R158" s="219"/>
      <c r="S158" s="219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101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219"/>
      <c r="R159" s="219"/>
      <c r="S159" s="219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101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4">
        <f>IF(ISNUMBER(D161), $B172 * E161, "")</f>
        <v>0</v>
      </c>
      <c r="G161" s="102">
        <v>182</v>
      </c>
      <c r="H161" s="25">
        <f t="shared" si="83"/>
        <v>0</v>
      </c>
      <c r="I161" s="103">
        <f>IF(ISNUMBER(G161), $B172 * H161, "")</f>
        <v>0</v>
      </c>
      <c r="J161" s="24">
        <v>185</v>
      </c>
      <c r="K161" s="25">
        <f t="shared" si="84"/>
        <v>1.6483516483516484E-2</v>
      </c>
      <c r="L161" s="104">
        <f>IF(ISNUMBER(J161), $B172 * K161, "")</f>
        <v>4945.0549450549452</v>
      </c>
      <c r="M161" s="102">
        <v>186</v>
      </c>
      <c r="N161" s="25">
        <f t="shared" si="85"/>
        <v>2.197802197802198E-2</v>
      </c>
      <c r="O161" s="104">
        <f>IF(ISNUMBER(M161), $B172 * N161, "")</f>
        <v>6593.4065934065939</v>
      </c>
      <c r="Q161" s="228"/>
      <c r="R161" s="229"/>
      <c r="S161" s="230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100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231"/>
      <c r="R162" s="232"/>
      <c r="S162" s="233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101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234"/>
      <c r="R163" s="235"/>
      <c r="S163" s="236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101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219"/>
      <c r="R164" s="219"/>
      <c r="S164" s="219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101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214"/>
      <c r="R165" s="214"/>
      <c r="S165" s="214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5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214"/>
      <c r="R166" s="214"/>
      <c r="S166" s="214"/>
    </row>
    <row r="167" spans="1:19" ht="17.25" thickBot="1">
      <c r="A167" s="17" t="s">
        <v>258</v>
      </c>
      <c r="B167" s="106">
        <v>751</v>
      </c>
      <c r="C167" s="107">
        <v>-7.9260237999999993E-3</v>
      </c>
      <c r="D167" s="106">
        <v>747</v>
      </c>
      <c r="E167" s="107">
        <f>IF(ISNUMBER(D167), (D167 - $B167) / $B167, "")</f>
        <v>-5.3262316910785623E-3</v>
      </c>
      <c r="F167" s="108">
        <f>IF(ISNUMBER(D167), $B172 * E167, "")</f>
        <v>-1597.8695073235688</v>
      </c>
      <c r="G167" s="109">
        <v>746</v>
      </c>
      <c r="H167" s="107">
        <f>IF(ISNUMBER(G167), (G167 - $B167) / $B167, "")</f>
        <v>-6.6577896138482022E-3</v>
      </c>
      <c r="I167" s="110">
        <f>IF(ISNUMBER(G167), $B172 * H167, "")</f>
        <v>-1997.3368841544607</v>
      </c>
      <c r="J167" s="106">
        <v>748</v>
      </c>
      <c r="K167" s="107">
        <f>IF(ISNUMBER(J167), (J167 - $B167) / $B167, "")</f>
        <v>-3.9946737683089215E-3</v>
      </c>
      <c r="L167" s="108">
        <f>IF(ISNUMBER(J167), $B172 * K167, "")</f>
        <v>-1198.4021304926764</v>
      </c>
      <c r="M167" s="109">
        <v>751</v>
      </c>
      <c r="N167" s="107">
        <f>IF(ISNUMBER(M167), (M167 - $B167) / $B167, "")</f>
        <v>0</v>
      </c>
      <c r="O167" s="108">
        <f>IF(ISNUMBER(M167), $B172 * N167, "")</f>
        <v>0</v>
      </c>
      <c r="Q167" s="219"/>
      <c r="R167" s="219"/>
      <c r="S167" s="219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101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219"/>
      <c r="R168" s="219"/>
      <c r="S168" s="219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101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219"/>
      <c r="R169" s="219"/>
      <c r="S169" s="219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101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241"/>
      <c r="R170" s="242"/>
      <c r="S170" s="243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4">
        <f>IF(ISNUMBER(D171), $B172 * E171, "")</f>
        <v>1025.6410256410256</v>
      </c>
      <c r="G171" s="102">
        <v>588</v>
      </c>
      <c r="H171" s="25">
        <f t="shared" si="91"/>
        <v>5.1282051282051282E-3</v>
      </c>
      <c r="I171" s="103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4">
        <f>IF(ISNUMBER(J171), $B172 * K171, "")</f>
        <v>2051.2820512820513</v>
      </c>
      <c r="M171" s="102">
        <v>589</v>
      </c>
      <c r="N171" s="25">
        <f t="shared" si="93"/>
        <v>6.8376068376068376E-3</v>
      </c>
      <c r="O171" s="104">
        <f>IF(ISNUMBER(M171), $B172 * N171, "")</f>
        <v>2051.2820512820513</v>
      </c>
      <c r="Q171" s="244"/>
      <c r="R171" s="245"/>
      <c r="S171" s="246"/>
    </row>
    <row r="172" spans="1:19" ht="17.25" thickBot="1">
      <c r="A172" s="26" t="s">
        <v>301</v>
      </c>
      <c r="B172" s="250">
        <f>$B$37</f>
        <v>300000</v>
      </c>
      <c r="C172" s="251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247"/>
      <c r="R172" s="248"/>
      <c r="S172" s="249"/>
    </row>
    <row r="174" spans="1:19" ht="17.25" thickBot="1"/>
    <row r="175" spans="1:19" ht="17.25" thickBot="1">
      <c r="A175" s="193" t="s">
        <v>285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11" t="s">
        <v>298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72158000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9.1322285000000007E-3</v>
      </c>
      <c r="N176" s="224"/>
      <c r="O176" s="225"/>
      <c r="Q176" s="214"/>
      <c r="R176" s="214"/>
      <c r="S176" s="214"/>
    </row>
    <row r="177" spans="1:19" ht="17.25" thickBot="1">
      <c r="A177" s="237" t="s">
        <v>55</v>
      </c>
      <c r="B177" s="239" t="str">
        <f>TEXT($G$1, "[$-ko-KR]yyyy-mm-dd(ddd) ") &amp; "오전 00:00"</f>
        <v>2021-05-01(토) 오전 00:00</v>
      </c>
      <c r="C177" s="240"/>
      <c r="D177" s="216" t="str">
        <f>TEXT($G$1, "[$-ko-KR]yyyy-mm-dd(ddd) ") &amp; "오후 14:00"</f>
        <v>2021-05-01(토) 오후 14:00</v>
      </c>
      <c r="E177" s="217"/>
      <c r="F177" s="218"/>
      <c r="G177" s="216" t="str">
        <f>TEXT($G$1, "[$-ko-KR]yyyy-mm-dd(ddd) ") &amp; "오후 19:00"</f>
        <v>2021-05-01(토) 오후 19:00</v>
      </c>
      <c r="H177" s="217"/>
      <c r="I177" s="218"/>
      <c r="J177" s="216" t="str">
        <f>TEXT($G$1, "[$-ko-KR]yyyy-mm-dd(ddd) ") &amp; "오후 21:00"</f>
        <v>2021-05-01(토) 오후 21:00</v>
      </c>
      <c r="K177" s="217"/>
      <c r="L177" s="218"/>
      <c r="M177" s="216" t="str">
        <f>TEXT($G$1+1, "[$-ko-KR]yyyy-mm-dd(ddd) ") &amp; "오전 00:00"</f>
        <v>2021-05-02(일) 오전 00:00</v>
      </c>
      <c r="N177" s="217"/>
      <c r="O177" s="218"/>
      <c r="Q177" s="214"/>
      <c r="R177" s="214"/>
      <c r="S177" s="214"/>
    </row>
    <row r="178" spans="1:19" ht="17.25" thickBot="1">
      <c r="A178" s="238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219"/>
      <c r="R178" s="219"/>
      <c r="S178" s="219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100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214"/>
      <c r="R179" s="214"/>
      <c r="S179" s="214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101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214"/>
      <c r="R180" s="214"/>
      <c r="S180" s="214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101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219"/>
      <c r="R181" s="219"/>
      <c r="S181" s="219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101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219"/>
      <c r="R182" s="219"/>
      <c r="S182" s="219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5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219"/>
      <c r="R183" s="219"/>
      <c r="S183" s="219"/>
    </row>
    <row r="184" spans="1:19" ht="17.25" thickBot="1">
      <c r="A184" s="17" t="s">
        <v>246</v>
      </c>
      <c r="B184" s="106">
        <v>438</v>
      </c>
      <c r="C184" s="107">
        <v>-9.0497738000000008E-3</v>
      </c>
      <c r="D184" s="106">
        <v>443</v>
      </c>
      <c r="E184" s="107">
        <f>IF(ISNUMBER(D184), (D184 - $B184) / $B184, "")</f>
        <v>1.1415525114155251E-2</v>
      </c>
      <c r="F184" s="108">
        <f>IF(ISNUMBER(D184), $B199 * E184, "")</f>
        <v>3424.6575342465753</v>
      </c>
      <c r="G184" s="109">
        <v>441</v>
      </c>
      <c r="H184" s="107">
        <f>IF(ISNUMBER(G184), (G184 - $B184) / $B184, "")</f>
        <v>6.8493150684931503E-3</v>
      </c>
      <c r="I184" s="110">
        <f>IF(ISNUMBER(G184), $B199 * H184, "")</f>
        <v>2054.794520547945</v>
      </c>
      <c r="J184" s="106">
        <v>444</v>
      </c>
      <c r="K184" s="107">
        <f>IF(ISNUMBER(J184), (J184 - $B184) / $B184, "")</f>
        <v>1.3698630136986301E-2</v>
      </c>
      <c r="L184" s="108">
        <f>IF(ISNUMBER(J184), $B199 * K184, "")</f>
        <v>4109.58904109589</v>
      </c>
      <c r="M184" s="109">
        <v>444</v>
      </c>
      <c r="N184" s="107">
        <f>IF(ISNUMBER(M184), (M184 - $B184) / $B184, "")</f>
        <v>1.3698630136986301E-2</v>
      </c>
      <c r="O184" s="108">
        <f>IF(ISNUMBER(M184), $B199 * N184, "")</f>
        <v>4109.58904109589</v>
      </c>
      <c r="Q184" s="219"/>
      <c r="R184" s="219"/>
      <c r="S184" s="219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101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219"/>
      <c r="R185" s="219"/>
      <c r="S185" s="219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101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219"/>
      <c r="R186" s="219"/>
      <c r="S186" s="219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101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4">
        <f>IF(ISNUMBER(D188), $B199 * E188, "")</f>
        <v>1145.0381679389313</v>
      </c>
      <c r="G188" s="102">
        <v>526</v>
      </c>
      <c r="H188" s="25">
        <f t="shared" si="99"/>
        <v>3.8167938931297708E-3</v>
      </c>
      <c r="I188" s="103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4">
        <f>IF(ISNUMBER(J188), $B199 * K188, "")</f>
        <v>3435.1145038167938</v>
      </c>
      <c r="M188" s="102">
        <v>530</v>
      </c>
      <c r="N188" s="25">
        <f t="shared" si="101"/>
        <v>1.1450381679389313E-2</v>
      </c>
      <c r="O188" s="104">
        <f>IF(ISNUMBER(M188), $B199 * N188, "")</f>
        <v>3435.1145038167938</v>
      </c>
      <c r="Q188" s="228"/>
      <c r="R188" s="229"/>
      <c r="S188" s="230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100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231"/>
      <c r="R189" s="232"/>
      <c r="S189" s="233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101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234"/>
      <c r="R190" s="235"/>
      <c r="S190" s="236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101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219"/>
      <c r="R191" s="219"/>
      <c r="S191" s="219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101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214"/>
      <c r="R192" s="214"/>
      <c r="S192" s="214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5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214"/>
      <c r="R193" s="214"/>
      <c r="S193" s="214"/>
    </row>
    <row r="194" spans="1:19" ht="17.25" thickBot="1">
      <c r="A194" s="17" t="s">
        <v>158</v>
      </c>
      <c r="B194" s="106">
        <v>11710</v>
      </c>
      <c r="C194" s="107">
        <v>-2.98260149E-2</v>
      </c>
      <c r="D194" s="106">
        <v>11610</v>
      </c>
      <c r="E194" s="107">
        <f>IF(ISNUMBER(D194), (D194 - $B194) / $B194, "")</f>
        <v>-8.539709649871904E-3</v>
      </c>
      <c r="F194" s="108">
        <f>IF(ISNUMBER(D194), $B199 * E194, "")</f>
        <v>-2561.9128949615711</v>
      </c>
      <c r="G194" s="109">
        <v>11460</v>
      </c>
      <c r="H194" s="107">
        <f>IF(ISNUMBER(G194), (G194 - $B194) / $B194, "")</f>
        <v>-2.1349274124679761E-2</v>
      </c>
      <c r="I194" s="110">
        <f>IF(ISNUMBER(G194), $B199 * H194, "")</f>
        <v>-6404.7822374039279</v>
      </c>
      <c r="J194" s="106">
        <v>11510</v>
      </c>
      <c r="K194" s="107">
        <f>IF(ISNUMBER(J194), (J194 - $B194) / $B194, "")</f>
        <v>-1.7079419299743808E-2</v>
      </c>
      <c r="L194" s="108">
        <f>IF(ISNUMBER(J194), $B199 * K194, "")</f>
        <v>-5123.8257899231421</v>
      </c>
      <c r="M194" s="109">
        <v>11480</v>
      </c>
      <c r="N194" s="107">
        <f>IF(ISNUMBER(M194), (M194 - $B194) / $B194, "")</f>
        <v>-1.9641332194705381E-2</v>
      </c>
      <c r="O194" s="108">
        <f>IF(ISNUMBER(M194), $B199 * N194, "")</f>
        <v>-5892.3996584116139</v>
      </c>
      <c r="Q194" s="219"/>
      <c r="R194" s="219"/>
      <c r="S194" s="219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101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219"/>
      <c r="R195" s="219"/>
      <c r="S195" s="219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101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219"/>
      <c r="R196" s="219"/>
      <c r="S196" s="219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101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241"/>
      <c r="R197" s="242"/>
      <c r="S197" s="243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4">
        <f>IF(ISNUMBER(D198), $B199 * E198, "")</f>
        <v>-598.80239520958082</v>
      </c>
      <c r="G198" s="102">
        <v>9980</v>
      </c>
      <c r="H198" s="25">
        <f t="shared" si="107"/>
        <v>-3.9920159680638719E-3</v>
      </c>
      <c r="I198" s="103">
        <f>IF(ISNUMBER(G198), $B199 * H198, "")</f>
        <v>-1197.6047904191616</v>
      </c>
      <c r="J198" s="24">
        <v>10020</v>
      </c>
      <c r="K198" s="25">
        <f t="shared" si="108"/>
        <v>0</v>
      </c>
      <c r="L198" s="104">
        <f>IF(ISNUMBER(J198), $B199 * K198, "")</f>
        <v>0</v>
      </c>
      <c r="M198" s="102">
        <v>10040</v>
      </c>
      <c r="N198" s="25">
        <f t="shared" si="109"/>
        <v>1.996007984031936E-3</v>
      </c>
      <c r="O198" s="104">
        <f>IF(ISNUMBER(M198), $B199 * N198, "")</f>
        <v>598.80239520958082</v>
      </c>
      <c r="Q198" s="244"/>
      <c r="R198" s="245"/>
      <c r="S198" s="246"/>
    </row>
    <row r="199" spans="1:19" ht="17.25" thickBot="1">
      <c r="A199" s="26" t="s">
        <v>301</v>
      </c>
      <c r="B199" s="250">
        <f>$B$37</f>
        <v>300000</v>
      </c>
      <c r="C199" s="251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44318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" t="s">
        <v>3</v>
      </c>
      <c r="B2" s="199" t="s">
        <v>4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5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4" t="s">
        <v>7</v>
      </c>
      <c r="B3" s="205" t="s">
        <v>8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209"/>
      <c r="I3" s="210"/>
      <c r="J3" s="4" t="s">
        <v>7</v>
      </c>
      <c r="K3" s="205" t="s">
        <v>9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05" t="s">
        <v>12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13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05" t="s">
        <v>16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209"/>
      <c r="I5" s="210"/>
      <c r="J5" s="4" t="s">
        <v>15</v>
      </c>
      <c r="K5" s="205" t="s">
        <v>17</v>
      </c>
      <c r="L5" s="206"/>
      <c r="M5" s="206"/>
      <c r="N5" s="206"/>
      <c r="O5" s="207"/>
    </row>
    <row r="6" spans="1:19">
      <c r="A6" s="4" t="s">
        <v>18</v>
      </c>
      <c r="B6" s="205" t="s">
        <v>19</v>
      </c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20</v>
      </c>
      <c r="L6" s="206"/>
      <c r="M6" s="206"/>
      <c r="N6" s="206"/>
      <c r="O6" s="207"/>
    </row>
    <row r="7" spans="1:19" ht="17.25" thickBot="1">
      <c r="A7" s="4" t="s">
        <v>21</v>
      </c>
      <c r="B7" s="205" t="s">
        <v>22</v>
      </c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209"/>
      <c r="I7" s="210"/>
      <c r="J7" s="4" t="s">
        <v>21</v>
      </c>
      <c r="K7" s="205" t="s">
        <v>23</v>
      </c>
      <c r="L7" s="206"/>
      <c r="M7" s="206"/>
      <c r="N7" s="206"/>
      <c r="O7" s="207"/>
    </row>
    <row r="8" spans="1:19" ht="17.25" thickBot="1">
      <c r="A8" s="4" t="s">
        <v>24</v>
      </c>
      <c r="B8" s="205" t="s">
        <v>25</v>
      </c>
      <c r="C8" s="206"/>
      <c r="D8" s="206"/>
      <c r="E8" s="206"/>
      <c r="F8" s="207"/>
      <c r="G8" s="202" t="s">
        <v>285</v>
      </c>
      <c r="H8" s="203"/>
      <c r="I8" s="204"/>
      <c r="J8" s="4" t="s">
        <v>24</v>
      </c>
      <c r="K8" s="205" t="s">
        <v>26</v>
      </c>
      <c r="L8" s="206"/>
      <c r="M8" s="206"/>
      <c r="N8" s="206"/>
      <c r="O8" s="207"/>
      <c r="Q8" s="193" t="s">
        <v>27</v>
      </c>
      <c r="R8" s="195"/>
    </row>
    <row r="9" spans="1:19" ht="17.25" thickBot="1">
      <c r="A9" s="4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209"/>
      <c r="I9" s="210"/>
      <c r="J9" s="4" t="s">
        <v>28</v>
      </c>
      <c r="K9" s="205" t="s">
        <v>293</v>
      </c>
      <c r="L9" s="206"/>
      <c r="M9" s="206"/>
      <c r="N9" s="206"/>
      <c r="O9" s="207"/>
      <c r="Q9" s="2" t="s">
        <v>29</v>
      </c>
      <c r="R9" s="6">
        <v>10</v>
      </c>
    </row>
    <row r="10" spans="1:19">
      <c r="A10" s="4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/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7" t="s">
        <v>32</v>
      </c>
      <c r="B11" s="211"/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209"/>
      <c r="I11" s="210"/>
      <c r="J11" s="7" t="s">
        <v>32</v>
      </c>
      <c r="K11" s="211"/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11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72158000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9.1322285000000007E-3</v>
      </c>
      <c r="N14" s="224"/>
      <c r="O14" s="225"/>
      <c r="Q14" s="214"/>
      <c r="R14" s="214"/>
      <c r="S14" s="214"/>
    </row>
    <row r="15" spans="1:19" ht="17.25" customHeight="1" thickBot="1">
      <c r="A15" s="215" t="s">
        <v>39</v>
      </c>
      <c r="B15" s="226" t="str">
        <f>TEXT($G$1, "[$-ko-KR]yyyy-mm-dd(ddd) ") &amp; "오전 00:00"</f>
        <v>2021-05-02(일) 오전 00:00</v>
      </c>
      <c r="C15" s="227"/>
      <c r="D15" s="216" t="str">
        <f>TEXT($G$1, "[$-ko-KR]yyyy-mm-dd(ddd) ") &amp; "오후 14:00"</f>
        <v>2021-05-02(일) 오후 14:00</v>
      </c>
      <c r="E15" s="217"/>
      <c r="F15" s="218"/>
      <c r="G15" s="216" t="str">
        <f>TEXT($G$1, "[$-ko-KR]yyyy-mm-dd(ddd) ") &amp; "오후 19:00"</f>
        <v>2021-05-02(일) 오후 19:00</v>
      </c>
      <c r="H15" s="217"/>
      <c r="I15" s="218"/>
      <c r="J15" s="216" t="str">
        <f>TEXT($G$1, "[$-ko-KR]yyyy-mm-dd(ddd) ") &amp; "오후 21:00"</f>
        <v>2021-05-02(일) 오후 21:00</v>
      </c>
      <c r="K15" s="217"/>
      <c r="L15" s="218"/>
      <c r="M15" s="216" t="str">
        <f>TEXT($G$1+1, "[$-ko-KR]yyyy-mm-dd(ddd) ") &amp; "오전 00:00"</f>
        <v>2021-05-03(월) 오전 00:00</v>
      </c>
      <c r="N15" s="217"/>
      <c r="O15" s="218"/>
      <c r="Q15" s="214"/>
      <c r="R15" s="214"/>
      <c r="S15" s="214"/>
    </row>
    <row r="16" spans="1:19" ht="17.25" customHeight="1" thickBot="1">
      <c r="A16" s="21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100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214"/>
      <c r="R17" s="214"/>
      <c r="S17" s="214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101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214"/>
      <c r="R18" s="214"/>
      <c r="S18" s="214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101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219"/>
      <c r="R19" s="219"/>
      <c r="S19" s="219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101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219"/>
      <c r="R20" s="219"/>
      <c r="S20" s="219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5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219"/>
      <c r="R21" s="219"/>
      <c r="S21" s="219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26" t="s">
        <v>42</v>
      </c>
      <c r="B37" s="250">
        <v>300000</v>
      </c>
      <c r="C37" s="251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11" t="s">
        <v>298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72158000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9.1322285000000007E-3</v>
      </c>
      <c r="N41" s="224"/>
      <c r="O41" s="225"/>
      <c r="Q41" s="214"/>
      <c r="R41" s="214"/>
      <c r="S41" s="214"/>
    </row>
    <row r="42" spans="1:19" ht="17.25" customHeight="1" thickBot="1">
      <c r="A42" s="237" t="s">
        <v>55</v>
      </c>
      <c r="B42" s="239" t="str">
        <f>TEXT($G$1, "[$-ko-KR]yyyy-mm-dd(ddd) ") &amp; "오전 00:00"</f>
        <v>2021-05-02(일) 오전 00:00</v>
      </c>
      <c r="C42" s="240"/>
      <c r="D42" s="216" t="str">
        <f>TEXT($G$1, "[$-ko-KR]yyyy-mm-dd(ddd) ") &amp; "오후 14:00"</f>
        <v>2021-05-02(일) 오후 14:00</v>
      </c>
      <c r="E42" s="217"/>
      <c r="F42" s="218"/>
      <c r="G42" s="216" t="str">
        <f>TEXT($G$1, "[$-ko-KR]yyyy-mm-dd(ddd) ") &amp; "오후 19:00"</f>
        <v>2021-05-02(일) 오후 19:00</v>
      </c>
      <c r="H42" s="217"/>
      <c r="I42" s="218"/>
      <c r="J42" s="216" t="str">
        <f>TEXT($G$1, "[$-ko-KR]yyyy-mm-dd(ddd) ") &amp; "오후 21:00"</f>
        <v>2021-05-02(일) 오후 21:00</v>
      </c>
      <c r="K42" s="217"/>
      <c r="L42" s="218"/>
      <c r="M42" s="216" t="str">
        <f>TEXT($G$1+1, "[$-ko-KR]yyyy-mm-dd(ddd) ") &amp; "오전 00:00"</f>
        <v>2021-05-03(월) 오전 00:00</v>
      </c>
      <c r="N42" s="217"/>
      <c r="O42" s="218"/>
      <c r="Q42" s="214"/>
      <c r="R42" s="214"/>
      <c r="S42" s="214"/>
    </row>
    <row r="43" spans="1:19" ht="17.25" customHeight="1" thickBot="1">
      <c r="A43" s="238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219"/>
      <c r="R43" s="219"/>
      <c r="S43" s="219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100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214"/>
      <c r="R44" s="214"/>
      <c r="S44" s="214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101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214"/>
      <c r="R45" s="214"/>
      <c r="S45" s="214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101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219"/>
      <c r="R46" s="219"/>
      <c r="S46" s="219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101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219"/>
      <c r="R47" s="219"/>
      <c r="S47" s="219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5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219"/>
      <c r="R48" s="219"/>
      <c r="S48" s="219"/>
    </row>
    <row r="49" spans="1:19" ht="17.25" customHeight="1" thickBot="1">
      <c r="A49" s="17" t="s">
        <v>198</v>
      </c>
      <c r="B49" s="106">
        <v>31.7</v>
      </c>
      <c r="C49" s="107">
        <v>-2.1604938300000001E-2</v>
      </c>
      <c r="D49" s="106">
        <v>31.5</v>
      </c>
      <c r="E49" s="107">
        <f>IF(ISNUMBER(D49), (D49 - $B49) / $B49, "")</f>
        <v>-6.3091482649842053E-3</v>
      </c>
      <c r="F49" s="108">
        <f>IF(ISNUMBER(D49), $B64 * E49, "")</f>
        <v>-1892.7444794952617</v>
      </c>
      <c r="G49" s="109">
        <v>31.4</v>
      </c>
      <c r="H49" s="107">
        <f>IF(ISNUMBER(G49), (G49 - $B49) / $B49, "")</f>
        <v>-9.4637223974763634E-3</v>
      </c>
      <c r="I49" s="110">
        <f>IF(ISNUMBER(G49), $B64 * H49, "")</f>
        <v>-2839.1167192429089</v>
      </c>
      <c r="J49" s="106">
        <v>31.4</v>
      </c>
      <c r="K49" s="107">
        <f>IF(ISNUMBER(J49), (J49 - $B49) / $B49, "")</f>
        <v>-9.4637223974763634E-3</v>
      </c>
      <c r="L49" s="108">
        <f>IF(ISNUMBER(J49), $B64 * K49, "")</f>
        <v>-2839.1167192429089</v>
      </c>
      <c r="M49" s="109">
        <v>31.6</v>
      </c>
      <c r="N49" s="107">
        <f>IF(ISNUMBER(M49), (M49 - $B49) / $B49, "")</f>
        <v>-3.1545741324920462E-3</v>
      </c>
      <c r="O49" s="108">
        <f>IF(ISNUMBER(M49), $B64 * N49, "")</f>
        <v>-946.37223974761389</v>
      </c>
      <c r="Q49" s="219"/>
      <c r="R49" s="219"/>
      <c r="S49" s="219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101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219"/>
      <c r="R50" s="219"/>
      <c r="S50" s="219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101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219"/>
      <c r="R51" s="219"/>
      <c r="S51" s="219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101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4">
        <f>IF(ISNUMBER(D53), $B64 * E53, "")</f>
        <v>-1239.6694214875768</v>
      </c>
      <c r="G53" s="102">
        <v>24</v>
      </c>
      <c r="H53" s="25">
        <f t="shared" si="19"/>
        <v>-8.2644628099173261E-3</v>
      </c>
      <c r="I53" s="103">
        <f>IF(ISNUMBER(G53), $B64 * H53, "")</f>
        <v>-2479.3388429751976</v>
      </c>
      <c r="J53" s="24">
        <v>24.2</v>
      </c>
      <c r="K53" s="25">
        <f t="shared" si="20"/>
        <v>0</v>
      </c>
      <c r="L53" s="104">
        <f>IF(ISNUMBER(J53), $B64 * K53, "")</f>
        <v>0</v>
      </c>
      <c r="M53" s="102">
        <v>24.5</v>
      </c>
      <c r="N53" s="25">
        <f t="shared" si="21"/>
        <v>1.2396694214876063E-2</v>
      </c>
      <c r="O53" s="104">
        <f>IF(ISNUMBER(M53), $B64 * N53, "")</f>
        <v>3719.0082644628187</v>
      </c>
      <c r="Q53" s="228"/>
      <c r="R53" s="229"/>
      <c r="S53" s="230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100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231"/>
      <c r="R54" s="232"/>
      <c r="S54" s="233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101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234"/>
      <c r="R55" s="235"/>
      <c r="S55" s="236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101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219"/>
      <c r="R56" s="219"/>
      <c r="S56" s="219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101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214"/>
      <c r="R57" s="214"/>
      <c r="S57" s="214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5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214"/>
      <c r="R58" s="214"/>
      <c r="S58" s="214"/>
    </row>
    <row r="59" spans="1:19" ht="17.25" customHeight="1" thickBot="1">
      <c r="A59" s="17" t="s">
        <v>218</v>
      </c>
      <c r="B59" s="106">
        <v>32.1</v>
      </c>
      <c r="C59" s="107">
        <v>-3.3132530100000002E-2</v>
      </c>
      <c r="D59" s="106">
        <v>31.5</v>
      </c>
      <c r="E59" s="107">
        <f>IF(ISNUMBER(D59), (D59 - $B59) / $B59, "")</f>
        <v>-1.8691588785046773E-2</v>
      </c>
      <c r="F59" s="108">
        <f>IF(ISNUMBER(D59), $B64 * E59, "")</f>
        <v>-5607.4766355140318</v>
      </c>
      <c r="G59" s="109">
        <v>31.8</v>
      </c>
      <c r="H59" s="107">
        <f>IF(ISNUMBER(G59), (G59 - $B59) / $B59, "")</f>
        <v>-9.3457943925233863E-3</v>
      </c>
      <c r="I59" s="110">
        <f>IF(ISNUMBER(G59), $B64 * H59, "")</f>
        <v>-2803.7383177570159</v>
      </c>
      <c r="J59" s="106">
        <v>31.8</v>
      </c>
      <c r="K59" s="107">
        <f>IF(ISNUMBER(J59), (J59 - $B59) / $B59, "")</f>
        <v>-9.3457943925233863E-3</v>
      </c>
      <c r="L59" s="108">
        <f>IF(ISNUMBER(J59), $B64 * K59, "")</f>
        <v>-2803.7383177570159</v>
      </c>
      <c r="M59" s="109">
        <v>32.1</v>
      </c>
      <c r="N59" s="107">
        <f>IF(ISNUMBER(M59), (M59 - $B59) / $B59, "")</f>
        <v>0</v>
      </c>
      <c r="O59" s="108">
        <f>IF(ISNUMBER(M59), $B64 * N59, "")</f>
        <v>0</v>
      </c>
      <c r="Q59" s="219"/>
      <c r="R59" s="219"/>
      <c r="S59" s="219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101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219"/>
      <c r="R60" s="219"/>
      <c r="S60" s="219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101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219"/>
      <c r="R61" s="219"/>
      <c r="S61" s="219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101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241"/>
      <c r="R62" s="242"/>
      <c r="S62" s="243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26" t="s">
        <v>301</v>
      </c>
      <c r="B64" s="250">
        <f>$B$37</f>
        <v>300000</v>
      </c>
      <c r="C64" s="251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11" t="s">
        <v>298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72158000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9.1322285000000007E-3</v>
      </c>
      <c r="N68" s="224"/>
      <c r="O68" s="225"/>
      <c r="Q68" s="214"/>
      <c r="R68" s="214"/>
      <c r="S68" s="214"/>
    </row>
    <row r="69" spans="1:19" ht="17.25" thickBot="1">
      <c r="A69" s="237" t="s">
        <v>55</v>
      </c>
      <c r="B69" s="239" t="str">
        <f>TEXT($G$1, "[$-ko-KR]yyyy-mm-dd(ddd) ") &amp; "오전 00:00"</f>
        <v>2021-05-02(일) 오전 00:00</v>
      </c>
      <c r="C69" s="240"/>
      <c r="D69" s="216" t="str">
        <f>TEXT($G$1, "[$-ko-KR]yyyy-mm-dd(ddd) ") &amp; "오후 14:00"</f>
        <v>2021-05-02(일) 오후 14:00</v>
      </c>
      <c r="E69" s="217"/>
      <c r="F69" s="218"/>
      <c r="G69" s="216" t="str">
        <f>TEXT($G$1, "[$-ko-KR]yyyy-mm-dd(ddd) ") &amp; "오후 19:00"</f>
        <v>2021-05-02(일) 오후 19:00</v>
      </c>
      <c r="H69" s="217"/>
      <c r="I69" s="218"/>
      <c r="J69" s="216" t="str">
        <f>TEXT($G$1, "[$-ko-KR]yyyy-mm-dd(ddd) ") &amp; "오후 21:00"</f>
        <v>2021-05-02(일) 오후 21:00</v>
      </c>
      <c r="K69" s="217"/>
      <c r="L69" s="218"/>
      <c r="M69" s="216" t="str">
        <f>TEXT($G$1+1, "[$-ko-KR]yyyy-mm-dd(ddd) ") &amp; "오전 00:00"</f>
        <v>2021-05-03(월) 오전 00:00</v>
      </c>
      <c r="N69" s="217"/>
      <c r="O69" s="218"/>
      <c r="Q69" s="214"/>
      <c r="R69" s="214"/>
      <c r="S69" s="214"/>
    </row>
    <row r="70" spans="1:19" ht="17.25" thickBot="1">
      <c r="A70" s="238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219"/>
      <c r="R70" s="219"/>
      <c r="S70" s="219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100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214"/>
      <c r="R71" s="214"/>
      <c r="S71" s="214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101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214"/>
      <c r="R72" s="214"/>
      <c r="S72" s="214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101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219"/>
      <c r="R73" s="219"/>
      <c r="S73" s="219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101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219"/>
      <c r="R74" s="219"/>
      <c r="S74" s="219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5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219"/>
      <c r="R75" s="219"/>
      <c r="S75" s="219"/>
    </row>
    <row r="76" spans="1:19" ht="17.25" thickBot="1">
      <c r="A76" s="17" t="s">
        <v>226</v>
      </c>
      <c r="B76" s="106">
        <v>563</v>
      </c>
      <c r="C76" s="107">
        <v>3.8745387499999999E-2</v>
      </c>
      <c r="D76" s="106">
        <v>539</v>
      </c>
      <c r="E76" s="107">
        <f>IF(ISNUMBER(D76), (D76 - $B76) / $B76, "")</f>
        <v>-4.2628774422735348E-2</v>
      </c>
      <c r="F76" s="108">
        <f>IF(ISNUMBER(D76), $B91 * E76, "")</f>
        <v>-12788.632326820605</v>
      </c>
      <c r="G76" s="109">
        <v>535</v>
      </c>
      <c r="H76" s="107">
        <f>IF(ISNUMBER(G76), (G76 - $B76) / $B76, "")</f>
        <v>-4.9733570159857902E-2</v>
      </c>
      <c r="I76" s="110">
        <f>IF(ISNUMBER(G76), $B91 * H76, "")</f>
        <v>-14920.07104795737</v>
      </c>
      <c r="J76" s="106">
        <v>541</v>
      </c>
      <c r="K76" s="107">
        <f>IF(ISNUMBER(J76), (J76 - $B76) / $B76, "")</f>
        <v>-3.9076376554174071E-2</v>
      </c>
      <c r="L76" s="108">
        <f>IF(ISNUMBER(J76), $B91 * K76, "")</f>
        <v>-11722.912966252221</v>
      </c>
      <c r="M76" s="109">
        <v>543</v>
      </c>
      <c r="N76" s="107">
        <f>IF(ISNUMBER(M76), (M76 - $B76) / $B76, "")</f>
        <v>-3.5523978685612786E-2</v>
      </c>
      <c r="O76" s="108">
        <f>IF(ISNUMBER(M76), $B91 * N76, "")</f>
        <v>-10657.193605683837</v>
      </c>
      <c r="Q76" s="219"/>
      <c r="R76" s="219"/>
      <c r="S76" s="219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101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219"/>
      <c r="R77" s="219"/>
      <c r="S77" s="219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101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219"/>
      <c r="R78" s="219"/>
      <c r="S78" s="219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101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4">
        <f>IF(ISNUMBER(D80), $B91 * E80, "")</f>
        <v>-7535.3218210361074</v>
      </c>
      <c r="G80" s="102">
        <v>619</v>
      </c>
      <c r="H80" s="25">
        <f t="shared" si="35"/>
        <v>-2.8257456828885402E-2</v>
      </c>
      <c r="I80" s="103">
        <f>IF(ISNUMBER(G80), $B91 * H80, "")</f>
        <v>-8477.23704866562</v>
      </c>
      <c r="J80" s="24">
        <v>623</v>
      </c>
      <c r="K80" s="25">
        <f t="shared" si="36"/>
        <v>-2.197802197802198E-2</v>
      </c>
      <c r="L80" s="104">
        <f>IF(ISNUMBER(J80), $B91 * K80, "")</f>
        <v>-6593.4065934065939</v>
      </c>
      <c r="M80" s="102">
        <v>626</v>
      </c>
      <c r="N80" s="25">
        <f t="shared" si="37"/>
        <v>-1.726844583987441E-2</v>
      </c>
      <c r="O80" s="104">
        <f>IF(ISNUMBER(M80), $B91 * N80, "")</f>
        <v>-5180.5337519623226</v>
      </c>
      <c r="Q80" s="228"/>
      <c r="R80" s="229"/>
      <c r="S80" s="230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100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231"/>
      <c r="R81" s="232"/>
      <c r="S81" s="233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101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234"/>
      <c r="R82" s="235"/>
      <c r="S82" s="236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101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219"/>
      <c r="R83" s="219"/>
      <c r="S83" s="219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101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214"/>
      <c r="R84" s="214"/>
      <c r="S84" s="214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5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214"/>
      <c r="R85" s="214"/>
      <c r="S85" s="214"/>
    </row>
    <row r="86" spans="1:19" ht="17.25" thickBot="1">
      <c r="A86" s="17" t="s">
        <v>120</v>
      </c>
      <c r="B86" s="106">
        <v>230</v>
      </c>
      <c r="C86" s="107">
        <v>0</v>
      </c>
      <c r="D86" s="106">
        <v>228</v>
      </c>
      <c r="E86" s="107">
        <f>IF(ISNUMBER(D86), (D86 - $B86) / $B86, "")</f>
        <v>-8.6956521739130436E-3</v>
      </c>
      <c r="F86" s="108">
        <f>IF(ISNUMBER(D86), $B91 * E86, "")</f>
        <v>-2608.695652173913</v>
      </c>
      <c r="G86" s="109">
        <v>227</v>
      </c>
      <c r="H86" s="107">
        <f>IF(ISNUMBER(G86), (G86 - $B86) / $B86, "")</f>
        <v>-1.3043478260869565E-2</v>
      </c>
      <c r="I86" s="110">
        <f>IF(ISNUMBER(G86), $B91 * H86, "")</f>
        <v>-3913.0434782608695</v>
      </c>
      <c r="J86" s="106">
        <v>227</v>
      </c>
      <c r="K86" s="107">
        <f>IF(ISNUMBER(J86), (J86 - $B86) / $B86, "")</f>
        <v>-1.3043478260869565E-2</v>
      </c>
      <c r="L86" s="108">
        <f>IF(ISNUMBER(J86), $B91 * K86, "")</f>
        <v>-3913.0434782608695</v>
      </c>
      <c r="M86" s="109">
        <v>226</v>
      </c>
      <c r="N86" s="107">
        <f>IF(ISNUMBER(M86), (M86 - $B86) / $B86, "")</f>
        <v>-1.7391304347826087E-2</v>
      </c>
      <c r="O86" s="108">
        <f>IF(ISNUMBER(M86), $B91 * N86, "")</f>
        <v>-5217.391304347826</v>
      </c>
      <c r="Q86" s="219"/>
      <c r="R86" s="219"/>
      <c r="S86" s="219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101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219"/>
      <c r="R87" s="219"/>
      <c r="S87" s="219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101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219"/>
      <c r="R88" s="219"/>
      <c r="S88" s="219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101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241"/>
      <c r="R89" s="242"/>
      <c r="S89" s="243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4">
        <f>IF(ISNUMBER(D90), $B91 * E90, "")</f>
        <v>24255.319148936171</v>
      </c>
      <c r="G90" s="102">
        <v>255</v>
      </c>
      <c r="H90" s="25">
        <f t="shared" si="43"/>
        <v>8.5106382978723402E-2</v>
      </c>
      <c r="I90" s="103">
        <f>IF(ISNUMBER(G90), $B91 * H90, "")</f>
        <v>25531.91489361702</v>
      </c>
      <c r="J90" s="24">
        <v>255</v>
      </c>
      <c r="K90" s="25">
        <f t="shared" si="44"/>
        <v>8.5106382978723402E-2</v>
      </c>
      <c r="L90" s="104">
        <f>IF(ISNUMBER(J90), $B91 * K90, "")</f>
        <v>25531.91489361702</v>
      </c>
      <c r="M90" s="102">
        <v>254</v>
      </c>
      <c r="N90" s="25">
        <f t="shared" si="45"/>
        <v>8.085106382978724E-2</v>
      </c>
      <c r="O90" s="104">
        <f>IF(ISNUMBER(M90), $B91 * N90, "")</f>
        <v>24255.319148936171</v>
      </c>
      <c r="Q90" s="244"/>
      <c r="R90" s="245"/>
      <c r="S90" s="246"/>
    </row>
    <row r="91" spans="1:19" ht="17.25" thickBot="1">
      <c r="A91" s="26" t="s">
        <v>301</v>
      </c>
      <c r="B91" s="250">
        <f>$B$37</f>
        <v>300000</v>
      </c>
      <c r="C91" s="251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11" t="s">
        <v>298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72158000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9.1322285000000007E-3</v>
      </c>
      <c r="N95" s="224"/>
      <c r="O95" s="225"/>
      <c r="Q95" s="214"/>
      <c r="R95" s="214"/>
      <c r="S95" s="214"/>
    </row>
    <row r="96" spans="1:19" ht="17.25" thickBot="1">
      <c r="A96" s="237" t="s">
        <v>55</v>
      </c>
      <c r="B96" s="239" t="str">
        <f>TEXT($G$1, "[$-ko-KR]yyyy-mm-dd(ddd) ") &amp; "오전 00:00"</f>
        <v>2021-05-02(일) 오전 00:00</v>
      </c>
      <c r="C96" s="240"/>
      <c r="D96" s="216" t="str">
        <f>TEXT($G$1, "[$-ko-KR]yyyy-mm-dd(ddd) ") &amp; "오후 14:00"</f>
        <v>2021-05-02(일) 오후 14:00</v>
      </c>
      <c r="E96" s="217"/>
      <c r="F96" s="218"/>
      <c r="G96" s="216" t="str">
        <f>TEXT($G$1, "[$-ko-KR]yyyy-mm-dd(ddd) ") &amp; "오후 19:00"</f>
        <v>2021-05-02(일) 오후 19:00</v>
      </c>
      <c r="H96" s="217"/>
      <c r="I96" s="218"/>
      <c r="J96" s="216" t="str">
        <f>TEXT($G$1, "[$-ko-KR]yyyy-mm-dd(ddd) ") &amp; "오후 21:00"</f>
        <v>2021-05-02(일) 오후 21:00</v>
      </c>
      <c r="K96" s="217"/>
      <c r="L96" s="218"/>
      <c r="M96" s="216" t="str">
        <f>TEXT($G$1+1, "[$-ko-KR]yyyy-mm-dd(ddd) ") &amp; "오전 00:00"</f>
        <v>2021-05-03(월) 오전 00:00</v>
      </c>
      <c r="N96" s="217"/>
      <c r="O96" s="218"/>
      <c r="Q96" s="214"/>
      <c r="R96" s="214"/>
      <c r="S96" s="214"/>
    </row>
    <row r="97" spans="1:19" ht="17.25" thickBot="1">
      <c r="A97" s="238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219"/>
      <c r="R97" s="219"/>
      <c r="S97" s="219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100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214"/>
      <c r="R98" s="214"/>
      <c r="S98" s="214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101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214"/>
      <c r="R99" s="214"/>
      <c r="S99" s="214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101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219"/>
      <c r="R100" s="219"/>
      <c r="S100" s="219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101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219"/>
      <c r="R101" s="219"/>
      <c r="S101" s="219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5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219"/>
      <c r="R102" s="219"/>
      <c r="S102" s="219"/>
    </row>
    <row r="103" spans="1:19" ht="17.25" thickBot="1">
      <c r="A103" s="17" t="s">
        <v>74</v>
      </c>
      <c r="B103" s="106">
        <v>28460</v>
      </c>
      <c r="C103" s="107">
        <v>6.5518532399999996E-2</v>
      </c>
      <c r="D103" s="106">
        <v>27500</v>
      </c>
      <c r="E103" s="107">
        <f>IF(ISNUMBER(D103), (D103 - $B103) / $B103, "")</f>
        <v>-3.3731553056921992E-2</v>
      </c>
      <c r="F103" s="108">
        <f>IF(ISNUMBER(D103), $B118 * E103, "")</f>
        <v>-10119.465917076597</v>
      </c>
      <c r="G103" s="109">
        <v>27400</v>
      </c>
      <c r="H103" s="107">
        <f>IF(ISNUMBER(G103), (G103 - $B103) / $B103, "")</f>
        <v>-3.7245256500351369E-2</v>
      </c>
      <c r="I103" s="110">
        <f>IF(ISNUMBER(G103), $B118 * H103, "")</f>
        <v>-11173.576950105411</v>
      </c>
      <c r="J103" s="106">
        <v>27590</v>
      </c>
      <c r="K103" s="107">
        <f>IF(ISNUMBER(J103), (J103 - $B103) / $B103, "")</f>
        <v>-3.0569219957835559E-2</v>
      </c>
      <c r="L103" s="108">
        <f>IF(ISNUMBER(J103), $B118 * K103, "")</f>
        <v>-9170.7659873506673</v>
      </c>
      <c r="M103" s="109">
        <v>27670</v>
      </c>
      <c r="N103" s="107">
        <f>IF(ISNUMBER(M103), (M103 - $B103) / $B103, "")</f>
        <v>-2.7758257203092059E-2</v>
      </c>
      <c r="O103" s="108">
        <f>IF(ISNUMBER(M103), $B118 * N103, "")</f>
        <v>-8327.4771609276177</v>
      </c>
      <c r="Q103" s="219"/>
      <c r="R103" s="219"/>
      <c r="S103" s="219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101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219"/>
      <c r="R104" s="219"/>
      <c r="S104" s="219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101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219"/>
      <c r="R105" s="219"/>
      <c r="S105" s="219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101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4">
        <f>IF(ISNUMBER(D107), $B118 * E107, "")</f>
        <v>-6773.4887108521489</v>
      </c>
      <c r="G107" s="102">
        <v>6785</v>
      </c>
      <c r="H107" s="25">
        <f t="shared" si="51"/>
        <v>-1.1653313911143482E-2</v>
      </c>
      <c r="I107" s="103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4">
        <f>IF(ISNUMBER(J107), $B118 * K107, "")</f>
        <v>-5899.4901675163883</v>
      </c>
      <c r="M107" s="102">
        <v>6780</v>
      </c>
      <c r="N107" s="25">
        <f t="shared" si="53"/>
        <v>-1.2381646030589949E-2</v>
      </c>
      <c r="O107" s="104">
        <f>IF(ISNUMBER(M107), $B118 * N107, "")</f>
        <v>-3714.4938091769845</v>
      </c>
      <c r="Q107" s="228"/>
      <c r="R107" s="229"/>
      <c r="S107" s="230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100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231"/>
      <c r="R108" s="232"/>
      <c r="S108" s="233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101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234"/>
      <c r="R109" s="235"/>
      <c r="S109" s="236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101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219"/>
      <c r="R110" s="219"/>
      <c r="S110" s="219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101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214"/>
      <c r="R111" s="214"/>
      <c r="S111" s="214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5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214"/>
      <c r="R112" s="214"/>
      <c r="S112" s="214"/>
    </row>
    <row r="113" spans="1:19" ht="17.25" thickBot="1">
      <c r="A113" s="17" t="s">
        <v>122</v>
      </c>
      <c r="B113" s="106">
        <v>126</v>
      </c>
      <c r="C113" s="107">
        <v>3.2786885199999997E-2</v>
      </c>
      <c r="D113" s="106">
        <v>129</v>
      </c>
      <c r="E113" s="107">
        <f>IF(ISNUMBER(D113), (D113 - $B113) / $B113, "")</f>
        <v>2.3809523809523808E-2</v>
      </c>
      <c r="F113" s="108">
        <f>IF(ISNUMBER(D113), $B118 * E113, "")</f>
        <v>7142.8571428571422</v>
      </c>
      <c r="G113" s="109">
        <v>129</v>
      </c>
      <c r="H113" s="107">
        <f>IF(ISNUMBER(G113), (G113 - $B113) / $B113, "")</f>
        <v>2.3809523809523808E-2</v>
      </c>
      <c r="I113" s="110">
        <f>IF(ISNUMBER(G113), $B118 * H113, "")</f>
        <v>7142.8571428571422</v>
      </c>
      <c r="J113" s="106">
        <v>130</v>
      </c>
      <c r="K113" s="107">
        <f>IF(ISNUMBER(J113), (J113 - $B113) / $B113, "")</f>
        <v>3.1746031746031744E-2</v>
      </c>
      <c r="L113" s="108">
        <f>IF(ISNUMBER(J113), $B118 * K113, "")</f>
        <v>9523.8095238095229</v>
      </c>
      <c r="M113" s="109">
        <v>130</v>
      </c>
      <c r="N113" s="107">
        <f>IF(ISNUMBER(M113), (M113 - $B113) / $B113, "")</f>
        <v>3.1746031746031744E-2</v>
      </c>
      <c r="O113" s="108">
        <f>IF(ISNUMBER(M113), $B118 * N113, "")</f>
        <v>9523.8095238095229</v>
      </c>
      <c r="Q113" s="219"/>
      <c r="R113" s="219"/>
      <c r="S113" s="219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101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219"/>
      <c r="R114" s="219"/>
      <c r="S114" s="219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101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219"/>
      <c r="R115" s="219"/>
      <c r="S115" s="219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101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241"/>
      <c r="R116" s="242"/>
      <c r="S116" s="243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4">
        <f>IF(ISNUMBER(D117), $B118 * E117, "")</f>
        <v>-2988.0478087649403</v>
      </c>
      <c r="G117" s="102">
        <v>2485</v>
      </c>
      <c r="H117" s="25">
        <f t="shared" si="59"/>
        <v>-9.9601593625498006E-3</v>
      </c>
      <c r="I117" s="103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4">
        <f>IF(ISNUMBER(J117), $B118 * K117, "")</f>
        <v>1195.2191235059761</v>
      </c>
      <c r="M117" s="102">
        <v>2545</v>
      </c>
      <c r="N117" s="25">
        <f t="shared" si="61"/>
        <v>1.3944223107569721E-2</v>
      </c>
      <c r="O117" s="104">
        <f>IF(ISNUMBER(M117), $B118 * N117, "")</f>
        <v>4183.2669322709162</v>
      </c>
      <c r="Q117" s="244"/>
      <c r="R117" s="245"/>
      <c r="S117" s="246"/>
    </row>
    <row r="118" spans="1:19" ht="17.25" thickBot="1">
      <c r="A118" s="26" t="s">
        <v>301</v>
      </c>
      <c r="B118" s="250">
        <f>$B$37</f>
        <v>300000</v>
      </c>
      <c r="C118" s="251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247"/>
      <c r="R118" s="248"/>
      <c r="S118" s="249"/>
    </row>
    <row r="120" spans="1:19" ht="17.25" thickBot="1"/>
    <row r="121" spans="1:19" ht="17.25" thickBot="1">
      <c r="A121" s="193" t="s">
        <v>288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11" t="s">
        <v>298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72158000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9.1322285000000007E-3</v>
      </c>
      <c r="N122" s="224"/>
      <c r="O122" s="225"/>
      <c r="Q122" s="214"/>
      <c r="R122" s="214"/>
      <c r="S122" s="214"/>
    </row>
    <row r="123" spans="1:19" ht="17.25" thickBot="1">
      <c r="A123" s="237" t="s">
        <v>55</v>
      </c>
      <c r="B123" s="239" t="str">
        <f>TEXT($G$1, "[$-ko-KR]yyyy-mm-dd(ddd) ") &amp; "오전 00:00"</f>
        <v>2021-05-02(일) 오전 00:00</v>
      </c>
      <c r="C123" s="240"/>
      <c r="D123" s="216" t="str">
        <f>TEXT($G$1, "[$-ko-KR]yyyy-mm-dd(ddd) ") &amp; "오후 14:00"</f>
        <v>2021-05-02(일) 오후 14:00</v>
      </c>
      <c r="E123" s="217"/>
      <c r="F123" s="218"/>
      <c r="G123" s="216" t="str">
        <f>TEXT($G$1, "[$-ko-KR]yyyy-mm-dd(ddd) ") &amp; "오후 19:00"</f>
        <v>2021-05-02(일) 오후 19:00</v>
      </c>
      <c r="H123" s="217"/>
      <c r="I123" s="218"/>
      <c r="J123" s="216" t="str">
        <f>TEXT($G$1, "[$-ko-KR]yyyy-mm-dd(ddd) ") &amp; "오후 21:00"</f>
        <v>2021-05-02(일) 오후 21:00</v>
      </c>
      <c r="K123" s="217"/>
      <c r="L123" s="218"/>
      <c r="M123" s="216" t="str">
        <f>TEXT($G$1+1, "[$-ko-KR]yyyy-mm-dd(ddd) ") &amp; "오전 00:00"</f>
        <v>2021-05-03(월) 오전 00:00</v>
      </c>
      <c r="N123" s="217"/>
      <c r="O123" s="218"/>
      <c r="Q123" s="214"/>
      <c r="R123" s="214"/>
      <c r="S123" s="214"/>
    </row>
    <row r="124" spans="1:19" ht="17.25" thickBot="1">
      <c r="A124" s="238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219"/>
      <c r="R124" s="219"/>
      <c r="S124" s="219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100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214"/>
      <c r="R125" s="214"/>
      <c r="S125" s="214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101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214"/>
      <c r="R126" s="214"/>
      <c r="S126" s="214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101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219"/>
      <c r="R127" s="219"/>
      <c r="S127" s="219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101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219"/>
      <c r="R128" s="219"/>
      <c r="S128" s="219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5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219"/>
      <c r="R129" s="219"/>
      <c r="S129" s="219"/>
    </row>
    <row r="130" spans="1:19" ht="17.25" thickBot="1">
      <c r="A130" s="17" t="s">
        <v>198</v>
      </c>
      <c r="B130" s="106">
        <v>31.7</v>
      </c>
      <c r="C130" s="107">
        <v>-2.1604938300000001E-2</v>
      </c>
      <c r="D130" s="106">
        <v>31.5</v>
      </c>
      <c r="E130" s="107">
        <f>IF(ISNUMBER(D130), (D130 - $B130) / $B130, "")</f>
        <v>-6.3091482649842053E-3</v>
      </c>
      <c r="F130" s="108">
        <f>IF(ISNUMBER(D130), $B145 * E130, "")</f>
        <v>-1892.7444794952617</v>
      </c>
      <c r="G130" s="109">
        <v>31.4</v>
      </c>
      <c r="H130" s="107">
        <f>IF(ISNUMBER(G130), (G130 - $B130) / $B130, "")</f>
        <v>-9.4637223974763634E-3</v>
      </c>
      <c r="I130" s="110">
        <f>IF(ISNUMBER(G130), $B145 * H130, "")</f>
        <v>-2839.1167192429089</v>
      </c>
      <c r="J130" s="106">
        <v>31.4</v>
      </c>
      <c r="K130" s="107">
        <f>IF(ISNUMBER(J130), (J130 - $B130) / $B130, "")</f>
        <v>-9.4637223974763634E-3</v>
      </c>
      <c r="L130" s="108">
        <f>IF(ISNUMBER(J130), $B145 * K130, "")</f>
        <v>-2839.1167192429089</v>
      </c>
      <c r="M130" s="109">
        <v>31.6</v>
      </c>
      <c r="N130" s="107">
        <f>IF(ISNUMBER(M130), (M130 - $B130) / $B130, "")</f>
        <v>-3.1545741324920462E-3</v>
      </c>
      <c r="O130" s="108">
        <f>IF(ISNUMBER(M130), $B145 * N130, "")</f>
        <v>-946.37223974761389</v>
      </c>
      <c r="Q130" s="219"/>
      <c r="R130" s="219"/>
      <c r="S130" s="219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101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219"/>
      <c r="R131" s="219"/>
      <c r="S131" s="219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101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219"/>
      <c r="R132" s="219"/>
      <c r="S132" s="219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101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4">
        <f>IF(ISNUMBER(D134), $B145 * E134, "")</f>
        <v>-1239.6694214875768</v>
      </c>
      <c r="G134" s="102">
        <v>24</v>
      </c>
      <c r="H134" s="25">
        <f t="shared" si="67"/>
        <v>-8.2644628099173261E-3</v>
      </c>
      <c r="I134" s="103">
        <f>IF(ISNUMBER(G134), $B145 * H134, "")</f>
        <v>-2479.3388429751976</v>
      </c>
      <c r="J134" s="24">
        <v>24.2</v>
      </c>
      <c r="K134" s="25">
        <f t="shared" si="68"/>
        <v>0</v>
      </c>
      <c r="L134" s="104">
        <f>IF(ISNUMBER(J134), $B145 * K134, "")</f>
        <v>0</v>
      </c>
      <c r="M134" s="102">
        <v>24.5</v>
      </c>
      <c r="N134" s="25">
        <f t="shared" si="69"/>
        <v>1.2396694214876063E-2</v>
      </c>
      <c r="O134" s="104">
        <f>IF(ISNUMBER(M134), $B145 * N134, "")</f>
        <v>3719.0082644628187</v>
      </c>
      <c r="Q134" s="228"/>
      <c r="R134" s="229"/>
      <c r="S134" s="230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100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231"/>
      <c r="R135" s="232"/>
      <c r="S135" s="233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101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234"/>
      <c r="R136" s="235"/>
      <c r="S136" s="236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101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219"/>
      <c r="R137" s="219"/>
      <c r="S137" s="219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101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214"/>
      <c r="R138" s="214"/>
      <c r="S138" s="214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5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214"/>
      <c r="R139" s="214"/>
      <c r="S139" s="214"/>
    </row>
    <row r="140" spans="1:19" ht="17.25" thickBot="1">
      <c r="A140" s="17" t="s">
        <v>218</v>
      </c>
      <c r="B140" s="106">
        <v>32.1</v>
      </c>
      <c r="C140" s="107">
        <v>-3.3132530100000002E-2</v>
      </c>
      <c r="D140" s="106">
        <v>31.5</v>
      </c>
      <c r="E140" s="107">
        <f>IF(ISNUMBER(D140), (D140 - $B140) / $B140, "")</f>
        <v>-1.8691588785046773E-2</v>
      </c>
      <c r="F140" s="108">
        <f>IF(ISNUMBER(D140), $B145 * E140, "")</f>
        <v>-5607.4766355140318</v>
      </c>
      <c r="G140" s="109">
        <v>31.8</v>
      </c>
      <c r="H140" s="107">
        <f>IF(ISNUMBER(G140), (G140 - $B140) / $B140, "")</f>
        <v>-9.3457943925233863E-3</v>
      </c>
      <c r="I140" s="110">
        <f>IF(ISNUMBER(G140), $B145 * H140, "")</f>
        <v>-2803.7383177570159</v>
      </c>
      <c r="J140" s="106">
        <v>31.8</v>
      </c>
      <c r="K140" s="107">
        <f>IF(ISNUMBER(J140), (J140 - $B140) / $B140, "")</f>
        <v>-9.3457943925233863E-3</v>
      </c>
      <c r="L140" s="108">
        <f>IF(ISNUMBER(J140), $B145 * K140, "")</f>
        <v>-2803.7383177570159</v>
      </c>
      <c r="M140" s="109">
        <v>32.1</v>
      </c>
      <c r="N140" s="107">
        <f>IF(ISNUMBER(M140), (M140 - $B140) / $B140, "")</f>
        <v>0</v>
      </c>
      <c r="O140" s="108">
        <f>IF(ISNUMBER(M140), $B145 * N140, "")</f>
        <v>0</v>
      </c>
      <c r="Q140" s="219"/>
      <c r="R140" s="219"/>
      <c r="S140" s="219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101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219"/>
      <c r="R141" s="219"/>
      <c r="S141" s="219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101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219"/>
      <c r="R142" s="219"/>
      <c r="S142" s="219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101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241"/>
      <c r="R143" s="242"/>
      <c r="S143" s="243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26" t="s">
        <v>301</v>
      </c>
      <c r="B145" s="250">
        <f>$B$37</f>
        <v>300000</v>
      </c>
      <c r="C145" s="251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247"/>
      <c r="R145" s="248"/>
      <c r="S145" s="249"/>
    </row>
    <row r="147" spans="1:19" ht="17.25" thickBot="1"/>
    <row r="148" spans="1:19" ht="17.25" thickBot="1">
      <c r="A148" s="193" t="s">
        <v>289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11" t="s">
        <v>298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72158000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9.1322285000000007E-3</v>
      </c>
      <c r="N149" s="224"/>
      <c r="O149" s="225"/>
      <c r="Q149" s="214"/>
      <c r="R149" s="214"/>
      <c r="S149" s="214"/>
    </row>
    <row r="150" spans="1:19" ht="17.25" thickBot="1">
      <c r="A150" s="237" t="s">
        <v>55</v>
      </c>
      <c r="B150" s="239" t="str">
        <f>TEXT($G$1, "[$-ko-KR]yyyy-mm-dd(ddd) ") &amp; "오전 00:00"</f>
        <v>2021-05-02(일) 오전 00:00</v>
      </c>
      <c r="C150" s="240"/>
      <c r="D150" s="216" t="str">
        <f>TEXT($G$1, "[$-ko-KR]yyyy-mm-dd(ddd) ") &amp; "오후 14:00"</f>
        <v>2021-05-02(일) 오후 14:00</v>
      </c>
      <c r="E150" s="217"/>
      <c r="F150" s="218"/>
      <c r="G150" s="216" t="str">
        <f>TEXT($G$1, "[$-ko-KR]yyyy-mm-dd(ddd) ") &amp; "오후 19:00"</f>
        <v>2021-05-02(일) 오후 19:00</v>
      </c>
      <c r="H150" s="217"/>
      <c r="I150" s="218"/>
      <c r="J150" s="216" t="str">
        <f>TEXT($G$1, "[$-ko-KR]yyyy-mm-dd(ddd) ") &amp; "오후 21:00"</f>
        <v>2021-05-02(일) 오후 21:00</v>
      </c>
      <c r="K150" s="217"/>
      <c r="L150" s="218"/>
      <c r="M150" s="216" t="str">
        <f>TEXT($G$1+1, "[$-ko-KR]yyyy-mm-dd(ddd) ") &amp; "오전 00:00"</f>
        <v>2021-05-03(월) 오전 00:00</v>
      </c>
      <c r="N150" s="217"/>
      <c r="O150" s="218"/>
      <c r="Q150" s="214"/>
      <c r="R150" s="214"/>
      <c r="S150" s="214"/>
    </row>
    <row r="151" spans="1:19" ht="17.25" thickBot="1">
      <c r="A151" s="238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219"/>
      <c r="R151" s="219"/>
      <c r="S151" s="219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100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214"/>
      <c r="R152" s="214"/>
      <c r="S152" s="214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101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214"/>
      <c r="R153" s="214"/>
      <c r="S153" s="214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101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219"/>
      <c r="R154" s="219"/>
      <c r="S154" s="219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101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219"/>
      <c r="R155" s="219"/>
      <c r="S155" s="219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5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219"/>
      <c r="R156" s="219"/>
      <c r="S156" s="219"/>
    </row>
    <row r="157" spans="1:19" ht="17.25" thickBot="1">
      <c r="A157" s="17" t="s">
        <v>282</v>
      </c>
      <c r="B157" s="106">
        <v>184</v>
      </c>
      <c r="C157" s="107">
        <v>-1.6042780699999998E-2</v>
      </c>
      <c r="D157" s="106">
        <v>178</v>
      </c>
      <c r="E157" s="107">
        <f>IF(ISNUMBER(D157), (D157 - $B157) / $B157, "")</f>
        <v>-3.2608695652173912E-2</v>
      </c>
      <c r="F157" s="108">
        <f>IF(ISNUMBER(D157), $B172 * E157, "")</f>
        <v>-9782.608695652174</v>
      </c>
      <c r="G157" s="109">
        <v>178</v>
      </c>
      <c r="H157" s="107">
        <f>IF(ISNUMBER(G157), (G157 - $B157) / $B157, "")</f>
        <v>-3.2608695652173912E-2</v>
      </c>
      <c r="I157" s="110">
        <f>IF(ISNUMBER(G157), $B172 * H157, "")</f>
        <v>-9782.608695652174</v>
      </c>
      <c r="J157" s="106">
        <v>179</v>
      </c>
      <c r="K157" s="107">
        <f>IF(ISNUMBER(J157), (J157 - $B157) / $B157, "")</f>
        <v>-2.717391304347826E-2</v>
      </c>
      <c r="L157" s="108">
        <f>IF(ISNUMBER(J157), $B172 * K157, "")</f>
        <v>-8152.173913043478</v>
      </c>
      <c r="M157" s="109">
        <v>181</v>
      </c>
      <c r="N157" s="107">
        <f>IF(ISNUMBER(M157), (M157 - $B157) / $B157, "")</f>
        <v>-1.6304347826086956E-2</v>
      </c>
      <c r="O157" s="108">
        <f>IF(ISNUMBER(M157), $B172 * N157, "")</f>
        <v>-4891.304347826087</v>
      </c>
      <c r="Q157" s="219"/>
      <c r="R157" s="219"/>
      <c r="S157" s="219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101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219"/>
      <c r="R158" s="219"/>
      <c r="S158" s="219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101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219"/>
      <c r="R159" s="219"/>
      <c r="S159" s="219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101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4">
        <f>IF(ISNUMBER(D161), $B172 * E161, "")</f>
        <v>-7972.0279720279723</v>
      </c>
      <c r="G161" s="102">
        <v>696</v>
      </c>
      <c r="H161" s="25">
        <f t="shared" si="83"/>
        <v>-2.6573426573426574E-2</v>
      </c>
      <c r="I161" s="103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4">
        <f>IF(ISNUMBER(J161), $B172 * K161, "")</f>
        <v>-5454.545454545454</v>
      </c>
      <c r="M161" s="102">
        <v>706</v>
      </c>
      <c r="N161" s="25">
        <f t="shared" si="85"/>
        <v>-1.2587412587412588E-2</v>
      </c>
      <c r="O161" s="104">
        <f>IF(ISNUMBER(M161), $B172 * N161, "")</f>
        <v>-3776.2237762237764</v>
      </c>
      <c r="Q161" s="228"/>
      <c r="R161" s="229"/>
      <c r="S161" s="230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100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231"/>
      <c r="R162" s="232"/>
      <c r="S162" s="233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101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234"/>
      <c r="R163" s="235"/>
      <c r="S163" s="236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101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219"/>
      <c r="R164" s="219"/>
      <c r="S164" s="219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101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214"/>
      <c r="R165" s="214"/>
      <c r="S165" s="214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5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214"/>
      <c r="R166" s="214"/>
      <c r="S166" s="214"/>
    </row>
    <row r="167" spans="1:19" ht="17.25" thickBot="1">
      <c r="A167" s="17" t="s">
        <v>264</v>
      </c>
      <c r="B167" s="106">
        <v>183</v>
      </c>
      <c r="C167" s="107">
        <v>-2.65957447E-2</v>
      </c>
      <c r="D167" s="106">
        <v>181</v>
      </c>
      <c r="E167" s="107">
        <f>IF(ISNUMBER(D167), (D167 - $B167) / $B167, "")</f>
        <v>-1.092896174863388E-2</v>
      </c>
      <c r="F167" s="108">
        <f>IF(ISNUMBER(D167), $B172 * E167, "")</f>
        <v>-3278.688524590164</v>
      </c>
      <c r="G167" s="109">
        <v>182</v>
      </c>
      <c r="H167" s="107">
        <f>IF(ISNUMBER(G167), (G167 - $B167) / $B167, "")</f>
        <v>-5.4644808743169399E-3</v>
      </c>
      <c r="I167" s="110">
        <f>IF(ISNUMBER(G167), $B172 * H167, "")</f>
        <v>-1639.344262295082</v>
      </c>
      <c r="J167" s="106">
        <v>182</v>
      </c>
      <c r="K167" s="107">
        <f>IF(ISNUMBER(J167), (J167 - $B167) / $B167, "")</f>
        <v>-5.4644808743169399E-3</v>
      </c>
      <c r="L167" s="108">
        <f>IF(ISNUMBER(J167), $B172 * K167, "")</f>
        <v>-1639.344262295082</v>
      </c>
      <c r="M167" s="109">
        <v>184</v>
      </c>
      <c r="N167" s="107">
        <f>IF(ISNUMBER(M167), (M167 - $B167) / $B167, "")</f>
        <v>5.4644808743169399E-3</v>
      </c>
      <c r="O167" s="108">
        <f>IF(ISNUMBER(M167), $B172 * N167, "")</f>
        <v>1639.344262295082</v>
      </c>
      <c r="Q167" s="219"/>
      <c r="R167" s="219"/>
      <c r="S167" s="219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219"/>
      <c r="R168" s="219"/>
      <c r="S168" s="219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101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219"/>
      <c r="R169" s="219"/>
      <c r="S169" s="219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101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241"/>
      <c r="R170" s="242"/>
      <c r="S170" s="243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4">
        <f>IF(ISNUMBER(D171), $B172 * E171, "")</f>
        <v>-5106.3829787234044</v>
      </c>
      <c r="G171" s="102">
        <v>462</v>
      </c>
      <c r="H171" s="25">
        <f t="shared" si="91"/>
        <v>-1.7021276595744681E-2</v>
      </c>
      <c r="I171" s="103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4">
        <f>IF(ISNUMBER(J171), $B172 * K171, "")</f>
        <v>-3191.4893617021276</v>
      </c>
      <c r="M171" s="102">
        <v>469</v>
      </c>
      <c r="N171" s="25">
        <f t="shared" si="93"/>
        <v>-2.1276595744680851E-3</v>
      </c>
      <c r="O171" s="104">
        <f>IF(ISNUMBER(M171), $B172 * N171, "")</f>
        <v>-638.29787234042556</v>
      </c>
      <c r="Q171" s="244"/>
      <c r="R171" s="245"/>
      <c r="S171" s="246"/>
    </row>
    <row r="172" spans="1:19" ht="17.25" thickBot="1">
      <c r="A172" s="26" t="s">
        <v>301</v>
      </c>
      <c r="B172" s="250">
        <f>$B$37</f>
        <v>300000</v>
      </c>
      <c r="C172" s="251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247"/>
      <c r="R172" s="248"/>
      <c r="S172" s="249"/>
    </row>
    <row r="174" spans="1:19" ht="17.25" thickBot="1"/>
    <row r="175" spans="1:19" ht="17.25" thickBot="1">
      <c r="A175" s="193" t="s">
        <v>285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11" t="s">
        <v>298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72158000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9.1322285000000007E-3</v>
      </c>
      <c r="N176" s="224"/>
      <c r="O176" s="225"/>
      <c r="Q176" s="214"/>
      <c r="R176" s="214"/>
      <c r="S176" s="214"/>
    </row>
    <row r="177" spans="1:19" ht="17.25" thickBot="1">
      <c r="A177" s="237" t="s">
        <v>55</v>
      </c>
      <c r="B177" s="239" t="str">
        <f>TEXT($G$1, "[$-ko-KR]yyyy-mm-dd(ddd) ") &amp; "오전 00:00"</f>
        <v>2021-05-02(일) 오전 00:00</v>
      </c>
      <c r="C177" s="240"/>
      <c r="D177" s="216" t="str">
        <f>TEXT($G$1, "[$-ko-KR]yyyy-mm-dd(ddd) ") &amp; "오후 14:00"</f>
        <v>2021-05-02(일) 오후 14:00</v>
      </c>
      <c r="E177" s="217"/>
      <c r="F177" s="218"/>
      <c r="G177" s="216" t="str">
        <f>TEXT($G$1, "[$-ko-KR]yyyy-mm-dd(ddd) ") &amp; "오후 19:00"</f>
        <v>2021-05-02(일) 오후 19:00</v>
      </c>
      <c r="H177" s="217"/>
      <c r="I177" s="218"/>
      <c r="J177" s="216" t="str">
        <f>TEXT($G$1, "[$-ko-KR]yyyy-mm-dd(ddd) ") &amp; "오후 21:00"</f>
        <v>2021-05-02(일) 오후 21:00</v>
      </c>
      <c r="K177" s="217"/>
      <c r="L177" s="218"/>
      <c r="M177" s="216" t="str">
        <f>TEXT($G$1+1, "[$-ko-KR]yyyy-mm-dd(ddd) ") &amp; "오전 00:00"</f>
        <v>2021-05-03(월) 오전 00:00</v>
      </c>
      <c r="N177" s="217"/>
      <c r="O177" s="218"/>
      <c r="Q177" s="214"/>
      <c r="R177" s="214"/>
      <c r="S177" s="214"/>
    </row>
    <row r="178" spans="1:19" ht="17.25" thickBot="1">
      <c r="A178" s="238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219"/>
      <c r="R178" s="219"/>
      <c r="S178" s="219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100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214"/>
      <c r="R179" s="214"/>
      <c r="S179" s="214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101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214"/>
      <c r="R180" s="214"/>
      <c r="S180" s="214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101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219"/>
      <c r="R181" s="219"/>
      <c r="S181" s="219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101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219"/>
      <c r="R182" s="219"/>
      <c r="S182" s="219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5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219"/>
      <c r="R183" s="219"/>
      <c r="S183" s="219"/>
    </row>
    <row r="184" spans="1:19" ht="17.25" thickBot="1">
      <c r="A184" s="17" t="s">
        <v>61</v>
      </c>
      <c r="B184" s="106">
        <v>1710</v>
      </c>
      <c r="C184" s="107">
        <v>-2.84090909E-2</v>
      </c>
      <c r="D184" s="106">
        <v>1695</v>
      </c>
      <c r="E184" s="107">
        <f>IF(ISNUMBER(D184), (D184 - $B184) / $B184, "")</f>
        <v>-8.771929824561403E-3</v>
      </c>
      <c r="F184" s="108">
        <f>IF(ISNUMBER(D184), $B199 * E184, "")</f>
        <v>-2631.5789473684208</v>
      </c>
      <c r="G184" s="109">
        <v>1700</v>
      </c>
      <c r="H184" s="107">
        <f>IF(ISNUMBER(G184), (G184 - $B184) / $B184, "")</f>
        <v>-5.8479532163742687E-3</v>
      </c>
      <c r="I184" s="110">
        <f>IF(ISNUMBER(G184), $B199 * H184, "")</f>
        <v>-1754.3859649122805</v>
      </c>
      <c r="J184" s="106">
        <v>1700</v>
      </c>
      <c r="K184" s="107">
        <f>IF(ISNUMBER(J184), (J184 - $B184) / $B184, "")</f>
        <v>-5.8479532163742687E-3</v>
      </c>
      <c r="L184" s="108">
        <f>IF(ISNUMBER(J184), $B199 * K184, "")</f>
        <v>-1754.3859649122805</v>
      </c>
      <c r="M184" s="109">
        <v>1715</v>
      </c>
      <c r="N184" s="107">
        <f>IF(ISNUMBER(M184), (M184 - $B184) / $B184, "")</f>
        <v>2.9239766081871343E-3</v>
      </c>
      <c r="O184" s="108">
        <f>IF(ISNUMBER(M184), $B199 * N184, "")</f>
        <v>877.19298245614027</v>
      </c>
      <c r="Q184" s="219"/>
      <c r="R184" s="219"/>
      <c r="S184" s="219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101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219"/>
      <c r="R185" s="219"/>
      <c r="S185" s="219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101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219"/>
      <c r="R186" s="219"/>
      <c r="S186" s="219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101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4">
        <f>IF(ISNUMBER(D188), $B199 * E188, "")</f>
        <v>21428.571428571428</v>
      </c>
      <c r="G188" s="102">
        <v>1500</v>
      </c>
      <c r="H188" s="25">
        <f t="shared" si="99"/>
        <v>7.1428571428571425E-2</v>
      </c>
      <c r="I188" s="103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4">
        <f>IF(ISNUMBER(J188), $B199 * K188, "")</f>
        <v>22500</v>
      </c>
      <c r="M188" s="102">
        <v>1500</v>
      </c>
      <c r="N188" s="25">
        <f t="shared" si="101"/>
        <v>7.1428571428571425E-2</v>
      </c>
      <c r="O188" s="104">
        <f>IF(ISNUMBER(M188), $B199 * N188, "")</f>
        <v>21428.571428571428</v>
      </c>
      <c r="Q188" s="228"/>
      <c r="R188" s="229"/>
      <c r="S188" s="230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100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231"/>
      <c r="R189" s="232"/>
      <c r="S189" s="233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101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234"/>
      <c r="R190" s="235"/>
      <c r="S190" s="236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101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219"/>
      <c r="R191" s="219"/>
      <c r="S191" s="219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101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214"/>
      <c r="R192" s="214"/>
      <c r="S192" s="214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5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214"/>
      <c r="R193" s="214"/>
      <c r="S193" s="214"/>
    </row>
    <row r="194" spans="1:19" ht="17.25" thickBot="1">
      <c r="A194" s="17" t="s">
        <v>190</v>
      </c>
      <c r="B194" s="106">
        <v>78410</v>
      </c>
      <c r="C194" s="107">
        <v>-4.1325345399999998E-2</v>
      </c>
      <c r="D194" s="106">
        <v>76720</v>
      </c>
      <c r="E194" s="107">
        <f>IF(ISNUMBER(D194), (D194 - $B194) / $B194, "")</f>
        <v>-2.1553373294222675E-2</v>
      </c>
      <c r="F194" s="108">
        <f>IF(ISNUMBER(D194), $B199 * E194, "")</f>
        <v>-6466.0119882668023</v>
      </c>
      <c r="G194" s="109">
        <v>76560</v>
      </c>
      <c r="H194" s="107">
        <f>IF(ISNUMBER(G194), (G194 - $B194) / $B194, "")</f>
        <v>-2.3593929345746716E-2</v>
      </c>
      <c r="I194" s="110">
        <f>IF(ISNUMBER(G194), $B199 * H194, "")</f>
        <v>-7078.1788037240149</v>
      </c>
      <c r="J194" s="106">
        <v>76820</v>
      </c>
      <c r="K194" s="107">
        <f>IF(ISNUMBER(J194), (J194 - $B194) / $B194, "")</f>
        <v>-2.027802576202015E-2</v>
      </c>
      <c r="L194" s="108">
        <f>IF(ISNUMBER(J194), $B199 * K194, "")</f>
        <v>-6083.4077286060447</v>
      </c>
      <c r="M194" s="109">
        <v>77290</v>
      </c>
      <c r="N194" s="107">
        <f>IF(ISNUMBER(M194), (M194 - $B194) / $B194, "")</f>
        <v>-1.4283892360668283E-2</v>
      </c>
      <c r="O194" s="108">
        <f>IF(ISNUMBER(M194), $B199 * N194, "")</f>
        <v>-4285.1677082004844</v>
      </c>
      <c r="Q194" s="219"/>
      <c r="R194" s="219"/>
      <c r="S194" s="219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101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219"/>
      <c r="R195" s="219"/>
      <c r="S195" s="219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101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219"/>
      <c r="R196" s="219"/>
      <c r="S196" s="219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101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241"/>
      <c r="R197" s="242"/>
      <c r="S197" s="243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4">
        <f>IF(ISNUMBER(D198), $B199 * E198, "")</f>
        <v>-11456.85997171147</v>
      </c>
      <c r="G198" s="102">
        <v>68</v>
      </c>
      <c r="H198" s="25">
        <f t="shared" si="107"/>
        <v>-3.8189533239038231E-2</v>
      </c>
      <c r="I198" s="103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4">
        <f>IF(ISNUMBER(J198), $B199 * K198, "")</f>
        <v>-9335.2192362093465</v>
      </c>
      <c r="M198" s="102">
        <v>68.7</v>
      </c>
      <c r="N198" s="25">
        <f t="shared" si="109"/>
        <v>-2.8288543140028287E-2</v>
      </c>
      <c r="O198" s="104">
        <f>IF(ISNUMBER(M198), $B199 * N198, "")</f>
        <v>-8486.5629420084861</v>
      </c>
      <c r="Q198" s="244"/>
      <c r="R198" s="245"/>
      <c r="S198" s="246"/>
    </row>
    <row r="199" spans="1:19" ht="17.25" thickBot="1">
      <c r="A199" s="26" t="s">
        <v>301</v>
      </c>
      <c r="B199" s="250">
        <f>$B$37</f>
        <v>300000</v>
      </c>
      <c r="C199" s="251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44319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" t="s">
        <v>3</v>
      </c>
      <c r="B2" s="199" t="s">
        <v>4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5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4" t="s">
        <v>7</v>
      </c>
      <c r="B3" s="205" t="s">
        <v>8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209"/>
      <c r="I3" s="210"/>
      <c r="J3" s="4" t="s">
        <v>7</v>
      </c>
      <c r="K3" s="205" t="s">
        <v>9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05" t="s">
        <v>12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13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05" t="s">
        <v>16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209"/>
      <c r="I5" s="210"/>
      <c r="J5" s="4" t="s">
        <v>15</v>
      </c>
      <c r="K5" s="205" t="s">
        <v>17</v>
      </c>
      <c r="L5" s="206"/>
      <c r="M5" s="206"/>
      <c r="N5" s="206"/>
      <c r="O5" s="207"/>
    </row>
    <row r="6" spans="1:19">
      <c r="A6" s="4" t="s">
        <v>18</v>
      </c>
      <c r="B6" s="205" t="s">
        <v>19</v>
      </c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20</v>
      </c>
      <c r="L6" s="206"/>
      <c r="M6" s="206"/>
      <c r="N6" s="206"/>
      <c r="O6" s="207"/>
    </row>
    <row r="7" spans="1:19" ht="17.25" thickBot="1">
      <c r="A7" s="4" t="s">
        <v>21</v>
      </c>
      <c r="B7" s="205" t="s">
        <v>22</v>
      </c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209"/>
      <c r="I7" s="210"/>
      <c r="J7" s="4" t="s">
        <v>21</v>
      </c>
      <c r="K7" s="205" t="s">
        <v>23</v>
      </c>
      <c r="L7" s="206"/>
      <c r="M7" s="206"/>
      <c r="N7" s="206"/>
      <c r="O7" s="207"/>
    </row>
    <row r="8" spans="1:19" ht="17.25" thickBot="1">
      <c r="A8" s="4" t="s">
        <v>24</v>
      </c>
      <c r="B8" s="205" t="s">
        <v>25</v>
      </c>
      <c r="C8" s="206"/>
      <c r="D8" s="206"/>
      <c r="E8" s="206"/>
      <c r="F8" s="207"/>
      <c r="G8" s="202" t="s">
        <v>285</v>
      </c>
      <c r="H8" s="203"/>
      <c r="I8" s="204"/>
      <c r="J8" s="4" t="s">
        <v>24</v>
      </c>
      <c r="K8" s="205" t="s">
        <v>26</v>
      </c>
      <c r="L8" s="206"/>
      <c r="M8" s="206"/>
      <c r="N8" s="206"/>
      <c r="O8" s="207"/>
      <c r="Q8" s="193" t="s">
        <v>27</v>
      </c>
      <c r="R8" s="195"/>
    </row>
    <row r="9" spans="1:19" ht="17.25" thickBot="1">
      <c r="A9" s="4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209"/>
      <c r="I9" s="210"/>
      <c r="J9" s="4" t="s">
        <v>28</v>
      </c>
      <c r="K9" s="205" t="s">
        <v>293</v>
      </c>
      <c r="L9" s="206"/>
      <c r="M9" s="206"/>
      <c r="N9" s="206"/>
      <c r="O9" s="207"/>
      <c r="Q9" s="2" t="s">
        <v>29</v>
      </c>
      <c r="R9" s="6">
        <v>10</v>
      </c>
    </row>
    <row r="10" spans="1:19">
      <c r="A10" s="4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/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7" t="s">
        <v>32</v>
      </c>
      <c r="B11" s="211"/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209"/>
      <c r="I11" s="210"/>
      <c r="J11" s="7" t="s">
        <v>32</v>
      </c>
      <c r="K11" s="211"/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11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72158000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9.1322285000000007E-3</v>
      </c>
      <c r="N14" s="224"/>
      <c r="O14" s="225"/>
      <c r="Q14" s="214"/>
      <c r="R14" s="214"/>
      <c r="S14" s="214"/>
    </row>
    <row r="15" spans="1:19" ht="17.25" customHeight="1" thickBot="1">
      <c r="A15" s="215" t="s">
        <v>39</v>
      </c>
      <c r="B15" s="226" t="str">
        <f>TEXT($G$1, "[$-ko-KR]yyyy-mm-dd(ddd) ") &amp; "오전 00:00"</f>
        <v>2021-05-03(월) 오전 00:00</v>
      </c>
      <c r="C15" s="227"/>
      <c r="D15" s="216" t="str">
        <f>TEXT($G$1, "[$-ko-KR]yyyy-mm-dd(ddd) ") &amp; "오후 14:00"</f>
        <v>2021-05-03(월) 오후 14:00</v>
      </c>
      <c r="E15" s="217"/>
      <c r="F15" s="218"/>
      <c r="G15" s="216" t="str">
        <f>TEXT($G$1, "[$-ko-KR]yyyy-mm-dd(ddd) ") &amp; "오후 19:00"</f>
        <v>2021-05-03(월) 오후 19:00</v>
      </c>
      <c r="H15" s="217"/>
      <c r="I15" s="218"/>
      <c r="J15" s="216" t="str">
        <f>TEXT($G$1, "[$-ko-KR]yyyy-mm-dd(ddd) ") &amp; "오후 21:00"</f>
        <v>2021-05-03(월) 오후 21:00</v>
      </c>
      <c r="K15" s="217"/>
      <c r="L15" s="218"/>
      <c r="M15" s="216" t="str">
        <f>TEXT($G$1+1, "[$-ko-KR]yyyy-mm-dd(ddd) ") &amp; "오전 00:00"</f>
        <v>2021-05-04(화) 오전 00:00</v>
      </c>
      <c r="N15" s="217"/>
      <c r="O15" s="218"/>
      <c r="Q15" s="214"/>
      <c r="R15" s="214"/>
      <c r="S15" s="214"/>
    </row>
    <row r="16" spans="1:19" ht="17.25" customHeight="1" thickBot="1">
      <c r="A16" s="21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100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214"/>
      <c r="R17" s="214"/>
      <c r="S17" s="214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101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214"/>
      <c r="R18" s="214"/>
      <c r="S18" s="214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101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219"/>
      <c r="R19" s="219"/>
      <c r="S19" s="219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101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219"/>
      <c r="R20" s="219"/>
      <c r="S20" s="219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5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219"/>
      <c r="R21" s="219"/>
      <c r="S21" s="219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26" t="s">
        <v>42</v>
      </c>
      <c r="B37" s="250">
        <v>300000</v>
      </c>
      <c r="C37" s="251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11" t="s">
        <v>298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72158000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9.1322285000000007E-3</v>
      </c>
      <c r="N41" s="224"/>
      <c r="O41" s="225"/>
      <c r="Q41" s="214"/>
      <c r="R41" s="214"/>
      <c r="S41" s="214"/>
    </row>
    <row r="42" spans="1:19" ht="17.25" customHeight="1" thickBot="1">
      <c r="A42" s="237" t="s">
        <v>55</v>
      </c>
      <c r="B42" s="239" t="str">
        <f>TEXT($G$1, "[$-ko-KR]yyyy-mm-dd(ddd) ") &amp; "오전 00:00"</f>
        <v>2021-05-03(월) 오전 00:00</v>
      </c>
      <c r="C42" s="240"/>
      <c r="D42" s="216" t="str">
        <f>TEXT($G$1, "[$-ko-KR]yyyy-mm-dd(ddd) ") &amp; "오후 14:00"</f>
        <v>2021-05-03(월) 오후 14:00</v>
      </c>
      <c r="E42" s="217"/>
      <c r="F42" s="218"/>
      <c r="G42" s="216" t="str">
        <f>TEXT($G$1, "[$-ko-KR]yyyy-mm-dd(ddd) ") &amp; "오후 19:00"</f>
        <v>2021-05-03(월) 오후 19:00</v>
      </c>
      <c r="H42" s="217"/>
      <c r="I42" s="218"/>
      <c r="J42" s="216" t="str">
        <f>TEXT($G$1, "[$-ko-KR]yyyy-mm-dd(ddd) ") &amp; "오후 21:00"</f>
        <v>2021-05-03(월) 오후 21:00</v>
      </c>
      <c r="K42" s="217"/>
      <c r="L42" s="218"/>
      <c r="M42" s="216" t="str">
        <f>TEXT($G$1+1, "[$-ko-KR]yyyy-mm-dd(ddd) ") &amp; "오전 00:00"</f>
        <v>2021-05-04(화) 오전 00:00</v>
      </c>
      <c r="N42" s="217"/>
      <c r="O42" s="218"/>
      <c r="Q42" s="214"/>
      <c r="R42" s="214"/>
      <c r="S42" s="214"/>
    </row>
    <row r="43" spans="1:19" ht="17.25" customHeight="1" thickBot="1">
      <c r="A43" s="238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219"/>
      <c r="R43" s="219"/>
      <c r="S43" s="219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100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214"/>
      <c r="R44" s="214"/>
      <c r="S44" s="214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101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214"/>
      <c r="R45" s="214"/>
      <c r="S45" s="214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101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219"/>
      <c r="R46" s="219"/>
      <c r="S46" s="219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101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219"/>
      <c r="R47" s="219"/>
      <c r="S47" s="219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5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219"/>
      <c r="R48" s="219"/>
      <c r="S48" s="219"/>
    </row>
    <row r="49" spans="1:19" ht="17.25" customHeight="1" thickBot="1">
      <c r="A49" s="17" t="s">
        <v>214</v>
      </c>
      <c r="B49" s="106">
        <v>24.5</v>
      </c>
      <c r="C49" s="107">
        <v>0</v>
      </c>
      <c r="D49" s="106">
        <v>25.4</v>
      </c>
      <c r="E49" s="107">
        <f>IF(ISNUMBER(D49), (D49 - $B49) / $B49, "")</f>
        <v>3.6734693877550961E-2</v>
      </c>
      <c r="F49" s="108">
        <f>IF(ISNUMBER(D49), $B64 * E49, "")</f>
        <v>11020.408163265289</v>
      </c>
      <c r="G49" s="109">
        <v>25.4</v>
      </c>
      <c r="H49" s="107">
        <f>IF(ISNUMBER(G49), (G49 - $B49) / $B49, "")</f>
        <v>3.6734693877550961E-2</v>
      </c>
      <c r="I49" s="110">
        <f>IF(ISNUMBER(G49), $B64 * H49, "")</f>
        <v>11020.408163265289</v>
      </c>
      <c r="J49" s="106">
        <v>25.4</v>
      </c>
      <c r="K49" s="107">
        <f>IF(ISNUMBER(J49), (J49 - $B49) / $B49, "")</f>
        <v>3.6734693877550961E-2</v>
      </c>
      <c r="L49" s="108">
        <f>IF(ISNUMBER(J49), $B64 * K49, "")</f>
        <v>11020.408163265289</v>
      </c>
      <c r="M49" s="109">
        <v>25.3</v>
      </c>
      <c r="N49" s="107">
        <f>IF(ISNUMBER(M49), (M49 - $B49) / $B49, "")</f>
        <v>3.2653061224489827E-2</v>
      </c>
      <c r="O49" s="108">
        <f>IF(ISNUMBER(M49), $B64 * N49, "")</f>
        <v>9795.9183673469488</v>
      </c>
      <c r="Q49" s="219"/>
      <c r="R49" s="219"/>
      <c r="S49" s="219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101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219"/>
      <c r="R50" s="219"/>
      <c r="S50" s="219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101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219"/>
      <c r="R51" s="219"/>
      <c r="S51" s="219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101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4">
        <f>IF(ISNUMBER(D53), $B64 * E53, "")</f>
        <v>1886.7924528301705</v>
      </c>
      <c r="G53" s="102">
        <v>98.4</v>
      </c>
      <c r="H53" s="25">
        <f t="shared" si="19"/>
        <v>3.1446540880503145E-2</v>
      </c>
      <c r="I53" s="103">
        <f>IF(ISNUMBER(G53), $B64 * H53, "")</f>
        <v>9433.9622641509432</v>
      </c>
      <c r="J53" s="24">
        <v>98.9</v>
      </c>
      <c r="K53" s="25">
        <f t="shared" si="20"/>
        <v>3.668763102725367E-2</v>
      </c>
      <c r="L53" s="104">
        <f>IF(ISNUMBER(J53), $B64 * K53, "")</f>
        <v>11006.289308176101</v>
      </c>
      <c r="M53" s="102">
        <v>100</v>
      </c>
      <c r="N53" s="25">
        <f t="shared" si="21"/>
        <v>4.821802935010476E-2</v>
      </c>
      <c r="O53" s="104">
        <f>IF(ISNUMBER(M53), $B64 * N53, "")</f>
        <v>14465.408805031428</v>
      </c>
      <c r="Q53" s="228"/>
      <c r="R53" s="229"/>
      <c r="S53" s="230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100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231"/>
      <c r="R54" s="232"/>
      <c r="S54" s="233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101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234"/>
      <c r="R55" s="235"/>
      <c r="S55" s="236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101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219"/>
      <c r="R56" s="219"/>
      <c r="S56" s="219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101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214"/>
      <c r="R57" s="214"/>
      <c r="S57" s="214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5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214"/>
      <c r="R58" s="214"/>
      <c r="S58" s="214"/>
    </row>
    <row r="59" spans="1:19" ht="17.25" customHeight="1" thickBot="1">
      <c r="A59" s="17" t="s">
        <v>72</v>
      </c>
      <c r="B59" s="106">
        <v>36.799999999999997</v>
      </c>
      <c r="C59" s="107">
        <v>-2.3872679000000001E-2</v>
      </c>
      <c r="D59" s="106">
        <v>37.6</v>
      </c>
      <c r="E59" s="107">
        <f>IF(ISNUMBER(D59), (D59 - $B59) / $B59, "")</f>
        <v>2.1739130434782726E-2</v>
      </c>
      <c r="F59" s="108">
        <f>IF(ISNUMBER(D59), $B64 * E59, "")</f>
        <v>6521.7391304348175</v>
      </c>
      <c r="G59" s="109">
        <v>38.5</v>
      </c>
      <c r="H59" s="107">
        <f>IF(ISNUMBER(G59), (G59 - $B59) / $B59, "")</f>
        <v>4.6195652173913124E-2</v>
      </c>
      <c r="I59" s="110">
        <f>IF(ISNUMBER(G59), $B64 * H59, "")</f>
        <v>13858.695652173938</v>
      </c>
      <c r="J59" s="106">
        <v>38.6</v>
      </c>
      <c r="K59" s="107">
        <f>IF(ISNUMBER(J59), (J59 - $B59) / $B59, "")</f>
        <v>4.891304347826099E-2</v>
      </c>
      <c r="L59" s="108">
        <f>IF(ISNUMBER(J59), $B64 * K59, "")</f>
        <v>14673.913043478296</v>
      </c>
      <c r="M59" s="109">
        <v>38.299999999999997</v>
      </c>
      <c r="N59" s="107">
        <f>IF(ISNUMBER(M59), (M59 - $B59) / $B59, "")</f>
        <v>4.0760869565217392E-2</v>
      </c>
      <c r="O59" s="108">
        <f>IF(ISNUMBER(M59), $B64 * N59, "")</f>
        <v>12228.260869565218</v>
      </c>
      <c r="Q59" s="219"/>
      <c r="R59" s="219"/>
      <c r="S59" s="219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101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219"/>
      <c r="R60" s="219"/>
      <c r="S60" s="219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101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219"/>
      <c r="R61" s="219"/>
      <c r="S61" s="219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26" t="s">
        <v>301</v>
      </c>
      <c r="B64" s="250">
        <f>$B$37</f>
        <v>300000</v>
      </c>
      <c r="C64" s="251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11" t="s">
        <v>298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72158000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9.1322285000000007E-3</v>
      </c>
      <c r="N68" s="224"/>
      <c r="O68" s="225"/>
      <c r="Q68" s="214"/>
      <c r="R68" s="214"/>
      <c r="S68" s="214"/>
    </row>
    <row r="69" spans="1:19" ht="17.25" thickBot="1">
      <c r="A69" s="237" t="s">
        <v>55</v>
      </c>
      <c r="B69" s="239" t="str">
        <f>TEXT($G$1, "[$-ko-KR]yyyy-mm-dd(ddd) ") &amp; "오전 00:00"</f>
        <v>2021-05-03(월) 오전 00:00</v>
      </c>
      <c r="C69" s="240"/>
      <c r="D69" s="216" t="str">
        <f>TEXT($G$1, "[$-ko-KR]yyyy-mm-dd(ddd) ") &amp; "오후 14:00"</f>
        <v>2021-05-03(월) 오후 14:00</v>
      </c>
      <c r="E69" s="217"/>
      <c r="F69" s="218"/>
      <c r="G69" s="216" t="str">
        <f>TEXT($G$1, "[$-ko-KR]yyyy-mm-dd(ddd) ") &amp; "오후 19:00"</f>
        <v>2021-05-03(월) 오후 19:00</v>
      </c>
      <c r="H69" s="217"/>
      <c r="I69" s="218"/>
      <c r="J69" s="216" t="str">
        <f>TEXT($G$1, "[$-ko-KR]yyyy-mm-dd(ddd) ") &amp; "오후 21:00"</f>
        <v>2021-05-03(월) 오후 21:00</v>
      </c>
      <c r="K69" s="217"/>
      <c r="L69" s="218"/>
      <c r="M69" s="216" t="str">
        <f>TEXT($G$1+1, "[$-ko-KR]yyyy-mm-dd(ddd) ") &amp; "오전 00:00"</f>
        <v>2021-05-04(화) 오전 00:00</v>
      </c>
      <c r="N69" s="217"/>
      <c r="O69" s="218"/>
      <c r="Q69" s="214"/>
      <c r="R69" s="214"/>
      <c r="S69" s="214"/>
    </row>
    <row r="70" spans="1:19" ht="17.25" thickBot="1">
      <c r="A70" s="238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219"/>
      <c r="R70" s="219"/>
      <c r="S70" s="219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100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214"/>
      <c r="R71" s="214"/>
      <c r="S71" s="214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101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214"/>
      <c r="R72" s="214"/>
      <c r="S72" s="214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101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219"/>
      <c r="R73" s="219"/>
      <c r="S73" s="219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101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219"/>
      <c r="R74" s="219"/>
      <c r="S74" s="219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5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219"/>
      <c r="R75" s="219"/>
      <c r="S75" s="219"/>
    </row>
    <row r="76" spans="1:19" ht="17.25" thickBot="1">
      <c r="A76" s="17" t="s">
        <v>268</v>
      </c>
      <c r="B76" s="106">
        <v>101</v>
      </c>
      <c r="C76" s="107">
        <v>2.2267206500000001E-2</v>
      </c>
      <c r="D76" s="106">
        <v>108</v>
      </c>
      <c r="E76" s="107">
        <f>IF(ISNUMBER(D76), (D76 - $B76) / $B76, "")</f>
        <v>6.9306930693069313E-2</v>
      </c>
      <c r="F76" s="108">
        <f>IF(ISNUMBER(D76), $B91 * E76, "")</f>
        <v>20792.079207920793</v>
      </c>
      <c r="G76" s="109">
        <v>112</v>
      </c>
      <c r="H76" s="107">
        <f>IF(ISNUMBER(G76), (G76 - $B76) / $B76, "")</f>
        <v>0.10891089108910891</v>
      </c>
      <c r="I76" s="110">
        <f>IF(ISNUMBER(G76), $B91 * H76, "")</f>
        <v>32673.267326732672</v>
      </c>
      <c r="J76" s="106">
        <v>112</v>
      </c>
      <c r="K76" s="107">
        <f>IF(ISNUMBER(J76), (J76 - $B76) / $B76, "")</f>
        <v>0.10891089108910891</v>
      </c>
      <c r="L76" s="108">
        <f>IF(ISNUMBER(J76), $B91 * K76, "")</f>
        <v>32673.267326732672</v>
      </c>
      <c r="M76" s="109">
        <v>113</v>
      </c>
      <c r="N76" s="107">
        <f>IF(ISNUMBER(M76), (M76 - $B76) / $B76, "")</f>
        <v>0.11881188118811881</v>
      </c>
      <c r="O76" s="108">
        <f>IF(ISNUMBER(M76), $B91 * N76, "")</f>
        <v>35643.564356435643</v>
      </c>
      <c r="Q76" s="219"/>
      <c r="R76" s="219"/>
      <c r="S76" s="219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101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219"/>
      <c r="R77" s="219"/>
      <c r="S77" s="219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101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219"/>
      <c r="R78" s="219"/>
      <c r="S78" s="219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101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4">
        <f>IF(ISNUMBER(D80), $B91 * E80, "")</f>
        <v>4109.58904109589</v>
      </c>
      <c r="G80" s="102">
        <v>225</v>
      </c>
      <c r="H80" s="25">
        <f t="shared" si="35"/>
        <v>2.7397260273972601E-2</v>
      </c>
      <c r="I80" s="103">
        <f>IF(ISNUMBER(G80), $B91 * H80, "")</f>
        <v>8219.17808219178</v>
      </c>
      <c r="J80" s="24">
        <v>224</v>
      </c>
      <c r="K80" s="25">
        <f t="shared" si="36"/>
        <v>2.2831050228310501E-2</v>
      </c>
      <c r="L80" s="104">
        <f>IF(ISNUMBER(J80), $B91 * K80, "")</f>
        <v>6849.3150684931506</v>
      </c>
      <c r="M80" s="102">
        <v>223</v>
      </c>
      <c r="N80" s="25">
        <f t="shared" si="37"/>
        <v>1.8264840182648401E-2</v>
      </c>
      <c r="O80" s="104">
        <f>IF(ISNUMBER(M80), $B91 * N80, "")</f>
        <v>5479.4520547945203</v>
      </c>
      <c r="Q80" s="228"/>
      <c r="R80" s="229"/>
      <c r="S80" s="230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100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231"/>
      <c r="R81" s="232"/>
      <c r="S81" s="233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101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234"/>
      <c r="R82" s="235"/>
      <c r="S82" s="236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101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219"/>
      <c r="R83" s="219"/>
      <c r="S83" s="219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101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214"/>
      <c r="R84" s="214"/>
      <c r="S84" s="214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5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214"/>
      <c r="R85" s="214"/>
      <c r="S85" s="214"/>
    </row>
    <row r="86" spans="1:19" ht="17.25" thickBot="1">
      <c r="A86" s="17" t="s">
        <v>88</v>
      </c>
      <c r="B86" s="106">
        <v>649</v>
      </c>
      <c r="C86" s="107">
        <v>-1.6666666699999999E-2</v>
      </c>
      <c r="D86" s="106">
        <v>651</v>
      </c>
      <c r="E86" s="107">
        <f>IF(ISNUMBER(D86), (D86 - $B86) / $B86, "")</f>
        <v>3.0816640986132513E-3</v>
      </c>
      <c r="F86" s="108">
        <f>IF(ISNUMBER(D86), $B91 * E86, "")</f>
        <v>924.49922958397542</v>
      </c>
      <c r="G86" s="109">
        <v>650</v>
      </c>
      <c r="H86" s="107">
        <f>IF(ISNUMBER(G86), (G86 - $B86) / $B86, "")</f>
        <v>1.5408320493066256E-3</v>
      </c>
      <c r="I86" s="110">
        <f>IF(ISNUMBER(G86), $B91 * H86, "")</f>
        <v>462.24961479198771</v>
      </c>
      <c r="J86" s="106">
        <v>652</v>
      </c>
      <c r="K86" s="107">
        <f>IF(ISNUMBER(J86), (J86 - $B86) / $B86, "")</f>
        <v>4.6224961479198771E-3</v>
      </c>
      <c r="L86" s="108">
        <f>IF(ISNUMBER(J86), $B91 * K86, "")</f>
        <v>1386.7488443759632</v>
      </c>
      <c r="M86" s="109">
        <v>650</v>
      </c>
      <c r="N86" s="107">
        <f>IF(ISNUMBER(M86), (M86 - $B86) / $B86, "")</f>
        <v>1.5408320493066256E-3</v>
      </c>
      <c r="O86" s="108">
        <f>IF(ISNUMBER(M86), $B91 * N86, "")</f>
        <v>462.24961479198771</v>
      </c>
      <c r="Q86" s="219"/>
      <c r="R86" s="219"/>
      <c r="S86" s="219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101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219"/>
      <c r="R87" s="219"/>
      <c r="S87" s="219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101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219"/>
      <c r="R88" s="219"/>
      <c r="S88" s="219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101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241"/>
      <c r="R89" s="242"/>
      <c r="S89" s="243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4">
        <f>IF(ISNUMBER(D90), $B91 * E90, "")</f>
        <v>5696.2025316455702</v>
      </c>
      <c r="G90" s="102">
        <v>163</v>
      </c>
      <c r="H90" s="25">
        <f t="shared" si="43"/>
        <v>3.1645569620253167E-2</v>
      </c>
      <c r="I90" s="103">
        <f>IF(ISNUMBER(G90), $B91 * H90, "")</f>
        <v>9493.67088607595</v>
      </c>
      <c r="J90" s="24">
        <v>166</v>
      </c>
      <c r="K90" s="25">
        <f t="shared" si="44"/>
        <v>5.0632911392405063E-2</v>
      </c>
      <c r="L90" s="104">
        <f>IF(ISNUMBER(J90), $B91 * K90, "")</f>
        <v>15189.873417721519</v>
      </c>
      <c r="M90" s="102">
        <v>162</v>
      </c>
      <c r="N90" s="25">
        <f t="shared" si="45"/>
        <v>2.5316455696202531E-2</v>
      </c>
      <c r="O90" s="104">
        <f>IF(ISNUMBER(M90), $B91 * N90, "")</f>
        <v>7594.9367088607596</v>
      </c>
      <c r="Q90" s="244"/>
      <c r="R90" s="245"/>
      <c r="S90" s="246"/>
    </row>
    <row r="91" spans="1:19" ht="17.25" thickBot="1">
      <c r="A91" s="26" t="s">
        <v>301</v>
      </c>
      <c r="B91" s="250">
        <f>$B$37</f>
        <v>300000</v>
      </c>
      <c r="C91" s="251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11" t="s">
        <v>298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72158000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9.1322285000000007E-3</v>
      </c>
      <c r="N95" s="224"/>
      <c r="O95" s="225"/>
      <c r="Q95" s="214"/>
      <c r="R95" s="214"/>
      <c r="S95" s="214"/>
    </row>
    <row r="96" spans="1:19" ht="17.25" thickBot="1">
      <c r="A96" s="237" t="s">
        <v>55</v>
      </c>
      <c r="B96" s="239" t="str">
        <f>TEXT($G$1, "[$-ko-KR]yyyy-mm-dd(ddd) ") &amp; "오전 00:00"</f>
        <v>2021-05-03(월) 오전 00:00</v>
      </c>
      <c r="C96" s="240"/>
      <c r="D96" s="216" t="str">
        <f>TEXT($G$1, "[$-ko-KR]yyyy-mm-dd(ddd) ") &amp; "오후 14:00"</f>
        <v>2021-05-03(월) 오후 14:00</v>
      </c>
      <c r="E96" s="217"/>
      <c r="F96" s="218"/>
      <c r="G96" s="216" t="str">
        <f>TEXT($G$1, "[$-ko-KR]yyyy-mm-dd(ddd) ") &amp; "오후 19:00"</f>
        <v>2021-05-03(월) 오후 19:00</v>
      </c>
      <c r="H96" s="217"/>
      <c r="I96" s="218"/>
      <c r="J96" s="216" t="str">
        <f>TEXT($G$1, "[$-ko-KR]yyyy-mm-dd(ddd) ") &amp; "오후 21:00"</f>
        <v>2021-05-03(월) 오후 21:00</v>
      </c>
      <c r="K96" s="217"/>
      <c r="L96" s="218"/>
      <c r="M96" s="216" t="str">
        <f>TEXT($G$1+1, "[$-ko-KR]yyyy-mm-dd(ddd) ") &amp; "오전 00:00"</f>
        <v>2021-05-04(화) 오전 00:00</v>
      </c>
      <c r="N96" s="217"/>
      <c r="O96" s="218"/>
      <c r="Q96" s="214"/>
      <c r="R96" s="214"/>
      <c r="S96" s="214"/>
    </row>
    <row r="97" spans="1:19" ht="17.25" thickBot="1">
      <c r="A97" s="238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219"/>
      <c r="R97" s="219"/>
      <c r="S97" s="219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100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214"/>
      <c r="R98" s="214"/>
      <c r="S98" s="214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101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214"/>
      <c r="R99" s="214"/>
      <c r="S99" s="214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101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219"/>
      <c r="R100" s="219"/>
      <c r="S100" s="219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101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219"/>
      <c r="R101" s="219"/>
      <c r="S101" s="219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5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219"/>
      <c r="R102" s="219"/>
      <c r="S102" s="219"/>
    </row>
    <row r="103" spans="1:19" ht="17.25" thickBot="1">
      <c r="A103" s="17" t="s">
        <v>262</v>
      </c>
      <c r="B103" s="106">
        <v>1135</v>
      </c>
      <c r="C103" s="107">
        <v>6.0747663600000001E-2</v>
      </c>
      <c r="D103" s="106">
        <v>1125</v>
      </c>
      <c r="E103" s="107">
        <f>IF(ISNUMBER(D103), (D103 - $B103) / $B103, "")</f>
        <v>-8.8105726872246704E-3</v>
      </c>
      <c r="F103" s="108">
        <f>IF(ISNUMBER(D103), $B118 * E103, "")</f>
        <v>-2643.171806167401</v>
      </c>
      <c r="G103" s="109">
        <v>1165</v>
      </c>
      <c r="H103" s="107">
        <f>IF(ISNUMBER(G103), (G103 - $B103) / $B103, "")</f>
        <v>2.643171806167401E-2</v>
      </c>
      <c r="I103" s="110">
        <f>IF(ISNUMBER(G103), $B118 * H103, "")</f>
        <v>7929.5154185022029</v>
      </c>
      <c r="J103" s="106">
        <v>1155</v>
      </c>
      <c r="K103" s="107">
        <f>IF(ISNUMBER(J103), (J103 - $B103) / $B103, "")</f>
        <v>1.7621145374449341E-2</v>
      </c>
      <c r="L103" s="108">
        <f>IF(ISNUMBER(J103), $B118 * K103, "")</f>
        <v>5286.3436123348019</v>
      </c>
      <c r="M103" s="109">
        <v>1140</v>
      </c>
      <c r="N103" s="107">
        <f>IF(ISNUMBER(M103), (M103 - $B103) / $B103, "")</f>
        <v>4.4052863436123352E-3</v>
      </c>
      <c r="O103" s="108">
        <f>IF(ISNUMBER(M103), $B118 * N103, "")</f>
        <v>1321.5859030837005</v>
      </c>
      <c r="Q103" s="219"/>
      <c r="R103" s="219"/>
      <c r="S103" s="219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101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219"/>
      <c r="R104" s="219"/>
      <c r="S104" s="219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101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219"/>
      <c r="R105" s="219"/>
      <c r="S105" s="219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101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4">
        <f>IF(ISNUMBER(D107), $B118 * E107, "")</f>
        <v>6060.606060606061</v>
      </c>
      <c r="G107" s="102">
        <v>202</v>
      </c>
      <c r="H107" s="25">
        <f t="shared" si="51"/>
        <v>2.0202020202020204E-2</v>
      </c>
      <c r="I107" s="103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4">
        <f>IF(ISNUMBER(J107), $B118 * K107, "")</f>
        <v>7575.757575757576</v>
      </c>
      <c r="M107" s="102">
        <v>200</v>
      </c>
      <c r="N107" s="25">
        <f t="shared" si="53"/>
        <v>1.0101010101010102E-2</v>
      </c>
      <c r="O107" s="104">
        <f>IF(ISNUMBER(M107), $B118 * N107, "")</f>
        <v>3030.3030303030305</v>
      </c>
      <c r="Q107" s="228"/>
      <c r="R107" s="229"/>
      <c r="S107" s="230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100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231"/>
      <c r="R108" s="232"/>
      <c r="S108" s="233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101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234"/>
      <c r="R109" s="235"/>
      <c r="S109" s="236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101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219"/>
      <c r="R110" s="219"/>
      <c r="S110" s="219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101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214"/>
      <c r="R111" s="214"/>
      <c r="S111" s="214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5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214"/>
      <c r="R112" s="214"/>
      <c r="S112" s="214"/>
    </row>
    <row r="113" spans="1:19" ht="17.25" thickBot="1">
      <c r="A113" s="17" t="s">
        <v>254</v>
      </c>
      <c r="B113" s="106">
        <v>96.1</v>
      </c>
      <c r="C113" s="107">
        <v>2.3429180000000001E-2</v>
      </c>
      <c r="D113" s="106">
        <v>95.9</v>
      </c>
      <c r="E113" s="107">
        <f>IF(ISNUMBER(D113), (D113 - $B113) / $B113, "")</f>
        <v>-2.0811654526533678E-3</v>
      </c>
      <c r="F113" s="108">
        <f>IF(ISNUMBER(D113), $B118 * E113, "")</f>
        <v>-624.34963579601038</v>
      </c>
      <c r="G113" s="109">
        <v>99.4</v>
      </c>
      <c r="H113" s="107">
        <f>IF(ISNUMBER(G113), (G113 - $B113) / $B113, "")</f>
        <v>3.4339229968782636E-2</v>
      </c>
      <c r="I113" s="110">
        <f>IF(ISNUMBER(G113), $B118 * H113, "")</f>
        <v>10301.768990634791</v>
      </c>
      <c r="J113" s="106">
        <v>98.7</v>
      </c>
      <c r="K113" s="107">
        <f>IF(ISNUMBER(J113), (J113 - $B113) / $B113, "")</f>
        <v>2.7055150884495408E-2</v>
      </c>
      <c r="L113" s="108">
        <f>IF(ISNUMBER(J113), $B118 * K113, "")</f>
        <v>8116.5452653486218</v>
      </c>
      <c r="M113" s="109">
        <v>99</v>
      </c>
      <c r="N113" s="107">
        <f>IF(ISNUMBER(M113), (M113 - $B113) / $B113, "")</f>
        <v>3.0176899063475607E-2</v>
      </c>
      <c r="O113" s="108">
        <f>IF(ISNUMBER(M113), $B118 * N113, "")</f>
        <v>9053.0697190426818</v>
      </c>
      <c r="Q113" s="219"/>
      <c r="R113" s="219"/>
      <c r="S113" s="219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101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219"/>
      <c r="R114" s="219"/>
      <c r="S114" s="219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101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219"/>
      <c r="R115" s="219"/>
      <c r="S115" s="219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101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241"/>
      <c r="R116" s="242"/>
      <c r="S116" s="243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4">
        <f>IF(ISNUMBER(D117), $B118 * E117, "")</f>
        <v>3333.3333333333335</v>
      </c>
      <c r="G117" s="102">
        <v>557</v>
      </c>
      <c r="H117" s="25">
        <f t="shared" si="59"/>
        <v>3.1481481481481478E-2</v>
      </c>
      <c r="I117" s="103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4">
        <f>IF(ISNUMBER(J117), $B118 * K117, "")</f>
        <v>12222.222222222223</v>
      </c>
      <c r="M117" s="102">
        <v>550</v>
      </c>
      <c r="N117" s="25">
        <f t="shared" si="61"/>
        <v>1.8518518518518517E-2</v>
      </c>
      <c r="O117" s="104">
        <f>IF(ISNUMBER(M117), $B118 * N117, "")</f>
        <v>5555.5555555555557</v>
      </c>
      <c r="Q117" s="244"/>
      <c r="R117" s="245"/>
      <c r="S117" s="246"/>
    </row>
    <row r="118" spans="1:19" ht="17.25" thickBot="1">
      <c r="A118" s="26" t="s">
        <v>301</v>
      </c>
      <c r="B118" s="250">
        <f>$B$37</f>
        <v>300000</v>
      </c>
      <c r="C118" s="251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247"/>
      <c r="R118" s="248"/>
      <c r="S118" s="249"/>
    </row>
    <row r="120" spans="1:19" ht="17.25" thickBot="1"/>
    <row r="121" spans="1:19" ht="17.25" thickBot="1">
      <c r="A121" s="193" t="s">
        <v>288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11" t="s">
        <v>298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72158000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9.1322285000000007E-3</v>
      </c>
      <c r="N122" s="224"/>
      <c r="O122" s="225"/>
      <c r="Q122" s="214"/>
      <c r="R122" s="214"/>
      <c r="S122" s="214"/>
    </row>
    <row r="123" spans="1:19" ht="17.25" thickBot="1">
      <c r="A123" s="237" t="s">
        <v>55</v>
      </c>
      <c r="B123" s="239" t="str">
        <f>TEXT($G$1, "[$-ko-KR]yyyy-mm-dd(ddd) ") &amp; "오전 00:00"</f>
        <v>2021-05-03(월) 오전 00:00</v>
      </c>
      <c r="C123" s="240"/>
      <c r="D123" s="216" t="str">
        <f>TEXT($G$1, "[$-ko-KR]yyyy-mm-dd(ddd) ") &amp; "오후 14:00"</f>
        <v>2021-05-03(월) 오후 14:00</v>
      </c>
      <c r="E123" s="217"/>
      <c r="F123" s="218"/>
      <c r="G123" s="216" t="str">
        <f>TEXT($G$1, "[$-ko-KR]yyyy-mm-dd(ddd) ") &amp; "오후 19:00"</f>
        <v>2021-05-03(월) 오후 19:00</v>
      </c>
      <c r="H123" s="217"/>
      <c r="I123" s="218"/>
      <c r="J123" s="216" t="str">
        <f>TEXT($G$1, "[$-ko-KR]yyyy-mm-dd(ddd) ") &amp; "오후 21:00"</f>
        <v>2021-05-03(월) 오후 21:00</v>
      </c>
      <c r="K123" s="217"/>
      <c r="L123" s="218"/>
      <c r="M123" s="216" t="str">
        <f>TEXT($G$1+1, "[$-ko-KR]yyyy-mm-dd(ddd) ") &amp; "오전 00:00"</f>
        <v>2021-05-04(화) 오전 00:00</v>
      </c>
      <c r="N123" s="217"/>
      <c r="O123" s="218"/>
      <c r="Q123" s="214"/>
      <c r="R123" s="214"/>
      <c r="S123" s="214"/>
    </row>
    <row r="124" spans="1:19" ht="17.25" thickBot="1">
      <c r="A124" s="238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219"/>
      <c r="R124" s="219"/>
      <c r="S124" s="219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100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214"/>
      <c r="R125" s="214"/>
      <c r="S125" s="214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101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214"/>
      <c r="R126" s="214"/>
      <c r="S126" s="214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101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219"/>
      <c r="R127" s="219"/>
      <c r="S127" s="219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101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219"/>
      <c r="R128" s="219"/>
      <c r="S128" s="219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5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219"/>
      <c r="R129" s="219"/>
      <c r="S129" s="219"/>
    </row>
    <row r="130" spans="1:19" ht="17.25" thickBot="1">
      <c r="A130" s="17" t="s">
        <v>214</v>
      </c>
      <c r="B130" s="106">
        <v>24.5</v>
      </c>
      <c r="C130" s="107">
        <v>0</v>
      </c>
      <c r="D130" s="106">
        <v>25.4</v>
      </c>
      <c r="E130" s="107">
        <f>IF(ISNUMBER(D130), (D130 - $B130) / $B130, "")</f>
        <v>3.6734693877550961E-2</v>
      </c>
      <c r="F130" s="108">
        <f>IF(ISNUMBER(D130), $B145 * E130, "")</f>
        <v>11020.408163265289</v>
      </c>
      <c r="G130" s="109">
        <v>25.4</v>
      </c>
      <c r="H130" s="107">
        <f>IF(ISNUMBER(G130), (G130 - $B130) / $B130, "")</f>
        <v>3.6734693877550961E-2</v>
      </c>
      <c r="I130" s="110">
        <f>IF(ISNUMBER(G130), $B145 * H130, "")</f>
        <v>11020.408163265289</v>
      </c>
      <c r="J130" s="106">
        <v>25.4</v>
      </c>
      <c r="K130" s="107">
        <f>IF(ISNUMBER(J130), (J130 - $B130) / $B130, "")</f>
        <v>3.6734693877550961E-2</v>
      </c>
      <c r="L130" s="108">
        <f>IF(ISNUMBER(J130), $B145 * K130, "")</f>
        <v>11020.408163265289</v>
      </c>
      <c r="M130" s="109">
        <v>25.3</v>
      </c>
      <c r="N130" s="107">
        <f>IF(ISNUMBER(M130), (M130 - $B130) / $B130, "")</f>
        <v>3.2653061224489827E-2</v>
      </c>
      <c r="O130" s="108">
        <f>IF(ISNUMBER(M130), $B145 * N130, "")</f>
        <v>9795.9183673469488</v>
      </c>
      <c r="Q130" s="219"/>
      <c r="R130" s="219"/>
      <c r="S130" s="219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101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219"/>
      <c r="R131" s="219"/>
      <c r="S131" s="219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101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219"/>
      <c r="R132" s="219"/>
      <c r="S132" s="219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101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4">
        <f>IF(ISNUMBER(D134), $B145 * E134, "")</f>
        <v>1886.7924528301705</v>
      </c>
      <c r="G134" s="102">
        <v>98.4</v>
      </c>
      <c r="H134" s="25">
        <f t="shared" si="67"/>
        <v>3.1446540880503145E-2</v>
      </c>
      <c r="I134" s="103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4">
        <f>IF(ISNUMBER(J134), $B145 * K134, "")</f>
        <v>11006.289308176101</v>
      </c>
      <c r="M134" s="102">
        <v>100</v>
      </c>
      <c r="N134" s="25">
        <f t="shared" si="69"/>
        <v>4.821802935010476E-2</v>
      </c>
      <c r="O134" s="104">
        <f>IF(ISNUMBER(M134), $B145 * N134, "")</f>
        <v>14465.408805031428</v>
      </c>
      <c r="Q134" s="228"/>
      <c r="R134" s="229"/>
      <c r="S134" s="230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100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231"/>
      <c r="R135" s="232"/>
      <c r="S135" s="233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101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234"/>
      <c r="R136" s="235"/>
      <c r="S136" s="236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101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219"/>
      <c r="R137" s="219"/>
      <c r="S137" s="219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101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214"/>
      <c r="R138" s="214"/>
      <c r="S138" s="214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5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214"/>
      <c r="R139" s="214"/>
      <c r="S139" s="214"/>
    </row>
    <row r="140" spans="1:19" ht="17.25" thickBot="1">
      <c r="A140" s="17" t="s">
        <v>72</v>
      </c>
      <c r="B140" s="106">
        <v>36.799999999999997</v>
      </c>
      <c r="C140" s="107">
        <v>-2.3872679000000001E-2</v>
      </c>
      <c r="D140" s="106">
        <v>37.6</v>
      </c>
      <c r="E140" s="107">
        <f>IF(ISNUMBER(D140), (D140 - $B140) / $B140, "")</f>
        <v>2.1739130434782726E-2</v>
      </c>
      <c r="F140" s="108">
        <f>IF(ISNUMBER(D140), $B145 * E140, "")</f>
        <v>6521.7391304348175</v>
      </c>
      <c r="G140" s="109">
        <v>38.5</v>
      </c>
      <c r="H140" s="107">
        <f>IF(ISNUMBER(G140), (G140 - $B140) / $B140, "")</f>
        <v>4.6195652173913124E-2</v>
      </c>
      <c r="I140" s="110">
        <f>IF(ISNUMBER(G140), $B145 * H140, "")</f>
        <v>13858.695652173938</v>
      </c>
      <c r="J140" s="106">
        <v>38.6</v>
      </c>
      <c r="K140" s="107">
        <f>IF(ISNUMBER(J140), (J140 - $B140) / $B140, "")</f>
        <v>4.891304347826099E-2</v>
      </c>
      <c r="L140" s="108">
        <f>IF(ISNUMBER(J140), $B145 * K140, "")</f>
        <v>14673.913043478296</v>
      </c>
      <c r="M140" s="109">
        <v>38.299999999999997</v>
      </c>
      <c r="N140" s="107">
        <f>IF(ISNUMBER(M140), (M140 - $B140) / $B140, "")</f>
        <v>4.0760869565217392E-2</v>
      </c>
      <c r="O140" s="108">
        <f>IF(ISNUMBER(M140), $B145 * N140, "")</f>
        <v>12228.260869565218</v>
      </c>
      <c r="Q140" s="219"/>
      <c r="R140" s="219"/>
      <c r="S140" s="219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101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219"/>
      <c r="R141" s="219"/>
      <c r="S141" s="219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101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219"/>
      <c r="R142" s="219"/>
      <c r="S142" s="219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26" t="s">
        <v>301</v>
      </c>
      <c r="B145" s="250">
        <f>$B$37</f>
        <v>300000</v>
      </c>
      <c r="C145" s="251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247"/>
      <c r="R145" s="248"/>
      <c r="S145" s="249"/>
    </row>
    <row r="147" spans="1:19" ht="17.25" thickBot="1"/>
    <row r="148" spans="1:19" ht="17.25" thickBot="1">
      <c r="A148" s="193" t="s">
        <v>289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11" t="s">
        <v>298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72158000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9.1322285000000007E-3</v>
      </c>
      <c r="N149" s="224"/>
      <c r="O149" s="225"/>
      <c r="Q149" s="214"/>
      <c r="R149" s="214"/>
      <c r="S149" s="214"/>
    </row>
    <row r="150" spans="1:19" ht="17.25" thickBot="1">
      <c r="A150" s="237" t="s">
        <v>55</v>
      </c>
      <c r="B150" s="239" t="str">
        <f>TEXT($G$1, "[$-ko-KR]yyyy-mm-dd(ddd) ") &amp; "오전 00:00"</f>
        <v>2021-05-03(월) 오전 00:00</v>
      </c>
      <c r="C150" s="240"/>
      <c r="D150" s="216" t="str">
        <f>TEXT($G$1, "[$-ko-KR]yyyy-mm-dd(ddd) ") &amp; "오후 14:00"</f>
        <v>2021-05-03(월) 오후 14:00</v>
      </c>
      <c r="E150" s="217"/>
      <c r="F150" s="218"/>
      <c r="G150" s="216" t="str">
        <f>TEXT($G$1, "[$-ko-KR]yyyy-mm-dd(ddd) ") &amp; "오후 19:00"</f>
        <v>2021-05-03(월) 오후 19:00</v>
      </c>
      <c r="H150" s="217"/>
      <c r="I150" s="218"/>
      <c r="J150" s="216" t="str">
        <f>TEXT($G$1, "[$-ko-KR]yyyy-mm-dd(ddd) ") &amp; "오후 21:00"</f>
        <v>2021-05-03(월) 오후 21:00</v>
      </c>
      <c r="K150" s="217"/>
      <c r="L150" s="218"/>
      <c r="M150" s="216" t="str">
        <f>TEXT($G$1+1, "[$-ko-KR]yyyy-mm-dd(ddd) ") &amp; "오전 00:00"</f>
        <v>2021-05-04(화) 오전 00:00</v>
      </c>
      <c r="N150" s="217"/>
      <c r="O150" s="218"/>
      <c r="Q150" s="214"/>
      <c r="R150" s="214"/>
      <c r="S150" s="214"/>
    </row>
    <row r="151" spans="1:19" ht="17.25" thickBot="1">
      <c r="A151" s="238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219"/>
      <c r="R151" s="219"/>
      <c r="S151" s="219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100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214"/>
      <c r="R152" s="214"/>
      <c r="S152" s="214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101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214"/>
      <c r="R153" s="214"/>
      <c r="S153" s="214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101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219"/>
      <c r="R154" s="219"/>
      <c r="S154" s="219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101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219"/>
      <c r="R155" s="219"/>
      <c r="S155" s="219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5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219"/>
      <c r="R156" s="219"/>
      <c r="S156" s="219"/>
    </row>
    <row r="157" spans="1:19" ht="17.25" thickBot="1">
      <c r="A157" s="17" t="s">
        <v>120</v>
      </c>
      <c r="B157" s="106">
        <v>226</v>
      </c>
      <c r="C157" s="107">
        <v>-2.1645021600000001E-2</v>
      </c>
      <c r="D157" s="106">
        <v>230</v>
      </c>
      <c r="E157" s="107">
        <f>IF(ISNUMBER(D157), (D157 - $B157) / $B157, "")</f>
        <v>1.7699115044247787E-2</v>
      </c>
      <c r="F157" s="108">
        <f>IF(ISNUMBER(D157), $B172 * E157, "")</f>
        <v>5309.7345132743358</v>
      </c>
      <c r="G157" s="109">
        <v>231</v>
      </c>
      <c r="H157" s="107">
        <f>IF(ISNUMBER(G157), (G157 - $B157) / $B157, "")</f>
        <v>2.2123893805309734E-2</v>
      </c>
      <c r="I157" s="110">
        <f>IF(ISNUMBER(G157), $B172 * H157, "")</f>
        <v>6637.1681415929206</v>
      </c>
      <c r="J157" s="106">
        <v>234</v>
      </c>
      <c r="K157" s="107">
        <f>IF(ISNUMBER(J157), (J157 - $B157) / $B157, "")</f>
        <v>3.5398230088495575E-2</v>
      </c>
      <c r="L157" s="108">
        <f>IF(ISNUMBER(J157), $B172 * K157, "")</f>
        <v>10619.469026548672</v>
      </c>
      <c r="M157" s="109">
        <v>230</v>
      </c>
      <c r="N157" s="107">
        <f>IF(ISNUMBER(M157), (M157 - $B157) / $B157, "")</f>
        <v>1.7699115044247787E-2</v>
      </c>
      <c r="O157" s="108">
        <f>IF(ISNUMBER(M157), $B172 * N157, "")</f>
        <v>5309.7345132743358</v>
      </c>
      <c r="Q157" s="219"/>
      <c r="R157" s="219"/>
      <c r="S157" s="219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101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219"/>
      <c r="R158" s="219"/>
      <c r="S158" s="219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101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219"/>
      <c r="R159" s="219"/>
      <c r="S159" s="219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101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4">
        <f>IF(ISNUMBER(D161), $B172 * E161, "")</f>
        <v>8287.2928176795576</v>
      </c>
      <c r="G161" s="102">
        <v>564</v>
      </c>
      <c r="H161" s="25">
        <f t="shared" si="83"/>
        <v>3.8674033149171269E-2</v>
      </c>
      <c r="I161" s="103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4">
        <f>IF(ISNUMBER(J161), $B172 * K161, "")</f>
        <v>11049.723756906078</v>
      </c>
      <c r="M161" s="102">
        <v>559</v>
      </c>
      <c r="N161" s="25">
        <f t="shared" si="85"/>
        <v>2.9465930018416207E-2</v>
      </c>
      <c r="O161" s="104">
        <f>IF(ISNUMBER(M161), $B172 * N161, "")</f>
        <v>8839.7790055248624</v>
      </c>
      <c r="Q161" s="228"/>
      <c r="R161" s="229"/>
      <c r="S161" s="230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100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231"/>
      <c r="R162" s="232"/>
      <c r="S162" s="233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101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234"/>
      <c r="R163" s="235"/>
      <c r="S163" s="236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101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219"/>
      <c r="R164" s="219"/>
      <c r="S164" s="219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101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214"/>
      <c r="R165" s="214"/>
      <c r="S165" s="214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5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214"/>
      <c r="R166" s="214"/>
      <c r="S166" s="214"/>
    </row>
    <row r="167" spans="1:19" ht="17.25" thickBot="1">
      <c r="A167" s="17" t="s">
        <v>246</v>
      </c>
      <c r="B167" s="106">
        <v>439</v>
      </c>
      <c r="C167" s="107">
        <v>-2.8761061899999999E-2</v>
      </c>
      <c r="D167" s="106">
        <v>441</v>
      </c>
      <c r="E167" s="107">
        <f>IF(ISNUMBER(D167), (D167 - $B167) / $B167, "")</f>
        <v>4.5558086560364463E-3</v>
      </c>
      <c r="F167" s="108">
        <f>IF(ISNUMBER(D167), $B172 * E167, "")</f>
        <v>1366.7425968109339</v>
      </c>
      <c r="G167" s="109">
        <v>445</v>
      </c>
      <c r="H167" s="107">
        <f>IF(ISNUMBER(G167), (G167 - $B167) / $B167, "")</f>
        <v>1.366742596810934E-2</v>
      </c>
      <c r="I167" s="110">
        <f>IF(ISNUMBER(G167), $B172 * H167, "")</f>
        <v>4100.2277904328021</v>
      </c>
      <c r="J167" s="106">
        <v>448</v>
      </c>
      <c r="K167" s="107">
        <f>IF(ISNUMBER(J167), (J167 - $B167) / $B167, "")</f>
        <v>2.0501138952164009E-2</v>
      </c>
      <c r="L167" s="108">
        <f>IF(ISNUMBER(J167), $B172 * K167, "")</f>
        <v>6150.3416856492031</v>
      </c>
      <c r="M167" s="109">
        <v>443</v>
      </c>
      <c r="N167" s="107">
        <f>IF(ISNUMBER(M167), (M167 - $B167) / $B167, "")</f>
        <v>9.1116173120728925E-3</v>
      </c>
      <c r="O167" s="108">
        <f>IF(ISNUMBER(M167), $B172 * N167, "")</f>
        <v>2733.4851936218679</v>
      </c>
      <c r="Q167" s="219"/>
      <c r="R167" s="219"/>
      <c r="S167" s="219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101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219"/>
      <c r="R168" s="219"/>
      <c r="S168" s="219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101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219"/>
      <c r="R169" s="219"/>
      <c r="S169" s="219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101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241"/>
      <c r="R170" s="242"/>
      <c r="S170" s="243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4">
        <f>IF(ISNUMBER(D171), $B172 * E171, "")</f>
        <v>0</v>
      </c>
      <c r="G171" s="102">
        <v>761</v>
      </c>
      <c r="H171" s="25">
        <f t="shared" si="91"/>
        <v>1.1968085106382979E-2</v>
      </c>
      <c r="I171" s="103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4">
        <f>IF(ISNUMBER(J171), $B172 * K171, "")</f>
        <v>4787.2340425531911</v>
      </c>
      <c r="M171" s="102">
        <v>780</v>
      </c>
      <c r="N171" s="25">
        <f t="shared" si="93"/>
        <v>3.7234042553191488E-2</v>
      </c>
      <c r="O171" s="104">
        <f>IF(ISNUMBER(M171), $B172 * N171, "")</f>
        <v>11170.212765957447</v>
      </c>
      <c r="Q171" s="244"/>
      <c r="R171" s="245"/>
      <c r="S171" s="246"/>
    </row>
    <row r="172" spans="1:19" ht="17.25" thickBot="1">
      <c r="A172" s="26" t="s">
        <v>301</v>
      </c>
      <c r="B172" s="250">
        <f>$B$37</f>
        <v>300000</v>
      </c>
      <c r="C172" s="251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247"/>
      <c r="R172" s="248"/>
      <c r="S172" s="249"/>
    </row>
    <row r="174" spans="1:19" ht="17.25" thickBot="1"/>
    <row r="175" spans="1:19" ht="17.25" thickBot="1">
      <c r="A175" s="193" t="s">
        <v>285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11" t="s">
        <v>298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72158000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9.1322285000000007E-3</v>
      </c>
      <c r="N176" s="224"/>
      <c r="O176" s="225"/>
      <c r="Q176" s="214"/>
      <c r="R176" s="214"/>
      <c r="S176" s="214"/>
    </row>
    <row r="177" spans="1:19" ht="17.25" thickBot="1">
      <c r="A177" s="237" t="s">
        <v>55</v>
      </c>
      <c r="B177" s="239" t="str">
        <f>TEXT($G$1, "[$-ko-KR]yyyy-mm-dd(ddd) ") &amp; "오전 00:00"</f>
        <v>2021-05-03(월) 오전 00:00</v>
      </c>
      <c r="C177" s="240"/>
      <c r="D177" s="216" t="str">
        <f>TEXT($G$1, "[$-ko-KR]yyyy-mm-dd(ddd) ") &amp; "오후 14:00"</f>
        <v>2021-05-03(월) 오후 14:00</v>
      </c>
      <c r="E177" s="217"/>
      <c r="F177" s="218"/>
      <c r="G177" s="216" t="str">
        <f>TEXT($G$1, "[$-ko-KR]yyyy-mm-dd(ddd) ") &amp; "오후 19:00"</f>
        <v>2021-05-03(월) 오후 19:00</v>
      </c>
      <c r="H177" s="217"/>
      <c r="I177" s="218"/>
      <c r="J177" s="216" t="str">
        <f>TEXT($G$1, "[$-ko-KR]yyyy-mm-dd(ddd) ") &amp; "오후 21:00"</f>
        <v>2021-05-03(월) 오후 21:00</v>
      </c>
      <c r="K177" s="217"/>
      <c r="L177" s="218"/>
      <c r="M177" s="216" t="str">
        <f>TEXT($G$1+1, "[$-ko-KR]yyyy-mm-dd(ddd) ") &amp; "오전 00:00"</f>
        <v>2021-05-04(화) 오전 00:00</v>
      </c>
      <c r="N177" s="217"/>
      <c r="O177" s="218"/>
      <c r="Q177" s="214"/>
      <c r="R177" s="214"/>
      <c r="S177" s="214"/>
    </row>
    <row r="178" spans="1:19" ht="17.25" thickBot="1">
      <c r="A178" s="238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219"/>
      <c r="R178" s="219"/>
      <c r="S178" s="219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100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214"/>
      <c r="R179" s="214"/>
      <c r="S179" s="214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101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214"/>
      <c r="R180" s="214"/>
      <c r="S180" s="214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101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219"/>
      <c r="R181" s="219"/>
      <c r="S181" s="219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101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219"/>
      <c r="R182" s="219"/>
      <c r="S182" s="219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5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219"/>
      <c r="R183" s="219"/>
      <c r="S183" s="219"/>
    </row>
    <row r="184" spans="1:19" ht="17.25" thickBot="1">
      <c r="A184" s="17" t="s">
        <v>148</v>
      </c>
      <c r="B184" s="106">
        <v>207</v>
      </c>
      <c r="C184" s="107">
        <v>-2.8169014100000001E-2</v>
      </c>
      <c r="D184" s="106">
        <v>212</v>
      </c>
      <c r="E184" s="107">
        <f>IF(ISNUMBER(D184), (D184 - $B184) / $B184, "")</f>
        <v>2.4154589371980676E-2</v>
      </c>
      <c r="F184" s="108">
        <f>IF(ISNUMBER(D184), $B199 * E184, "")</f>
        <v>7246.376811594203</v>
      </c>
      <c r="G184" s="109">
        <v>214</v>
      </c>
      <c r="H184" s="107">
        <f>IF(ISNUMBER(G184), (G184 - $B184) / $B184, "")</f>
        <v>3.3816425120772944E-2</v>
      </c>
      <c r="I184" s="110">
        <f>IF(ISNUMBER(G184), $B199 * H184, "")</f>
        <v>10144.927536231884</v>
      </c>
      <c r="J184" s="106">
        <v>212</v>
      </c>
      <c r="K184" s="107">
        <f>IF(ISNUMBER(J184), (J184 - $B184) / $B184, "")</f>
        <v>2.4154589371980676E-2</v>
      </c>
      <c r="L184" s="108">
        <f>IF(ISNUMBER(J184), $B199 * K184, "")</f>
        <v>7246.376811594203</v>
      </c>
      <c r="M184" s="109">
        <v>215</v>
      </c>
      <c r="N184" s="107">
        <f>IF(ISNUMBER(M184), (M184 - $B184) / $B184, "")</f>
        <v>3.864734299516908E-2</v>
      </c>
      <c r="O184" s="108">
        <f>IF(ISNUMBER(M184), $B199 * N184, "")</f>
        <v>11594.202898550724</v>
      </c>
      <c r="Q184" s="219"/>
      <c r="R184" s="219"/>
      <c r="S184" s="219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101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219"/>
      <c r="R185" s="219"/>
      <c r="S185" s="219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101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219"/>
      <c r="R186" s="219"/>
      <c r="S186" s="219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101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4">
        <f>IF(ISNUMBER(D188), $B199 * E188, "")</f>
        <v>11235.955056179775</v>
      </c>
      <c r="G188" s="102">
        <v>283</v>
      </c>
      <c r="H188" s="25">
        <f t="shared" si="99"/>
        <v>5.9925093632958802E-2</v>
      </c>
      <c r="I188" s="103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4">
        <f>IF(ISNUMBER(J188), $B199 * K188, "")</f>
        <v>14606.741573033709</v>
      </c>
      <c r="M188" s="102">
        <v>282</v>
      </c>
      <c r="N188" s="25">
        <f t="shared" si="101"/>
        <v>5.6179775280898875E-2</v>
      </c>
      <c r="O188" s="104">
        <f>IF(ISNUMBER(M188), $B199 * N188, "")</f>
        <v>16853.932584269663</v>
      </c>
      <c r="Q188" s="228"/>
      <c r="R188" s="229"/>
      <c r="S188" s="230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100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231"/>
      <c r="R189" s="232"/>
      <c r="S189" s="233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101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234"/>
      <c r="R190" s="235"/>
      <c r="S190" s="236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101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219"/>
      <c r="R191" s="219"/>
      <c r="S191" s="219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101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214"/>
      <c r="R192" s="214"/>
      <c r="S192" s="214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5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214"/>
      <c r="R193" s="214"/>
      <c r="S193" s="214"/>
    </row>
    <row r="194" spans="1:19" ht="17.25" thickBot="1">
      <c r="A194" s="17" t="s">
        <v>250</v>
      </c>
      <c r="B194" s="106">
        <v>242</v>
      </c>
      <c r="C194" s="107">
        <v>-3.5856573699999998E-2</v>
      </c>
      <c r="D194" s="106">
        <v>241</v>
      </c>
      <c r="E194" s="107">
        <f>IF(ISNUMBER(D194), (D194 - $B194) / $B194, "")</f>
        <v>-4.1322314049586778E-3</v>
      </c>
      <c r="F194" s="108">
        <f>IF(ISNUMBER(D194), $B199 * E194, "")</f>
        <v>-1239.6694214876034</v>
      </c>
      <c r="G194" s="109">
        <v>246</v>
      </c>
      <c r="H194" s="107">
        <f>IF(ISNUMBER(G194), (G194 - $B194) / $B194, "")</f>
        <v>1.6528925619834711E-2</v>
      </c>
      <c r="I194" s="110">
        <f>IF(ISNUMBER(G194), $B199 * H194, "")</f>
        <v>4958.6776859504134</v>
      </c>
      <c r="J194" s="106">
        <v>245</v>
      </c>
      <c r="K194" s="107">
        <f>IF(ISNUMBER(J194), (J194 - $B194) / $B194, "")</f>
        <v>1.2396694214876033E-2</v>
      </c>
      <c r="L194" s="108">
        <f>IF(ISNUMBER(J194), $B199 * K194, "")</f>
        <v>3719.0082644628101</v>
      </c>
      <c r="M194" s="109">
        <v>244</v>
      </c>
      <c r="N194" s="107">
        <f>IF(ISNUMBER(M194), (M194 - $B194) / $B194, "")</f>
        <v>8.2644628099173556E-3</v>
      </c>
      <c r="O194" s="108">
        <f>IF(ISNUMBER(M194), $B199 * N194, "")</f>
        <v>2479.3388429752067</v>
      </c>
      <c r="Q194" s="219"/>
      <c r="R194" s="219"/>
      <c r="S194" s="219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101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219"/>
      <c r="R195" s="219"/>
      <c r="S195" s="219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101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219"/>
      <c r="R196" s="219"/>
      <c r="S196" s="219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101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241"/>
      <c r="R197" s="242"/>
      <c r="S197" s="243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4">
        <f>IF(ISNUMBER(D198), $B199 * E198, "")</f>
        <v>7957.5596816976131</v>
      </c>
      <c r="G198" s="102">
        <v>1915</v>
      </c>
      <c r="H198" s="25">
        <f t="shared" si="107"/>
        <v>1.5915119363395226E-2</v>
      </c>
      <c r="I198" s="103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4">
        <f>IF(ISNUMBER(J198), $B199 * K198, "")</f>
        <v>6366.0477453580897</v>
      </c>
      <c r="M198" s="102">
        <v>1880</v>
      </c>
      <c r="N198" s="25">
        <f t="shared" si="109"/>
        <v>-2.6525198938992041E-3</v>
      </c>
      <c r="O198" s="104">
        <f>IF(ISNUMBER(M198), $B199 * N198, "")</f>
        <v>-795.75596816976122</v>
      </c>
      <c r="Q198" s="244"/>
      <c r="R198" s="245"/>
      <c r="S198" s="246"/>
    </row>
    <row r="199" spans="1:19" ht="17.25" thickBot="1">
      <c r="A199" s="26" t="s">
        <v>301</v>
      </c>
      <c r="B199" s="250">
        <f>$B$37</f>
        <v>300000</v>
      </c>
      <c r="C199" s="251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0" zoomScaleNormal="100" workbookViewId="0">
      <selection activeCell="A94" sqref="A94:O118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12.25" style="123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44320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20" t="s">
        <v>3</v>
      </c>
      <c r="B2" s="199" t="s">
        <v>4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5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21" t="s">
        <v>7</v>
      </c>
      <c r="B3" s="205" t="s">
        <v>8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209"/>
      <c r="I3" s="210"/>
      <c r="J3" s="4" t="s">
        <v>7</v>
      </c>
      <c r="K3" s="205" t="s">
        <v>9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05" t="s">
        <v>12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13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05" t="s">
        <v>16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209"/>
      <c r="I5" s="210"/>
      <c r="J5" s="4" t="s">
        <v>15</v>
      </c>
      <c r="K5" s="205" t="s">
        <v>17</v>
      </c>
      <c r="L5" s="206"/>
      <c r="M5" s="206"/>
      <c r="N5" s="206"/>
      <c r="O5" s="207"/>
    </row>
    <row r="6" spans="1:19">
      <c r="A6" s="121" t="s">
        <v>18</v>
      </c>
      <c r="B6" s="205" t="s">
        <v>19</v>
      </c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20</v>
      </c>
      <c r="L6" s="206"/>
      <c r="M6" s="206"/>
      <c r="N6" s="206"/>
      <c r="O6" s="207"/>
    </row>
    <row r="7" spans="1:19" ht="17.25" thickBot="1">
      <c r="A7" s="121" t="s">
        <v>21</v>
      </c>
      <c r="B7" s="205" t="s">
        <v>22</v>
      </c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209"/>
      <c r="I7" s="210"/>
      <c r="J7" s="4" t="s">
        <v>21</v>
      </c>
      <c r="K7" s="205" t="s">
        <v>23</v>
      </c>
      <c r="L7" s="206"/>
      <c r="M7" s="206"/>
      <c r="N7" s="206"/>
      <c r="O7" s="207"/>
    </row>
    <row r="8" spans="1:19" ht="17.25" thickBot="1">
      <c r="A8" s="121" t="s">
        <v>24</v>
      </c>
      <c r="B8" s="205" t="s">
        <v>25</v>
      </c>
      <c r="C8" s="206"/>
      <c r="D8" s="206"/>
      <c r="E8" s="206"/>
      <c r="F8" s="207"/>
      <c r="G8" s="202" t="s">
        <v>285</v>
      </c>
      <c r="H8" s="203"/>
      <c r="I8" s="204"/>
      <c r="J8" s="4" t="s">
        <v>24</v>
      </c>
      <c r="K8" s="205" t="s">
        <v>26</v>
      </c>
      <c r="L8" s="206"/>
      <c r="M8" s="206"/>
      <c r="N8" s="206"/>
      <c r="O8" s="207"/>
      <c r="Q8" s="193" t="s">
        <v>27</v>
      </c>
      <c r="R8" s="195"/>
    </row>
    <row r="9" spans="1:19" ht="17.25" thickBot="1">
      <c r="A9" s="121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209"/>
      <c r="I9" s="210"/>
      <c r="J9" s="4" t="s">
        <v>28</v>
      </c>
      <c r="K9" s="205" t="s">
        <v>293</v>
      </c>
      <c r="L9" s="206"/>
      <c r="M9" s="206"/>
      <c r="N9" s="206"/>
      <c r="O9" s="207"/>
      <c r="Q9" s="2" t="s">
        <v>29</v>
      </c>
      <c r="R9" s="6">
        <v>10</v>
      </c>
    </row>
    <row r="10" spans="1:19">
      <c r="A10" s="121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/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22" t="s">
        <v>32</v>
      </c>
      <c r="B11" s="211"/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209"/>
      <c r="I11" s="210"/>
      <c r="J11" s="7" t="s">
        <v>32</v>
      </c>
      <c r="K11" s="211"/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16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72158000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9.1322285000000007E-3</v>
      </c>
      <c r="N14" s="224"/>
      <c r="O14" s="225"/>
      <c r="Q14" s="214"/>
      <c r="R14" s="214"/>
      <c r="S14" s="214"/>
    </row>
    <row r="15" spans="1:19" ht="17.25" customHeight="1" thickBot="1">
      <c r="A15" s="258" t="s">
        <v>39</v>
      </c>
      <c r="B15" s="259" t="str">
        <f>TEXT($G$1, "[$-ko-KR]yyyy-mm-dd(ddd) ") &amp; "오전 00:00"</f>
        <v>2021-05-04(화) 오전 00:00</v>
      </c>
      <c r="C15" s="260"/>
      <c r="D15" s="216" t="str">
        <f>TEXT($G$1, "[$-ko-KR]yyyy-mm-dd(ddd) ") &amp; "오후 14:00"</f>
        <v>2021-05-04(화) 오후 14:00</v>
      </c>
      <c r="E15" s="217"/>
      <c r="F15" s="218"/>
      <c r="G15" s="216" t="str">
        <f>TEXT($G$1, "[$-ko-KR]yyyy-mm-dd(ddd) ") &amp; "오후 19:00"</f>
        <v>2021-05-04(화) 오후 19:00</v>
      </c>
      <c r="H15" s="217"/>
      <c r="I15" s="218"/>
      <c r="J15" s="216" t="str">
        <f>TEXT($G$1, "[$-ko-KR]yyyy-mm-dd(ddd) ") &amp; "오후 21:00"</f>
        <v>2021-05-04(화) 오후 21:00</v>
      </c>
      <c r="K15" s="217"/>
      <c r="L15" s="218"/>
      <c r="M15" s="216" t="str">
        <f>TEXT($G$1+1, "[$-ko-KR]yyyy-mm-dd(ddd) ") &amp; "오전 00:00"</f>
        <v>2021-05-05(수) 오전 00:00</v>
      </c>
      <c r="N15" s="217"/>
      <c r="O15" s="218"/>
      <c r="Q15" s="214"/>
      <c r="R15" s="214"/>
      <c r="S15" s="214"/>
    </row>
    <row r="16" spans="1:19" ht="17.25" customHeight="1" thickBot="1">
      <c r="A16" s="258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17" t="s">
        <v>37</v>
      </c>
      <c r="H16" s="118" t="s">
        <v>40</v>
      </c>
      <c r="I16" s="1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6" t="s">
        <v>303</v>
      </c>
      <c r="B17" s="127">
        <f>IF(NOT(ISBLANK(_xlfn.IFNA(VLOOKUP($A17, $A$40:$O$199, 2, FALSE), ))), _xlfn.IFNA(VLOOKUP($A17, $A$40:$O$199, 2, FALSE), ), "")</f>
        <v>162</v>
      </c>
      <c r="C17" s="76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100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214"/>
      <c r="R17" s="214"/>
      <c r="S17" s="214"/>
    </row>
    <row r="18" spans="1:19" ht="17.25" customHeight="1" thickBot="1">
      <c r="A18" s="128" t="s">
        <v>304</v>
      </c>
      <c r="B18" s="129">
        <f t="shared" ref="B18:B36" si="0">IF(NOT(ISBLANK(_xlfn.IFNA(VLOOKUP($A18, $A$40:$O$199, 2, FALSE), ))), _xlfn.IFNA(VLOOKUP($A18, $A$40:$O$199, 2, FALSE), ), "")</f>
        <v>492</v>
      </c>
      <c r="C18" s="77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101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214"/>
      <c r="R18" s="214"/>
      <c r="S18" s="214"/>
    </row>
    <row r="19" spans="1:19" ht="17.25" customHeight="1" thickBot="1">
      <c r="A19" s="128" t="s">
        <v>305</v>
      </c>
      <c r="B19" s="129">
        <f t="shared" si="0"/>
        <v>400</v>
      </c>
      <c r="C19" s="77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101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219"/>
      <c r="R19" s="219"/>
      <c r="S19" s="219"/>
    </row>
    <row r="20" spans="1:19" ht="17.25" customHeight="1" thickBot="1">
      <c r="A20" s="128" t="s">
        <v>306</v>
      </c>
      <c r="B20" s="129">
        <f t="shared" si="0"/>
        <v>443</v>
      </c>
      <c r="C20" s="77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101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219"/>
      <c r="R20" s="219"/>
      <c r="S20" s="219"/>
    </row>
    <row r="21" spans="1:19" ht="17.25" customHeight="1" thickBot="1">
      <c r="A21" s="130" t="s">
        <v>307</v>
      </c>
      <c r="B21" s="131">
        <f t="shared" si="0"/>
        <v>258</v>
      </c>
      <c r="C21" s="78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5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219"/>
      <c r="R21" s="219"/>
      <c r="S21" s="219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5" t="s">
        <v>42</v>
      </c>
      <c r="B37" s="252">
        <v>300000</v>
      </c>
      <c r="C37" s="253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16" t="s">
        <v>298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72158000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9.1322285000000007E-3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2021-05-04(화) 오전 00:00</v>
      </c>
      <c r="C42" s="257"/>
      <c r="D42" s="216" t="str">
        <f>TEXT($G$1, "[$-ko-KR]yyyy-mm-dd(ddd) ") &amp; "오후 14:00"</f>
        <v>2021-05-04(화) 오후 14:00</v>
      </c>
      <c r="E42" s="217"/>
      <c r="F42" s="218"/>
      <c r="G42" s="216" t="str">
        <f>TEXT($G$1, "[$-ko-KR]yyyy-mm-dd(ddd) ") &amp; "오후 19:00"</f>
        <v>2021-05-04(화) 오후 19:00</v>
      </c>
      <c r="H42" s="217"/>
      <c r="I42" s="218"/>
      <c r="J42" s="216" t="str">
        <f>TEXT($G$1, "[$-ko-KR]yyyy-mm-dd(ddd) ") &amp; "오후 21:00"</f>
        <v>2021-05-04(화) 오후 21:00</v>
      </c>
      <c r="K42" s="217"/>
      <c r="L42" s="218"/>
      <c r="M42" s="216" t="str">
        <f>TEXT($G$1+1, "[$-ko-KR]yyyy-mm-dd(ddd) ") &amp; "오전 00:00"</f>
        <v>2021-05-05(수)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17" t="s">
        <v>58</v>
      </c>
      <c r="H43" s="118" t="s">
        <v>299</v>
      </c>
      <c r="I43" s="119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219"/>
      <c r="R43" s="219"/>
      <c r="S43" s="219"/>
    </row>
    <row r="44" spans="1:19" ht="17.25" customHeight="1" thickBot="1">
      <c r="A44" s="126" t="s">
        <v>220</v>
      </c>
      <c r="B44" s="127">
        <v>23.9</v>
      </c>
      <c r="C44" s="76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100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214"/>
      <c r="R44" s="214"/>
      <c r="S44" s="214"/>
    </row>
    <row r="45" spans="1:19" ht="17.25" customHeight="1" thickBot="1">
      <c r="A45" s="128" t="s">
        <v>154</v>
      </c>
      <c r="B45" s="129">
        <v>24</v>
      </c>
      <c r="C45" s="77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101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214"/>
      <c r="R45" s="214"/>
      <c r="S45" s="214"/>
    </row>
    <row r="46" spans="1:19" ht="17.25" customHeight="1" thickBot="1">
      <c r="A46" s="128" t="s">
        <v>65</v>
      </c>
      <c r="B46" s="129">
        <v>80</v>
      </c>
      <c r="C46" s="77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101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219"/>
      <c r="R46" s="219"/>
      <c r="S46" s="219"/>
    </row>
    <row r="47" spans="1:19" ht="17.25" customHeight="1" thickBot="1">
      <c r="A47" s="128" t="s">
        <v>186</v>
      </c>
      <c r="B47" s="129">
        <v>29.3</v>
      </c>
      <c r="C47" s="77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101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219"/>
      <c r="R47" s="219"/>
      <c r="S47" s="219"/>
    </row>
    <row r="48" spans="1:19" ht="17.25" customHeight="1" thickBot="1">
      <c r="A48" s="130" t="s">
        <v>72</v>
      </c>
      <c r="B48" s="131">
        <v>38.299999999999997</v>
      </c>
      <c r="C48" s="78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5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219"/>
      <c r="R48" s="219"/>
      <c r="S48" s="219"/>
    </row>
    <row r="49" spans="1:19" ht="17.25" customHeight="1" thickBot="1">
      <c r="A49" s="128" t="s">
        <v>254</v>
      </c>
      <c r="B49" s="132">
        <v>99</v>
      </c>
      <c r="C49" s="80">
        <v>2.3784901800000001E-2</v>
      </c>
      <c r="D49" s="106">
        <v>94.5</v>
      </c>
      <c r="E49" s="107">
        <f>IF(ISNUMBER(D49), (D49 - $B49) / $B49, "")</f>
        <v>-4.5454545454545456E-2</v>
      </c>
      <c r="F49" s="108">
        <f>IF(ISNUMBER(D49), $B64 * E49, "")</f>
        <v>-13636.363636363636</v>
      </c>
      <c r="G49" s="109">
        <v>95.3</v>
      </c>
      <c r="H49" s="107">
        <f>IF(ISNUMBER(G49), (G49 - $B49) / $B49, "")</f>
        <v>-3.7373737373737399E-2</v>
      </c>
      <c r="I49" s="110">
        <f>IF(ISNUMBER(G49), $B64 * H49, "")</f>
        <v>-11212.121212121219</v>
      </c>
      <c r="J49" s="106">
        <v>97.8</v>
      </c>
      <c r="K49" s="107">
        <f>IF(ISNUMBER(J49), (J49 - $B49) / $B49, "")</f>
        <v>-1.2121212121212151E-2</v>
      </c>
      <c r="L49" s="108">
        <f>IF(ISNUMBER(J49), $B64 * K49, "")</f>
        <v>-3636.3636363636451</v>
      </c>
      <c r="M49" s="109">
        <v>92.9</v>
      </c>
      <c r="N49" s="107">
        <f>IF(ISNUMBER(M49), (M49 - $B49) / $B49, "")</f>
        <v>-6.1616161616161562E-2</v>
      </c>
      <c r="O49" s="108">
        <f>IF(ISNUMBER(M49), $B64 * N49, "")</f>
        <v>-18484.84848484847</v>
      </c>
      <c r="Q49" s="219"/>
      <c r="R49" s="219"/>
      <c r="S49" s="219"/>
    </row>
    <row r="50" spans="1:19" ht="17.25" customHeight="1" thickBot="1">
      <c r="A50" s="128" t="s">
        <v>214</v>
      </c>
      <c r="B50" s="129">
        <v>25.3</v>
      </c>
      <c r="C50" s="77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101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219"/>
      <c r="R50" s="219"/>
      <c r="S50" s="219"/>
    </row>
    <row r="51" spans="1:19" ht="17.25" customHeight="1" thickBot="1">
      <c r="A51" s="128" t="s">
        <v>236</v>
      </c>
      <c r="B51" s="129">
        <v>78.400000000000006</v>
      </c>
      <c r="C51" s="77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101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219"/>
      <c r="R51" s="219"/>
      <c r="S51" s="219"/>
    </row>
    <row r="52" spans="1:19" ht="17.25" customHeight="1" thickBot="1">
      <c r="A52" s="128" t="s">
        <v>196</v>
      </c>
      <c r="B52" s="129">
        <v>22.6</v>
      </c>
      <c r="C52" s="77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101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33" t="s">
        <v>100</v>
      </c>
      <c r="B53" s="134">
        <v>8.4700000000000006</v>
      </c>
      <c r="C53" s="79">
        <v>3.5545023999999999E-3</v>
      </c>
      <c r="D53" s="24">
        <v>8.2200000000000006</v>
      </c>
      <c r="E53" s="25">
        <f t="shared" si="18"/>
        <v>-2.9515938606847696E-2</v>
      </c>
      <c r="F53" s="104">
        <f>IF(ISNUMBER(D53), $B64 * E53, "")</f>
        <v>-8854.7815820543092</v>
      </c>
      <c r="G53" s="102">
        <v>8.26</v>
      </c>
      <c r="H53" s="25">
        <f t="shared" si="19"/>
        <v>-2.4793388429752164E-2</v>
      </c>
      <c r="I53" s="103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4">
        <f>IF(ISNUMBER(J53), $B64 * K53, "")</f>
        <v>-8500.5903187721451</v>
      </c>
      <c r="M53" s="102">
        <v>8.08</v>
      </c>
      <c r="N53" s="25">
        <f t="shared" si="21"/>
        <v>-4.6044864226682469E-2</v>
      </c>
      <c r="O53" s="104">
        <f>IF(ISNUMBER(M53), $B64 * N53, "")</f>
        <v>-13813.459268004741</v>
      </c>
      <c r="Q53" s="228"/>
      <c r="R53" s="229"/>
      <c r="S53" s="230"/>
    </row>
    <row r="54" spans="1:19" ht="17.25" customHeight="1">
      <c r="A54" s="126" t="s">
        <v>172</v>
      </c>
      <c r="B54" s="127">
        <v>28.7</v>
      </c>
      <c r="C54" s="76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100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231"/>
      <c r="R54" s="232"/>
      <c r="S54" s="233"/>
    </row>
    <row r="55" spans="1:19" ht="17.25" customHeight="1" thickBot="1">
      <c r="A55" s="128" t="s">
        <v>228</v>
      </c>
      <c r="B55" s="129">
        <v>21.1</v>
      </c>
      <c r="C55" s="77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101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234"/>
      <c r="R55" s="235"/>
      <c r="S55" s="236"/>
    </row>
    <row r="56" spans="1:19" ht="17.25" customHeight="1" thickBot="1">
      <c r="A56" s="128" t="s">
        <v>222</v>
      </c>
      <c r="B56" s="129">
        <v>20.7</v>
      </c>
      <c r="C56" s="77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101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219"/>
      <c r="R56" s="219"/>
      <c r="S56" s="219"/>
    </row>
    <row r="57" spans="1:19" ht="17.25" customHeight="1" thickBot="1">
      <c r="A57" s="128" t="s">
        <v>198</v>
      </c>
      <c r="B57" s="129">
        <v>32.4</v>
      </c>
      <c r="C57" s="77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101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214"/>
      <c r="R57" s="214"/>
      <c r="S57" s="214"/>
    </row>
    <row r="58" spans="1:19" ht="17.25" customHeight="1" thickBot="1">
      <c r="A58" s="130" t="s">
        <v>152</v>
      </c>
      <c r="B58" s="131">
        <v>49.8</v>
      </c>
      <c r="C58" s="78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5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214"/>
      <c r="R58" s="214"/>
      <c r="S58" s="214"/>
    </row>
    <row r="59" spans="1:19" ht="17.25" customHeight="1" thickBot="1">
      <c r="A59" s="128" t="s">
        <v>218</v>
      </c>
      <c r="B59" s="132">
        <v>32.799999999999997</v>
      </c>
      <c r="C59" s="80">
        <v>-3.0395137E-3</v>
      </c>
      <c r="D59" s="106">
        <v>31.3</v>
      </c>
      <c r="E59" s="107">
        <f>IF(ISNUMBER(D59), (D59 - $B59) / $B59, "")</f>
        <v>-4.5731707317073066E-2</v>
      </c>
      <c r="F59" s="108">
        <f>IF(ISNUMBER(D59), $B64 * E59, "")</f>
        <v>-13719.512195121919</v>
      </c>
      <c r="G59" s="109">
        <v>31.8</v>
      </c>
      <c r="H59" s="107">
        <f>IF(ISNUMBER(G59), (G59 - $B59) / $B59, "")</f>
        <v>-3.0487804878048676E-2</v>
      </c>
      <c r="I59" s="110">
        <f>IF(ISNUMBER(G59), $B64 * H59, "")</f>
        <v>-9146.3414634146029</v>
      </c>
      <c r="J59" s="106">
        <v>31.4</v>
      </c>
      <c r="K59" s="107">
        <f>IF(ISNUMBER(J59), (J59 - $B59) / $B59, "")</f>
        <v>-4.2682926829268254E-2</v>
      </c>
      <c r="L59" s="108">
        <f>IF(ISNUMBER(J59), $B64 * K59, "")</f>
        <v>-12804.878048780476</v>
      </c>
      <c r="M59" s="109">
        <v>30.3</v>
      </c>
      <c r="N59" s="107">
        <f>IF(ISNUMBER(M59), (M59 - $B59) / $B59, "")</f>
        <v>-7.6219512195121852E-2</v>
      </c>
      <c r="O59" s="108">
        <f>IF(ISNUMBER(M59), $B64 * N59, "")</f>
        <v>-22865.853658536555</v>
      </c>
      <c r="Q59" s="219"/>
      <c r="R59" s="219"/>
      <c r="S59" s="219"/>
    </row>
    <row r="60" spans="1:19" ht="17.25" customHeight="1" thickBot="1">
      <c r="A60" s="128" t="s">
        <v>126</v>
      </c>
      <c r="B60" s="129">
        <v>68.7</v>
      </c>
      <c r="C60" s="77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101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219"/>
      <c r="R60" s="219"/>
      <c r="S60" s="219"/>
    </row>
    <row r="61" spans="1:19" ht="17.25" customHeight="1" thickBot="1">
      <c r="A61" s="128"/>
      <c r="B61" s="129"/>
      <c r="C61" s="77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101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19"/>
      <c r="R61" s="219"/>
      <c r="S61" s="219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5" t="s">
        <v>301</v>
      </c>
      <c r="B64" s="252">
        <f>$B$37</f>
        <v>300000</v>
      </c>
      <c r="C64" s="253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16" t="s">
        <v>298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72158000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9.1322285000000007E-3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2021-05-04(화) 오전 00:00</v>
      </c>
      <c r="C69" s="257"/>
      <c r="D69" s="216" t="str">
        <f>TEXT($G$1, "[$-ko-KR]yyyy-mm-dd(ddd) ") &amp; "오후 14:00"</f>
        <v>2021-05-04(화) 오후 14:00</v>
      </c>
      <c r="E69" s="217"/>
      <c r="F69" s="218"/>
      <c r="G69" s="216" t="str">
        <f>TEXT($G$1, "[$-ko-KR]yyyy-mm-dd(ddd) ") &amp; "오후 19:00"</f>
        <v>2021-05-04(화) 오후 19:00</v>
      </c>
      <c r="H69" s="217"/>
      <c r="I69" s="218"/>
      <c r="J69" s="216" t="str">
        <f>TEXT($G$1, "[$-ko-KR]yyyy-mm-dd(ddd) ") &amp; "오후 21:00"</f>
        <v>2021-05-04(화) 오후 21:00</v>
      </c>
      <c r="K69" s="217"/>
      <c r="L69" s="218"/>
      <c r="M69" s="216" t="str">
        <f>TEXT($G$1+1, "[$-ko-KR]yyyy-mm-dd(ddd) ") &amp; "오전 00:00"</f>
        <v>2021-05-05(수) 오전 00:00</v>
      </c>
      <c r="N69" s="217"/>
      <c r="O69" s="218"/>
      <c r="Q69" s="214"/>
      <c r="R69" s="214"/>
      <c r="S69" s="214"/>
    </row>
    <row r="70" spans="1:19" ht="17.25" thickBot="1">
      <c r="A70" s="255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17" t="s">
        <v>58</v>
      </c>
      <c r="H70" s="118" t="s">
        <v>299</v>
      </c>
      <c r="I70" s="119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219"/>
      <c r="R70" s="219"/>
      <c r="S70" s="219"/>
    </row>
    <row r="71" spans="1:19" ht="17.25" thickBot="1">
      <c r="A71" s="126" t="s">
        <v>268</v>
      </c>
      <c r="B71" s="127">
        <v>113</v>
      </c>
      <c r="C71" s="76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100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214"/>
      <c r="R71" s="214"/>
      <c r="S71" s="214"/>
    </row>
    <row r="72" spans="1:19" ht="17.25" thickBot="1">
      <c r="A72" s="128" t="s">
        <v>136</v>
      </c>
      <c r="B72" s="129">
        <v>269</v>
      </c>
      <c r="C72" s="77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101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214"/>
      <c r="R72" s="214"/>
      <c r="S72" s="214"/>
    </row>
    <row r="73" spans="1:19" ht="17.25" thickBot="1">
      <c r="A73" s="128" t="s">
        <v>142</v>
      </c>
      <c r="B73" s="129">
        <v>466</v>
      </c>
      <c r="C73" s="77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101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219"/>
      <c r="R73" s="219"/>
      <c r="S73" s="219"/>
    </row>
    <row r="74" spans="1:19" ht="17.25" thickBot="1">
      <c r="A74" s="128" t="s">
        <v>116</v>
      </c>
      <c r="B74" s="129">
        <v>755</v>
      </c>
      <c r="C74" s="77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101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219"/>
      <c r="R74" s="219"/>
      <c r="S74" s="219"/>
    </row>
    <row r="75" spans="1:19" ht="17.25" thickBot="1">
      <c r="A75" s="130" t="s">
        <v>296</v>
      </c>
      <c r="B75" s="131">
        <v>479</v>
      </c>
      <c r="C75" s="78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5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219"/>
      <c r="R75" s="219"/>
      <c r="S75" s="219"/>
    </row>
    <row r="76" spans="1:19" ht="17.25" thickBot="1">
      <c r="A76" s="128" t="s">
        <v>128</v>
      </c>
      <c r="B76" s="132">
        <v>724</v>
      </c>
      <c r="C76" s="80">
        <v>5.5393586000000002E-2</v>
      </c>
      <c r="D76" s="106">
        <v>717</v>
      </c>
      <c r="E76" s="107">
        <f>IF(ISNUMBER(D76), (D76 - $B76) / $B76, "")</f>
        <v>-9.6685082872928173E-3</v>
      </c>
      <c r="F76" s="108">
        <f>IF(ISNUMBER(D76), $B91 * E76, "")</f>
        <v>-2900.5524861878453</v>
      </c>
      <c r="G76" s="109">
        <v>703</v>
      </c>
      <c r="H76" s="107">
        <f>IF(ISNUMBER(G76), (G76 - $B76) / $B76, "")</f>
        <v>-2.9005524861878452E-2</v>
      </c>
      <c r="I76" s="110">
        <f>IF(ISNUMBER(G76), $B91 * H76, "")</f>
        <v>-8701.6574585635353</v>
      </c>
      <c r="J76" s="106">
        <v>704</v>
      </c>
      <c r="K76" s="107">
        <f>IF(ISNUMBER(J76), (J76 - $B76) / $B76, "")</f>
        <v>-2.7624309392265192E-2</v>
      </c>
      <c r="L76" s="108">
        <f>IF(ISNUMBER(J76), $B91 * K76, "")</f>
        <v>-8287.2928176795576</v>
      </c>
      <c r="M76" s="109">
        <v>677</v>
      </c>
      <c r="N76" s="107">
        <f>IF(ISNUMBER(M76), (M76 - $B76) / $B76, "")</f>
        <v>-6.4917127071823205E-2</v>
      </c>
      <c r="O76" s="108">
        <f>IF(ISNUMBER(M76), $B91 * N76, "")</f>
        <v>-19475.138121546963</v>
      </c>
      <c r="Q76" s="219"/>
      <c r="R76" s="219"/>
      <c r="S76" s="219"/>
    </row>
    <row r="77" spans="1:19" ht="17.25" thickBot="1">
      <c r="A77" s="128" t="s">
        <v>278</v>
      </c>
      <c r="B77" s="129">
        <v>163</v>
      </c>
      <c r="C77" s="77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101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219"/>
      <c r="R77" s="219"/>
      <c r="S77" s="219"/>
    </row>
    <row r="78" spans="1:19" ht="17.25" thickBot="1">
      <c r="A78" s="128" t="s">
        <v>266</v>
      </c>
      <c r="B78" s="129">
        <v>100</v>
      </c>
      <c r="C78" s="77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101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219"/>
      <c r="R78" s="219"/>
      <c r="S78" s="219"/>
    </row>
    <row r="79" spans="1:19" ht="17.25" thickBot="1">
      <c r="A79" s="128" t="s">
        <v>256</v>
      </c>
      <c r="B79" s="129">
        <v>282</v>
      </c>
      <c r="C79" s="77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101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33" t="s">
        <v>122</v>
      </c>
      <c r="B80" s="134">
        <v>134</v>
      </c>
      <c r="C80" s="79">
        <v>3.8759689899999998E-2</v>
      </c>
      <c r="D80" s="24">
        <v>131</v>
      </c>
      <c r="E80" s="25">
        <f t="shared" si="34"/>
        <v>-2.2388059701492536E-2</v>
      </c>
      <c r="F80" s="104">
        <f>IF(ISNUMBER(D80), $B91 * E80, "")</f>
        <v>-6716.4179104477607</v>
      </c>
      <c r="G80" s="102">
        <v>131</v>
      </c>
      <c r="H80" s="25">
        <f t="shared" si="35"/>
        <v>-2.2388059701492536E-2</v>
      </c>
      <c r="I80" s="103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4">
        <f>IF(ISNUMBER(J80), $B91 * K80, "")</f>
        <v>-6716.4179104477607</v>
      </c>
      <c r="M80" s="102">
        <v>124</v>
      </c>
      <c r="N80" s="25">
        <f t="shared" si="37"/>
        <v>-7.4626865671641784E-2</v>
      </c>
      <c r="O80" s="104">
        <f>IF(ISNUMBER(M80), $B91 * N80, "")</f>
        <v>-22388.059701492537</v>
      </c>
      <c r="Q80" s="228"/>
      <c r="R80" s="229"/>
      <c r="S80" s="230"/>
    </row>
    <row r="81" spans="1:19">
      <c r="A81" s="126" t="s">
        <v>168</v>
      </c>
      <c r="B81" s="127">
        <v>216</v>
      </c>
      <c r="C81" s="76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100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231"/>
      <c r="R81" s="232"/>
      <c r="S81" s="233"/>
    </row>
    <row r="82" spans="1:19" ht="17.25" thickBot="1">
      <c r="A82" s="128" t="s">
        <v>148</v>
      </c>
      <c r="B82" s="129">
        <v>215</v>
      </c>
      <c r="C82" s="77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101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234"/>
      <c r="R82" s="235"/>
      <c r="S82" s="236"/>
    </row>
    <row r="83" spans="1:19" ht="17.25" thickBot="1">
      <c r="A83" s="128" t="s">
        <v>156</v>
      </c>
      <c r="B83" s="129">
        <v>160</v>
      </c>
      <c r="C83" s="77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101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219"/>
      <c r="R83" s="219"/>
      <c r="S83" s="219"/>
    </row>
    <row r="84" spans="1:19" ht="17.25" thickBot="1">
      <c r="A84" s="128" t="s">
        <v>258</v>
      </c>
      <c r="B84" s="129">
        <v>780</v>
      </c>
      <c r="C84" s="77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101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214"/>
      <c r="R84" s="214"/>
      <c r="S84" s="214"/>
    </row>
    <row r="85" spans="1:19" ht="17.25" thickBot="1">
      <c r="A85" s="130" t="s">
        <v>238</v>
      </c>
      <c r="B85" s="131">
        <v>333</v>
      </c>
      <c r="C85" s="78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5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214"/>
      <c r="R85" s="214"/>
      <c r="S85" s="214"/>
    </row>
    <row r="86" spans="1:19" ht="17.25" thickBot="1">
      <c r="A86" s="128" t="s">
        <v>270</v>
      </c>
      <c r="B86" s="132">
        <v>599</v>
      </c>
      <c r="C86" s="80">
        <v>2.2184300300000001E-2</v>
      </c>
      <c r="D86" s="106">
        <v>580</v>
      </c>
      <c r="E86" s="107">
        <f>IF(ISNUMBER(D86), (D86 - $B86) / $B86, "")</f>
        <v>-3.1719532554257093E-2</v>
      </c>
      <c r="F86" s="108">
        <f>IF(ISNUMBER(D86), $B91 * E86, "")</f>
        <v>-9515.8597662771281</v>
      </c>
      <c r="G86" s="109">
        <v>582</v>
      </c>
      <c r="H86" s="107">
        <f>IF(ISNUMBER(G86), (G86 - $B86) / $B86, "")</f>
        <v>-2.8380634390651086E-2</v>
      </c>
      <c r="I86" s="110">
        <f>IF(ISNUMBER(G86), $B91 * H86, "")</f>
        <v>-8514.1903171953254</v>
      </c>
      <c r="J86" s="106">
        <v>582</v>
      </c>
      <c r="K86" s="107">
        <f>IF(ISNUMBER(J86), (J86 - $B86) / $B86, "")</f>
        <v>-2.8380634390651086E-2</v>
      </c>
      <c r="L86" s="108">
        <f>IF(ISNUMBER(J86), $B91 * K86, "")</f>
        <v>-8514.1903171953254</v>
      </c>
      <c r="M86" s="109">
        <v>560</v>
      </c>
      <c r="N86" s="107">
        <f>IF(ISNUMBER(M86), (M86 - $B86) / $B86, "")</f>
        <v>-6.5108514190317199E-2</v>
      </c>
      <c r="O86" s="108">
        <f>IF(ISNUMBER(M86), $B91 * N86, "")</f>
        <v>-19532.554257095158</v>
      </c>
      <c r="Q86" s="219"/>
      <c r="R86" s="219"/>
      <c r="S86" s="219"/>
    </row>
    <row r="87" spans="1:19" ht="17.25" thickBot="1">
      <c r="A87" s="128" t="s">
        <v>264</v>
      </c>
      <c r="B87" s="129">
        <v>193</v>
      </c>
      <c r="C87" s="77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101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219"/>
      <c r="R87" s="219"/>
      <c r="S87" s="219"/>
    </row>
    <row r="88" spans="1:19" ht="17.25" thickBot="1">
      <c r="A88" s="128" t="s">
        <v>182</v>
      </c>
      <c r="B88" s="129">
        <v>504</v>
      </c>
      <c r="C88" s="77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101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219"/>
      <c r="R88" s="219"/>
      <c r="S88" s="219"/>
    </row>
    <row r="89" spans="1:19">
      <c r="A89" s="128" t="s">
        <v>57</v>
      </c>
      <c r="B89" s="129">
        <v>418</v>
      </c>
      <c r="C89" s="77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101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241"/>
      <c r="R89" s="242"/>
      <c r="S89" s="243"/>
    </row>
    <row r="90" spans="1:19" ht="17.25" thickBot="1">
      <c r="A90" s="133" t="s">
        <v>120</v>
      </c>
      <c r="B90" s="134">
        <v>230</v>
      </c>
      <c r="C90" s="79">
        <v>1.3215859E-2</v>
      </c>
      <c r="D90" s="24">
        <v>222</v>
      </c>
      <c r="E90" s="25">
        <f t="shared" si="42"/>
        <v>-3.4782608695652174E-2</v>
      </c>
      <c r="F90" s="104">
        <f>IF(ISNUMBER(D90), $B91 * E90, "")</f>
        <v>-10434.782608695652</v>
      </c>
      <c r="G90" s="102">
        <v>224</v>
      </c>
      <c r="H90" s="25">
        <f t="shared" si="43"/>
        <v>-2.6086956521739129E-2</v>
      </c>
      <c r="I90" s="103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4">
        <f>IF(ISNUMBER(J90), $B91 * K90, "")</f>
        <v>-9130.434782608696</v>
      </c>
      <c r="M90" s="102">
        <v>216</v>
      </c>
      <c r="N90" s="25">
        <f t="shared" si="45"/>
        <v>-6.0869565217391307E-2</v>
      </c>
      <c r="O90" s="104">
        <f>IF(ISNUMBER(M90), $B91 * N90, "")</f>
        <v>-18260.869565217392</v>
      </c>
      <c r="Q90" s="244"/>
      <c r="R90" s="245"/>
      <c r="S90" s="246"/>
    </row>
    <row r="91" spans="1:19" ht="17.25" thickBot="1">
      <c r="A91" s="135" t="s">
        <v>301</v>
      </c>
      <c r="B91" s="252">
        <f>$B$37</f>
        <v>300000</v>
      </c>
      <c r="C91" s="253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16" t="s">
        <v>298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72158000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9.1322285000000007E-3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2021-05-04(화) 오전 00:00</v>
      </c>
      <c r="C96" s="257"/>
      <c r="D96" s="216" t="str">
        <f>TEXT($G$1, "[$-ko-KR]yyyy-mm-dd(ddd) ") &amp; "오후 14:00"</f>
        <v>2021-05-04(화) 오후 14:00</v>
      </c>
      <c r="E96" s="217"/>
      <c r="F96" s="218"/>
      <c r="G96" s="216" t="str">
        <f>TEXT($G$1, "[$-ko-KR]yyyy-mm-dd(ddd) ") &amp; "오후 19:00"</f>
        <v>2021-05-04(화) 오후 19:00</v>
      </c>
      <c r="H96" s="217"/>
      <c r="I96" s="218"/>
      <c r="J96" s="216" t="str">
        <f>TEXT($G$1, "[$-ko-KR]yyyy-mm-dd(ddd) ") &amp; "오후 21:00"</f>
        <v>2021-05-04(화) 오후 21:00</v>
      </c>
      <c r="K96" s="217"/>
      <c r="L96" s="218"/>
      <c r="M96" s="216" t="str">
        <f>TEXT($G$1+1, "[$-ko-KR]yyyy-mm-dd(ddd) ") &amp; "오전 00:00"</f>
        <v>2021-05-05(수) 오전 00:00</v>
      </c>
      <c r="N96" s="217"/>
      <c r="O96" s="218"/>
      <c r="Q96" s="214"/>
      <c r="R96" s="214"/>
      <c r="S96" s="214"/>
    </row>
    <row r="97" spans="1:19" ht="17.25" thickBot="1">
      <c r="A97" s="255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17" t="s">
        <v>58</v>
      </c>
      <c r="H97" s="118" t="s">
        <v>299</v>
      </c>
      <c r="I97" s="119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219"/>
      <c r="R97" s="219"/>
      <c r="S97" s="219"/>
    </row>
    <row r="98" spans="1:19" ht="17.25" thickBot="1">
      <c r="A98" s="126" t="s">
        <v>164</v>
      </c>
      <c r="B98" s="127">
        <v>40760</v>
      </c>
      <c r="C98" s="76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100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214"/>
      <c r="R98" s="214"/>
      <c r="S98" s="214"/>
    </row>
    <row r="99" spans="1:19" ht="17.25" thickBot="1">
      <c r="A99" s="128" t="s">
        <v>118</v>
      </c>
      <c r="B99" s="129">
        <v>7895</v>
      </c>
      <c r="C99" s="77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101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214"/>
      <c r="R99" s="214"/>
      <c r="S99" s="214"/>
    </row>
    <row r="100" spans="1:19" ht="17.25" thickBot="1">
      <c r="A100" s="128" t="s">
        <v>144</v>
      </c>
      <c r="B100" s="129">
        <v>10810</v>
      </c>
      <c r="C100" s="77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101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219"/>
      <c r="R100" s="219"/>
      <c r="S100" s="219"/>
    </row>
    <row r="101" spans="1:19" ht="17.25" thickBot="1">
      <c r="A101" s="128" t="s">
        <v>69</v>
      </c>
      <c r="B101" s="129">
        <v>14580</v>
      </c>
      <c r="C101" s="77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101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219"/>
      <c r="R101" s="219"/>
      <c r="S101" s="219"/>
    </row>
    <row r="102" spans="1:19" ht="17.25" thickBot="1">
      <c r="A102" s="130" t="s">
        <v>268</v>
      </c>
      <c r="B102" s="131">
        <v>113</v>
      </c>
      <c r="C102" s="78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5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219"/>
      <c r="R102" s="219"/>
      <c r="S102" s="219"/>
    </row>
    <row r="103" spans="1:19" ht="17.25" thickBot="1">
      <c r="A103" s="128" t="s">
        <v>180</v>
      </c>
      <c r="B103" s="132">
        <v>5385</v>
      </c>
      <c r="C103" s="80">
        <v>0.10574948670000001</v>
      </c>
      <c r="D103" s="106">
        <v>5260</v>
      </c>
      <c r="E103" s="107">
        <f>IF(ISNUMBER(D103), (D103 - $B103) / $B103, "")</f>
        <v>-2.3212627669452181E-2</v>
      </c>
      <c r="F103" s="108">
        <f>IF(ISNUMBER(D103), $B118 * E103, "")</f>
        <v>-6963.7883008356539</v>
      </c>
      <c r="G103" s="109">
        <v>5190</v>
      </c>
      <c r="H103" s="107">
        <f>IF(ISNUMBER(G103), (G103 - $B103) / $B103, "")</f>
        <v>-3.6211699164345405E-2</v>
      </c>
      <c r="I103" s="110">
        <f>IF(ISNUMBER(G103), $B118 * H103, "")</f>
        <v>-10863.509749303621</v>
      </c>
      <c r="J103" s="106">
        <v>5120</v>
      </c>
      <c r="K103" s="107">
        <f>IF(ISNUMBER(J103), (J103 - $B103) / $B103, "")</f>
        <v>-4.9210770659238623E-2</v>
      </c>
      <c r="L103" s="108">
        <f>IF(ISNUMBER(J103), $B118 * K103, "")</f>
        <v>-14763.231197771587</v>
      </c>
      <c r="M103" s="109">
        <v>4855</v>
      </c>
      <c r="N103" s="107">
        <f>IF(ISNUMBER(M103), (M103 - $B103) / $B103, "")</f>
        <v>-9.8421541318477246E-2</v>
      </c>
      <c r="O103" s="108">
        <f>IF(ISNUMBER(M103), $B118 * N103, "")</f>
        <v>-29526.462395543174</v>
      </c>
      <c r="Q103" s="219"/>
      <c r="R103" s="219"/>
      <c r="S103" s="219"/>
    </row>
    <row r="104" spans="1:19" ht="17.25" thickBot="1">
      <c r="A104" s="128" t="s">
        <v>136</v>
      </c>
      <c r="B104" s="129">
        <v>269</v>
      </c>
      <c r="C104" s="77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101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219"/>
      <c r="R104" s="219"/>
      <c r="S104" s="219"/>
    </row>
    <row r="105" spans="1:19" ht="17.25" thickBot="1">
      <c r="A105" s="128" t="s">
        <v>102</v>
      </c>
      <c r="B105" s="129">
        <v>58980</v>
      </c>
      <c r="C105" s="77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101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219"/>
      <c r="R105" s="219"/>
      <c r="S105" s="219"/>
    </row>
    <row r="106" spans="1:19" ht="17.25" thickBot="1">
      <c r="A106" s="128" t="s">
        <v>242</v>
      </c>
      <c r="B106" s="129">
        <v>7345</v>
      </c>
      <c r="C106" s="77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101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33" t="s">
        <v>142</v>
      </c>
      <c r="B107" s="134">
        <v>466</v>
      </c>
      <c r="C107" s="79">
        <v>7.8703703700000002E-2</v>
      </c>
      <c r="D107" s="24">
        <v>443</v>
      </c>
      <c r="E107" s="25">
        <f t="shared" si="50"/>
        <v>-4.9356223175965663E-2</v>
      </c>
      <c r="F107" s="104">
        <f>IF(ISNUMBER(D107), $B118 * E107, "")</f>
        <v>-14806.866952789698</v>
      </c>
      <c r="G107" s="102">
        <v>447</v>
      </c>
      <c r="H107" s="25">
        <f t="shared" si="51"/>
        <v>-4.07725321888412E-2</v>
      </c>
      <c r="I107" s="103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4">
        <f>IF(ISNUMBER(J107), $B118 * K107, "")</f>
        <v>-14806.866952789698</v>
      </c>
      <c r="M107" s="102">
        <v>422</v>
      </c>
      <c r="N107" s="25">
        <f t="shared" si="53"/>
        <v>-9.4420600858369105E-2</v>
      </c>
      <c r="O107" s="104">
        <f>IF(ISNUMBER(M107), $B118 * N107, "")</f>
        <v>-28326.180257510732</v>
      </c>
      <c r="Q107" s="228"/>
      <c r="R107" s="229"/>
      <c r="S107" s="230"/>
    </row>
    <row r="108" spans="1:19">
      <c r="A108" s="126" t="s">
        <v>194</v>
      </c>
      <c r="B108" s="127">
        <v>16200</v>
      </c>
      <c r="C108" s="76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100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231"/>
      <c r="R108" s="232"/>
      <c r="S108" s="233"/>
    </row>
    <row r="109" spans="1:19" ht="17.25" thickBot="1">
      <c r="A109" s="128" t="s">
        <v>116</v>
      </c>
      <c r="B109" s="129">
        <v>755</v>
      </c>
      <c r="C109" s="77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101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234"/>
      <c r="R109" s="235"/>
      <c r="S109" s="236"/>
    </row>
    <row r="110" spans="1:19" ht="17.25" thickBot="1">
      <c r="A110" s="128" t="s">
        <v>96</v>
      </c>
      <c r="B110" s="129">
        <v>3820000</v>
      </c>
      <c r="C110" s="77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101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219"/>
      <c r="R110" s="219"/>
      <c r="S110" s="219"/>
    </row>
    <row r="111" spans="1:19" ht="17.25" thickBot="1">
      <c r="A111" s="128" t="s">
        <v>276</v>
      </c>
      <c r="B111" s="129">
        <v>4540</v>
      </c>
      <c r="C111" s="77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101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214"/>
      <c r="R111" s="214"/>
      <c r="S111" s="214"/>
    </row>
    <row r="112" spans="1:19" ht="17.25" thickBot="1">
      <c r="A112" s="130" t="s">
        <v>114</v>
      </c>
      <c r="B112" s="131">
        <v>14080</v>
      </c>
      <c r="C112" s="78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5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214"/>
      <c r="R112" s="214"/>
      <c r="S112" s="214"/>
    </row>
    <row r="113" spans="1:19" ht="17.25" thickBot="1">
      <c r="A113" s="128" t="s">
        <v>220</v>
      </c>
      <c r="B113" s="132">
        <v>23.9</v>
      </c>
      <c r="C113" s="80">
        <v>5.75221239E-2</v>
      </c>
      <c r="D113" s="106">
        <v>23.8</v>
      </c>
      <c r="E113" s="107">
        <f>IF(ISNUMBER(D113), (D113 - $B113) / $B113, "")</f>
        <v>-4.184100418409953E-3</v>
      </c>
      <c r="F113" s="108">
        <f>IF(ISNUMBER(D113), $B118 * E113, "")</f>
        <v>-1255.2301255229859</v>
      </c>
      <c r="G113" s="109">
        <v>24.3</v>
      </c>
      <c r="H113" s="107">
        <f>IF(ISNUMBER(G113), (G113 - $B113) / $B113, "")</f>
        <v>1.6736401673640256E-2</v>
      </c>
      <c r="I113" s="110">
        <f>IF(ISNUMBER(G113), $B118 * H113, "")</f>
        <v>5020.9205020920772</v>
      </c>
      <c r="J113" s="106">
        <v>24.5</v>
      </c>
      <c r="K113" s="107">
        <f>IF(ISNUMBER(J113), (J113 - $B113) / $B113, "")</f>
        <v>2.5104602510460313E-2</v>
      </c>
      <c r="L113" s="108">
        <f>IF(ISNUMBER(J113), $B118 * K113, "")</f>
        <v>7531.3807531380935</v>
      </c>
      <c r="M113" s="109">
        <v>23.5</v>
      </c>
      <c r="N113" s="107">
        <f>IF(ISNUMBER(M113), (M113 - $B113) / $B113, "")</f>
        <v>-1.673640167364011E-2</v>
      </c>
      <c r="O113" s="108">
        <f>IF(ISNUMBER(M113), $B118 * N113, "")</f>
        <v>-5020.9205020920335</v>
      </c>
      <c r="Q113" s="219"/>
      <c r="R113" s="219"/>
      <c r="S113" s="219"/>
    </row>
    <row r="114" spans="1:19" ht="17.25" thickBot="1">
      <c r="A114" s="128" t="s">
        <v>296</v>
      </c>
      <c r="B114" s="129">
        <v>479</v>
      </c>
      <c r="C114" s="77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101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219"/>
      <c r="R114" s="219"/>
      <c r="S114" s="219"/>
    </row>
    <row r="115" spans="1:19" ht="17.25" thickBot="1">
      <c r="A115" s="128" t="s">
        <v>178</v>
      </c>
      <c r="B115" s="129">
        <v>52480</v>
      </c>
      <c r="C115" s="77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101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219"/>
      <c r="R115" s="219"/>
      <c r="S115" s="219"/>
    </row>
    <row r="116" spans="1:19">
      <c r="A116" s="128" t="s">
        <v>128</v>
      </c>
      <c r="B116" s="129">
        <v>724</v>
      </c>
      <c r="C116" s="77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101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241"/>
      <c r="R116" s="242"/>
      <c r="S116" s="243"/>
    </row>
    <row r="117" spans="1:19" ht="17.25" thickBot="1">
      <c r="A117" s="133" t="s">
        <v>154</v>
      </c>
      <c r="B117" s="134">
        <v>24</v>
      </c>
      <c r="C117" s="79">
        <v>5.2631578900000003E-2</v>
      </c>
      <c r="D117" s="24">
        <v>24.2</v>
      </c>
      <c r="E117" s="25">
        <f t="shared" si="58"/>
        <v>8.3333333333333037E-3</v>
      </c>
      <c r="F117" s="104">
        <f>IF(ISNUMBER(D117), $B118 * E117, "")</f>
        <v>2499.9999999999909</v>
      </c>
      <c r="G117" s="102">
        <v>23.9</v>
      </c>
      <c r="H117" s="25">
        <f t="shared" si="59"/>
        <v>-4.1666666666667256E-3</v>
      </c>
      <c r="I117" s="103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4">
        <f>IF(ISNUMBER(J117), $B118 * K117, "")</f>
        <v>6250</v>
      </c>
      <c r="M117" s="102">
        <v>22.9</v>
      </c>
      <c r="N117" s="25">
        <f t="shared" si="61"/>
        <v>-4.5833333333333393E-2</v>
      </c>
      <c r="O117" s="104">
        <f>IF(ISNUMBER(M117), $B118 * N117, "")</f>
        <v>-13750.000000000018</v>
      </c>
      <c r="Q117" s="244"/>
      <c r="R117" s="245"/>
      <c r="S117" s="246"/>
    </row>
    <row r="118" spans="1:19" ht="17.25" thickBot="1">
      <c r="A118" s="135" t="s">
        <v>301</v>
      </c>
      <c r="B118" s="252">
        <f>$B$37</f>
        <v>300000</v>
      </c>
      <c r="C118" s="253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247"/>
      <c r="R118" s="248"/>
      <c r="S118" s="249"/>
    </row>
    <row r="120" spans="1:19" ht="17.25" thickBot="1"/>
    <row r="121" spans="1:19" ht="17.25" thickBot="1">
      <c r="A121" s="193" t="s">
        <v>288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16" t="s">
        <v>298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72158000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9.1322285000000007E-3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2021-05-04(화) 오전 00:00</v>
      </c>
      <c r="C123" s="257"/>
      <c r="D123" s="216" t="str">
        <f>TEXT($G$1, "[$-ko-KR]yyyy-mm-dd(ddd) ") &amp; "오후 14:00"</f>
        <v>2021-05-04(화) 오후 14:00</v>
      </c>
      <c r="E123" s="217"/>
      <c r="F123" s="218"/>
      <c r="G123" s="216" t="str">
        <f>TEXT($G$1, "[$-ko-KR]yyyy-mm-dd(ddd) ") &amp; "오후 19:00"</f>
        <v>2021-05-04(화) 오후 19:00</v>
      </c>
      <c r="H123" s="217"/>
      <c r="I123" s="218"/>
      <c r="J123" s="216" t="str">
        <f>TEXT($G$1, "[$-ko-KR]yyyy-mm-dd(ddd) ") &amp; "오후 21:00"</f>
        <v>2021-05-04(화) 오후 21:00</v>
      </c>
      <c r="K123" s="217"/>
      <c r="L123" s="218"/>
      <c r="M123" s="216" t="str">
        <f>TEXT($G$1+1, "[$-ko-KR]yyyy-mm-dd(ddd) ") &amp; "오전 00:00"</f>
        <v>2021-05-05(수)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17" t="s">
        <v>58</v>
      </c>
      <c r="H124" s="118" t="s">
        <v>299</v>
      </c>
      <c r="I124" s="119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219"/>
      <c r="R124" s="219"/>
      <c r="S124" s="219"/>
    </row>
    <row r="125" spans="1:19" ht="17.25" thickBot="1">
      <c r="A125" s="126" t="s">
        <v>220</v>
      </c>
      <c r="B125" s="127">
        <v>23.9</v>
      </c>
      <c r="C125" s="76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100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214"/>
      <c r="R125" s="214"/>
      <c r="S125" s="214"/>
    </row>
    <row r="126" spans="1:19" ht="17.25" thickBot="1">
      <c r="A126" s="128" t="s">
        <v>154</v>
      </c>
      <c r="B126" s="129">
        <v>24</v>
      </c>
      <c r="C126" s="77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101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214"/>
      <c r="R126" s="214"/>
      <c r="S126" s="214"/>
    </row>
    <row r="127" spans="1:19" ht="17.25" thickBot="1">
      <c r="A127" s="128" t="s">
        <v>65</v>
      </c>
      <c r="B127" s="129">
        <v>80</v>
      </c>
      <c r="C127" s="77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101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219"/>
      <c r="R127" s="219"/>
      <c r="S127" s="219"/>
    </row>
    <row r="128" spans="1:19" ht="17.25" thickBot="1">
      <c r="A128" s="128" t="s">
        <v>186</v>
      </c>
      <c r="B128" s="129">
        <v>29.3</v>
      </c>
      <c r="C128" s="77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101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219"/>
      <c r="R128" s="219"/>
      <c r="S128" s="219"/>
    </row>
    <row r="129" spans="1:19" ht="17.25" thickBot="1">
      <c r="A129" s="130" t="s">
        <v>72</v>
      </c>
      <c r="B129" s="131">
        <v>38.299999999999997</v>
      </c>
      <c r="C129" s="78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5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219"/>
      <c r="R129" s="219"/>
      <c r="S129" s="219"/>
    </row>
    <row r="130" spans="1:19" ht="17.25" thickBot="1">
      <c r="A130" s="128" t="s">
        <v>254</v>
      </c>
      <c r="B130" s="132">
        <v>99</v>
      </c>
      <c r="C130" s="80">
        <v>2.3784901800000001E-2</v>
      </c>
      <c r="D130" s="106">
        <v>94.5</v>
      </c>
      <c r="E130" s="107">
        <f>IF(ISNUMBER(D130), (D130 - $B130) / $B130, "")</f>
        <v>-4.5454545454545456E-2</v>
      </c>
      <c r="F130" s="108">
        <f>IF(ISNUMBER(D130), $B145 * E130, "")</f>
        <v>-13636.363636363636</v>
      </c>
      <c r="G130" s="109">
        <v>95.3</v>
      </c>
      <c r="H130" s="107">
        <f>IF(ISNUMBER(G130), (G130 - $B130) / $B130, "")</f>
        <v>-3.7373737373737399E-2</v>
      </c>
      <c r="I130" s="110">
        <f>IF(ISNUMBER(G130), $B145 * H130, "")</f>
        <v>-11212.121212121219</v>
      </c>
      <c r="J130" s="106">
        <v>97.8</v>
      </c>
      <c r="K130" s="107">
        <f>IF(ISNUMBER(J130), (J130 - $B130) / $B130, "")</f>
        <v>-1.2121212121212151E-2</v>
      </c>
      <c r="L130" s="108">
        <f>IF(ISNUMBER(J130), $B145 * K130, "")</f>
        <v>-3636.3636363636451</v>
      </c>
      <c r="M130" s="109">
        <v>92.9</v>
      </c>
      <c r="N130" s="107">
        <f>IF(ISNUMBER(M130), (M130 - $B130) / $B130, "")</f>
        <v>-6.1616161616161562E-2</v>
      </c>
      <c r="O130" s="108">
        <f>IF(ISNUMBER(M130), $B145 * N130, "")</f>
        <v>-18484.84848484847</v>
      </c>
      <c r="Q130" s="219"/>
      <c r="R130" s="219"/>
      <c r="S130" s="219"/>
    </row>
    <row r="131" spans="1:19" ht="17.25" thickBot="1">
      <c r="A131" s="128" t="s">
        <v>214</v>
      </c>
      <c r="B131" s="129">
        <v>25.3</v>
      </c>
      <c r="C131" s="77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101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219"/>
      <c r="R131" s="219"/>
      <c r="S131" s="219"/>
    </row>
    <row r="132" spans="1:19" ht="17.25" thickBot="1">
      <c r="A132" s="128" t="s">
        <v>236</v>
      </c>
      <c r="B132" s="129">
        <v>78.400000000000006</v>
      </c>
      <c r="C132" s="77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101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219"/>
      <c r="R132" s="219"/>
      <c r="S132" s="219"/>
    </row>
    <row r="133" spans="1:19" ht="17.25" thickBot="1">
      <c r="A133" s="128" t="s">
        <v>196</v>
      </c>
      <c r="B133" s="129">
        <v>22.6</v>
      </c>
      <c r="C133" s="77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101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33" t="s">
        <v>100</v>
      </c>
      <c r="B134" s="134">
        <v>8.4700000000000006</v>
      </c>
      <c r="C134" s="79">
        <v>3.5545023999999999E-3</v>
      </c>
      <c r="D134" s="24">
        <v>8.2200000000000006</v>
      </c>
      <c r="E134" s="25">
        <f t="shared" si="66"/>
        <v>-2.9515938606847696E-2</v>
      </c>
      <c r="F134" s="104">
        <f>IF(ISNUMBER(D134), $B145 * E134, "")</f>
        <v>-8854.7815820543092</v>
      </c>
      <c r="G134" s="102">
        <v>8.26</v>
      </c>
      <c r="H134" s="25">
        <f t="shared" si="67"/>
        <v>-2.4793388429752164E-2</v>
      </c>
      <c r="I134" s="103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4">
        <f>IF(ISNUMBER(J134), $B145 * K134, "")</f>
        <v>-8500.5903187721451</v>
      </c>
      <c r="M134" s="102">
        <v>8.08</v>
      </c>
      <c r="N134" s="25">
        <f t="shared" si="69"/>
        <v>-4.6044864226682469E-2</v>
      </c>
      <c r="O134" s="104">
        <f>IF(ISNUMBER(M134), $B145 * N134, "")</f>
        <v>-13813.459268004741</v>
      </c>
      <c r="Q134" s="228"/>
      <c r="R134" s="229"/>
      <c r="S134" s="230"/>
    </row>
    <row r="135" spans="1:19">
      <c r="A135" s="126" t="s">
        <v>172</v>
      </c>
      <c r="B135" s="127">
        <v>28.7</v>
      </c>
      <c r="C135" s="76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100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231"/>
      <c r="R135" s="232"/>
      <c r="S135" s="233"/>
    </row>
    <row r="136" spans="1:19" ht="17.25" thickBot="1">
      <c r="A136" s="128" t="s">
        <v>228</v>
      </c>
      <c r="B136" s="129">
        <v>21.1</v>
      </c>
      <c r="C136" s="77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101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234"/>
      <c r="R136" s="235"/>
      <c r="S136" s="236"/>
    </row>
    <row r="137" spans="1:19" ht="17.25" thickBot="1">
      <c r="A137" s="128" t="s">
        <v>222</v>
      </c>
      <c r="B137" s="129">
        <v>20.7</v>
      </c>
      <c r="C137" s="77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101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219"/>
      <c r="R137" s="219"/>
      <c r="S137" s="219"/>
    </row>
    <row r="138" spans="1:19" ht="17.25" thickBot="1">
      <c r="A138" s="128" t="s">
        <v>198</v>
      </c>
      <c r="B138" s="129">
        <v>32.4</v>
      </c>
      <c r="C138" s="77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101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214"/>
      <c r="R138" s="214"/>
      <c r="S138" s="214"/>
    </row>
    <row r="139" spans="1:19" ht="17.25" thickBot="1">
      <c r="A139" s="130" t="s">
        <v>152</v>
      </c>
      <c r="B139" s="131">
        <v>49.8</v>
      </c>
      <c r="C139" s="78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5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214"/>
      <c r="R139" s="214"/>
      <c r="S139" s="214"/>
    </row>
    <row r="140" spans="1:19" ht="17.25" thickBot="1">
      <c r="A140" s="128" t="s">
        <v>218</v>
      </c>
      <c r="B140" s="132">
        <v>32.799999999999997</v>
      </c>
      <c r="C140" s="80">
        <v>-3.0395137E-3</v>
      </c>
      <c r="D140" s="106">
        <v>31.3</v>
      </c>
      <c r="E140" s="107">
        <f>IF(ISNUMBER(D140), (D140 - $B140) / $B140, "")</f>
        <v>-4.5731707317073066E-2</v>
      </c>
      <c r="F140" s="108">
        <f>IF(ISNUMBER(D140), $B145 * E140, "")</f>
        <v>-13719.512195121919</v>
      </c>
      <c r="G140" s="109">
        <v>31.8</v>
      </c>
      <c r="H140" s="107">
        <f>IF(ISNUMBER(G140), (G140 - $B140) / $B140, "")</f>
        <v>-3.0487804878048676E-2</v>
      </c>
      <c r="I140" s="110">
        <f>IF(ISNUMBER(G140), $B145 * H140, "")</f>
        <v>-9146.3414634146029</v>
      </c>
      <c r="J140" s="106">
        <v>31.4</v>
      </c>
      <c r="K140" s="107">
        <f>IF(ISNUMBER(J140), (J140 - $B140) / $B140, "")</f>
        <v>-4.2682926829268254E-2</v>
      </c>
      <c r="L140" s="108">
        <f>IF(ISNUMBER(J140), $B145 * K140, "")</f>
        <v>-12804.878048780476</v>
      </c>
      <c r="M140" s="109">
        <v>30.3</v>
      </c>
      <c r="N140" s="107">
        <f>IF(ISNUMBER(M140), (M140 - $B140) / $B140, "")</f>
        <v>-7.6219512195121852E-2</v>
      </c>
      <c r="O140" s="108">
        <f>IF(ISNUMBER(M140), $B145 * N140, "")</f>
        <v>-22865.853658536555</v>
      </c>
      <c r="Q140" s="219"/>
      <c r="R140" s="219"/>
      <c r="S140" s="219"/>
    </row>
    <row r="141" spans="1:19" ht="17.25" thickBot="1">
      <c r="A141" s="128" t="s">
        <v>126</v>
      </c>
      <c r="B141" s="129">
        <v>68.7</v>
      </c>
      <c r="C141" s="77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101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219"/>
      <c r="R141" s="219"/>
      <c r="S141" s="219"/>
    </row>
    <row r="142" spans="1:19" ht="17.25" thickBot="1">
      <c r="A142" s="128"/>
      <c r="B142" s="129"/>
      <c r="C142" s="77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101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19"/>
      <c r="R142" s="219"/>
      <c r="S142" s="219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5" t="s">
        <v>301</v>
      </c>
      <c r="B145" s="252">
        <f>$B$37</f>
        <v>300000</v>
      </c>
      <c r="C145" s="253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247"/>
      <c r="R145" s="248"/>
      <c r="S145" s="249"/>
    </row>
    <row r="147" spans="1:19" ht="17.25" thickBot="1"/>
    <row r="148" spans="1:19" ht="17.25" thickBot="1">
      <c r="A148" s="193" t="s">
        <v>289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16" t="s">
        <v>298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72158000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9.1322285000000007E-3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2021-05-04(화) 오전 00:00</v>
      </c>
      <c r="C150" s="257"/>
      <c r="D150" s="216" t="str">
        <f>TEXT($G$1, "[$-ko-KR]yyyy-mm-dd(ddd) ") &amp; "오후 14:00"</f>
        <v>2021-05-04(화) 오후 14:00</v>
      </c>
      <c r="E150" s="217"/>
      <c r="F150" s="218"/>
      <c r="G150" s="216" t="str">
        <f>TEXT($G$1, "[$-ko-KR]yyyy-mm-dd(ddd) ") &amp; "오후 19:00"</f>
        <v>2021-05-04(화) 오후 19:00</v>
      </c>
      <c r="H150" s="217"/>
      <c r="I150" s="218"/>
      <c r="J150" s="216" t="str">
        <f>TEXT($G$1, "[$-ko-KR]yyyy-mm-dd(ddd) ") &amp; "오후 21:00"</f>
        <v>2021-05-04(화) 오후 21:00</v>
      </c>
      <c r="K150" s="217"/>
      <c r="L150" s="218"/>
      <c r="M150" s="216" t="str">
        <f>TEXT($G$1+1, "[$-ko-KR]yyyy-mm-dd(ddd) ") &amp; "오전 00:00"</f>
        <v>2021-05-05(수)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17" t="s">
        <v>58</v>
      </c>
      <c r="H151" s="118" t="s">
        <v>299</v>
      </c>
      <c r="I151" s="119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219"/>
      <c r="R151" s="219"/>
      <c r="S151" s="219"/>
    </row>
    <row r="152" spans="1:19" ht="17.25" thickBot="1">
      <c r="A152" s="126" t="s">
        <v>260</v>
      </c>
      <c r="B152" s="127">
        <v>140</v>
      </c>
      <c r="C152" s="76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100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214"/>
      <c r="R152" s="214"/>
      <c r="S152" s="214"/>
    </row>
    <row r="153" spans="1:19" ht="17.25" thickBot="1">
      <c r="A153" s="128" t="s">
        <v>134</v>
      </c>
      <c r="B153" s="129">
        <v>162</v>
      </c>
      <c r="C153" s="77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101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214"/>
      <c r="R153" s="214"/>
      <c r="S153" s="214"/>
    </row>
    <row r="154" spans="1:19" ht="17.25" thickBot="1">
      <c r="A154" s="128" t="s">
        <v>216</v>
      </c>
      <c r="B154" s="129">
        <v>492</v>
      </c>
      <c r="C154" s="77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101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219"/>
      <c r="R154" s="219"/>
      <c r="S154" s="219"/>
    </row>
    <row r="155" spans="1:19" ht="17.25" thickBot="1">
      <c r="A155" s="128" t="s">
        <v>282</v>
      </c>
      <c r="B155" s="129">
        <v>182</v>
      </c>
      <c r="C155" s="77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101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219"/>
      <c r="R155" s="219"/>
      <c r="S155" s="219"/>
    </row>
    <row r="156" spans="1:19" ht="17.25" thickBot="1">
      <c r="A156" s="130" t="s">
        <v>54</v>
      </c>
      <c r="B156" s="131">
        <v>400</v>
      </c>
      <c r="C156" s="78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5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219"/>
      <c r="R156" s="219"/>
      <c r="S156" s="219"/>
    </row>
    <row r="157" spans="1:19" ht="17.25" thickBot="1">
      <c r="A157" s="128" t="s">
        <v>230</v>
      </c>
      <c r="B157" s="132">
        <v>200</v>
      </c>
      <c r="C157" s="80">
        <v>5.0251256000000003E-3</v>
      </c>
      <c r="D157" s="106">
        <v>192</v>
      </c>
      <c r="E157" s="107">
        <f>IF(ISNUMBER(D157), (D157 - $B157) / $B157, "")</f>
        <v>-0.04</v>
      </c>
      <c r="F157" s="108">
        <f>IF(ISNUMBER(D157), $B172 * E157, "")</f>
        <v>-12000</v>
      </c>
      <c r="G157" s="109">
        <v>193</v>
      </c>
      <c r="H157" s="107">
        <f>IF(ISNUMBER(G157), (G157 - $B157) / $B157, "")</f>
        <v>-3.5000000000000003E-2</v>
      </c>
      <c r="I157" s="110">
        <f>IF(ISNUMBER(G157), $B172 * H157, "")</f>
        <v>-10500.000000000002</v>
      </c>
      <c r="J157" s="106">
        <v>191</v>
      </c>
      <c r="K157" s="107">
        <f>IF(ISNUMBER(J157), (J157 - $B157) / $B157, "")</f>
        <v>-4.4999999999999998E-2</v>
      </c>
      <c r="L157" s="108">
        <f>IF(ISNUMBER(J157), $B172 * K157, "")</f>
        <v>-13500</v>
      </c>
      <c r="M157" s="109">
        <v>185</v>
      </c>
      <c r="N157" s="107">
        <f>IF(ISNUMBER(M157), (M157 - $B157) / $B157, "")</f>
        <v>-7.4999999999999997E-2</v>
      </c>
      <c r="O157" s="108">
        <f>IF(ISNUMBER(M157), $B172 * N157, "")</f>
        <v>-22500</v>
      </c>
      <c r="Q157" s="219"/>
      <c r="R157" s="219"/>
      <c r="S157" s="219"/>
    </row>
    <row r="158" spans="1:19" ht="17.25" thickBot="1">
      <c r="A158" s="128" t="s">
        <v>210</v>
      </c>
      <c r="B158" s="129">
        <v>223</v>
      </c>
      <c r="C158" s="77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101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219"/>
      <c r="R158" s="219"/>
      <c r="S158" s="219"/>
    </row>
    <row r="159" spans="1:19" ht="17.25" thickBot="1">
      <c r="A159" s="128" t="s">
        <v>51</v>
      </c>
      <c r="B159" s="129">
        <v>673</v>
      </c>
      <c r="C159" s="77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101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219"/>
      <c r="R159" s="219"/>
      <c r="S159" s="219"/>
    </row>
    <row r="160" spans="1:19" ht="17.25" thickBot="1">
      <c r="A160" s="128" t="s">
        <v>200</v>
      </c>
      <c r="B160" s="129">
        <v>411</v>
      </c>
      <c r="C160" s="77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101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33" t="s">
        <v>226</v>
      </c>
      <c r="B161" s="134">
        <v>559</v>
      </c>
      <c r="C161" s="79">
        <v>1.7921147000000001E-3</v>
      </c>
      <c r="D161" s="24">
        <v>542</v>
      </c>
      <c r="E161" s="25">
        <f t="shared" si="82"/>
        <v>-3.041144901610018E-2</v>
      </c>
      <c r="F161" s="104">
        <f>IF(ISNUMBER(D161), $B172 * E161, "")</f>
        <v>-9123.4347048300533</v>
      </c>
      <c r="G161" s="102">
        <v>543</v>
      </c>
      <c r="H161" s="25">
        <f t="shared" si="83"/>
        <v>-2.8622540250447227E-2</v>
      </c>
      <c r="I161" s="103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4">
        <f>IF(ISNUMBER(J161), $B172 * K161, "")</f>
        <v>-10196.779964221825</v>
      </c>
      <c r="M161" s="102">
        <v>521</v>
      </c>
      <c r="N161" s="25">
        <f t="shared" si="85"/>
        <v>-6.7978533094812166E-2</v>
      </c>
      <c r="O161" s="104">
        <f>IF(ISNUMBER(M161), $B172 * N161, "")</f>
        <v>-20393.55992844365</v>
      </c>
      <c r="Q161" s="228"/>
      <c r="R161" s="229"/>
      <c r="S161" s="230"/>
    </row>
    <row r="162" spans="1:19">
      <c r="A162" s="126" t="s">
        <v>284</v>
      </c>
      <c r="B162" s="127">
        <v>480</v>
      </c>
      <c r="C162" s="76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100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231"/>
      <c r="R162" s="232"/>
      <c r="S162" s="233"/>
    </row>
    <row r="163" spans="1:19" ht="17.25" thickBot="1">
      <c r="A163" s="128" t="s">
        <v>240</v>
      </c>
      <c r="B163" s="129">
        <v>212</v>
      </c>
      <c r="C163" s="77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101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234"/>
      <c r="R163" s="235"/>
      <c r="S163" s="236"/>
    </row>
    <row r="164" spans="1:19" ht="17.25" thickBot="1">
      <c r="A164" s="128" t="s">
        <v>212</v>
      </c>
      <c r="B164" s="129">
        <v>179</v>
      </c>
      <c r="C164" s="77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101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219"/>
      <c r="R164" s="219"/>
      <c r="S164" s="219"/>
    </row>
    <row r="165" spans="1:19" ht="17.25" thickBot="1">
      <c r="A165" s="128" t="s">
        <v>250</v>
      </c>
      <c r="B165" s="129">
        <v>244</v>
      </c>
      <c r="C165" s="77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101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214"/>
      <c r="R165" s="214"/>
      <c r="S165" s="214"/>
    </row>
    <row r="166" spans="1:19" ht="17.25" thickBot="1">
      <c r="A166" s="130" t="s">
        <v>246</v>
      </c>
      <c r="B166" s="131">
        <v>443</v>
      </c>
      <c r="C166" s="78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5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214"/>
      <c r="R166" s="214"/>
      <c r="S166" s="214"/>
    </row>
    <row r="167" spans="1:19" ht="17.25" thickBot="1">
      <c r="A167" s="128" t="s">
        <v>202</v>
      </c>
      <c r="B167" s="132">
        <v>250</v>
      </c>
      <c r="C167" s="80">
        <v>-3.9840637000000002E-3</v>
      </c>
      <c r="D167" s="106">
        <v>231</v>
      </c>
      <c r="E167" s="107">
        <f>IF(ISNUMBER(D167), (D167 - $B167) / $B167, "")</f>
        <v>-7.5999999999999998E-2</v>
      </c>
      <c r="F167" s="108">
        <f>IF(ISNUMBER(D167), $B172 * E167, "")</f>
        <v>-22800</v>
      </c>
      <c r="G167" s="109">
        <v>236</v>
      </c>
      <c r="H167" s="107">
        <f>IF(ISNUMBER(G167), (G167 - $B167) / $B167, "")</f>
        <v>-5.6000000000000001E-2</v>
      </c>
      <c r="I167" s="110">
        <f>IF(ISNUMBER(G167), $B172 * H167, "")</f>
        <v>-16800</v>
      </c>
      <c r="J167" s="106">
        <v>234</v>
      </c>
      <c r="K167" s="107">
        <f>IF(ISNUMBER(J167), (J167 - $B167) / $B167, "")</f>
        <v>-6.4000000000000001E-2</v>
      </c>
      <c r="L167" s="108">
        <f>IF(ISNUMBER(J167), $B172 * K167, "")</f>
        <v>-19200</v>
      </c>
      <c r="M167" s="109">
        <v>226</v>
      </c>
      <c r="N167" s="107">
        <f>IF(ISNUMBER(M167), (M167 - $B167) / $B167, "")</f>
        <v>-9.6000000000000002E-2</v>
      </c>
      <c r="O167" s="108">
        <f>IF(ISNUMBER(M167), $B172 * N167, "")</f>
        <v>-28800</v>
      </c>
      <c r="Q167" s="219"/>
      <c r="R167" s="219"/>
      <c r="S167" s="219"/>
    </row>
    <row r="168" spans="1:19" ht="17.25" thickBot="1">
      <c r="A168" s="128" t="s">
        <v>174</v>
      </c>
      <c r="B168" s="129">
        <v>305</v>
      </c>
      <c r="C168" s="77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101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219"/>
      <c r="R168" s="219"/>
      <c r="S168" s="219"/>
    </row>
    <row r="169" spans="1:19" ht="17.25" thickBot="1">
      <c r="A169" s="128" t="s">
        <v>132</v>
      </c>
      <c r="B169" s="129">
        <v>258</v>
      </c>
      <c r="C169" s="77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101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219"/>
      <c r="R169" s="219"/>
      <c r="S169" s="219"/>
    </row>
    <row r="170" spans="1:19">
      <c r="A170" s="128" t="s">
        <v>208</v>
      </c>
      <c r="B170" s="129">
        <v>550</v>
      </c>
      <c r="C170" s="77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101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241"/>
      <c r="R170" s="242"/>
      <c r="S170" s="243"/>
    </row>
    <row r="171" spans="1:19" ht="17.25" thickBot="1">
      <c r="A171" s="133" t="s">
        <v>170</v>
      </c>
      <c r="B171" s="134">
        <v>549</v>
      </c>
      <c r="C171" s="79">
        <v>-9.0252708000000004E-3</v>
      </c>
      <c r="D171" s="24">
        <v>530</v>
      </c>
      <c r="E171" s="25">
        <f t="shared" si="90"/>
        <v>-3.4608378870673952E-2</v>
      </c>
      <c r="F171" s="104">
        <f>IF(ISNUMBER(D171), $B172 * E171, "")</f>
        <v>-10382.513661202185</v>
      </c>
      <c r="G171" s="102">
        <v>539</v>
      </c>
      <c r="H171" s="25">
        <f t="shared" si="91"/>
        <v>-1.8214936247723135E-2</v>
      </c>
      <c r="I171" s="103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4">
        <f>IF(ISNUMBER(J171), $B172 * K171, "")</f>
        <v>-7103.8251366120221</v>
      </c>
      <c r="M171" s="102">
        <v>519</v>
      </c>
      <c r="N171" s="25">
        <f t="shared" si="93"/>
        <v>-5.4644808743169397E-2</v>
      </c>
      <c r="O171" s="104">
        <f>IF(ISNUMBER(M171), $B172 * N171, "")</f>
        <v>-16393.442622950821</v>
      </c>
      <c r="Q171" s="244"/>
      <c r="R171" s="245"/>
      <c r="S171" s="246"/>
    </row>
    <row r="172" spans="1:19" ht="17.25" thickBot="1">
      <c r="A172" s="135" t="s">
        <v>301</v>
      </c>
      <c r="B172" s="252">
        <f>$B$37</f>
        <v>300000</v>
      </c>
      <c r="C172" s="253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247"/>
      <c r="R172" s="248"/>
      <c r="S172" s="249"/>
    </row>
    <row r="174" spans="1:19" ht="17.25" thickBot="1"/>
    <row r="175" spans="1:19" ht="17.25" thickBot="1">
      <c r="A175" s="193" t="s">
        <v>285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16" t="s">
        <v>298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72158000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9.1322285000000007E-3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2021-05-04(화) 오전 00:00</v>
      </c>
      <c r="C177" s="257"/>
      <c r="D177" s="216" t="str">
        <f>TEXT($G$1, "[$-ko-KR]yyyy-mm-dd(ddd) ") &amp; "오후 14:00"</f>
        <v>2021-05-04(화) 오후 14:00</v>
      </c>
      <c r="E177" s="217"/>
      <c r="F177" s="218"/>
      <c r="G177" s="216" t="str">
        <f>TEXT($G$1, "[$-ko-KR]yyyy-mm-dd(ddd) ") &amp; "오후 19:00"</f>
        <v>2021-05-04(화) 오후 19:00</v>
      </c>
      <c r="H177" s="217"/>
      <c r="I177" s="218"/>
      <c r="J177" s="216" t="str">
        <f>TEXT($G$1, "[$-ko-KR]yyyy-mm-dd(ddd) ") &amp; "오후 21:00"</f>
        <v>2021-05-04(화) 오후 21:00</v>
      </c>
      <c r="K177" s="217"/>
      <c r="L177" s="218"/>
      <c r="M177" s="216" t="str">
        <f>TEXT($G$1+1, "[$-ko-KR]yyyy-mm-dd(ddd) ") &amp; "오전 00:00"</f>
        <v>2021-05-05(수)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17" t="s">
        <v>58</v>
      </c>
      <c r="H178" s="118" t="s">
        <v>299</v>
      </c>
      <c r="I178" s="119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219"/>
      <c r="R178" s="219"/>
      <c r="S178" s="219"/>
    </row>
    <row r="179" spans="1:19" ht="17.25" thickBot="1">
      <c r="A179" s="126" t="s">
        <v>74</v>
      </c>
      <c r="B179" s="127">
        <v>27900</v>
      </c>
      <c r="C179" s="76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100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214"/>
      <c r="R179" s="214"/>
      <c r="S179" s="214"/>
    </row>
    <row r="180" spans="1:19" ht="17.25" thickBot="1">
      <c r="A180" s="128" t="s">
        <v>228</v>
      </c>
      <c r="B180" s="129">
        <v>21.1</v>
      </c>
      <c r="C180" s="77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101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214"/>
      <c r="R180" s="214"/>
      <c r="S180" s="214"/>
    </row>
    <row r="181" spans="1:19" ht="17.25" thickBot="1">
      <c r="A181" s="128" t="s">
        <v>212</v>
      </c>
      <c r="B181" s="129">
        <v>179</v>
      </c>
      <c r="C181" s="77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101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219"/>
      <c r="R181" s="219"/>
      <c r="S181" s="219"/>
    </row>
    <row r="182" spans="1:19" ht="17.25" thickBot="1">
      <c r="A182" s="128" t="s">
        <v>222</v>
      </c>
      <c r="B182" s="129">
        <v>20.7</v>
      </c>
      <c r="C182" s="77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101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219"/>
      <c r="R182" s="219"/>
      <c r="S182" s="219"/>
    </row>
    <row r="183" spans="1:19" ht="17.25" thickBot="1">
      <c r="A183" s="130" t="s">
        <v>198</v>
      </c>
      <c r="B183" s="131">
        <v>32.4</v>
      </c>
      <c r="C183" s="78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5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219"/>
      <c r="R183" s="219"/>
      <c r="S183" s="219"/>
    </row>
    <row r="184" spans="1:19" ht="17.25" thickBot="1">
      <c r="A184" s="128" t="s">
        <v>162</v>
      </c>
      <c r="B184" s="132">
        <v>2205</v>
      </c>
      <c r="C184" s="80">
        <v>0</v>
      </c>
      <c r="D184" s="106">
        <v>2145</v>
      </c>
      <c r="E184" s="107">
        <f>IF(ISNUMBER(D184), (D184 - $B184) / $B184, "")</f>
        <v>-2.7210884353741496E-2</v>
      </c>
      <c r="F184" s="108">
        <f>IF(ISNUMBER(D184), $B199 * E184, "")</f>
        <v>-8163.2653061224482</v>
      </c>
      <c r="G184" s="109">
        <v>2140</v>
      </c>
      <c r="H184" s="107">
        <f>IF(ISNUMBER(G184), (G184 - $B184) / $B184, "")</f>
        <v>-2.9478458049886622E-2</v>
      </c>
      <c r="I184" s="110">
        <f>IF(ISNUMBER(G184), $B199 * H184, "")</f>
        <v>-8843.5374149659856</v>
      </c>
      <c r="J184" s="106">
        <v>2130</v>
      </c>
      <c r="K184" s="107">
        <f>IF(ISNUMBER(J184), (J184 - $B184) / $B184, "")</f>
        <v>-3.4013605442176874E-2</v>
      </c>
      <c r="L184" s="108">
        <f>IF(ISNUMBER(J184), $B199 * K184, "")</f>
        <v>-10204.081632653062</v>
      </c>
      <c r="M184" s="109">
        <v>2065</v>
      </c>
      <c r="N184" s="107">
        <f>IF(ISNUMBER(M184), (M184 - $B184) / $B184, "")</f>
        <v>-6.3492063492063489E-2</v>
      </c>
      <c r="O184" s="108">
        <f>IF(ISNUMBER(M184), $B199 * N184, "")</f>
        <v>-19047.619047619046</v>
      </c>
      <c r="Q184" s="219"/>
      <c r="R184" s="219"/>
      <c r="S184" s="219"/>
    </row>
    <row r="185" spans="1:19" ht="17.25" thickBot="1">
      <c r="A185" s="128" t="s">
        <v>250</v>
      </c>
      <c r="B185" s="129">
        <v>244</v>
      </c>
      <c r="C185" s="77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101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219"/>
      <c r="R185" s="219"/>
      <c r="S185" s="219"/>
    </row>
    <row r="186" spans="1:19" ht="17.25" thickBot="1">
      <c r="A186" s="128" t="s">
        <v>152</v>
      </c>
      <c r="B186" s="129">
        <v>49.8</v>
      </c>
      <c r="C186" s="77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101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219"/>
      <c r="R186" s="219"/>
      <c r="S186" s="219"/>
    </row>
    <row r="187" spans="1:19" ht="17.25" thickBot="1">
      <c r="A187" s="128" t="s">
        <v>246</v>
      </c>
      <c r="B187" s="129">
        <v>443</v>
      </c>
      <c r="C187" s="77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101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33" t="s">
        <v>218</v>
      </c>
      <c r="B188" s="134">
        <v>32.799999999999997</v>
      </c>
      <c r="C188" s="79">
        <v>-3.0395137E-3</v>
      </c>
      <c r="D188" s="24">
        <v>31.3</v>
      </c>
      <c r="E188" s="25">
        <f t="shared" si="98"/>
        <v>-4.5731707317073066E-2</v>
      </c>
      <c r="F188" s="104">
        <f>IF(ISNUMBER(D188), $B199 * E188, "")</f>
        <v>-13719.512195121919</v>
      </c>
      <c r="G188" s="102">
        <v>31.8</v>
      </c>
      <c r="H188" s="25">
        <f t="shared" si="99"/>
        <v>-3.0487804878048676E-2</v>
      </c>
      <c r="I188" s="103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4">
        <f>IF(ISNUMBER(J188), $B199 * K188, "")</f>
        <v>-12804.878048780476</v>
      </c>
      <c r="M188" s="102">
        <v>30.3</v>
      </c>
      <c r="N188" s="25">
        <f t="shared" si="101"/>
        <v>-7.6219512195121852E-2</v>
      </c>
      <c r="O188" s="104">
        <f>IF(ISNUMBER(M188), $B199 * N188, "")</f>
        <v>-22865.853658536555</v>
      </c>
      <c r="Q188" s="228"/>
      <c r="R188" s="229"/>
      <c r="S188" s="230"/>
    </row>
    <row r="189" spans="1:19">
      <c r="A189" s="126" t="s">
        <v>110</v>
      </c>
      <c r="B189" s="127">
        <v>3020</v>
      </c>
      <c r="C189" s="76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100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231"/>
      <c r="R189" s="232"/>
      <c r="S189" s="233"/>
    </row>
    <row r="190" spans="1:19" ht="17.25" thickBot="1">
      <c r="A190" s="128" t="s">
        <v>158</v>
      </c>
      <c r="B190" s="129">
        <v>11230</v>
      </c>
      <c r="C190" s="77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101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234"/>
      <c r="R190" s="235"/>
      <c r="S190" s="236"/>
    </row>
    <row r="191" spans="1:19" ht="17.25" thickBot="1">
      <c r="A191" s="128" t="s">
        <v>202</v>
      </c>
      <c r="B191" s="129">
        <v>250</v>
      </c>
      <c r="C191" s="77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101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219"/>
      <c r="R191" s="219"/>
      <c r="S191" s="219"/>
    </row>
    <row r="192" spans="1:19" ht="17.25" thickBot="1">
      <c r="A192" s="128" t="s">
        <v>92</v>
      </c>
      <c r="B192" s="129">
        <v>1880</v>
      </c>
      <c r="C192" s="77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101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214"/>
      <c r="R192" s="214"/>
      <c r="S192" s="214"/>
    </row>
    <row r="193" spans="1:19" ht="17.25" thickBot="1">
      <c r="A193" s="130" t="s">
        <v>174</v>
      </c>
      <c r="B193" s="131">
        <v>305</v>
      </c>
      <c r="C193" s="78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5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214"/>
      <c r="R193" s="214"/>
      <c r="S193" s="214"/>
    </row>
    <row r="194" spans="1:19" ht="17.25" thickBot="1">
      <c r="A194" s="128" t="s">
        <v>126</v>
      </c>
      <c r="B194" s="132">
        <v>68.7</v>
      </c>
      <c r="C194" s="80">
        <v>-7.2254334999999996E-3</v>
      </c>
      <c r="D194" s="106">
        <v>65.7</v>
      </c>
      <c r="E194" s="107">
        <f>IF(ISNUMBER(D194), (D194 - $B194) / $B194, "")</f>
        <v>-4.3668122270742356E-2</v>
      </c>
      <c r="F194" s="108">
        <f>IF(ISNUMBER(D194), $B199 * E194, "")</f>
        <v>-13100.436681222707</v>
      </c>
      <c r="G194" s="109">
        <v>66.099999999999994</v>
      </c>
      <c r="H194" s="107">
        <f>IF(ISNUMBER(G194), (G194 - $B194) / $B194, "")</f>
        <v>-3.7845705967976831E-2</v>
      </c>
      <c r="I194" s="110">
        <f>IF(ISNUMBER(G194), $B199 * H194, "")</f>
        <v>-11353.711790393048</v>
      </c>
      <c r="J194" s="106">
        <v>65.7</v>
      </c>
      <c r="K194" s="107">
        <f>IF(ISNUMBER(J194), (J194 - $B194) / $B194, "")</f>
        <v>-4.3668122270742356E-2</v>
      </c>
      <c r="L194" s="108">
        <f>IF(ISNUMBER(J194), $B199 * K194, "")</f>
        <v>-13100.436681222707</v>
      </c>
      <c r="M194" s="109">
        <v>63.1</v>
      </c>
      <c r="N194" s="107">
        <f>IF(ISNUMBER(M194), (M194 - $B194) / $B194, "")</f>
        <v>-8.1513828238719083E-2</v>
      </c>
      <c r="O194" s="108">
        <f>IF(ISNUMBER(M194), $B199 * N194, "")</f>
        <v>-24454.148471615725</v>
      </c>
      <c r="Q194" s="219"/>
      <c r="R194" s="219"/>
      <c r="S194" s="219"/>
    </row>
    <row r="195" spans="1:19" ht="17.25" thickBot="1">
      <c r="A195" s="128" t="s">
        <v>132</v>
      </c>
      <c r="B195" s="129">
        <v>258</v>
      </c>
      <c r="C195" s="77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101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219"/>
      <c r="R195" s="219"/>
      <c r="S195" s="219"/>
    </row>
    <row r="196" spans="1:19" ht="17.25" thickBot="1">
      <c r="A196" s="128" t="s">
        <v>208</v>
      </c>
      <c r="B196" s="129">
        <v>550</v>
      </c>
      <c r="C196" s="77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101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219"/>
      <c r="R196" s="219"/>
      <c r="S196" s="219"/>
    </row>
    <row r="197" spans="1:19">
      <c r="A197" s="128" t="s">
        <v>170</v>
      </c>
      <c r="B197" s="129">
        <v>549</v>
      </c>
      <c r="C197" s="77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101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241"/>
      <c r="R197" s="242"/>
      <c r="S197" s="243"/>
    </row>
    <row r="198" spans="1:19" ht="17.25" thickBot="1">
      <c r="A198" s="133" t="s">
        <v>204</v>
      </c>
      <c r="B198" s="134">
        <v>9915</v>
      </c>
      <c r="C198" s="79">
        <v>-9.4905094999999991E-3</v>
      </c>
      <c r="D198" s="24">
        <v>9705</v>
      </c>
      <c r="E198" s="25">
        <f t="shared" si="106"/>
        <v>-2.118003025718608E-2</v>
      </c>
      <c r="F198" s="104">
        <f>IF(ISNUMBER(D198), $B199 * E198, "")</f>
        <v>-6354.0090771558243</v>
      </c>
      <c r="G198" s="102">
        <v>9760</v>
      </c>
      <c r="H198" s="25">
        <f t="shared" si="107"/>
        <v>-1.5632879475542108E-2</v>
      </c>
      <c r="I198" s="103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4">
        <f>IF(ISNUMBER(J198), $B199 * K198, "")</f>
        <v>-6959.1527987897125</v>
      </c>
      <c r="M198" s="102">
        <v>9385</v>
      </c>
      <c r="N198" s="25">
        <f t="shared" si="109"/>
        <v>-5.3454362077660113E-2</v>
      </c>
      <c r="O198" s="104">
        <f>IF(ISNUMBER(M198), $B199 * N198, "")</f>
        <v>-16036.308623298033</v>
      </c>
      <c r="Q198" s="244"/>
      <c r="R198" s="245"/>
      <c r="S198" s="246"/>
    </row>
    <row r="199" spans="1:19" ht="17.25" thickBot="1">
      <c r="A199" s="135" t="s">
        <v>301</v>
      </c>
      <c r="B199" s="252">
        <f>$B$37</f>
        <v>300000</v>
      </c>
      <c r="C199" s="253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247"/>
      <c r="R199" s="248"/>
      <c r="S199" s="24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zoomScaleNormal="100" workbookViewId="0">
      <selection activeCell="G2" sqref="G2:I7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44321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20" t="s">
        <v>3</v>
      </c>
      <c r="B2" s="199" t="s">
        <v>4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5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21" t="s">
        <v>7</v>
      </c>
      <c r="B3" s="205" t="s">
        <v>8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209"/>
      <c r="I3" s="210"/>
      <c r="J3" s="4" t="s">
        <v>7</v>
      </c>
      <c r="K3" s="205" t="s">
        <v>9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05" t="s">
        <v>12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13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05" t="s">
        <v>16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209"/>
      <c r="I5" s="210"/>
      <c r="J5" s="4" t="s">
        <v>15</v>
      </c>
      <c r="K5" s="205" t="s">
        <v>17</v>
      </c>
      <c r="L5" s="206"/>
      <c r="M5" s="206"/>
      <c r="N5" s="206"/>
      <c r="O5" s="207"/>
    </row>
    <row r="6" spans="1:19">
      <c r="A6" s="121" t="s">
        <v>18</v>
      </c>
      <c r="B6" s="205" t="s">
        <v>19</v>
      </c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20</v>
      </c>
      <c r="L6" s="206"/>
      <c r="M6" s="206"/>
      <c r="N6" s="206"/>
      <c r="O6" s="207"/>
    </row>
    <row r="7" spans="1:19" ht="17.25" thickBot="1">
      <c r="A7" s="121" t="s">
        <v>21</v>
      </c>
      <c r="B7" s="205" t="s">
        <v>22</v>
      </c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209"/>
      <c r="I7" s="210"/>
      <c r="J7" s="4" t="s">
        <v>21</v>
      </c>
      <c r="K7" s="205" t="s">
        <v>23</v>
      </c>
      <c r="L7" s="206"/>
      <c r="M7" s="206"/>
      <c r="N7" s="206"/>
      <c r="O7" s="207"/>
    </row>
    <row r="8" spans="1:19" ht="17.25" thickBot="1">
      <c r="A8" s="121" t="s">
        <v>24</v>
      </c>
      <c r="B8" s="205" t="s">
        <v>25</v>
      </c>
      <c r="C8" s="206"/>
      <c r="D8" s="206"/>
      <c r="E8" s="206"/>
      <c r="F8" s="207"/>
      <c r="G8" s="202" t="s">
        <v>285</v>
      </c>
      <c r="H8" s="203"/>
      <c r="I8" s="204"/>
      <c r="J8" s="4" t="s">
        <v>24</v>
      </c>
      <c r="K8" s="205" t="s">
        <v>26</v>
      </c>
      <c r="L8" s="206"/>
      <c r="M8" s="206"/>
      <c r="N8" s="206"/>
      <c r="O8" s="207"/>
      <c r="Q8" s="193" t="s">
        <v>27</v>
      </c>
      <c r="R8" s="195"/>
    </row>
    <row r="9" spans="1:19" ht="17.25" thickBot="1">
      <c r="A9" s="121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209"/>
      <c r="I9" s="210"/>
      <c r="J9" s="4" t="s">
        <v>28</v>
      </c>
      <c r="K9" s="205" t="s">
        <v>293</v>
      </c>
      <c r="L9" s="206"/>
      <c r="M9" s="206"/>
      <c r="N9" s="206"/>
      <c r="O9" s="207"/>
      <c r="Q9" s="2" t="s">
        <v>29</v>
      </c>
      <c r="R9" s="6">
        <v>10</v>
      </c>
    </row>
    <row r="10" spans="1:19">
      <c r="A10" s="121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/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22" t="s">
        <v>32</v>
      </c>
      <c r="B11" s="211"/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11"/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53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72158000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9.1322285000000007E-3</v>
      </c>
      <c r="N14" s="224"/>
      <c r="O14" s="225"/>
      <c r="Q14" s="214"/>
      <c r="R14" s="214"/>
      <c r="S14" s="214"/>
    </row>
    <row r="15" spans="1:19" ht="17.25" customHeight="1" thickBot="1">
      <c r="A15" s="258" t="s">
        <v>39</v>
      </c>
      <c r="B15" s="259" t="str">
        <f>TEXT($G$1, "[$-ko-KR]yyyy-mm-dd(ddd) ") &amp; "오전 00:00"</f>
        <v>2021-05-05(수) 오전 00:00</v>
      </c>
      <c r="C15" s="260"/>
      <c r="D15" s="216" t="str">
        <f>TEXT($G$1, "[$-ko-KR]yyyy-mm-dd(ddd) ") &amp; "오후 14:00"</f>
        <v>2021-05-05(수) 오후 14:00</v>
      </c>
      <c r="E15" s="217"/>
      <c r="F15" s="218"/>
      <c r="G15" s="216" t="str">
        <f>TEXT($G$1, "[$-ko-KR]yyyy-mm-dd(ddd) ") &amp; "오후 19:00"</f>
        <v>2021-05-05(수) 오후 19:00</v>
      </c>
      <c r="H15" s="217"/>
      <c r="I15" s="218"/>
      <c r="J15" s="216" t="str">
        <f>TEXT($G$1, "[$-ko-KR]yyyy-mm-dd(ddd) ") &amp; "오후 21:00"</f>
        <v>2021-05-05(수) 오후 21:00</v>
      </c>
      <c r="K15" s="217"/>
      <c r="L15" s="218"/>
      <c r="M15" s="216" t="str">
        <f>TEXT($G$1+1, "[$-ko-KR]yyyy-mm-dd(ddd) ") &amp; "오전 00:00"</f>
        <v>2021-05-06(목) 오전 00:00</v>
      </c>
      <c r="N15" s="217"/>
      <c r="O15" s="218"/>
      <c r="Q15" s="214"/>
      <c r="R15" s="214"/>
      <c r="S15" s="214"/>
    </row>
    <row r="16" spans="1:19" ht="17.25" customHeight="1" thickBot="1">
      <c r="A16" s="258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56" t="s">
        <v>37</v>
      </c>
      <c r="H16" s="157" t="s">
        <v>40</v>
      </c>
      <c r="I16" s="15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6"/>
      <c r="B17" s="127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8"/>
      <c r="B18" s="129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8"/>
      <c r="B19" s="129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28"/>
      <c r="B20" s="129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30"/>
      <c r="B21" s="131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5" t="s">
        <v>42</v>
      </c>
      <c r="B37" s="252">
        <v>150000</v>
      </c>
      <c r="C37" s="25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53" t="s">
        <v>298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72158000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9.1322285000000007E-3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2021-05-05(수) 오전 00:00</v>
      </c>
      <c r="C42" s="257"/>
      <c r="D42" s="216" t="str">
        <f>TEXT($G$1, "[$-ko-KR]yyyy-mm-dd(ddd) ") &amp; "오후 14:00"</f>
        <v>2021-05-05(수) 오후 14:00</v>
      </c>
      <c r="E42" s="217"/>
      <c r="F42" s="218"/>
      <c r="G42" s="216" t="str">
        <f>TEXT($G$1, "[$-ko-KR]yyyy-mm-dd(ddd) ") &amp; "오후 19:00"</f>
        <v>2021-05-05(수) 오후 19:00</v>
      </c>
      <c r="H42" s="217"/>
      <c r="I42" s="218"/>
      <c r="J42" s="216" t="str">
        <f>TEXT($G$1, "[$-ko-KR]yyyy-mm-dd(ddd) ") &amp; "오후 21:00"</f>
        <v>2021-05-05(수) 오후 21:00</v>
      </c>
      <c r="K42" s="217"/>
      <c r="L42" s="218"/>
      <c r="M42" s="216" t="str">
        <f>TEXT($G$1+1, "[$-ko-KR]yyyy-mm-dd(ddd) ") &amp; "오전 00:00"</f>
        <v>2021-05-06(목)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56" t="s">
        <v>58</v>
      </c>
      <c r="H43" s="157" t="s">
        <v>299</v>
      </c>
      <c r="I43" s="158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219"/>
      <c r="R43" s="219"/>
      <c r="S43" s="219"/>
    </row>
    <row r="44" spans="1:19" ht="17.25" customHeight="1" thickBot="1">
      <c r="A44" s="126" t="s">
        <v>220</v>
      </c>
      <c r="B44" s="127">
        <v>23.5</v>
      </c>
      <c r="C44" s="76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100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214"/>
      <c r="R44" s="214"/>
      <c r="S44" s="214"/>
    </row>
    <row r="45" spans="1:19" ht="17.25" customHeight="1" thickBot="1">
      <c r="A45" s="128" t="s">
        <v>154</v>
      </c>
      <c r="B45" s="129">
        <v>22.9</v>
      </c>
      <c r="C45" s="77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101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214"/>
      <c r="R45" s="214"/>
      <c r="S45" s="214"/>
    </row>
    <row r="46" spans="1:19" ht="17.25" customHeight="1" thickBot="1">
      <c r="A46" s="128" t="s">
        <v>100</v>
      </c>
      <c r="B46" s="129">
        <v>8.08</v>
      </c>
      <c r="C46" s="77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101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219"/>
      <c r="R46" s="219"/>
      <c r="S46" s="219"/>
    </row>
    <row r="47" spans="1:19" ht="17.25" customHeight="1" thickBot="1">
      <c r="A47" s="128" t="s">
        <v>196</v>
      </c>
      <c r="B47" s="129">
        <v>21.1</v>
      </c>
      <c r="C47" s="77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101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219"/>
      <c r="R47" s="219"/>
      <c r="S47" s="219"/>
    </row>
    <row r="48" spans="1:19" ht="17.25" customHeight="1" thickBot="1">
      <c r="A48" s="130" t="s">
        <v>65</v>
      </c>
      <c r="B48" s="131">
        <v>73.400000000000006</v>
      </c>
      <c r="C48" s="78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5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219"/>
      <c r="R48" s="219"/>
      <c r="S48" s="219"/>
    </row>
    <row r="49" spans="1:19" ht="17.25" customHeight="1" thickBot="1">
      <c r="A49" s="128" t="s">
        <v>254</v>
      </c>
      <c r="B49" s="132">
        <v>92.9</v>
      </c>
      <c r="C49" s="80">
        <v>-7.0999999999999994E-2</v>
      </c>
      <c r="D49" s="106">
        <v>86</v>
      </c>
      <c r="E49" s="107">
        <f>IF(ISNUMBER(D49), (D49 - $B49) / $B49, "")</f>
        <v>-7.427341227125947E-2</v>
      </c>
      <c r="F49" s="108">
        <f>IF(ISNUMBER(D49), $B64 * E49, "")</f>
        <v>-11141.011840688921</v>
      </c>
      <c r="G49" s="109">
        <v>88.1</v>
      </c>
      <c r="H49" s="107">
        <f>IF(ISNUMBER(G49), (G49 - $B49) / $B49, "")</f>
        <v>-5.1668460710441455E-2</v>
      </c>
      <c r="I49" s="110">
        <f>IF(ISNUMBER(G49), $B64 * H49, "")</f>
        <v>-7750.2691065662184</v>
      </c>
      <c r="J49" s="106">
        <v>86.5</v>
      </c>
      <c r="K49" s="107">
        <f>IF(ISNUMBER(J49), (J49 - $B49) / $B49, "")</f>
        <v>-6.8891280947255176E-2</v>
      </c>
      <c r="L49" s="108">
        <f>IF(ISNUMBER(J49), $B64 * K49, "")</f>
        <v>-10333.692142088277</v>
      </c>
      <c r="M49" s="109">
        <v>93.6</v>
      </c>
      <c r="N49" s="107">
        <f>IF(ISNUMBER(M49), (M49 - $B49) / $B49, "")</f>
        <v>7.534983853605905E-3</v>
      </c>
      <c r="O49" s="108">
        <f>IF(ISNUMBER(M49), $B64 * N49, "")</f>
        <v>1130.2475780408859</v>
      </c>
      <c r="Q49" s="219"/>
      <c r="R49" s="219"/>
      <c r="S49" s="219"/>
    </row>
    <row r="50" spans="1:19" ht="17.25" customHeight="1" thickBot="1">
      <c r="A50" s="128" t="s">
        <v>72</v>
      </c>
      <c r="B50" s="129">
        <v>35.6</v>
      </c>
      <c r="C50" s="77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101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219"/>
      <c r="R50" s="219"/>
      <c r="S50" s="219"/>
    </row>
    <row r="51" spans="1:19" ht="17.25" customHeight="1" thickBot="1">
      <c r="A51" s="128" t="s">
        <v>214</v>
      </c>
      <c r="B51" s="129">
        <v>23.5</v>
      </c>
      <c r="C51" s="77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101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219"/>
      <c r="R51" s="219"/>
      <c r="S51" s="219"/>
    </row>
    <row r="52" spans="1:19" ht="17.25" customHeight="1" thickBot="1">
      <c r="A52" s="128" t="s">
        <v>172</v>
      </c>
      <c r="B52" s="129">
        <v>26.5</v>
      </c>
      <c r="C52" s="77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101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33" t="s">
        <v>228</v>
      </c>
      <c r="B53" s="134">
        <v>19.5</v>
      </c>
      <c r="C53" s="79">
        <v>-8.0188679200000001E-2</v>
      </c>
      <c r="D53" s="24">
        <v>18</v>
      </c>
      <c r="E53" s="25">
        <f t="shared" si="18"/>
        <v>-7.6923076923076927E-2</v>
      </c>
      <c r="F53" s="104">
        <f>IF(ISNUMBER(D53), $B64 * E53, "")</f>
        <v>-11538.461538461539</v>
      </c>
      <c r="G53" s="102">
        <v>18.600000000000001</v>
      </c>
      <c r="H53" s="25">
        <f t="shared" si="19"/>
        <v>-4.615384615384608E-2</v>
      </c>
      <c r="I53" s="103">
        <f>IF(ISNUMBER(G53), $B64 * H53, "")</f>
        <v>-6923.076923076912</v>
      </c>
      <c r="J53" s="24">
        <v>18.3</v>
      </c>
      <c r="K53" s="25">
        <f t="shared" si="20"/>
        <v>-6.15384615384615E-2</v>
      </c>
      <c r="L53" s="104">
        <f>IF(ISNUMBER(J53), $B64 * K53, "")</f>
        <v>-9230.769230769225</v>
      </c>
      <c r="M53" s="102">
        <v>18.7</v>
      </c>
      <c r="N53" s="25">
        <f t="shared" si="21"/>
        <v>-4.102564102564106E-2</v>
      </c>
      <c r="O53" s="104">
        <f>IF(ISNUMBER(M53), $B64 * N53, "")</f>
        <v>-6153.8461538461588</v>
      </c>
      <c r="Q53" s="228"/>
      <c r="R53" s="229"/>
      <c r="S53" s="230"/>
    </row>
    <row r="54" spans="1:19" ht="17.25" customHeight="1">
      <c r="A54" s="126" t="s">
        <v>222</v>
      </c>
      <c r="B54" s="127">
        <v>19.3</v>
      </c>
      <c r="C54" s="76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100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231"/>
      <c r="R54" s="232"/>
      <c r="S54" s="233"/>
    </row>
    <row r="55" spans="1:19" ht="17.25" customHeight="1" thickBot="1">
      <c r="A55" s="128" t="s">
        <v>236</v>
      </c>
      <c r="B55" s="129">
        <v>72.2</v>
      </c>
      <c r="C55" s="77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101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234"/>
      <c r="R55" s="235"/>
      <c r="S55" s="236"/>
    </row>
    <row r="56" spans="1:19" ht="17.25" customHeight="1" thickBot="1">
      <c r="A56" s="128" t="s">
        <v>218</v>
      </c>
      <c r="B56" s="129">
        <v>30.3</v>
      </c>
      <c r="C56" s="77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101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219"/>
      <c r="R56" s="219"/>
      <c r="S56" s="219"/>
    </row>
    <row r="57" spans="1:19" ht="17.25" customHeight="1" thickBot="1">
      <c r="A57" s="128" t="s">
        <v>186</v>
      </c>
      <c r="B57" s="129">
        <v>27.1</v>
      </c>
      <c r="C57" s="77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101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214"/>
      <c r="R57" s="214"/>
      <c r="S57" s="214"/>
    </row>
    <row r="58" spans="1:19" ht="17.25" customHeight="1" thickBot="1">
      <c r="A58" s="130" t="s">
        <v>198</v>
      </c>
      <c r="B58" s="131">
        <v>29.9</v>
      </c>
      <c r="C58" s="78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5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214"/>
      <c r="R58" s="214"/>
      <c r="S58" s="214"/>
    </row>
    <row r="59" spans="1:19" ht="17.25" customHeight="1" thickBot="1">
      <c r="A59" s="128" t="s">
        <v>152</v>
      </c>
      <c r="B59" s="132">
        <v>45.6</v>
      </c>
      <c r="C59" s="80">
        <v>-8.9820359299999999E-2</v>
      </c>
      <c r="D59" s="106">
        <v>45.8</v>
      </c>
      <c r="E59" s="107">
        <f>IF(ISNUMBER(D59), (D59 - $B59) / $B59, "")</f>
        <v>4.3859649122806078E-3</v>
      </c>
      <c r="F59" s="108">
        <f>IF(ISNUMBER(D59), $B64 * E59, "")</f>
        <v>657.89473684209122</v>
      </c>
      <c r="G59" s="109">
        <v>47.6</v>
      </c>
      <c r="H59" s="107">
        <f>IF(ISNUMBER(G59), (G59 - $B59) / $B59, "")</f>
        <v>4.3859649122807015E-2</v>
      </c>
      <c r="I59" s="110">
        <f>IF(ISNUMBER(G59), $B64 * H59, "")</f>
        <v>6578.9473684210525</v>
      </c>
      <c r="J59" s="106">
        <v>48.1</v>
      </c>
      <c r="K59" s="107">
        <f>IF(ISNUMBER(J59), (J59 - $B59) / $B59, "")</f>
        <v>5.4824561403508769E-2</v>
      </c>
      <c r="L59" s="108">
        <f>IF(ISNUMBER(J59), $B64 * K59, "")</f>
        <v>8223.6842105263149</v>
      </c>
      <c r="M59" s="109">
        <v>51.5</v>
      </c>
      <c r="N59" s="107">
        <f>IF(ISNUMBER(M59), (M59 - $B59) / $B59, "")</f>
        <v>0.12938596491228066</v>
      </c>
      <c r="O59" s="108">
        <f>IF(ISNUMBER(M59), $B64 * N59, "")</f>
        <v>19407.8947368421</v>
      </c>
      <c r="Q59" s="219"/>
      <c r="R59" s="219"/>
      <c r="S59" s="219"/>
    </row>
    <row r="60" spans="1:19" ht="17.25" customHeight="1" thickBot="1">
      <c r="A60" s="128" t="s">
        <v>126</v>
      </c>
      <c r="B60" s="129">
        <v>63.1</v>
      </c>
      <c r="C60" s="77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101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219"/>
      <c r="R60" s="219"/>
      <c r="S60" s="219"/>
    </row>
    <row r="61" spans="1:19" ht="17.25" customHeight="1" thickBot="1">
      <c r="A61" s="128"/>
      <c r="B61" s="129"/>
      <c r="C61" s="77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101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19"/>
      <c r="R61" s="219"/>
      <c r="S61" s="219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5" t="s">
        <v>301</v>
      </c>
      <c r="B64" s="252">
        <f>$B$37</f>
        <v>150000</v>
      </c>
      <c r="C64" s="253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53" t="s">
        <v>298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72158000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9.1322285000000007E-3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2021-05-05(수) 오전 00:00</v>
      </c>
      <c r="C69" s="257"/>
      <c r="D69" s="216" t="str">
        <f>TEXT($G$1, "[$-ko-KR]yyyy-mm-dd(ddd) ") &amp; "오후 14:00"</f>
        <v>2021-05-05(수) 오후 14:00</v>
      </c>
      <c r="E69" s="217"/>
      <c r="F69" s="218"/>
      <c r="G69" s="216" t="str">
        <f>TEXT($G$1, "[$-ko-KR]yyyy-mm-dd(ddd) ") &amp; "오후 19:00"</f>
        <v>2021-05-05(수) 오후 19:00</v>
      </c>
      <c r="H69" s="217"/>
      <c r="I69" s="218"/>
      <c r="J69" s="216" t="str">
        <f>TEXT($G$1, "[$-ko-KR]yyyy-mm-dd(ddd) ") &amp; "오후 21:00"</f>
        <v>2021-05-05(수) 오후 21:00</v>
      </c>
      <c r="K69" s="217"/>
      <c r="L69" s="218"/>
      <c r="M69" s="216" t="str">
        <f>TEXT($G$1+1, "[$-ko-KR]yyyy-mm-dd(ddd) ") &amp; "오전 00:00"</f>
        <v>2021-05-06(목) 오전 00:00</v>
      </c>
      <c r="N69" s="217"/>
      <c r="O69" s="218"/>
      <c r="Q69" s="214"/>
      <c r="R69" s="214"/>
      <c r="S69" s="214"/>
    </row>
    <row r="70" spans="1:19" ht="17.25" thickBot="1">
      <c r="A70" s="255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56" t="s">
        <v>58</v>
      </c>
      <c r="H70" s="157" t="s">
        <v>299</v>
      </c>
      <c r="I70" s="158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219"/>
      <c r="R70" s="219"/>
      <c r="S70" s="219"/>
    </row>
    <row r="71" spans="1:19" ht="17.25" thickBot="1">
      <c r="A71" s="126" t="s">
        <v>296</v>
      </c>
      <c r="B71" s="127">
        <v>664</v>
      </c>
      <c r="C71" s="76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100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214"/>
      <c r="R71" s="214"/>
      <c r="S71" s="214"/>
    </row>
    <row r="72" spans="1:19" ht="17.25" thickBot="1">
      <c r="A72" s="128" t="s">
        <v>266</v>
      </c>
      <c r="B72" s="129">
        <v>104</v>
      </c>
      <c r="C72" s="77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101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214"/>
      <c r="R72" s="214"/>
      <c r="S72" s="214"/>
    </row>
    <row r="73" spans="1:19" ht="17.25" thickBot="1">
      <c r="A73" s="128" t="s">
        <v>136</v>
      </c>
      <c r="B73" s="129">
        <v>254</v>
      </c>
      <c r="C73" s="77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101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219"/>
      <c r="R73" s="219"/>
      <c r="S73" s="219"/>
    </row>
    <row r="74" spans="1:19" ht="17.25" thickBot="1">
      <c r="A74" s="128" t="s">
        <v>88</v>
      </c>
      <c r="B74" s="129">
        <v>630</v>
      </c>
      <c r="C74" s="77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101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219"/>
      <c r="R74" s="219"/>
      <c r="S74" s="219"/>
    </row>
    <row r="75" spans="1:19" ht="17.25" thickBot="1">
      <c r="A75" s="130" t="s">
        <v>116</v>
      </c>
      <c r="B75" s="131">
        <v>780</v>
      </c>
      <c r="C75" s="78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5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219"/>
      <c r="R75" s="219"/>
      <c r="S75" s="219"/>
    </row>
    <row r="76" spans="1:19" ht="17.25" thickBot="1">
      <c r="A76" s="128" t="s">
        <v>51</v>
      </c>
      <c r="B76" s="132">
        <v>652</v>
      </c>
      <c r="C76" s="80">
        <v>-3.5502958600000002E-2</v>
      </c>
      <c r="D76" s="106">
        <v>658</v>
      </c>
      <c r="E76" s="107">
        <f>IF(ISNUMBER(D76), (D76 - $B76) / $B76, "")</f>
        <v>9.202453987730062E-3</v>
      </c>
      <c r="F76" s="108">
        <f>IF(ISNUMBER(D76), $B91 * E76, "")</f>
        <v>1380.3680981595094</v>
      </c>
      <c r="G76" s="109">
        <v>663</v>
      </c>
      <c r="H76" s="107">
        <f>IF(ISNUMBER(G76), (G76 - $B76) / $B76, "")</f>
        <v>1.6871165644171779E-2</v>
      </c>
      <c r="I76" s="110">
        <f>IF(ISNUMBER(G76), $B91 * H76, "")</f>
        <v>2530.6748466257668</v>
      </c>
      <c r="J76" s="106">
        <v>679</v>
      </c>
      <c r="K76" s="107">
        <f>IF(ISNUMBER(J76), (J76 - $B76) / $B76, "")</f>
        <v>4.1411042944785273E-2</v>
      </c>
      <c r="L76" s="108">
        <f>IF(ISNUMBER(J76), $B91 * K76, "")</f>
        <v>6211.6564417177906</v>
      </c>
      <c r="M76" s="109">
        <v>699</v>
      </c>
      <c r="N76" s="107">
        <f>IF(ISNUMBER(M76), (M76 - $B76) / $B76, "")</f>
        <v>7.2085889570552147E-2</v>
      </c>
      <c r="O76" s="108">
        <f>IF(ISNUMBER(M76), $B91 * N76, "")</f>
        <v>10812.883435582822</v>
      </c>
      <c r="Q76" s="219"/>
      <c r="R76" s="219"/>
      <c r="S76" s="219"/>
    </row>
    <row r="77" spans="1:19" ht="17.25" thickBot="1">
      <c r="A77" s="128" t="s">
        <v>156</v>
      </c>
      <c r="B77" s="129">
        <v>156</v>
      </c>
      <c r="C77" s="77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101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219"/>
      <c r="R77" s="219"/>
      <c r="S77" s="219"/>
    </row>
    <row r="78" spans="1:19" ht="17.25" thickBot="1">
      <c r="A78" s="128" t="s">
        <v>278</v>
      </c>
      <c r="B78" s="129">
        <v>155</v>
      </c>
      <c r="C78" s="77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101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219"/>
      <c r="R78" s="219"/>
      <c r="S78" s="219"/>
    </row>
    <row r="79" spans="1:19" ht="17.25" thickBot="1">
      <c r="A79" s="128" t="s">
        <v>128</v>
      </c>
      <c r="B79" s="129">
        <v>677</v>
      </c>
      <c r="C79" s="77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101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33" t="s">
        <v>268</v>
      </c>
      <c r="B80" s="134">
        <v>105</v>
      </c>
      <c r="C80" s="79">
        <v>-5.4054054099999999E-2</v>
      </c>
      <c r="D80" s="24">
        <v>99.2</v>
      </c>
      <c r="E80" s="25">
        <f t="shared" si="34"/>
        <v>-5.5238095238095211E-2</v>
      </c>
      <c r="F80" s="104">
        <f>IF(ISNUMBER(D80), $B91 * E80, "")</f>
        <v>-8285.7142857142808</v>
      </c>
      <c r="G80" s="102">
        <v>99.5</v>
      </c>
      <c r="H80" s="25">
        <f t="shared" si="35"/>
        <v>-5.2380952380952382E-2</v>
      </c>
      <c r="I80" s="103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4">
        <f>IF(ISNUMBER(J80), $B91 * K80, "")</f>
        <v>-10142.857142857134</v>
      </c>
      <c r="M80" s="102">
        <v>99.8</v>
      </c>
      <c r="N80" s="25">
        <f t="shared" si="37"/>
        <v>-4.9523809523809553E-2</v>
      </c>
      <c r="O80" s="104">
        <f>IF(ISNUMBER(M80), $B91 * N80, "")</f>
        <v>-7428.571428571433</v>
      </c>
      <c r="Q80" s="228"/>
      <c r="R80" s="229"/>
      <c r="S80" s="230"/>
    </row>
    <row r="81" spans="1:19">
      <c r="A81" s="126" t="s">
        <v>148</v>
      </c>
      <c r="B81" s="127">
        <v>198</v>
      </c>
      <c r="C81" s="76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100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231"/>
      <c r="R81" s="232"/>
      <c r="S81" s="233"/>
    </row>
    <row r="82" spans="1:19" ht="17.25" thickBot="1">
      <c r="A82" s="128" t="s">
        <v>57</v>
      </c>
      <c r="B82" s="129">
        <v>399</v>
      </c>
      <c r="C82" s="77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234"/>
      <c r="R82" s="235"/>
      <c r="S82" s="236"/>
    </row>
    <row r="83" spans="1:19" ht="17.25" thickBot="1">
      <c r="A83" s="128" t="s">
        <v>120</v>
      </c>
      <c r="B83" s="129">
        <v>216</v>
      </c>
      <c r="C83" s="77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101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219"/>
      <c r="R83" s="219"/>
      <c r="S83" s="219"/>
    </row>
    <row r="84" spans="1:19" ht="17.25" thickBot="1">
      <c r="A84" s="128" t="s">
        <v>282</v>
      </c>
      <c r="B84" s="129">
        <v>172</v>
      </c>
      <c r="C84" s="77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101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214"/>
      <c r="R84" s="214"/>
      <c r="S84" s="214"/>
    </row>
    <row r="85" spans="1:19" ht="17.25" thickBot="1">
      <c r="A85" s="130" t="s">
        <v>132</v>
      </c>
      <c r="B85" s="131">
        <v>240</v>
      </c>
      <c r="C85" s="78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5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214"/>
      <c r="R85" s="214"/>
      <c r="S85" s="214"/>
    </row>
    <row r="86" spans="1:19" ht="17.25" thickBot="1">
      <c r="A86" s="128" t="s">
        <v>200</v>
      </c>
      <c r="B86" s="132">
        <v>386</v>
      </c>
      <c r="C86" s="80">
        <v>-7.2115384599999999E-2</v>
      </c>
      <c r="D86" s="106">
        <v>370</v>
      </c>
      <c r="E86" s="107">
        <f>IF(ISNUMBER(D86), (D86 - $B86) / $B86, "")</f>
        <v>-4.145077720207254E-2</v>
      </c>
      <c r="F86" s="108">
        <f>IF(ISNUMBER(D86), $B91 * E86, "")</f>
        <v>-6217.6165803108806</v>
      </c>
      <c r="G86" s="109">
        <v>377</v>
      </c>
      <c r="H86" s="107">
        <f>IF(ISNUMBER(G86), (G86 - $B86) / $B86, "")</f>
        <v>-2.3316062176165803E-2</v>
      </c>
      <c r="I86" s="110">
        <f>IF(ISNUMBER(G86), $B91 * H86, "")</f>
        <v>-3497.4093264248704</v>
      </c>
      <c r="J86" s="106">
        <v>368</v>
      </c>
      <c r="K86" s="107">
        <f>IF(ISNUMBER(J86), (J86 - $B86) / $B86, "")</f>
        <v>-4.6632124352331605E-2</v>
      </c>
      <c r="L86" s="108">
        <f>IF(ISNUMBER(J86), $B91 * K86, "")</f>
        <v>-6994.8186528497408</v>
      </c>
      <c r="M86" s="109">
        <v>371</v>
      </c>
      <c r="N86" s="107">
        <f>IF(ISNUMBER(M86), (M86 - $B86) / $B86, "")</f>
        <v>-3.8860103626943004E-2</v>
      </c>
      <c r="O86" s="108">
        <f>IF(ISNUMBER(M86), $B91 * N86, "")</f>
        <v>-5829.015544041451</v>
      </c>
      <c r="Q86" s="219"/>
      <c r="R86" s="219"/>
      <c r="S86" s="219"/>
    </row>
    <row r="87" spans="1:19" ht="17.25" thickBot="1">
      <c r="A87" s="128" t="s">
        <v>134</v>
      </c>
      <c r="B87" s="129">
        <v>153</v>
      </c>
      <c r="C87" s="77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101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219"/>
      <c r="R87" s="219"/>
      <c r="S87" s="219"/>
    </row>
    <row r="88" spans="1:19" ht="17.25" thickBot="1">
      <c r="A88" s="128" t="s">
        <v>252</v>
      </c>
      <c r="B88" s="129">
        <v>560</v>
      </c>
      <c r="C88" s="77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101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219"/>
      <c r="R88" s="219"/>
      <c r="S88" s="219"/>
    </row>
    <row r="89" spans="1:19">
      <c r="A89" s="128" t="s">
        <v>238</v>
      </c>
      <c r="B89" s="129">
        <v>309</v>
      </c>
      <c r="C89" s="77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101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241"/>
      <c r="R89" s="242"/>
      <c r="S89" s="243"/>
    </row>
    <row r="90" spans="1:19" ht="17.25" thickBot="1">
      <c r="A90" s="133" t="s">
        <v>246</v>
      </c>
      <c r="B90" s="134">
        <v>420</v>
      </c>
      <c r="C90" s="79">
        <v>-7.4889867799999996E-2</v>
      </c>
      <c r="D90" s="24">
        <v>390</v>
      </c>
      <c r="E90" s="25">
        <f t="shared" si="42"/>
        <v>-7.1428571428571425E-2</v>
      </c>
      <c r="F90" s="104">
        <f>IF(ISNUMBER(D90), $B91 * E90, "")</f>
        <v>-10714.285714285714</v>
      </c>
      <c r="G90" s="102">
        <v>399</v>
      </c>
      <c r="H90" s="25">
        <f t="shared" si="43"/>
        <v>-0.05</v>
      </c>
      <c r="I90" s="103">
        <f>IF(ISNUMBER(G90), $B91 * H90, "")</f>
        <v>-7500</v>
      </c>
      <c r="J90" s="24">
        <v>392</v>
      </c>
      <c r="K90" s="25">
        <f t="shared" si="44"/>
        <v>-6.6666666666666666E-2</v>
      </c>
      <c r="L90" s="104">
        <f>IF(ISNUMBER(J90), $B91 * K90, "")</f>
        <v>-10000</v>
      </c>
      <c r="M90" s="102">
        <v>401</v>
      </c>
      <c r="N90" s="25">
        <f t="shared" si="45"/>
        <v>-4.5238095238095237E-2</v>
      </c>
      <c r="O90" s="104">
        <f>IF(ISNUMBER(M90), $B91 * N90, "")</f>
        <v>-6785.7142857142853</v>
      </c>
      <c r="Q90" s="244"/>
      <c r="R90" s="245"/>
      <c r="S90" s="246"/>
    </row>
    <row r="91" spans="1:19" ht="17.25" thickBot="1">
      <c r="A91" s="135" t="s">
        <v>301</v>
      </c>
      <c r="B91" s="252">
        <f>$B$37</f>
        <v>150000</v>
      </c>
      <c r="C91" s="253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53" t="s">
        <v>298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72158000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9.1322285000000007E-3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2021-05-05(수) 오전 00:00</v>
      </c>
      <c r="C96" s="257"/>
      <c r="D96" s="216" t="str">
        <f>TEXT($G$1, "[$-ko-KR]yyyy-mm-dd(ddd) ") &amp; "오후 14:00"</f>
        <v>2021-05-05(수) 오후 14:00</v>
      </c>
      <c r="E96" s="217"/>
      <c r="F96" s="218"/>
      <c r="G96" s="216" t="str">
        <f>TEXT($G$1, "[$-ko-KR]yyyy-mm-dd(ddd) ") &amp; "오후 19:00"</f>
        <v>2021-05-05(수) 오후 19:00</v>
      </c>
      <c r="H96" s="217"/>
      <c r="I96" s="218"/>
      <c r="J96" s="216" t="str">
        <f>TEXT($G$1, "[$-ko-KR]yyyy-mm-dd(ddd) ") &amp; "오후 21:00"</f>
        <v>2021-05-05(수) 오후 21:00</v>
      </c>
      <c r="K96" s="217"/>
      <c r="L96" s="218"/>
      <c r="M96" s="216" t="str">
        <f>TEXT($G$1+1, "[$-ko-KR]yyyy-mm-dd(ddd) ") &amp; "오전 00:00"</f>
        <v>2021-05-06(목) 오전 00:00</v>
      </c>
      <c r="N96" s="217"/>
      <c r="O96" s="218"/>
      <c r="Q96" s="214"/>
      <c r="R96" s="214"/>
      <c r="S96" s="214"/>
    </row>
    <row r="97" spans="1:19" ht="17.25" thickBot="1">
      <c r="A97" s="255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56" t="s">
        <v>58</v>
      </c>
      <c r="H97" s="157" t="s">
        <v>299</v>
      </c>
      <c r="I97" s="158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219"/>
      <c r="R97" s="219"/>
      <c r="S97" s="219"/>
    </row>
    <row r="98" spans="1:19" ht="17.25" thickBot="1">
      <c r="A98" s="126" t="s">
        <v>296</v>
      </c>
      <c r="B98" s="127">
        <v>664</v>
      </c>
      <c r="C98" s="76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100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214"/>
      <c r="R98" s="214"/>
      <c r="S98" s="214"/>
    </row>
    <row r="99" spans="1:19" ht="17.25" thickBot="1">
      <c r="A99" s="128" t="s">
        <v>102</v>
      </c>
      <c r="B99" s="129">
        <v>75100</v>
      </c>
      <c r="C99" s="77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101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214"/>
      <c r="R99" s="214"/>
      <c r="S99" s="214"/>
    </row>
    <row r="100" spans="1:19" ht="17.25" thickBot="1">
      <c r="A100" s="128" t="s">
        <v>164</v>
      </c>
      <c r="B100" s="129">
        <v>44090</v>
      </c>
      <c r="C100" s="77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101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219"/>
      <c r="R100" s="219"/>
      <c r="S100" s="219"/>
    </row>
    <row r="101" spans="1:19" ht="17.25" thickBot="1">
      <c r="A101" s="128" t="s">
        <v>94</v>
      </c>
      <c r="B101" s="129">
        <v>127600</v>
      </c>
      <c r="C101" s="77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101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219"/>
      <c r="R101" s="219"/>
      <c r="S101" s="219"/>
    </row>
    <row r="102" spans="1:19" ht="17.25" thickBot="1">
      <c r="A102" s="130" t="s">
        <v>206</v>
      </c>
      <c r="B102" s="131">
        <v>40910</v>
      </c>
      <c r="C102" s="78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5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219"/>
      <c r="R102" s="219"/>
      <c r="S102" s="219"/>
    </row>
    <row r="103" spans="1:19" ht="17.25" thickBot="1">
      <c r="A103" s="128" t="s">
        <v>130</v>
      </c>
      <c r="B103" s="132">
        <v>383950</v>
      </c>
      <c r="C103" s="80">
        <v>6.2984496099999995E-2</v>
      </c>
      <c r="D103" s="106">
        <v>414650</v>
      </c>
      <c r="E103" s="107">
        <f>IF(ISNUMBER(D103), (D103 - $B103) / $B103, "")</f>
        <v>7.9958327907279594E-2</v>
      </c>
      <c r="F103" s="108">
        <f>IF(ISNUMBER(D103), $B118 * E103, "")</f>
        <v>11993.74918609194</v>
      </c>
      <c r="G103" s="109">
        <v>408400</v>
      </c>
      <c r="H103" s="107">
        <f>IF(ISNUMBER(G103), (G103 - $B103) / $B103, "")</f>
        <v>6.3680166688370884E-2</v>
      </c>
      <c r="I103" s="110">
        <f>IF(ISNUMBER(G103), $B118 * H103, "")</f>
        <v>9552.0250032556323</v>
      </c>
      <c r="J103" s="106">
        <v>412800</v>
      </c>
      <c r="K103" s="107">
        <f>IF(ISNUMBER(J103), (J103 - $B103) / $B103, "")</f>
        <v>7.513999218648261E-2</v>
      </c>
      <c r="L103" s="108">
        <f>IF(ISNUMBER(J103), $B118 * K103, "")</f>
        <v>11270.998827972391</v>
      </c>
      <c r="M103" s="109">
        <v>413800</v>
      </c>
      <c r="N103" s="107">
        <f>IF(ISNUMBER(M103), (M103 - $B103) / $B103, "")</f>
        <v>7.7744497981508009E-2</v>
      </c>
      <c r="O103" s="108">
        <f>IF(ISNUMBER(M103), $B118 * N103, "")</f>
        <v>11661.674697226201</v>
      </c>
      <c r="Q103" s="219"/>
      <c r="R103" s="219"/>
      <c r="S103" s="219"/>
    </row>
    <row r="104" spans="1:19" ht="17.25" thickBot="1">
      <c r="A104" s="128" t="s">
        <v>266</v>
      </c>
      <c r="B104" s="129">
        <v>104</v>
      </c>
      <c r="C104" s="77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101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219"/>
      <c r="R104" s="219"/>
      <c r="S104" s="219"/>
    </row>
    <row r="105" spans="1:19" ht="17.25" thickBot="1">
      <c r="A105" s="128" t="s">
        <v>76</v>
      </c>
      <c r="B105" s="129">
        <v>54200</v>
      </c>
      <c r="C105" s="77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101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219"/>
      <c r="R105" s="219"/>
      <c r="S105" s="219"/>
    </row>
    <row r="106" spans="1:19" ht="17.25" thickBot="1">
      <c r="A106" s="128" t="s">
        <v>108</v>
      </c>
      <c r="B106" s="129">
        <v>54400</v>
      </c>
      <c r="C106" s="77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101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33" t="s">
        <v>176</v>
      </c>
      <c r="B107" s="134">
        <v>2645</v>
      </c>
      <c r="C107" s="79">
        <v>3.7254901999999999E-2</v>
      </c>
      <c r="D107" s="24">
        <v>2495</v>
      </c>
      <c r="E107" s="25">
        <f t="shared" si="50"/>
        <v>-5.6710775047258979E-2</v>
      </c>
      <c r="F107" s="104">
        <f>IF(ISNUMBER(D107), $B118 * E107, "")</f>
        <v>-8506.6162570888464</v>
      </c>
      <c r="G107" s="102">
        <v>2525</v>
      </c>
      <c r="H107" s="25">
        <f t="shared" si="51"/>
        <v>-4.5368620037807186E-2</v>
      </c>
      <c r="I107" s="103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4">
        <f>IF(ISNUMBER(J107), $B118 * K107, "")</f>
        <v>-8223.0623818525528</v>
      </c>
      <c r="M107" s="102">
        <v>2530</v>
      </c>
      <c r="N107" s="25">
        <f t="shared" si="53"/>
        <v>-4.3478260869565216E-2</v>
      </c>
      <c r="O107" s="104">
        <f>IF(ISNUMBER(M107), $B118 * N107, "")</f>
        <v>-6521.7391304347821</v>
      </c>
      <c r="Q107" s="228"/>
      <c r="R107" s="229"/>
      <c r="S107" s="230"/>
    </row>
    <row r="108" spans="1:19">
      <c r="A108" s="126" t="s">
        <v>220</v>
      </c>
      <c r="B108" s="127">
        <v>23.5</v>
      </c>
      <c r="C108" s="76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100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231"/>
      <c r="R108" s="232"/>
      <c r="S108" s="233"/>
    </row>
    <row r="109" spans="1:19" ht="17.25" thickBot="1">
      <c r="A109" s="128" t="s">
        <v>276</v>
      </c>
      <c r="B109" s="129">
        <v>4535</v>
      </c>
      <c r="C109" s="77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101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234"/>
      <c r="R109" s="235"/>
      <c r="S109" s="236"/>
    </row>
    <row r="110" spans="1:19" ht="17.25" thickBot="1">
      <c r="A110" s="128" t="s">
        <v>144</v>
      </c>
      <c r="B110" s="129">
        <v>11590</v>
      </c>
      <c r="C110" s="77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101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219"/>
      <c r="R110" s="219"/>
      <c r="S110" s="219"/>
    </row>
    <row r="111" spans="1:19" ht="17.25" thickBot="1">
      <c r="A111" s="128" t="s">
        <v>90</v>
      </c>
      <c r="B111" s="129">
        <v>451000</v>
      </c>
      <c r="C111" s="77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101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214"/>
      <c r="R111" s="214"/>
      <c r="S111" s="214"/>
    </row>
    <row r="112" spans="1:19" ht="17.25" thickBot="1">
      <c r="A112" s="130" t="s">
        <v>86</v>
      </c>
      <c r="B112" s="131">
        <v>8340</v>
      </c>
      <c r="C112" s="78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5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214"/>
      <c r="R112" s="214"/>
      <c r="S112" s="214"/>
    </row>
    <row r="113" spans="1:19" ht="17.25" thickBot="1">
      <c r="A113" s="128" t="s">
        <v>96</v>
      </c>
      <c r="B113" s="132">
        <v>4211000</v>
      </c>
      <c r="C113" s="80">
        <v>-3.5494557999999998E-3</v>
      </c>
      <c r="D113" s="106">
        <v>4142000</v>
      </c>
      <c r="E113" s="107">
        <f>IF(ISNUMBER(D113), (D113 - $B113) / $B113, "")</f>
        <v>-1.6385656613630967E-2</v>
      </c>
      <c r="F113" s="108">
        <f>IF(ISNUMBER(D113), $B118 * E113, "")</f>
        <v>-2457.8484920446449</v>
      </c>
      <c r="G113" s="109">
        <v>4163000</v>
      </c>
      <c r="H113" s="107">
        <f>IF(ISNUMBER(G113), (G113 - $B113) / $B113, "")</f>
        <v>-1.1398717644265021E-2</v>
      </c>
      <c r="I113" s="110">
        <f>IF(ISNUMBER(G113), $B118 * H113, "")</f>
        <v>-1709.8076466397531</v>
      </c>
      <c r="J113" s="106">
        <v>4095000</v>
      </c>
      <c r="K113" s="107">
        <f>IF(ISNUMBER(J113), (J113 - $B113) / $B113, "")</f>
        <v>-2.7546900973640466E-2</v>
      </c>
      <c r="L113" s="108">
        <f>IF(ISNUMBER(J113), $B118 * K113, "")</f>
        <v>-4132.0351460460697</v>
      </c>
      <c r="M113" s="109">
        <v>4043000</v>
      </c>
      <c r="N113" s="107">
        <f>IF(ISNUMBER(M113), (M113 - $B113) / $B113, "")</f>
        <v>-3.9895511754927573E-2</v>
      </c>
      <c r="O113" s="108">
        <f>IF(ISNUMBER(M113), $B118 * N113, "")</f>
        <v>-5984.3267632391362</v>
      </c>
      <c r="Q113" s="219"/>
      <c r="R113" s="219"/>
      <c r="S113" s="219"/>
    </row>
    <row r="114" spans="1:19" ht="17.25" thickBot="1">
      <c r="A114" s="128" t="s">
        <v>78</v>
      </c>
      <c r="B114" s="129">
        <v>1241500</v>
      </c>
      <c r="C114" s="77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101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219"/>
      <c r="R114" s="219"/>
      <c r="S114" s="219"/>
    </row>
    <row r="115" spans="1:19" ht="17.25" thickBot="1">
      <c r="A115" s="128" t="s">
        <v>74</v>
      </c>
      <c r="B115" s="129">
        <v>28010</v>
      </c>
      <c r="C115" s="77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101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219"/>
      <c r="R115" s="219"/>
      <c r="S115" s="219"/>
    </row>
    <row r="116" spans="1:19">
      <c r="A116" s="128" t="s">
        <v>242</v>
      </c>
      <c r="B116" s="129">
        <v>7190</v>
      </c>
      <c r="C116" s="77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101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241"/>
      <c r="R116" s="242"/>
      <c r="S116" s="243"/>
    </row>
    <row r="117" spans="1:19" ht="17.25" thickBot="1">
      <c r="A117" s="133" t="s">
        <v>98</v>
      </c>
      <c r="B117" s="134">
        <v>7250</v>
      </c>
      <c r="C117" s="79">
        <v>-1.42760027E-2</v>
      </c>
      <c r="D117" s="24">
        <v>7475</v>
      </c>
      <c r="E117" s="25">
        <f t="shared" si="58"/>
        <v>3.1034482758620689E-2</v>
      </c>
      <c r="F117" s="104">
        <f>IF(ISNUMBER(D117), $B118 * E117, "")</f>
        <v>4655.1724137931033</v>
      </c>
      <c r="G117" s="102">
        <v>7705</v>
      </c>
      <c r="H117" s="25">
        <f t="shared" si="59"/>
        <v>6.2758620689655167E-2</v>
      </c>
      <c r="I117" s="103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4">
        <f>IF(ISNUMBER(J117), $B118 * K117, "")</f>
        <v>11172.413793103447</v>
      </c>
      <c r="M117" s="102">
        <v>7745</v>
      </c>
      <c r="N117" s="25">
        <f t="shared" si="61"/>
        <v>6.827586206896552E-2</v>
      </c>
      <c r="O117" s="104">
        <f>IF(ISNUMBER(M117), $B118 * N117, "")</f>
        <v>10241.379310344828</v>
      </c>
      <c r="Q117" s="244"/>
      <c r="R117" s="245"/>
      <c r="S117" s="246"/>
    </row>
    <row r="118" spans="1:19" ht="17.25" thickBot="1">
      <c r="A118" s="135" t="s">
        <v>301</v>
      </c>
      <c r="B118" s="252">
        <f>$B$37</f>
        <v>150000</v>
      </c>
      <c r="C118" s="253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247"/>
      <c r="R118" s="248"/>
      <c r="S118" s="249"/>
    </row>
    <row r="120" spans="1:19" ht="17.25" thickBot="1"/>
    <row r="121" spans="1:19" ht="17.25" thickBot="1">
      <c r="A121" s="193" t="s">
        <v>288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53" t="s">
        <v>298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72158000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9.1322285000000007E-3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2021-05-05(수) 오전 00:00</v>
      </c>
      <c r="C123" s="257"/>
      <c r="D123" s="216" t="str">
        <f>TEXT($G$1, "[$-ko-KR]yyyy-mm-dd(ddd) ") &amp; "오후 14:00"</f>
        <v>2021-05-05(수) 오후 14:00</v>
      </c>
      <c r="E123" s="217"/>
      <c r="F123" s="218"/>
      <c r="G123" s="216" t="str">
        <f>TEXT($G$1, "[$-ko-KR]yyyy-mm-dd(ddd) ") &amp; "오후 19:00"</f>
        <v>2021-05-05(수) 오후 19:00</v>
      </c>
      <c r="H123" s="217"/>
      <c r="I123" s="218"/>
      <c r="J123" s="216" t="str">
        <f>TEXT($G$1, "[$-ko-KR]yyyy-mm-dd(ddd) ") &amp; "오후 21:00"</f>
        <v>2021-05-05(수) 오후 21:00</v>
      </c>
      <c r="K123" s="217"/>
      <c r="L123" s="218"/>
      <c r="M123" s="216" t="str">
        <f>TEXT($G$1+1, "[$-ko-KR]yyyy-mm-dd(ddd) ") &amp; "오전 00:00"</f>
        <v>2021-05-06(목)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56" t="s">
        <v>58</v>
      </c>
      <c r="H124" s="157" t="s">
        <v>299</v>
      </c>
      <c r="I124" s="158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219"/>
      <c r="R124" s="219"/>
      <c r="S124" s="219"/>
    </row>
    <row r="125" spans="1:19" ht="17.25" thickBot="1">
      <c r="A125" s="126" t="s">
        <v>220</v>
      </c>
      <c r="B125" s="127">
        <v>23.5</v>
      </c>
      <c r="C125" s="76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100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214"/>
      <c r="R125" s="214"/>
      <c r="S125" s="214"/>
    </row>
    <row r="126" spans="1:19" ht="17.25" thickBot="1">
      <c r="A126" s="128" t="s">
        <v>154</v>
      </c>
      <c r="B126" s="129">
        <v>22.9</v>
      </c>
      <c r="C126" s="77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101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214"/>
      <c r="R126" s="214"/>
      <c r="S126" s="214"/>
    </row>
    <row r="127" spans="1:19" ht="17.25" thickBot="1">
      <c r="A127" s="128" t="s">
        <v>100</v>
      </c>
      <c r="B127" s="129">
        <v>8.08</v>
      </c>
      <c r="C127" s="77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101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219"/>
      <c r="R127" s="219"/>
      <c r="S127" s="219"/>
    </row>
    <row r="128" spans="1:19" ht="17.25" thickBot="1">
      <c r="A128" s="128" t="s">
        <v>196</v>
      </c>
      <c r="B128" s="129">
        <v>21.1</v>
      </c>
      <c r="C128" s="77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101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219"/>
      <c r="R128" s="219"/>
      <c r="S128" s="219"/>
    </row>
    <row r="129" spans="1:19" ht="17.25" thickBot="1">
      <c r="A129" s="130" t="s">
        <v>65</v>
      </c>
      <c r="B129" s="131">
        <v>73.400000000000006</v>
      </c>
      <c r="C129" s="78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5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219"/>
      <c r="R129" s="219"/>
      <c r="S129" s="219"/>
    </row>
    <row r="130" spans="1:19" ht="17.25" thickBot="1">
      <c r="A130" s="128" t="s">
        <v>254</v>
      </c>
      <c r="B130" s="132">
        <v>92.9</v>
      </c>
      <c r="C130" s="80">
        <v>-7.0999999999999994E-2</v>
      </c>
      <c r="D130" s="106">
        <v>86</v>
      </c>
      <c r="E130" s="107">
        <f>IF(ISNUMBER(D130), (D130 - $B130) / $B130, "")</f>
        <v>-7.427341227125947E-2</v>
      </c>
      <c r="F130" s="108">
        <f>IF(ISNUMBER(D130), $B145 * E130, "")</f>
        <v>-11141.011840688921</v>
      </c>
      <c r="G130" s="109">
        <v>88.1</v>
      </c>
      <c r="H130" s="107">
        <f>IF(ISNUMBER(G130), (G130 - $B130) / $B130, "")</f>
        <v>-5.1668460710441455E-2</v>
      </c>
      <c r="I130" s="110">
        <f>IF(ISNUMBER(G130), $B145 * H130, "")</f>
        <v>-7750.2691065662184</v>
      </c>
      <c r="J130" s="106">
        <v>86.5</v>
      </c>
      <c r="K130" s="107">
        <f>IF(ISNUMBER(J130), (J130 - $B130) / $B130, "")</f>
        <v>-6.8891280947255176E-2</v>
      </c>
      <c r="L130" s="108">
        <f>IF(ISNUMBER(J130), $B145 * K130, "")</f>
        <v>-10333.692142088277</v>
      </c>
      <c r="M130" s="109">
        <v>93.6</v>
      </c>
      <c r="N130" s="107">
        <f>IF(ISNUMBER(M130), (M130 - $B130) / $B130, "")</f>
        <v>7.534983853605905E-3</v>
      </c>
      <c r="O130" s="108">
        <f>IF(ISNUMBER(M130), $B145 * N130, "")</f>
        <v>1130.2475780408859</v>
      </c>
      <c r="Q130" s="219"/>
      <c r="R130" s="219"/>
      <c r="S130" s="219"/>
    </row>
    <row r="131" spans="1:19" ht="17.25" thickBot="1">
      <c r="A131" s="128" t="s">
        <v>72</v>
      </c>
      <c r="B131" s="129">
        <v>35.6</v>
      </c>
      <c r="C131" s="77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101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219"/>
      <c r="R131" s="219"/>
      <c r="S131" s="219"/>
    </row>
    <row r="132" spans="1:19" ht="17.25" thickBot="1">
      <c r="A132" s="128" t="s">
        <v>214</v>
      </c>
      <c r="B132" s="129">
        <v>23.5</v>
      </c>
      <c r="C132" s="77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101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219"/>
      <c r="R132" s="219"/>
      <c r="S132" s="219"/>
    </row>
    <row r="133" spans="1:19" ht="17.25" thickBot="1">
      <c r="A133" s="128" t="s">
        <v>172</v>
      </c>
      <c r="B133" s="129">
        <v>26.5</v>
      </c>
      <c r="C133" s="77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101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33" t="s">
        <v>228</v>
      </c>
      <c r="B134" s="134">
        <v>19.5</v>
      </c>
      <c r="C134" s="79">
        <v>-8.0188679200000001E-2</v>
      </c>
      <c r="D134" s="24">
        <v>18</v>
      </c>
      <c r="E134" s="25">
        <f t="shared" si="66"/>
        <v>-7.6923076923076927E-2</v>
      </c>
      <c r="F134" s="104">
        <f>IF(ISNUMBER(D134), $B145 * E134, "")</f>
        <v>-11538.461538461539</v>
      </c>
      <c r="G134" s="102">
        <v>18.600000000000001</v>
      </c>
      <c r="H134" s="25">
        <f t="shared" si="67"/>
        <v>-4.615384615384608E-2</v>
      </c>
      <c r="I134" s="103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4">
        <f>IF(ISNUMBER(J134), $B145 * K134, "")</f>
        <v>-9230.769230769225</v>
      </c>
      <c r="M134" s="102">
        <v>18.7</v>
      </c>
      <c r="N134" s="25">
        <f t="shared" si="69"/>
        <v>-4.102564102564106E-2</v>
      </c>
      <c r="O134" s="104">
        <f>IF(ISNUMBER(M134), $B145 * N134, "")</f>
        <v>-6153.8461538461588</v>
      </c>
      <c r="Q134" s="228"/>
      <c r="R134" s="229"/>
      <c r="S134" s="230"/>
    </row>
    <row r="135" spans="1:19">
      <c r="A135" s="126" t="s">
        <v>222</v>
      </c>
      <c r="B135" s="127">
        <v>19.3</v>
      </c>
      <c r="C135" s="76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100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231"/>
      <c r="R135" s="232"/>
      <c r="S135" s="233"/>
    </row>
    <row r="136" spans="1:19" ht="17.25" thickBot="1">
      <c r="A136" s="128" t="s">
        <v>236</v>
      </c>
      <c r="B136" s="129">
        <v>72.2</v>
      </c>
      <c r="C136" s="77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101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234"/>
      <c r="R136" s="235"/>
      <c r="S136" s="236"/>
    </row>
    <row r="137" spans="1:19" ht="17.25" thickBot="1">
      <c r="A137" s="128" t="s">
        <v>218</v>
      </c>
      <c r="B137" s="129">
        <v>30.3</v>
      </c>
      <c r="C137" s="77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101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219"/>
      <c r="R137" s="219"/>
      <c r="S137" s="219"/>
    </row>
    <row r="138" spans="1:19" ht="17.25" thickBot="1">
      <c r="A138" s="128" t="s">
        <v>186</v>
      </c>
      <c r="B138" s="129">
        <v>27.1</v>
      </c>
      <c r="C138" s="77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101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214"/>
      <c r="R138" s="214"/>
      <c r="S138" s="214"/>
    </row>
    <row r="139" spans="1:19" ht="17.25" thickBot="1">
      <c r="A139" s="130" t="s">
        <v>198</v>
      </c>
      <c r="B139" s="131">
        <v>29.9</v>
      </c>
      <c r="C139" s="78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5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214"/>
      <c r="R139" s="214"/>
      <c r="S139" s="214"/>
    </row>
    <row r="140" spans="1:19" ht="17.25" thickBot="1">
      <c r="A140" s="128" t="s">
        <v>152</v>
      </c>
      <c r="B140" s="132">
        <v>45.6</v>
      </c>
      <c r="C140" s="80">
        <v>-8.9820359299999999E-2</v>
      </c>
      <c r="D140" s="106">
        <v>45.8</v>
      </c>
      <c r="E140" s="107">
        <f>IF(ISNUMBER(D140), (D140 - $B140) / $B140, "")</f>
        <v>4.3859649122806078E-3</v>
      </c>
      <c r="F140" s="108">
        <f>IF(ISNUMBER(D140), $B145 * E140, "")</f>
        <v>657.89473684209122</v>
      </c>
      <c r="G140" s="109">
        <v>47.6</v>
      </c>
      <c r="H140" s="107">
        <f>IF(ISNUMBER(G140), (G140 - $B140) / $B140, "")</f>
        <v>4.3859649122807015E-2</v>
      </c>
      <c r="I140" s="110">
        <f>IF(ISNUMBER(G140), $B145 * H140, "")</f>
        <v>6578.9473684210525</v>
      </c>
      <c r="J140" s="106">
        <v>48.1</v>
      </c>
      <c r="K140" s="107">
        <f>IF(ISNUMBER(J140), (J140 - $B140) / $B140, "")</f>
        <v>5.4824561403508769E-2</v>
      </c>
      <c r="L140" s="108">
        <f>IF(ISNUMBER(J140), $B145 * K140, "")</f>
        <v>8223.6842105263149</v>
      </c>
      <c r="M140" s="109">
        <v>51.5</v>
      </c>
      <c r="N140" s="107">
        <f>IF(ISNUMBER(M140), (M140 - $B140) / $B140, "")</f>
        <v>0.12938596491228066</v>
      </c>
      <c r="O140" s="108">
        <f>IF(ISNUMBER(M140), $B145 * N140, "")</f>
        <v>19407.8947368421</v>
      </c>
      <c r="Q140" s="219"/>
      <c r="R140" s="219"/>
      <c r="S140" s="219"/>
    </row>
    <row r="141" spans="1:19" ht="17.25" thickBot="1">
      <c r="A141" s="128" t="s">
        <v>126</v>
      </c>
      <c r="B141" s="129">
        <v>63.1</v>
      </c>
      <c r="C141" s="77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101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219"/>
      <c r="R141" s="219"/>
      <c r="S141" s="219"/>
    </row>
    <row r="142" spans="1:19" ht="17.25" thickBot="1">
      <c r="A142" s="128"/>
      <c r="B142" s="129"/>
      <c r="C142" s="77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101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19"/>
      <c r="R142" s="219"/>
      <c r="S142" s="219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5" t="s">
        <v>301</v>
      </c>
      <c r="B145" s="252">
        <f>$B$37</f>
        <v>150000</v>
      </c>
      <c r="C145" s="253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247"/>
      <c r="R145" s="248"/>
      <c r="S145" s="249"/>
    </row>
    <row r="147" spans="1:19" ht="17.25" thickBot="1"/>
    <row r="148" spans="1:19" ht="17.25" thickBot="1">
      <c r="A148" s="193" t="s">
        <v>289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53" t="s">
        <v>298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72158000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9.1322285000000007E-3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2021-05-05(수) 오전 00:00</v>
      </c>
      <c r="C150" s="257"/>
      <c r="D150" s="216" t="str">
        <f>TEXT($G$1, "[$-ko-KR]yyyy-mm-dd(ddd) ") &amp; "오후 14:00"</f>
        <v>2021-05-05(수) 오후 14:00</v>
      </c>
      <c r="E150" s="217"/>
      <c r="F150" s="218"/>
      <c r="G150" s="216" t="str">
        <f>TEXT($G$1, "[$-ko-KR]yyyy-mm-dd(ddd) ") &amp; "오후 19:00"</f>
        <v>2021-05-05(수) 오후 19:00</v>
      </c>
      <c r="H150" s="217"/>
      <c r="I150" s="218"/>
      <c r="J150" s="216" t="str">
        <f>TEXT($G$1, "[$-ko-KR]yyyy-mm-dd(ddd) ") &amp; "오후 21:00"</f>
        <v>2021-05-05(수) 오후 21:00</v>
      </c>
      <c r="K150" s="217"/>
      <c r="L150" s="218"/>
      <c r="M150" s="216" t="str">
        <f>TEXT($G$1+1, "[$-ko-KR]yyyy-mm-dd(ddd) ") &amp; "오전 00:00"</f>
        <v>2021-05-06(목)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56" t="s">
        <v>58</v>
      </c>
      <c r="H151" s="157" t="s">
        <v>299</v>
      </c>
      <c r="I151" s="158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219"/>
      <c r="R151" s="219"/>
      <c r="S151" s="219"/>
    </row>
    <row r="152" spans="1:19" ht="17.25" thickBot="1">
      <c r="A152" s="126" t="s">
        <v>182</v>
      </c>
      <c r="B152" s="127">
        <v>469</v>
      </c>
      <c r="C152" s="76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100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214"/>
      <c r="R152" s="214"/>
      <c r="S152" s="214"/>
    </row>
    <row r="153" spans="1:19" ht="17.25" thickBot="1">
      <c r="A153" s="128" t="s">
        <v>174</v>
      </c>
      <c r="B153" s="129">
        <v>284</v>
      </c>
      <c r="C153" s="77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101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214"/>
      <c r="R153" s="214"/>
      <c r="S153" s="214"/>
    </row>
    <row r="154" spans="1:19" ht="17.25" thickBot="1">
      <c r="A154" s="128" t="s">
        <v>168</v>
      </c>
      <c r="B154" s="129">
        <v>204</v>
      </c>
      <c r="C154" s="77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101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219"/>
      <c r="R154" s="219"/>
      <c r="S154" s="219"/>
    </row>
    <row r="155" spans="1:19" ht="17.25" thickBot="1">
      <c r="A155" s="128" t="s">
        <v>122</v>
      </c>
      <c r="B155" s="129">
        <v>124</v>
      </c>
      <c r="C155" s="77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101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219"/>
      <c r="R155" s="219"/>
      <c r="S155" s="219"/>
    </row>
    <row r="156" spans="1:19" ht="17.25" thickBot="1">
      <c r="A156" s="130" t="s">
        <v>258</v>
      </c>
      <c r="B156" s="131">
        <v>747</v>
      </c>
      <c r="C156" s="78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5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219"/>
      <c r="R156" s="219"/>
      <c r="S156" s="219"/>
    </row>
    <row r="157" spans="1:19" ht="17.25" thickBot="1">
      <c r="A157" s="128" t="s">
        <v>170</v>
      </c>
      <c r="B157" s="132">
        <v>519</v>
      </c>
      <c r="C157" s="80">
        <v>-8.3038869299999998E-2</v>
      </c>
      <c r="D157" s="106">
        <v>503</v>
      </c>
      <c r="E157" s="107">
        <f>IF(ISNUMBER(D157), (D157 - $B157) / $B157, "")</f>
        <v>-3.0828516377649325E-2</v>
      </c>
      <c r="F157" s="108">
        <f>IF(ISNUMBER(D157), $B172 * E157, "")</f>
        <v>-4624.277456647399</v>
      </c>
      <c r="G157" s="109">
        <v>507</v>
      </c>
      <c r="H157" s="107">
        <f>IF(ISNUMBER(G157), (G157 - $B157) / $B157, "")</f>
        <v>-2.3121387283236993E-2</v>
      </c>
      <c r="I157" s="110">
        <f>IF(ISNUMBER(G157), $B172 * H157, "")</f>
        <v>-3468.2080924855491</v>
      </c>
      <c r="J157" s="106">
        <v>500</v>
      </c>
      <c r="K157" s="107">
        <f>IF(ISNUMBER(J157), (J157 - $B157) / $B157, "")</f>
        <v>-3.6608863198458574E-2</v>
      </c>
      <c r="L157" s="108">
        <f>IF(ISNUMBER(J157), $B172 * K157, "")</f>
        <v>-5491.3294797687859</v>
      </c>
      <c r="M157" s="109">
        <v>507</v>
      </c>
      <c r="N157" s="107">
        <f>IF(ISNUMBER(M157), (M157 - $B157) / $B157, "")</f>
        <v>-2.3121387283236993E-2</v>
      </c>
      <c r="O157" s="108">
        <f>IF(ISNUMBER(M157), $B172 * N157, "")</f>
        <v>-3468.2080924855491</v>
      </c>
      <c r="Q157" s="219"/>
      <c r="R157" s="219"/>
      <c r="S157" s="219"/>
    </row>
    <row r="158" spans="1:19" ht="17.25" thickBot="1">
      <c r="A158" s="128" t="s">
        <v>232</v>
      </c>
      <c r="B158" s="129">
        <v>185</v>
      </c>
      <c r="C158" s="77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101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219"/>
      <c r="R158" s="219"/>
      <c r="S158" s="219"/>
    </row>
    <row r="159" spans="1:19" ht="17.25" thickBot="1">
      <c r="A159" s="128" t="s">
        <v>216</v>
      </c>
      <c r="B159" s="129">
        <v>457</v>
      </c>
      <c r="C159" s="77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101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219"/>
      <c r="R159" s="219"/>
      <c r="S159" s="219"/>
    </row>
    <row r="160" spans="1:19" ht="17.25" thickBot="1">
      <c r="A160" s="128" t="s">
        <v>208</v>
      </c>
      <c r="B160" s="129">
        <v>511</v>
      </c>
      <c r="C160" s="77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101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33" t="s">
        <v>226</v>
      </c>
      <c r="B161" s="134">
        <v>521</v>
      </c>
      <c r="C161" s="79">
        <v>-8.4358523699999993E-2</v>
      </c>
      <c r="D161" s="24">
        <v>503</v>
      </c>
      <c r="E161" s="25">
        <f t="shared" si="82"/>
        <v>-3.4548944337811902E-2</v>
      </c>
      <c r="F161" s="104">
        <f>IF(ISNUMBER(D161), $B172 * E161, "")</f>
        <v>-5182.3416506717849</v>
      </c>
      <c r="G161" s="102">
        <v>504</v>
      </c>
      <c r="H161" s="25">
        <f t="shared" si="83"/>
        <v>-3.2629558541266791E-2</v>
      </c>
      <c r="I161" s="103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4">
        <f>IF(ISNUMBER(J161), $B172 * K161, "")</f>
        <v>-6046.0652591170829</v>
      </c>
      <c r="M161" s="102">
        <v>502</v>
      </c>
      <c r="N161" s="25">
        <f t="shared" si="85"/>
        <v>-3.6468330134357005E-2</v>
      </c>
      <c r="O161" s="104">
        <f>IF(ISNUMBER(M161), $B172 * N161, "")</f>
        <v>-5470.2495201535503</v>
      </c>
      <c r="Q161" s="228"/>
      <c r="R161" s="229"/>
      <c r="S161" s="230"/>
    </row>
    <row r="162" spans="1:19">
      <c r="A162" s="126" t="s">
        <v>260</v>
      </c>
      <c r="B162" s="127">
        <v>129</v>
      </c>
      <c r="C162" s="76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100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231"/>
      <c r="R162" s="232"/>
      <c r="S162" s="233"/>
    </row>
    <row r="163" spans="1:19" ht="17.25" thickBot="1">
      <c r="A163" s="128" t="s">
        <v>250</v>
      </c>
      <c r="B163" s="129">
        <v>224</v>
      </c>
      <c r="C163" s="77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101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234"/>
      <c r="R163" s="235"/>
      <c r="S163" s="236"/>
    </row>
    <row r="164" spans="1:19" ht="17.25" thickBot="1">
      <c r="A164" s="128" t="s">
        <v>264</v>
      </c>
      <c r="B164" s="129">
        <v>179</v>
      </c>
      <c r="C164" s="77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101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219"/>
      <c r="R164" s="219"/>
      <c r="S164" s="219"/>
    </row>
    <row r="165" spans="1:19" ht="17.25" thickBot="1">
      <c r="A165" s="128" t="s">
        <v>240</v>
      </c>
      <c r="B165" s="129">
        <v>196</v>
      </c>
      <c r="C165" s="77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101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214"/>
      <c r="R165" s="214"/>
      <c r="S165" s="214"/>
    </row>
    <row r="166" spans="1:19" ht="17.25" thickBot="1">
      <c r="A166" s="130" t="s">
        <v>112</v>
      </c>
      <c r="B166" s="131">
        <v>264</v>
      </c>
      <c r="C166" s="78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5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214"/>
      <c r="R166" s="214"/>
      <c r="S166" s="214"/>
    </row>
    <row r="167" spans="1:19" ht="17.25" thickBot="1">
      <c r="A167" s="128" t="s">
        <v>54</v>
      </c>
      <c r="B167" s="132">
        <v>364</v>
      </c>
      <c r="C167" s="80">
        <v>-0.09</v>
      </c>
      <c r="D167" s="106">
        <v>360</v>
      </c>
      <c r="E167" s="107">
        <f>IF(ISNUMBER(D167), (D167 - $B167) / $B167, "")</f>
        <v>-1.098901098901099E-2</v>
      </c>
      <c r="F167" s="108">
        <f>IF(ISNUMBER(D167), $B172 * E167, "")</f>
        <v>-1648.3516483516485</v>
      </c>
      <c r="G167" s="109">
        <v>364</v>
      </c>
      <c r="H167" s="107">
        <f>IF(ISNUMBER(G167), (G167 - $B167) / $B167, "")</f>
        <v>0</v>
      </c>
      <c r="I167" s="110">
        <f>IF(ISNUMBER(G167), $B172 * H167, "")</f>
        <v>0</v>
      </c>
      <c r="J167" s="106">
        <v>363</v>
      </c>
      <c r="K167" s="107">
        <f>IF(ISNUMBER(J167), (J167 - $B167) / $B167, "")</f>
        <v>-2.7472527472527475E-3</v>
      </c>
      <c r="L167" s="108">
        <f>IF(ISNUMBER(J167), $B172 * K167, "")</f>
        <v>-412.08791208791212</v>
      </c>
      <c r="M167" s="109">
        <v>378</v>
      </c>
      <c r="N167" s="107">
        <f>IF(ISNUMBER(M167), (M167 - $B167) / $B167, "")</f>
        <v>3.8461538461538464E-2</v>
      </c>
      <c r="O167" s="108">
        <f>IF(ISNUMBER(M167), $B172 * N167, "")</f>
        <v>5769.2307692307695</v>
      </c>
      <c r="Q167" s="219"/>
      <c r="R167" s="219"/>
      <c r="S167" s="219"/>
    </row>
    <row r="168" spans="1:19" ht="17.25" thickBot="1">
      <c r="A168" s="128" t="s">
        <v>202</v>
      </c>
      <c r="B168" s="129">
        <v>226</v>
      </c>
      <c r="C168" s="77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101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219"/>
      <c r="R168" s="219"/>
      <c r="S168" s="219"/>
    </row>
    <row r="169" spans="1:19" ht="17.25" thickBot="1">
      <c r="A169" s="128" t="s">
        <v>230</v>
      </c>
      <c r="B169" s="129">
        <v>185</v>
      </c>
      <c r="C169" s="77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101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219"/>
      <c r="R169" s="219"/>
      <c r="S169" s="219"/>
    </row>
    <row r="170" spans="1:19">
      <c r="A170" s="128" t="s">
        <v>210</v>
      </c>
      <c r="B170" s="129">
        <v>203</v>
      </c>
      <c r="C170" s="77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101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241"/>
      <c r="R170" s="242"/>
      <c r="S170" s="243"/>
    </row>
    <row r="171" spans="1:19" ht="17.25" thickBot="1">
      <c r="A171" s="133" t="s">
        <v>212</v>
      </c>
      <c r="B171" s="134">
        <v>160</v>
      </c>
      <c r="C171" s="79">
        <v>-9.6045197700000001E-2</v>
      </c>
      <c r="D171" s="24">
        <v>151</v>
      </c>
      <c r="E171" s="25">
        <f t="shared" si="90"/>
        <v>-5.6250000000000001E-2</v>
      </c>
      <c r="F171" s="104">
        <f>IF(ISNUMBER(D171), $B172 * E171, "")</f>
        <v>-8437.5</v>
      </c>
      <c r="G171" s="102">
        <v>155</v>
      </c>
      <c r="H171" s="25">
        <f t="shared" si="91"/>
        <v>-3.125E-2</v>
      </c>
      <c r="I171" s="103">
        <f>IF(ISNUMBER(G171), $B172 * H171, "")</f>
        <v>-4687.5</v>
      </c>
      <c r="J171" s="24">
        <v>151</v>
      </c>
      <c r="K171" s="25">
        <f t="shared" si="92"/>
        <v>-5.6250000000000001E-2</v>
      </c>
      <c r="L171" s="104">
        <f>IF(ISNUMBER(J171), $B172 * K171, "")</f>
        <v>-8437.5</v>
      </c>
      <c r="M171" s="102">
        <v>153</v>
      </c>
      <c r="N171" s="25">
        <f t="shared" si="93"/>
        <v>-4.3749999999999997E-2</v>
      </c>
      <c r="O171" s="104">
        <f>IF(ISNUMBER(M171), $B172 * N171, "")</f>
        <v>-6562.5</v>
      </c>
      <c r="Q171" s="244"/>
      <c r="R171" s="245"/>
      <c r="S171" s="246"/>
    </row>
    <row r="172" spans="1:19" ht="17.25" thickBot="1">
      <c r="A172" s="135" t="s">
        <v>301</v>
      </c>
      <c r="B172" s="252">
        <f>$B$37</f>
        <v>150000</v>
      </c>
      <c r="C172" s="253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247"/>
      <c r="R172" s="248"/>
      <c r="S172" s="249"/>
    </row>
    <row r="174" spans="1:19" ht="17.25" thickBot="1"/>
    <row r="175" spans="1:19" ht="17.25" thickBot="1">
      <c r="A175" s="193" t="s">
        <v>285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53" t="s">
        <v>298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72158000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9.1322285000000007E-3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2021-05-05(수) 오전 00:00</v>
      </c>
      <c r="C177" s="257"/>
      <c r="D177" s="216" t="str">
        <f>TEXT($G$1, "[$-ko-KR]yyyy-mm-dd(ddd) ") &amp; "오후 14:00"</f>
        <v>2021-05-05(수) 오후 14:00</v>
      </c>
      <c r="E177" s="217"/>
      <c r="F177" s="218"/>
      <c r="G177" s="216" t="str">
        <f>TEXT($G$1, "[$-ko-KR]yyyy-mm-dd(ddd) ") &amp; "오후 19:00"</f>
        <v>2021-05-05(수) 오후 19:00</v>
      </c>
      <c r="H177" s="217"/>
      <c r="I177" s="218"/>
      <c r="J177" s="216" t="str">
        <f>TEXT($G$1, "[$-ko-KR]yyyy-mm-dd(ddd) ") &amp; "오후 21:00"</f>
        <v>2021-05-05(수) 오후 21:00</v>
      </c>
      <c r="K177" s="217"/>
      <c r="L177" s="218"/>
      <c r="M177" s="216" t="str">
        <f>TEXT($G$1+1, "[$-ko-KR]yyyy-mm-dd(ddd) ") &amp; "오전 00:00"</f>
        <v>2021-05-06(목)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56" t="s">
        <v>58</v>
      </c>
      <c r="H178" s="157" t="s">
        <v>299</v>
      </c>
      <c r="I178" s="158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219"/>
      <c r="R178" s="219"/>
      <c r="S178" s="219"/>
    </row>
    <row r="179" spans="1:19" ht="17.25" thickBot="1">
      <c r="A179" s="126" t="s">
        <v>260</v>
      </c>
      <c r="B179" s="127">
        <v>129</v>
      </c>
      <c r="C179" s="76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100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214"/>
      <c r="R179" s="214"/>
      <c r="S179" s="214"/>
    </row>
    <row r="180" spans="1:19" ht="17.25" thickBot="1">
      <c r="A180" s="128" t="s">
        <v>146</v>
      </c>
      <c r="B180" s="129">
        <v>18340</v>
      </c>
      <c r="C180" s="77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101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214"/>
      <c r="R180" s="214"/>
      <c r="S180" s="214"/>
    </row>
    <row r="181" spans="1:19" ht="17.25" thickBot="1">
      <c r="A181" s="128" t="s">
        <v>192</v>
      </c>
      <c r="B181" s="129">
        <v>1125</v>
      </c>
      <c r="C181" s="77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101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219"/>
      <c r="R181" s="219"/>
      <c r="S181" s="219"/>
    </row>
    <row r="182" spans="1:19" ht="17.25" thickBot="1">
      <c r="A182" s="128" t="s">
        <v>250</v>
      </c>
      <c r="B182" s="129">
        <v>224</v>
      </c>
      <c r="C182" s="77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101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219"/>
      <c r="R182" s="219"/>
      <c r="S182" s="219"/>
    </row>
    <row r="183" spans="1:19" ht="17.25" thickBot="1">
      <c r="A183" s="130" t="s">
        <v>264</v>
      </c>
      <c r="B183" s="131">
        <v>179</v>
      </c>
      <c r="C183" s="78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5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219"/>
      <c r="R183" s="219"/>
      <c r="S183" s="219"/>
    </row>
    <row r="184" spans="1:19" ht="17.25" thickBot="1">
      <c r="A184" s="128" t="s">
        <v>236</v>
      </c>
      <c r="B184" s="132">
        <v>72.2</v>
      </c>
      <c r="C184" s="80">
        <v>-8.7231352700000001E-2</v>
      </c>
      <c r="D184" s="106">
        <v>67.7</v>
      </c>
      <c r="E184" s="107">
        <f>IF(ISNUMBER(D184), (D184 - $B184) / $B184, "")</f>
        <v>-6.2326869806094178E-2</v>
      </c>
      <c r="F184" s="108">
        <f>IF(ISNUMBER(D184), $B199 * E184, "")</f>
        <v>-9349.0304709141274</v>
      </c>
      <c r="G184" s="109">
        <v>68.900000000000006</v>
      </c>
      <c r="H184" s="107">
        <f>IF(ISNUMBER(G184), (G184 - $B184) / $B184, "")</f>
        <v>-4.5706371191135693E-2</v>
      </c>
      <c r="I184" s="110">
        <f>IF(ISNUMBER(G184), $B199 * H184, "")</f>
        <v>-6855.9556786703542</v>
      </c>
      <c r="J184" s="106">
        <v>68</v>
      </c>
      <c r="K184" s="107">
        <f>IF(ISNUMBER(J184), (J184 - $B184) / $B184, "")</f>
        <v>-5.8171745152354605E-2</v>
      </c>
      <c r="L184" s="108">
        <f>IF(ISNUMBER(J184), $B199 * K184, "")</f>
        <v>-8725.7617728531914</v>
      </c>
      <c r="M184" s="109">
        <v>69.599999999999994</v>
      </c>
      <c r="N184" s="107">
        <f>IF(ISNUMBER(M184), (M184 - $B184) / $B184, "")</f>
        <v>-3.6011080332410086E-2</v>
      </c>
      <c r="O184" s="108">
        <f>IF(ISNUMBER(M184), $B199 * N184, "")</f>
        <v>-5401.662049861513</v>
      </c>
      <c r="Q184" s="219"/>
      <c r="R184" s="219"/>
      <c r="S184" s="219"/>
    </row>
    <row r="185" spans="1:19" ht="17.25" thickBot="1">
      <c r="A185" s="128" t="s">
        <v>218</v>
      </c>
      <c r="B185" s="129">
        <v>30.3</v>
      </c>
      <c r="C185" s="77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101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219"/>
      <c r="R185" s="219"/>
      <c r="S185" s="219"/>
    </row>
    <row r="186" spans="1:19" ht="17.25" thickBot="1">
      <c r="A186" s="128" t="s">
        <v>186</v>
      </c>
      <c r="B186" s="129">
        <v>27.1</v>
      </c>
      <c r="C186" s="77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101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219"/>
      <c r="R186" s="219"/>
      <c r="S186" s="219"/>
    </row>
    <row r="187" spans="1:19" ht="17.25" thickBot="1">
      <c r="A187" s="128" t="s">
        <v>240</v>
      </c>
      <c r="B187" s="129">
        <v>196</v>
      </c>
      <c r="C187" s="77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101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33" t="s">
        <v>198</v>
      </c>
      <c r="B188" s="134">
        <v>29.9</v>
      </c>
      <c r="C188" s="79">
        <v>-8.84146341E-2</v>
      </c>
      <c r="D188" s="24">
        <v>28.2</v>
      </c>
      <c r="E188" s="25">
        <f t="shared" si="98"/>
        <v>-5.6856187290969876E-2</v>
      </c>
      <c r="F188" s="104">
        <f>IF(ISNUMBER(D188), $B199 * E188, "")</f>
        <v>-8528.4280936454816</v>
      </c>
      <c r="G188" s="102">
        <v>28.5</v>
      </c>
      <c r="H188" s="25">
        <f t="shared" si="99"/>
        <v>-4.6822742474916343E-2</v>
      </c>
      <c r="I188" s="103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4">
        <f>IF(ISNUMBER(J188), $B199 * K188, "")</f>
        <v>-8528.4280936454816</v>
      </c>
      <c r="M188" s="102">
        <v>29</v>
      </c>
      <c r="N188" s="25">
        <f t="shared" si="101"/>
        <v>-3.0100334448160487E-2</v>
      </c>
      <c r="O188" s="104">
        <f>IF(ISNUMBER(M188), $B199 * N188, "")</f>
        <v>-4515.0501672240734</v>
      </c>
      <c r="Q188" s="228"/>
      <c r="R188" s="229"/>
      <c r="S188" s="230"/>
    </row>
    <row r="189" spans="1:19">
      <c r="A189" s="126" t="s">
        <v>112</v>
      </c>
      <c r="B189" s="127">
        <v>264</v>
      </c>
      <c r="C189" s="76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100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231"/>
      <c r="R189" s="232"/>
      <c r="S189" s="233"/>
    </row>
    <row r="190" spans="1:19" ht="17.25" thickBot="1">
      <c r="A190" s="128" t="s">
        <v>152</v>
      </c>
      <c r="B190" s="129">
        <v>45.6</v>
      </c>
      <c r="C190" s="77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101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234"/>
      <c r="R190" s="235"/>
      <c r="S190" s="236"/>
    </row>
    <row r="191" spans="1:19" ht="17.25" thickBot="1">
      <c r="A191" s="128" t="s">
        <v>54</v>
      </c>
      <c r="B191" s="129">
        <v>364</v>
      </c>
      <c r="C191" s="77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101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219"/>
      <c r="R191" s="219"/>
      <c r="S191" s="219"/>
    </row>
    <row r="192" spans="1:19" ht="17.25" thickBot="1">
      <c r="A192" s="128" t="s">
        <v>124</v>
      </c>
      <c r="B192" s="129">
        <v>7235</v>
      </c>
      <c r="C192" s="77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101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214"/>
      <c r="R192" s="214"/>
      <c r="S192" s="214"/>
    </row>
    <row r="193" spans="1:19" ht="17.25" thickBot="1">
      <c r="A193" s="130" t="s">
        <v>244</v>
      </c>
      <c r="B193" s="131">
        <v>3760</v>
      </c>
      <c r="C193" s="78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5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214"/>
      <c r="R193" s="214"/>
      <c r="S193" s="214"/>
    </row>
    <row r="194" spans="1:19" ht="17.25" thickBot="1">
      <c r="A194" s="128" t="s">
        <v>202</v>
      </c>
      <c r="B194" s="132">
        <v>226</v>
      </c>
      <c r="C194" s="80">
        <v>-9.2369477899999997E-2</v>
      </c>
      <c r="D194" s="106">
        <v>213</v>
      </c>
      <c r="E194" s="107">
        <f>IF(ISNUMBER(D194), (D194 - $B194) / $B194, "")</f>
        <v>-5.7522123893805309E-2</v>
      </c>
      <c r="F194" s="108">
        <f>IF(ISNUMBER(D194), $B199 * E194, "")</f>
        <v>-8628.3185840707956</v>
      </c>
      <c r="G194" s="109">
        <v>214</v>
      </c>
      <c r="H194" s="107">
        <f>IF(ISNUMBER(G194), (G194 - $B194) / $B194, "")</f>
        <v>-5.3097345132743362E-2</v>
      </c>
      <c r="I194" s="110">
        <f>IF(ISNUMBER(G194), $B199 * H194, "")</f>
        <v>-7964.6017699115046</v>
      </c>
      <c r="J194" s="106">
        <v>209</v>
      </c>
      <c r="K194" s="107">
        <f>IF(ISNUMBER(J194), (J194 - $B194) / $B194, "")</f>
        <v>-7.5221238938053103E-2</v>
      </c>
      <c r="L194" s="108">
        <f>IF(ISNUMBER(J194), $B199 * K194, "")</f>
        <v>-11283.185840707965</v>
      </c>
      <c r="M194" s="109">
        <v>215</v>
      </c>
      <c r="N194" s="107">
        <f>IF(ISNUMBER(M194), (M194 - $B194) / $B194, "")</f>
        <v>-4.8672566371681415E-2</v>
      </c>
      <c r="O194" s="108">
        <f>IF(ISNUMBER(M194), $B199 * N194, "")</f>
        <v>-7300.8849557522126</v>
      </c>
      <c r="Q194" s="219"/>
      <c r="R194" s="219"/>
      <c r="S194" s="219"/>
    </row>
    <row r="195" spans="1:19" ht="17.25" thickBot="1">
      <c r="A195" s="128" t="s">
        <v>230</v>
      </c>
      <c r="B195" s="129">
        <v>185</v>
      </c>
      <c r="C195" s="77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101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219"/>
      <c r="R195" s="219"/>
      <c r="S195" s="219"/>
    </row>
    <row r="196" spans="1:19" ht="17.25" thickBot="1">
      <c r="A196" s="128" t="s">
        <v>210</v>
      </c>
      <c r="B196" s="129">
        <v>203</v>
      </c>
      <c r="C196" s="77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101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219"/>
      <c r="R196" s="219"/>
      <c r="S196" s="219"/>
    </row>
    <row r="197" spans="1:19">
      <c r="A197" s="128" t="s">
        <v>126</v>
      </c>
      <c r="B197" s="129">
        <v>63.1</v>
      </c>
      <c r="C197" s="77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101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241"/>
      <c r="R197" s="242"/>
      <c r="S197" s="243"/>
    </row>
    <row r="198" spans="1:19" ht="17.25" thickBot="1">
      <c r="A198" s="133" t="s">
        <v>212</v>
      </c>
      <c r="B198" s="134">
        <v>160</v>
      </c>
      <c r="C198" s="79">
        <v>-9.6045197700000001E-2</v>
      </c>
      <c r="D198" s="24">
        <v>151</v>
      </c>
      <c r="E198" s="25">
        <f t="shared" si="106"/>
        <v>-5.6250000000000001E-2</v>
      </c>
      <c r="F198" s="104">
        <f>IF(ISNUMBER(D198), $B199 * E198, "")</f>
        <v>-8437.5</v>
      </c>
      <c r="G198" s="102">
        <v>155</v>
      </c>
      <c r="H198" s="25">
        <f t="shared" si="107"/>
        <v>-3.125E-2</v>
      </c>
      <c r="I198" s="103">
        <f>IF(ISNUMBER(G198), $B199 * H198, "")</f>
        <v>-4687.5</v>
      </c>
      <c r="J198" s="24">
        <v>151</v>
      </c>
      <c r="K198" s="25">
        <f t="shared" si="108"/>
        <v>-5.6250000000000001E-2</v>
      </c>
      <c r="L198" s="104">
        <f>IF(ISNUMBER(J198), $B199 * K198, "")</f>
        <v>-8437.5</v>
      </c>
      <c r="M198" s="102">
        <v>153</v>
      </c>
      <c r="N198" s="25">
        <f t="shared" si="109"/>
        <v>-4.3749999999999997E-2</v>
      </c>
      <c r="O198" s="104">
        <f>IF(ISNUMBER(M198), $B199 * N198, "")</f>
        <v>-6562.5</v>
      </c>
      <c r="Q198" s="244"/>
      <c r="R198" s="245"/>
      <c r="S198" s="246"/>
    </row>
    <row r="199" spans="1:19" ht="17.25" thickBot="1">
      <c r="A199" s="135" t="s">
        <v>301</v>
      </c>
      <c r="B199" s="252">
        <f>$B$37</f>
        <v>150000</v>
      </c>
      <c r="C199" s="253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9" zoomScaleNormal="100" workbookViewId="0">
      <selection activeCell="N23" sqref="N23"/>
    </sheetView>
  </sheetViews>
  <sheetFormatPr defaultRowHeight="16.5"/>
  <cols>
    <col min="1" max="1" width="13" style="123" bestFit="1" customWidth="1"/>
    <col min="2" max="2" width="19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44322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20" t="s">
        <v>3</v>
      </c>
      <c r="B2" s="199" t="s">
        <v>4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5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21" t="s">
        <v>7</v>
      </c>
      <c r="B3" s="205" t="s">
        <v>8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209"/>
      <c r="I3" s="210"/>
      <c r="J3" s="4" t="s">
        <v>7</v>
      </c>
      <c r="K3" s="205" t="s">
        <v>9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05" t="s">
        <v>12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13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05" t="s">
        <v>16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209"/>
      <c r="I5" s="210"/>
      <c r="J5" s="4" t="s">
        <v>15</v>
      </c>
      <c r="K5" s="205" t="s">
        <v>17</v>
      </c>
      <c r="L5" s="206"/>
      <c r="M5" s="206"/>
      <c r="N5" s="206"/>
      <c r="O5" s="207"/>
    </row>
    <row r="6" spans="1:19">
      <c r="A6" s="121" t="s">
        <v>18</v>
      </c>
      <c r="B6" s="205" t="s">
        <v>19</v>
      </c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20</v>
      </c>
      <c r="L6" s="206"/>
      <c r="M6" s="206"/>
      <c r="N6" s="206"/>
      <c r="O6" s="207"/>
    </row>
    <row r="7" spans="1:19" ht="17.25" thickBot="1">
      <c r="A7" s="121" t="s">
        <v>21</v>
      </c>
      <c r="B7" s="205" t="s">
        <v>22</v>
      </c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209"/>
      <c r="I7" s="210"/>
      <c r="J7" s="4" t="s">
        <v>21</v>
      </c>
      <c r="K7" s="205" t="s">
        <v>23</v>
      </c>
      <c r="L7" s="206"/>
      <c r="M7" s="206"/>
      <c r="N7" s="206"/>
      <c r="O7" s="207"/>
    </row>
    <row r="8" spans="1:19" ht="17.25" thickBot="1">
      <c r="A8" s="121" t="s">
        <v>24</v>
      </c>
      <c r="B8" s="205" t="s">
        <v>25</v>
      </c>
      <c r="C8" s="206"/>
      <c r="D8" s="206"/>
      <c r="E8" s="206"/>
      <c r="F8" s="207"/>
      <c r="G8" s="202" t="s">
        <v>285</v>
      </c>
      <c r="H8" s="203"/>
      <c r="I8" s="204"/>
      <c r="J8" s="4" t="s">
        <v>24</v>
      </c>
      <c r="K8" s="205" t="s">
        <v>26</v>
      </c>
      <c r="L8" s="206"/>
      <c r="M8" s="206"/>
      <c r="N8" s="206"/>
      <c r="O8" s="207"/>
      <c r="Q8" s="193" t="s">
        <v>27</v>
      </c>
      <c r="R8" s="195"/>
    </row>
    <row r="9" spans="1:19" ht="17.25" thickBot="1">
      <c r="A9" s="121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209"/>
      <c r="I9" s="210"/>
      <c r="J9" s="4" t="s">
        <v>28</v>
      </c>
      <c r="K9" s="205" t="s">
        <v>293</v>
      </c>
      <c r="L9" s="206"/>
      <c r="M9" s="206"/>
      <c r="N9" s="206"/>
      <c r="O9" s="207"/>
      <c r="Q9" s="2" t="s">
        <v>29</v>
      </c>
      <c r="R9" s="6">
        <v>10</v>
      </c>
    </row>
    <row r="10" spans="1:19">
      <c r="A10" s="121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/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22" t="s">
        <v>32</v>
      </c>
      <c r="B11" s="211"/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209"/>
      <c r="I11" s="210"/>
      <c r="J11" s="7" t="s">
        <v>32</v>
      </c>
      <c r="K11" s="211"/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63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72158000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9.1322285000000007E-3</v>
      </c>
      <c r="N14" s="224"/>
      <c r="O14" s="225"/>
      <c r="Q14" s="214"/>
      <c r="R14" s="214"/>
      <c r="S14" s="214"/>
    </row>
    <row r="15" spans="1:19" ht="17.25" customHeight="1" thickBot="1">
      <c r="A15" s="258" t="s">
        <v>39</v>
      </c>
      <c r="B15" s="259" t="str">
        <f>TEXT($G$1, "[$-ko-KR]yyyy-mm-dd(ddd) ") &amp; "오전 00:00"</f>
        <v>2021-05-06(목) 오전 00:00</v>
      </c>
      <c r="C15" s="260"/>
      <c r="D15" s="216" t="str">
        <f>TEXT($G$1, "[$-ko-KR]yyyy-mm-dd(ddd) ") &amp; "오후 14:00"</f>
        <v>2021-05-06(목) 오후 14:00</v>
      </c>
      <c r="E15" s="217"/>
      <c r="F15" s="218"/>
      <c r="G15" s="216" t="str">
        <f>TEXT($G$1, "[$-ko-KR]yyyy-mm-dd(ddd) ") &amp; "오후 19:00"</f>
        <v>2021-05-06(목) 오후 19:00</v>
      </c>
      <c r="H15" s="217"/>
      <c r="I15" s="218"/>
      <c r="J15" s="216" t="str">
        <f>TEXT($G$1, "[$-ko-KR]yyyy-mm-dd(ddd) ") &amp; "오후 21:00"</f>
        <v>2021-05-06(목) 오후 21:00</v>
      </c>
      <c r="K15" s="217"/>
      <c r="L15" s="218"/>
      <c r="M15" s="216" t="str">
        <f>TEXT($G$1+1, "[$-ko-KR]yyyy-mm-dd(ddd) ") &amp; "오전 00:00"</f>
        <v>2021-05-07(금) 오전 00:00</v>
      </c>
      <c r="N15" s="217"/>
      <c r="O15" s="218"/>
      <c r="Q15" s="214"/>
      <c r="R15" s="214"/>
      <c r="S15" s="214"/>
    </row>
    <row r="16" spans="1:19" ht="17.25" customHeight="1" thickBot="1">
      <c r="A16" s="258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6" t="s">
        <v>78</v>
      </c>
      <c r="B17" s="127">
        <f>IF(NOT(ISBLANK(_xlfn.IFNA(VLOOKUP($A17, $A$40:$O$199, 2, FALSE), ))), _xlfn.IFNA(VLOOKUP($A17, $A$40:$O$199, 2, FALSE), ), "")</f>
        <v>1497500</v>
      </c>
      <c r="C17" s="76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100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214"/>
      <c r="R17" s="214"/>
      <c r="S17" s="214"/>
    </row>
    <row r="18" spans="1:19" ht="17.25" customHeight="1" thickBot="1">
      <c r="A18" s="128" t="s">
        <v>321</v>
      </c>
      <c r="B18" s="129">
        <f t="shared" ref="B18:B36" si="0">IF(NOT(ISBLANK(_xlfn.IFNA(VLOOKUP($A18, $A$40:$O$199, 2, FALSE), ))), _xlfn.IFNA(VLOOKUP($A18, $A$40:$O$199, 2, FALSE), ), "")</f>
        <v>65.5</v>
      </c>
      <c r="C18" s="77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101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214"/>
      <c r="R18" s="214"/>
      <c r="S18" s="214"/>
    </row>
    <row r="19" spans="1:19" ht="17.25" customHeight="1" thickBot="1">
      <c r="A19" s="128" t="s">
        <v>86</v>
      </c>
      <c r="B19" s="129">
        <f t="shared" si="0"/>
        <v>9180</v>
      </c>
      <c r="C19" s="77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101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219"/>
      <c r="R19" s="219"/>
      <c r="S19" s="219"/>
    </row>
    <row r="20" spans="1:19" ht="17.25" customHeight="1" thickBot="1">
      <c r="A20" s="128" t="s">
        <v>152</v>
      </c>
      <c r="B20" s="129">
        <f t="shared" si="0"/>
        <v>51.5</v>
      </c>
      <c r="C20" s="77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101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219"/>
      <c r="R20" s="219"/>
      <c r="S20" s="219"/>
    </row>
    <row r="21" spans="1:19" ht="17.25" customHeight="1" thickBot="1">
      <c r="A21" s="130" t="s">
        <v>90</v>
      </c>
      <c r="B21" s="131">
        <f t="shared" si="0"/>
        <v>465900</v>
      </c>
      <c r="C21" s="78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5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219"/>
      <c r="R21" s="219"/>
      <c r="S21" s="219"/>
    </row>
    <row r="22" spans="1:19" ht="17.25" customHeight="1" thickBot="1">
      <c r="A22" s="128" t="s">
        <v>108</v>
      </c>
      <c r="B22" s="132">
        <f t="shared" si="0"/>
        <v>62240</v>
      </c>
      <c r="C22" s="80">
        <f t="shared" si="1"/>
        <v>0.1265158371</v>
      </c>
      <c r="D22" s="106">
        <f t="shared" si="2"/>
        <v>75040</v>
      </c>
      <c r="E22" s="107">
        <f t="shared" si="3"/>
        <v>0.20565552699228792</v>
      </c>
      <c r="F22" s="108">
        <f t="shared" si="4"/>
        <v>30848.329048843189</v>
      </c>
      <c r="G22" s="109">
        <f t="shared" si="5"/>
        <v>74000</v>
      </c>
      <c r="H22" s="107">
        <f t="shared" si="6"/>
        <v>0.18894601542416453</v>
      </c>
      <c r="I22" s="110">
        <f t="shared" si="7"/>
        <v>28341.90231362468</v>
      </c>
      <c r="J22" s="106">
        <f t="shared" si="8"/>
        <v>76620</v>
      </c>
      <c r="K22" s="107">
        <f t="shared" si="9"/>
        <v>0.23104113110539845</v>
      </c>
      <c r="L22" s="108">
        <f t="shared" si="10"/>
        <v>34656.169665809764</v>
      </c>
      <c r="M22" s="109">
        <f t="shared" si="11"/>
        <v>73110</v>
      </c>
      <c r="N22" s="107">
        <f t="shared" si="12"/>
        <v>0.17464652956298202</v>
      </c>
      <c r="O22" s="108">
        <f t="shared" si="13"/>
        <v>26196.979434447301</v>
      </c>
      <c r="Q22" s="219"/>
      <c r="R22" s="219"/>
      <c r="S22" s="219"/>
    </row>
    <row r="23" spans="1:19" ht="17.25" customHeight="1" thickBot="1">
      <c r="A23" s="128" t="s">
        <v>98</v>
      </c>
      <c r="B23" s="129">
        <f t="shared" si="0"/>
        <v>7745</v>
      </c>
      <c r="C23" s="77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101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219"/>
      <c r="R23" s="219"/>
      <c r="S23" s="219"/>
    </row>
    <row r="24" spans="1:19" ht="17.25" customHeight="1" thickBot="1">
      <c r="A24" s="128" t="s">
        <v>138</v>
      </c>
      <c r="B24" s="129">
        <f t="shared" si="0"/>
        <v>48830</v>
      </c>
      <c r="C24" s="77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101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219"/>
      <c r="R24" s="219"/>
      <c r="S24" s="219"/>
    </row>
    <row r="25" spans="1:19" ht="17.25" customHeight="1" thickBot="1">
      <c r="A25" s="128" t="s">
        <v>142</v>
      </c>
      <c r="B25" s="129">
        <f t="shared" si="0"/>
        <v>460</v>
      </c>
      <c r="C25" s="77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101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33" t="s">
        <v>51</v>
      </c>
      <c r="B26" s="134">
        <f t="shared" si="0"/>
        <v>699</v>
      </c>
      <c r="C26" s="79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4">
        <f t="shared" si="4"/>
        <v>12446.351931330473</v>
      </c>
      <c r="G26" s="102">
        <f t="shared" si="5"/>
        <v>739</v>
      </c>
      <c r="H26" s="25">
        <f t="shared" si="6"/>
        <v>5.7224606580829757E-2</v>
      </c>
      <c r="I26" s="103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4">
        <f t="shared" si="10"/>
        <v>11373.390557939914</v>
      </c>
      <c r="M26" s="102">
        <f t="shared" si="11"/>
        <v>767</v>
      </c>
      <c r="N26" s="25">
        <f t="shared" si="12"/>
        <v>9.7281831187410586E-2</v>
      </c>
      <c r="O26" s="104">
        <f t="shared" si="13"/>
        <v>14592.274678111587</v>
      </c>
      <c r="Q26" s="228"/>
      <c r="R26" s="229"/>
      <c r="S26" s="230"/>
    </row>
    <row r="27" spans="1:19" ht="17.25" customHeight="1">
      <c r="A27" s="126" t="s">
        <v>144</v>
      </c>
      <c r="B27" s="127">
        <f t="shared" si="0"/>
        <v>11990</v>
      </c>
      <c r="C27" s="76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100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231"/>
      <c r="R27" s="232"/>
      <c r="S27" s="233"/>
    </row>
    <row r="28" spans="1:19" ht="17.25" customHeight="1" thickBot="1">
      <c r="A28" s="128" t="s">
        <v>80</v>
      </c>
      <c r="B28" s="129">
        <f t="shared" si="0"/>
        <v>1605</v>
      </c>
      <c r="C28" s="77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101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234"/>
      <c r="R28" s="235"/>
      <c r="S28" s="236"/>
    </row>
    <row r="29" spans="1:19" ht="17.25" customHeight="1" thickBot="1">
      <c r="A29" s="128" t="s">
        <v>178</v>
      </c>
      <c r="B29" s="129">
        <f t="shared" si="0"/>
        <v>53330</v>
      </c>
      <c r="C29" s="77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101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219"/>
      <c r="R29" s="219"/>
      <c r="S29" s="219"/>
    </row>
    <row r="30" spans="1:19" ht="17.25" customHeight="1" thickBot="1">
      <c r="A30" s="128" t="s">
        <v>92</v>
      </c>
      <c r="B30" s="129">
        <f t="shared" si="0"/>
        <v>1895</v>
      </c>
      <c r="C30" s="77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101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214"/>
      <c r="R30" s="214"/>
      <c r="S30" s="214"/>
    </row>
    <row r="31" spans="1:19" ht="17.25" customHeight="1" thickBot="1">
      <c r="A31" s="130" t="s">
        <v>104</v>
      </c>
      <c r="B31" s="131">
        <f t="shared" si="0"/>
        <v>2410</v>
      </c>
      <c r="C31" s="78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5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214"/>
      <c r="R31" s="214"/>
      <c r="S31" s="214"/>
    </row>
    <row r="32" spans="1:19" ht="17.25" customHeight="1" thickBot="1">
      <c r="A32" s="128" t="s">
        <v>102</v>
      </c>
      <c r="B32" s="132">
        <f t="shared" si="0"/>
        <v>93120</v>
      </c>
      <c r="C32" s="80">
        <f t="shared" si="1"/>
        <v>8.2790697699999999E-2</v>
      </c>
      <c r="D32" s="106">
        <f t="shared" si="2"/>
        <v>114900</v>
      </c>
      <c r="E32" s="107">
        <f t="shared" si="3"/>
        <v>0.23389175257731959</v>
      </c>
      <c r="F32" s="108">
        <f t="shared" si="4"/>
        <v>35083.762886597935</v>
      </c>
      <c r="G32" s="109">
        <f t="shared" si="5"/>
        <v>120000</v>
      </c>
      <c r="H32" s="107">
        <f t="shared" si="6"/>
        <v>0.28865979381443296</v>
      </c>
      <c r="I32" s="110">
        <f t="shared" si="7"/>
        <v>43298.969072164946</v>
      </c>
      <c r="J32" s="106">
        <f t="shared" si="8"/>
        <v>129000</v>
      </c>
      <c r="K32" s="107">
        <f t="shared" si="9"/>
        <v>0.38530927835051548</v>
      </c>
      <c r="L32" s="108">
        <f t="shared" si="10"/>
        <v>57796.391752577321</v>
      </c>
      <c r="M32" s="109">
        <f t="shared" si="11"/>
        <v>137000</v>
      </c>
      <c r="N32" s="107">
        <f t="shared" si="12"/>
        <v>0.47121993127147765</v>
      </c>
      <c r="O32" s="108">
        <f t="shared" si="13"/>
        <v>70682.989690721646</v>
      </c>
      <c r="Q32" s="219"/>
      <c r="R32" s="219"/>
      <c r="S32" s="219"/>
    </row>
    <row r="33" spans="1:19" ht="17.25" customHeight="1" thickBot="1">
      <c r="A33" s="128" t="s">
        <v>188</v>
      </c>
      <c r="B33" s="129">
        <f t="shared" si="0"/>
        <v>18760</v>
      </c>
      <c r="C33" s="77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101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219"/>
      <c r="R33" s="219"/>
      <c r="S33" s="219"/>
    </row>
    <row r="34" spans="1:19" ht="17.25" customHeight="1" thickBot="1">
      <c r="A34" s="128" t="s">
        <v>61</v>
      </c>
      <c r="B34" s="129">
        <f t="shared" si="0"/>
        <v>1720</v>
      </c>
      <c r="C34" s="77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101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219"/>
      <c r="R34" s="219"/>
      <c r="S34" s="219"/>
    </row>
    <row r="35" spans="1:19" ht="17.25" customHeight="1">
      <c r="A35" s="128" t="s">
        <v>130</v>
      </c>
      <c r="B35" s="129">
        <f t="shared" si="0"/>
        <v>413800</v>
      </c>
      <c r="C35" s="77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101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241"/>
      <c r="R35" s="242"/>
      <c r="S35" s="243"/>
    </row>
    <row r="36" spans="1:19" ht="17.25" customHeight="1" thickBot="1">
      <c r="A36" s="133" t="s">
        <v>156</v>
      </c>
      <c r="B36" s="134">
        <f t="shared" si="0"/>
        <v>161</v>
      </c>
      <c r="C36" s="79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4">
        <f t="shared" si="4"/>
        <v>13975.155279503106</v>
      </c>
      <c r="G36" s="102">
        <f t="shared" si="5"/>
        <v>172</v>
      </c>
      <c r="H36" s="25">
        <f t="shared" si="6"/>
        <v>6.8322981366459631E-2</v>
      </c>
      <c r="I36" s="103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4">
        <f t="shared" si="10"/>
        <v>12111.801242236024</v>
      </c>
      <c r="M36" s="102">
        <f t="shared" si="11"/>
        <v>183</v>
      </c>
      <c r="N36" s="25">
        <f t="shared" si="12"/>
        <v>0.13664596273291926</v>
      </c>
      <c r="O36" s="104">
        <f t="shared" si="13"/>
        <v>20496.89440993789</v>
      </c>
      <c r="Q36" s="244"/>
      <c r="R36" s="245"/>
      <c r="S36" s="246"/>
    </row>
    <row r="37" spans="1:19" ht="17.25" customHeight="1" thickBot="1">
      <c r="A37" s="135" t="s">
        <v>42</v>
      </c>
      <c r="B37" s="252">
        <v>150000</v>
      </c>
      <c r="C37" s="253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63" t="s">
        <v>298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72158000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9.1322285000000007E-3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2021-05-06(목) 오전 00:00</v>
      </c>
      <c r="C42" s="257"/>
      <c r="D42" s="216" t="str">
        <f>TEXT($G$1, "[$-ko-KR]yyyy-mm-dd(ddd) ") &amp; "오후 14:00"</f>
        <v>2021-05-06(목) 오후 14:00</v>
      </c>
      <c r="E42" s="217"/>
      <c r="F42" s="218"/>
      <c r="G42" s="216" t="str">
        <f>TEXT($G$1, "[$-ko-KR]yyyy-mm-dd(ddd) ") &amp; "오후 19:00"</f>
        <v>2021-05-06(목) 오후 19:00</v>
      </c>
      <c r="H42" s="217"/>
      <c r="I42" s="218"/>
      <c r="J42" s="216" t="str">
        <f>TEXT($G$1, "[$-ko-KR]yyyy-mm-dd(ddd) ") &amp; "오후 21:00"</f>
        <v>2021-05-06(목) 오후 21:00</v>
      </c>
      <c r="K42" s="217"/>
      <c r="L42" s="218"/>
      <c r="M42" s="216" t="str">
        <f>TEXT($G$1+1, "[$-ko-KR]yyyy-mm-dd(ddd) ") &amp; "오전 00:00"</f>
        <v>2021-05-07(금)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219"/>
      <c r="R43" s="219"/>
      <c r="S43" s="219"/>
    </row>
    <row r="44" spans="1:19" ht="17.25" customHeight="1" thickBot="1">
      <c r="A44" s="126" t="s">
        <v>152</v>
      </c>
      <c r="B44" s="127">
        <v>51.5</v>
      </c>
      <c r="C44" s="76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100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214"/>
      <c r="R44" s="214"/>
      <c r="S44" s="214"/>
    </row>
    <row r="45" spans="1:19" ht="17.25" customHeight="1" thickBot="1">
      <c r="A45" s="128" t="s">
        <v>126</v>
      </c>
      <c r="B45" s="129">
        <v>65.5</v>
      </c>
      <c r="C45" s="77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101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214"/>
      <c r="R45" s="214"/>
      <c r="S45" s="214"/>
    </row>
    <row r="46" spans="1:19" ht="17.25" customHeight="1" thickBot="1">
      <c r="A46" s="128" t="s">
        <v>100</v>
      </c>
      <c r="B46" s="129">
        <v>8.52</v>
      </c>
      <c r="C46" s="77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101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219"/>
      <c r="R46" s="219"/>
      <c r="S46" s="219"/>
    </row>
    <row r="47" spans="1:19" ht="17.25" customHeight="1" thickBot="1">
      <c r="A47" s="128" t="s">
        <v>72</v>
      </c>
      <c r="B47" s="129">
        <v>36.1</v>
      </c>
      <c r="C47" s="77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101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219"/>
      <c r="R47" s="219"/>
      <c r="S47" s="219"/>
    </row>
    <row r="48" spans="1:19" ht="17.25" customHeight="1" thickBot="1">
      <c r="A48" s="130" t="s">
        <v>65</v>
      </c>
      <c r="B48" s="131">
        <v>73.8</v>
      </c>
      <c r="C48" s="78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5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219"/>
      <c r="R48" s="219"/>
      <c r="S48" s="219"/>
    </row>
    <row r="49" spans="1:19" ht="17.25" customHeight="1" thickBot="1">
      <c r="A49" s="128" t="s">
        <v>254</v>
      </c>
      <c r="B49" s="132">
        <v>93.6</v>
      </c>
      <c r="C49" s="80">
        <v>3.08370044E-2</v>
      </c>
      <c r="D49" s="106">
        <v>87.5</v>
      </c>
      <c r="E49" s="107">
        <f>IF(ISNUMBER(D49), (D49 - $B49) / $B49, "")</f>
        <v>-6.517094017094012E-2</v>
      </c>
      <c r="F49" s="108">
        <f>IF(ISNUMBER(D49), $B64 * E49, "")</f>
        <v>-9775.6410256410181</v>
      </c>
      <c r="G49" s="109">
        <v>87.7</v>
      </c>
      <c r="H49" s="107">
        <f>IF(ISNUMBER(G49), (G49 - $B49) / $B49, "")</f>
        <v>-6.3034188034187949E-2</v>
      </c>
      <c r="I49" s="110">
        <f>IF(ISNUMBER(G49), $B64 * H49, "")</f>
        <v>-9455.1282051281923</v>
      </c>
      <c r="J49" s="106">
        <v>86.9</v>
      </c>
      <c r="K49" s="107">
        <f>IF(ISNUMBER(J49), (J49 - $B49) / $B49, "")</f>
        <v>-7.1581196581196466E-2</v>
      </c>
      <c r="L49" s="108">
        <f>IF(ISNUMBER(J49), $B64 * K49, "")</f>
        <v>-10737.17948717947</v>
      </c>
      <c r="M49" s="109">
        <v>86</v>
      </c>
      <c r="N49" s="107">
        <f>IF(ISNUMBER(M49), (M49 - $B49) / $B49, "")</f>
        <v>-8.1196581196581144E-2</v>
      </c>
      <c r="O49" s="108">
        <f>IF(ISNUMBER(M49), $B64 * N49, "")</f>
        <v>-12179.487179487172</v>
      </c>
      <c r="Q49" s="219"/>
      <c r="R49" s="219"/>
      <c r="S49" s="219"/>
    </row>
    <row r="50" spans="1:19" ht="17.25" customHeight="1" thickBot="1">
      <c r="A50" s="128" t="s">
        <v>196</v>
      </c>
      <c r="B50" s="129">
        <v>20.9</v>
      </c>
      <c r="C50" s="77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101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219"/>
      <c r="R50" s="219"/>
      <c r="S50" s="219"/>
    </row>
    <row r="51" spans="1:19" ht="17.25" customHeight="1" thickBot="1">
      <c r="A51" s="128" t="s">
        <v>220</v>
      </c>
      <c r="B51" s="129">
        <v>22.3</v>
      </c>
      <c r="C51" s="77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101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219"/>
      <c r="R51" s="219"/>
      <c r="S51" s="219"/>
    </row>
    <row r="52" spans="1:19" ht="17.25" customHeight="1" thickBot="1">
      <c r="A52" s="128" t="s">
        <v>268</v>
      </c>
      <c r="B52" s="129">
        <v>99.8</v>
      </c>
      <c r="C52" s="77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101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33" t="s">
        <v>198</v>
      </c>
      <c r="B53" s="134">
        <v>29</v>
      </c>
      <c r="C53" s="79">
        <v>-3.4364260999999998E-3</v>
      </c>
      <c r="D53" s="24">
        <v>28.7</v>
      </c>
      <c r="E53" s="25">
        <f t="shared" si="18"/>
        <v>-1.0344827586206921E-2</v>
      </c>
      <c r="F53" s="104">
        <f>IF(ISNUMBER(D53), $B64 * E53, "")</f>
        <v>-1551.7241379310381</v>
      </c>
      <c r="G53" s="102">
        <v>28.3</v>
      </c>
      <c r="H53" s="25">
        <f t="shared" si="19"/>
        <v>-2.4137931034482734E-2</v>
      </c>
      <c r="I53" s="103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4">
        <f>IF(ISNUMBER(J53), $B64 * K53, "")</f>
        <v>-3620.6896551724103</v>
      </c>
      <c r="M53" s="102">
        <v>28.3</v>
      </c>
      <c r="N53" s="25">
        <f t="shared" si="21"/>
        <v>-2.4137931034482734E-2</v>
      </c>
      <c r="O53" s="104">
        <f>IF(ISNUMBER(M53), $B64 * N53, "")</f>
        <v>-3620.6896551724103</v>
      </c>
      <c r="Q53" s="228"/>
      <c r="R53" s="229"/>
      <c r="S53" s="230"/>
    </row>
    <row r="54" spans="1:19" ht="17.25" customHeight="1">
      <c r="A54" s="126" t="s">
        <v>186</v>
      </c>
      <c r="B54" s="127">
        <v>25.9</v>
      </c>
      <c r="C54" s="76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100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231"/>
      <c r="R54" s="232"/>
      <c r="S54" s="233"/>
    </row>
    <row r="55" spans="1:19" ht="17.25" customHeight="1" thickBot="1">
      <c r="A55" s="128" t="s">
        <v>228</v>
      </c>
      <c r="B55" s="129">
        <v>18.7</v>
      </c>
      <c r="C55" s="77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101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234"/>
      <c r="R55" s="235"/>
      <c r="S55" s="236"/>
    </row>
    <row r="56" spans="1:19" ht="17.25" customHeight="1" thickBot="1">
      <c r="A56" s="128" t="s">
        <v>222</v>
      </c>
      <c r="B56" s="129">
        <v>18.7</v>
      </c>
      <c r="C56" s="77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101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219"/>
      <c r="R56" s="219"/>
      <c r="S56" s="219"/>
    </row>
    <row r="57" spans="1:19" ht="17.25" customHeight="1" thickBot="1">
      <c r="A57" s="128" t="s">
        <v>154</v>
      </c>
      <c r="B57" s="129">
        <v>21.5</v>
      </c>
      <c r="C57" s="77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101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214"/>
      <c r="R57" s="214"/>
      <c r="S57" s="214"/>
    </row>
    <row r="58" spans="1:19" ht="17.25" customHeight="1" thickBot="1">
      <c r="A58" s="130" t="s">
        <v>236</v>
      </c>
      <c r="B58" s="131">
        <v>69.599999999999994</v>
      </c>
      <c r="C58" s="78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5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214"/>
      <c r="R58" s="214"/>
      <c r="S58" s="214"/>
    </row>
    <row r="59" spans="1:19" ht="17.25" customHeight="1" thickBot="1">
      <c r="A59" s="128" t="s">
        <v>172</v>
      </c>
      <c r="B59" s="132">
        <v>25.6</v>
      </c>
      <c r="C59" s="80">
        <v>-1.5384615399999999E-2</v>
      </c>
      <c r="D59" s="106">
        <v>25.6</v>
      </c>
      <c r="E59" s="107">
        <f>IF(ISNUMBER(D59), (D59 - $B59) / $B59, "")</f>
        <v>0</v>
      </c>
      <c r="F59" s="108">
        <f>IF(ISNUMBER(D59), $B64 * E59, "")</f>
        <v>0</v>
      </c>
      <c r="G59" s="109">
        <v>25.5</v>
      </c>
      <c r="H59" s="107">
        <f>IF(ISNUMBER(G59), (G59 - $B59) / $B59, "")</f>
        <v>-3.9062500000000555E-3</v>
      </c>
      <c r="I59" s="110">
        <f>IF(ISNUMBER(G59), $B64 * H59, "")</f>
        <v>-585.9375000000083</v>
      </c>
      <c r="J59" s="106">
        <v>25.3</v>
      </c>
      <c r="K59" s="107">
        <f>IF(ISNUMBER(J59), (J59 - $B59) / $B59, "")</f>
        <v>-1.1718750000000028E-2</v>
      </c>
      <c r="L59" s="108">
        <f>IF(ISNUMBER(J59), $B64 * K59, "")</f>
        <v>-1757.8125000000041</v>
      </c>
      <c r="M59" s="109">
        <v>25.2</v>
      </c>
      <c r="N59" s="107">
        <f>IF(ISNUMBER(M59), (M59 - $B59) / $B59, "")</f>
        <v>-1.5625000000000083E-2</v>
      </c>
      <c r="O59" s="108">
        <f>IF(ISNUMBER(M59), $B64 * N59, "")</f>
        <v>-2343.7500000000123</v>
      </c>
      <c r="Q59" s="219"/>
      <c r="R59" s="219"/>
      <c r="S59" s="219"/>
    </row>
    <row r="60" spans="1:19" ht="17.25" customHeight="1" thickBot="1">
      <c r="A60" s="128" t="s">
        <v>214</v>
      </c>
      <c r="B60" s="129">
        <v>22.4</v>
      </c>
      <c r="C60" s="77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101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219"/>
      <c r="R60" s="219"/>
      <c r="S60" s="219"/>
    </row>
    <row r="61" spans="1:19" ht="17.25" customHeight="1" thickBot="1">
      <c r="A61" s="128" t="s">
        <v>218</v>
      </c>
      <c r="B61" s="129">
        <v>28.8</v>
      </c>
      <c r="C61" s="77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101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219"/>
      <c r="R61" s="219"/>
      <c r="S61" s="219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5" t="s">
        <v>301</v>
      </c>
      <c r="B64" s="252">
        <f>$B$37</f>
        <v>150000</v>
      </c>
      <c r="C64" s="253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63" t="s">
        <v>298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72158000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9.1322285000000007E-3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2021-05-06(목) 오전 00:00</v>
      </c>
      <c r="C69" s="257"/>
      <c r="D69" s="216" t="str">
        <f>TEXT($G$1, "[$-ko-KR]yyyy-mm-dd(ddd) ") &amp; "오후 14:00"</f>
        <v>2021-05-06(목) 오후 14:00</v>
      </c>
      <c r="E69" s="217"/>
      <c r="F69" s="218"/>
      <c r="G69" s="216" t="str">
        <f>TEXT($G$1, "[$-ko-KR]yyyy-mm-dd(ddd) ") &amp; "오후 19:00"</f>
        <v>2021-05-06(목) 오후 19:00</v>
      </c>
      <c r="H69" s="217"/>
      <c r="I69" s="218"/>
      <c r="J69" s="216" t="str">
        <f>TEXT($G$1, "[$-ko-KR]yyyy-mm-dd(ddd) ") &amp; "오후 21:00"</f>
        <v>2021-05-06(목) 오후 21:00</v>
      </c>
      <c r="K69" s="217"/>
      <c r="L69" s="218"/>
      <c r="M69" s="216" t="str">
        <f>TEXT($G$1+1, "[$-ko-KR]yyyy-mm-dd(ddd) ") &amp; "오전 00:00"</f>
        <v>2021-05-07(금) 오전 00:00</v>
      </c>
      <c r="N69" s="217"/>
      <c r="O69" s="218"/>
      <c r="Q69" s="214"/>
      <c r="R69" s="214"/>
      <c r="S69" s="214"/>
    </row>
    <row r="70" spans="1:19" ht="17.25" thickBot="1">
      <c r="A70" s="255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219"/>
      <c r="R70" s="219"/>
      <c r="S70" s="219"/>
    </row>
    <row r="71" spans="1:19" ht="17.25" thickBot="1">
      <c r="A71" s="126" t="s">
        <v>296</v>
      </c>
      <c r="B71" s="127">
        <v>788</v>
      </c>
      <c r="C71" s="76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100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214"/>
      <c r="R71" s="214"/>
      <c r="S71" s="214"/>
    </row>
    <row r="72" spans="1:19" ht="17.25" thickBot="1">
      <c r="A72" s="128" t="s">
        <v>142</v>
      </c>
      <c r="B72" s="129">
        <v>460</v>
      </c>
      <c r="C72" s="77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101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214"/>
      <c r="R72" s="214"/>
      <c r="S72" s="214"/>
    </row>
    <row r="73" spans="1:19" ht="17.25" thickBot="1">
      <c r="A73" s="128" t="s">
        <v>51</v>
      </c>
      <c r="B73" s="129">
        <v>699</v>
      </c>
      <c r="C73" s="77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101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219"/>
      <c r="R73" s="219"/>
      <c r="S73" s="219"/>
    </row>
    <row r="74" spans="1:19" ht="17.25" thickBot="1">
      <c r="A74" s="128" t="s">
        <v>156</v>
      </c>
      <c r="B74" s="129">
        <v>161</v>
      </c>
      <c r="C74" s="77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101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219"/>
      <c r="R74" s="219"/>
      <c r="S74" s="219"/>
    </row>
    <row r="75" spans="1:19" ht="17.25" thickBot="1">
      <c r="A75" s="130" t="s">
        <v>54</v>
      </c>
      <c r="B75" s="131">
        <v>378</v>
      </c>
      <c r="C75" s="78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5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219"/>
      <c r="R75" s="219"/>
      <c r="S75" s="219"/>
    </row>
    <row r="76" spans="1:19" ht="17.25" thickBot="1">
      <c r="A76" s="128" t="s">
        <v>168</v>
      </c>
      <c r="B76" s="132">
        <v>210</v>
      </c>
      <c r="C76" s="80">
        <v>6.0606060599999997E-2</v>
      </c>
      <c r="D76" s="106">
        <v>257</v>
      </c>
      <c r="E76" s="107">
        <f>IF(ISNUMBER(D76), (D76 - $B76) / $B76, "")</f>
        <v>0.22380952380952382</v>
      </c>
      <c r="F76" s="108">
        <f>IF(ISNUMBER(D76), $B91 * E76, "")</f>
        <v>33571.428571428572</v>
      </c>
      <c r="G76" s="109">
        <v>254</v>
      </c>
      <c r="H76" s="107">
        <f>IF(ISNUMBER(G76), (G76 - $B76) / $B76, "")</f>
        <v>0.20952380952380953</v>
      </c>
      <c r="I76" s="110">
        <f>IF(ISNUMBER(G76), $B91 * H76, "")</f>
        <v>31428.571428571428</v>
      </c>
      <c r="J76" s="106">
        <v>254</v>
      </c>
      <c r="K76" s="107">
        <f>IF(ISNUMBER(J76), (J76 - $B76) / $B76, "")</f>
        <v>0.20952380952380953</v>
      </c>
      <c r="L76" s="108">
        <f>IF(ISNUMBER(J76), $B91 * K76, "")</f>
        <v>31428.571428571428</v>
      </c>
      <c r="M76" s="109">
        <v>255</v>
      </c>
      <c r="N76" s="107">
        <f>IF(ISNUMBER(M76), (M76 - $B76) / $B76, "")</f>
        <v>0.21428571428571427</v>
      </c>
      <c r="O76" s="108">
        <f>IF(ISNUMBER(M76), $B91 * N76, "")</f>
        <v>32142.857142857141</v>
      </c>
      <c r="Q76" s="219"/>
      <c r="R76" s="219"/>
      <c r="S76" s="219"/>
    </row>
    <row r="77" spans="1:19" ht="17.25" thickBot="1">
      <c r="A77" s="128" t="s">
        <v>136</v>
      </c>
      <c r="B77" s="129">
        <v>255</v>
      </c>
      <c r="C77" s="77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101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219"/>
      <c r="R77" s="219"/>
      <c r="S77" s="219"/>
    </row>
    <row r="78" spans="1:19" ht="17.25" thickBot="1">
      <c r="A78" s="128" t="s">
        <v>57</v>
      </c>
      <c r="B78" s="129">
        <v>406</v>
      </c>
      <c r="C78" s="77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101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219"/>
      <c r="R78" s="219"/>
      <c r="S78" s="219"/>
    </row>
    <row r="79" spans="1:19" ht="17.25" thickBot="1">
      <c r="A79" s="128" t="s">
        <v>278</v>
      </c>
      <c r="B79" s="129">
        <v>156</v>
      </c>
      <c r="C79" s="77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101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33" t="s">
        <v>120</v>
      </c>
      <c r="B80" s="134">
        <v>215</v>
      </c>
      <c r="C80" s="79">
        <v>3.8647343000000001E-2</v>
      </c>
      <c r="D80" s="24">
        <v>223</v>
      </c>
      <c r="E80" s="25">
        <f t="shared" si="34"/>
        <v>3.7209302325581395E-2</v>
      </c>
      <c r="F80" s="104">
        <f>IF(ISNUMBER(D80), $B91 * E80, "")</f>
        <v>5581.395348837209</v>
      </c>
      <c r="G80" s="102">
        <v>228</v>
      </c>
      <c r="H80" s="25">
        <f t="shared" si="35"/>
        <v>6.0465116279069767E-2</v>
      </c>
      <c r="I80" s="103">
        <f>IF(ISNUMBER(G80), $B91 * H80, "")</f>
        <v>9069.7674418604656</v>
      </c>
      <c r="J80" s="24">
        <v>231</v>
      </c>
      <c r="K80" s="25">
        <f t="shared" si="36"/>
        <v>7.441860465116279E-2</v>
      </c>
      <c r="L80" s="104">
        <f>IF(ISNUMBER(J80), $B91 * K80, "")</f>
        <v>11162.790697674418</v>
      </c>
      <c r="M80" s="102">
        <v>230</v>
      </c>
      <c r="N80" s="25">
        <f t="shared" si="37"/>
        <v>6.9767441860465115E-2</v>
      </c>
      <c r="O80" s="104">
        <f>IF(ISNUMBER(M80), $B91 * N80, "")</f>
        <v>10465.116279069767</v>
      </c>
      <c r="Q80" s="228"/>
      <c r="R80" s="229"/>
      <c r="S80" s="230"/>
    </row>
    <row r="81" spans="1:19">
      <c r="A81" s="126" t="s">
        <v>132</v>
      </c>
      <c r="B81" s="127">
        <v>244</v>
      </c>
      <c r="C81" s="76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100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231"/>
      <c r="R81" s="232"/>
      <c r="S81" s="233"/>
    </row>
    <row r="82" spans="1:19" ht="17.25" thickBot="1">
      <c r="A82" s="128" t="s">
        <v>134</v>
      </c>
      <c r="B82" s="129">
        <v>151</v>
      </c>
      <c r="C82" s="77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101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234"/>
      <c r="R82" s="235"/>
      <c r="S82" s="236"/>
    </row>
    <row r="83" spans="1:19" ht="17.25" thickBot="1">
      <c r="A83" s="128" t="s">
        <v>182</v>
      </c>
      <c r="B83" s="129">
        <v>468</v>
      </c>
      <c r="C83" s="77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101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219"/>
      <c r="R83" s="219"/>
      <c r="S83" s="219"/>
    </row>
    <row r="84" spans="1:19" ht="17.25" thickBot="1">
      <c r="A84" s="128" t="s">
        <v>148</v>
      </c>
      <c r="B84" s="129">
        <v>198</v>
      </c>
      <c r="C84" s="77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101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214"/>
      <c r="R84" s="214"/>
      <c r="S84" s="214"/>
    </row>
    <row r="85" spans="1:19" ht="17.25" thickBot="1">
      <c r="A85" s="130" t="s">
        <v>266</v>
      </c>
      <c r="B85" s="131">
        <v>103</v>
      </c>
      <c r="C85" s="78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5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214"/>
      <c r="R85" s="214"/>
      <c r="S85" s="214"/>
    </row>
    <row r="86" spans="1:19" ht="17.25" thickBot="1">
      <c r="A86" s="128" t="s">
        <v>88</v>
      </c>
      <c r="B86" s="132">
        <v>625</v>
      </c>
      <c r="C86" s="80">
        <v>1.9575856400000001E-2</v>
      </c>
      <c r="D86" s="106">
        <v>625</v>
      </c>
      <c r="E86" s="107">
        <f>IF(ISNUMBER(D86), (D86 - $B86) / $B86, "")</f>
        <v>0</v>
      </c>
      <c r="F86" s="108">
        <f>IF(ISNUMBER(D86), $B91 * E86, "")</f>
        <v>0</v>
      </c>
      <c r="G86" s="109">
        <v>618</v>
      </c>
      <c r="H86" s="107">
        <f>IF(ISNUMBER(G86), (G86 - $B86) / $B86, "")</f>
        <v>-1.12E-2</v>
      </c>
      <c r="I86" s="110">
        <f>IF(ISNUMBER(G86), $B91 * H86, "")</f>
        <v>-1680</v>
      </c>
      <c r="J86" s="106">
        <v>620</v>
      </c>
      <c r="K86" s="107">
        <f>IF(ISNUMBER(J86), (J86 - $B86) / $B86, "")</f>
        <v>-8.0000000000000002E-3</v>
      </c>
      <c r="L86" s="108">
        <f>IF(ISNUMBER(J86), $B91 * K86, "")</f>
        <v>-1200</v>
      </c>
      <c r="M86" s="109">
        <v>638</v>
      </c>
      <c r="N86" s="107">
        <f>IF(ISNUMBER(M86), (M86 - $B86) / $B86, "")</f>
        <v>2.0799999999999999E-2</v>
      </c>
      <c r="O86" s="108">
        <f>IF(ISNUMBER(M86), $B91 * N86, "")</f>
        <v>3120</v>
      </c>
      <c r="Q86" s="219"/>
      <c r="R86" s="219"/>
      <c r="S86" s="219"/>
    </row>
    <row r="87" spans="1:19" ht="17.25" thickBot="1">
      <c r="A87" s="128" t="s">
        <v>128</v>
      </c>
      <c r="B87" s="129">
        <v>680</v>
      </c>
      <c r="C87" s="77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101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219"/>
      <c r="R87" s="219"/>
      <c r="S87" s="219"/>
    </row>
    <row r="88" spans="1:19" ht="17.25" thickBot="1">
      <c r="A88" s="128" t="s">
        <v>116</v>
      </c>
      <c r="B88" s="129">
        <v>731</v>
      </c>
      <c r="C88" s="77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101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219"/>
      <c r="R88" s="219"/>
      <c r="S88" s="219"/>
    </row>
    <row r="89" spans="1:19">
      <c r="A89" s="128" t="s">
        <v>256</v>
      </c>
      <c r="B89" s="129">
        <v>265</v>
      </c>
      <c r="C89" s="77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101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241"/>
      <c r="R89" s="242"/>
      <c r="S89" s="243"/>
    </row>
    <row r="90" spans="1:19" ht="17.25" thickBot="1">
      <c r="A90" s="133" t="s">
        <v>216</v>
      </c>
      <c r="B90" s="134">
        <v>449</v>
      </c>
      <c r="C90" s="79">
        <v>1.12612613E-2</v>
      </c>
      <c r="D90" s="24">
        <v>466</v>
      </c>
      <c r="E90" s="25">
        <f t="shared" si="42"/>
        <v>3.7861915367483297E-2</v>
      </c>
      <c r="F90" s="104">
        <f>IF(ISNUMBER(D90), $B91 * E90, "")</f>
        <v>5679.2873051224942</v>
      </c>
      <c r="G90" s="102">
        <v>471</v>
      </c>
      <c r="H90" s="25">
        <f t="shared" si="43"/>
        <v>4.8997772828507792E-2</v>
      </c>
      <c r="I90" s="103">
        <f>IF(ISNUMBER(G90), $B91 * H90, "")</f>
        <v>7349.6659242761689</v>
      </c>
      <c r="J90" s="24">
        <v>466</v>
      </c>
      <c r="K90" s="25">
        <f t="shared" si="44"/>
        <v>3.7861915367483297E-2</v>
      </c>
      <c r="L90" s="104">
        <f>IF(ISNUMBER(J90), $B91 * K90, "")</f>
        <v>5679.2873051224942</v>
      </c>
      <c r="M90" s="102">
        <v>465</v>
      </c>
      <c r="N90" s="25">
        <f t="shared" si="45"/>
        <v>3.5634743875278395E-2</v>
      </c>
      <c r="O90" s="104">
        <f>IF(ISNUMBER(M90), $B91 * N90, "")</f>
        <v>5345.2115812917591</v>
      </c>
      <c r="Q90" s="244"/>
      <c r="R90" s="245"/>
      <c r="S90" s="246"/>
    </row>
    <row r="91" spans="1:19" ht="17.25" thickBot="1">
      <c r="A91" s="135" t="s">
        <v>301</v>
      </c>
      <c r="B91" s="252">
        <f>$B$37</f>
        <v>150000</v>
      </c>
      <c r="C91" s="253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63" t="s">
        <v>298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72158000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9.1322285000000007E-3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2021-05-06(목) 오전 00:00</v>
      </c>
      <c r="C96" s="257"/>
      <c r="D96" s="216" t="str">
        <f>TEXT($G$1, "[$-ko-KR]yyyy-mm-dd(ddd) ") &amp; "오후 14:00"</f>
        <v>2021-05-06(목) 오후 14:00</v>
      </c>
      <c r="E96" s="217"/>
      <c r="F96" s="218"/>
      <c r="G96" s="216" t="str">
        <f>TEXT($G$1, "[$-ko-KR]yyyy-mm-dd(ddd) ") &amp; "오후 19:00"</f>
        <v>2021-05-06(목) 오후 19:00</v>
      </c>
      <c r="H96" s="217"/>
      <c r="I96" s="218"/>
      <c r="J96" s="216" t="str">
        <f>TEXT($G$1, "[$-ko-KR]yyyy-mm-dd(ddd) ") &amp; "오후 21:00"</f>
        <v>2021-05-06(목) 오후 21:00</v>
      </c>
      <c r="K96" s="217"/>
      <c r="L96" s="218"/>
      <c r="M96" s="216" t="str">
        <f>TEXT($G$1+1, "[$-ko-KR]yyyy-mm-dd(ddd) ") &amp; "오전 00:00"</f>
        <v>2021-05-07(금) 오전 00:00</v>
      </c>
      <c r="N96" s="217"/>
      <c r="O96" s="218"/>
      <c r="Q96" s="214"/>
      <c r="R96" s="214"/>
      <c r="S96" s="214"/>
    </row>
    <row r="97" spans="1:19" ht="17.25" thickBot="1">
      <c r="A97" s="255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219"/>
      <c r="R97" s="219"/>
      <c r="S97" s="219"/>
    </row>
    <row r="98" spans="1:19" ht="17.25" thickBot="1">
      <c r="A98" s="126" t="s">
        <v>78</v>
      </c>
      <c r="B98" s="127">
        <v>1497500</v>
      </c>
      <c r="C98" s="76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100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214"/>
      <c r="R98" s="214"/>
      <c r="S98" s="214"/>
    </row>
    <row r="99" spans="1:19" ht="17.25" thickBot="1">
      <c r="A99" s="128" t="s">
        <v>296</v>
      </c>
      <c r="B99" s="129">
        <v>788</v>
      </c>
      <c r="C99" s="77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101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214"/>
      <c r="R99" s="214"/>
      <c r="S99" s="214"/>
    </row>
    <row r="100" spans="1:19" ht="17.25" thickBot="1">
      <c r="A100" s="128" t="s">
        <v>86</v>
      </c>
      <c r="B100" s="129">
        <v>9180</v>
      </c>
      <c r="C100" s="77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101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219"/>
      <c r="R100" s="219"/>
      <c r="S100" s="219"/>
    </row>
    <row r="101" spans="1:19" ht="17.25" thickBot="1">
      <c r="A101" s="128" t="s">
        <v>152</v>
      </c>
      <c r="B101" s="129">
        <v>51.5</v>
      </c>
      <c r="C101" s="77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101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219"/>
      <c r="R101" s="219"/>
      <c r="S101" s="219"/>
    </row>
    <row r="102" spans="1:19" ht="17.25" thickBot="1">
      <c r="A102" s="130" t="s">
        <v>90</v>
      </c>
      <c r="B102" s="131">
        <v>465900</v>
      </c>
      <c r="C102" s="78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5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219"/>
      <c r="R102" s="219"/>
      <c r="S102" s="219"/>
    </row>
    <row r="103" spans="1:19" ht="17.25" thickBot="1">
      <c r="A103" s="128" t="s">
        <v>108</v>
      </c>
      <c r="B103" s="132">
        <v>62240</v>
      </c>
      <c r="C103" s="80">
        <v>0.1265158371</v>
      </c>
      <c r="D103" s="106">
        <v>75040</v>
      </c>
      <c r="E103" s="107">
        <f>IF(ISNUMBER(D103), (D103 - $B103) / $B103, "")</f>
        <v>0.20565552699228792</v>
      </c>
      <c r="F103" s="108">
        <f>IF(ISNUMBER(D103), $B118 * E103, "")</f>
        <v>30848.329048843189</v>
      </c>
      <c r="G103" s="109">
        <v>74000</v>
      </c>
      <c r="H103" s="107">
        <f>IF(ISNUMBER(G103), (G103 - $B103) / $B103, "")</f>
        <v>0.18894601542416453</v>
      </c>
      <c r="I103" s="110">
        <f>IF(ISNUMBER(G103), $B118 * H103, "")</f>
        <v>28341.90231362468</v>
      </c>
      <c r="J103" s="106">
        <v>76620</v>
      </c>
      <c r="K103" s="107">
        <f>IF(ISNUMBER(J103), (J103 - $B103) / $B103, "")</f>
        <v>0.23104113110539845</v>
      </c>
      <c r="L103" s="108">
        <f>IF(ISNUMBER(J103), $B118 * K103, "")</f>
        <v>34656.169665809764</v>
      </c>
      <c r="M103" s="109">
        <v>73110</v>
      </c>
      <c r="N103" s="107">
        <f>IF(ISNUMBER(M103), (M103 - $B103) / $B103, "")</f>
        <v>0.17464652956298202</v>
      </c>
      <c r="O103" s="108">
        <f>IF(ISNUMBER(M103), $B118 * N103, "")</f>
        <v>26196.979434447301</v>
      </c>
      <c r="Q103" s="219"/>
      <c r="R103" s="219"/>
      <c r="S103" s="219"/>
    </row>
    <row r="104" spans="1:19" ht="17.25" thickBot="1">
      <c r="A104" s="128" t="s">
        <v>98</v>
      </c>
      <c r="B104" s="129">
        <v>7745</v>
      </c>
      <c r="C104" s="77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101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219"/>
      <c r="R104" s="219"/>
      <c r="S104" s="219"/>
    </row>
    <row r="105" spans="1:19" ht="17.25" thickBot="1">
      <c r="A105" s="128" t="s">
        <v>138</v>
      </c>
      <c r="B105" s="129">
        <v>48830</v>
      </c>
      <c r="C105" s="77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101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219"/>
      <c r="R105" s="219"/>
      <c r="S105" s="219"/>
    </row>
    <row r="106" spans="1:19" ht="17.25" thickBot="1">
      <c r="A106" s="128" t="s">
        <v>142</v>
      </c>
      <c r="B106" s="129">
        <v>460</v>
      </c>
      <c r="C106" s="77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101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33" t="s">
        <v>51</v>
      </c>
      <c r="B107" s="134">
        <v>699</v>
      </c>
      <c r="C107" s="79">
        <v>0.1077654517</v>
      </c>
      <c r="D107" s="24">
        <v>757</v>
      </c>
      <c r="E107" s="25">
        <f t="shared" si="50"/>
        <v>8.2975679542203154E-2</v>
      </c>
      <c r="F107" s="104">
        <f>IF(ISNUMBER(D107), $B118 * E107, "")</f>
        <v>12446.351931330473</v>
      </c>
      <c r="G107" s="102">
        <v>739</v>
      </c>
      <c r="H107" s="25">
        <f t="shared" si="51"/>
        <v>5.7224606580829757E-2</v>
      </c>
      <c r="I107" s="103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4">
        <f>IF(ISNUMBER(J107), $B118 * K107, "")</f>
        <v>11373.390557939914</v>
      </c>
      <c r="M107" s="102">
        <v>767</v>
      </c>
      <c r="N107" s="25">
        <f t="shared" si="53"/>
        <v>9.7281831187410586E-2</v>
      </c>
      <c r="O107" s="104">
        <f>IF(ISNUMBER(M107), $B118 * N107, "")</f>
        <v>14592.274678111587</v>
      </c>
      <c r="Q107" s="228"/>
      <c r="R107" s="229"/>
      <c r="S107" s="230"/>
    </row>
    <row r="108" spans="1:19">
      <c r="A108" s="126" t="s">
        <v>144</v>
      </c>
      <c r="B108" s="127">
        <v>11990</v>
      </c>
      <c r="C108" s="76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100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231"/>
      <c r="R108" s="232"/>
      <c r="S108" s="233"/>
    </row>
    <row r="109" spans="1:19" ht="17.25" thickBot="1">
      <c r="A109" s="128" t="s">
        <v>80</v>
      </c>
      <c r="B109" s="129">
        <v>1605</v>
      </c>
      <c r="C109" s="77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101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234"/>
      <c r="R109" s="235"/>
      <c r="S109" s="236"/>
    </row>
    <row r="110" spans="1:19" ht="17.25" thickBot="1">
      <c r="A110" s="128" t="s">
        <v>178</v>
      </c>
      <c r="B110" s="129">
        <v>53330</v>
      </c>
      <c r="C110" s="77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101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219"/>
      <c r="R110" s="219"/>
      <c r="S110" s="219"/>
    </row>
    <row r="111" spans="1:19" ht="17.25" thickBot="1">
      <c r="A111" s="128" t="s">
        <v>92</v>
      </c>
      <c r="B111" s="129">
        <v>1895</v>
      </c>
      <c r="C111" s="77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101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214"/>
      <c r="R111" s="214"/>
      <c r="S111" s="214"/>
    </row>
    <row r="112" spans="1:19" ht="17.25" thickBot="1">
      <c r="A112" s="130" t="s">
        <v>104</v>
      </c>
      <c r="B112" s="131">
        <v>2410</v>
      </c>
      <c r="C112" s="78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5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214"/>
      <c r="R112" s="214"/>
      <c r="S112" s="214"/>
    </row>
    <row r="113" spans="1:19" ht="17.25" thickBot="1">
      <c r="A113" s="128" t="s">
        <v>102</v>
      </c>
      <c r="B113" s="132">
        <v>93120</v>
      </c>
      <c r="C113" s="80">
        <v>8.2790697699999999E-2</v>
      </c>
      <c r="D113" s="106">
        <v>114900</v>
      </c>
      <c r="E113" s="107">
        <f>IF(ISNUMBER(D113), (D113 - $B113) / $B113, "")</f>
        <v>0.23389175257731959</v>
      </c>
      <c r="F113" s="108">
        <f>IF(ISNUMBER(D113), $B118 * E113, "")</f>
        <v>35083.762886597935</v>
      </c>
      <c r="G113" s="109">
        <v>120000</v>
      </c>
      <c r="H113" s="107">
        <f>IF(ISNUMBER(G113), (G113 - $B113) / $B113, "")</f>
        <v>0.28865979381443296</v>
      </c>
      <c r="I113" s="110">
        <f>IF(ISNUMBER(G113), $B118 * H113, "")</f>
        <v>43298.969072164946</v>
      </c>
      <c r="J113" s="106">
        <v>129000</v>
      </c>
      <c r="K113" s="107">
        <f>IF(ISNUMBER(J113), (J113 - $B113) / $B113, "")</f>
        <v>0.38530927835051548</v>
      </c>
      <c r="L113" s="108">
        <f>IF(ISNUMBER(J113), $B118 * K113, "")</f>
        <v>57796.391752577321</v>
      </c>
      <c r="M113" s="109">
        <v>137000</v>
      </c>
      <c r="N113" s="107">
        <f>IF(ISNUMBER(M113), (M113 - $B113) / $B113, "")</f>
        <v>0.47121993127147765</v>
      </c>
      <c r="O113" s="108">
        <f>IF(ISNUMBER(M113), $B118 * N113, "")</f>
        <v>70682.989690721646</v>
      </c>
      <c r="Q113" s="219"/>
      <c r="R113" s="219"/>
      <c r="S113" s="219"/>
    </row>
    <row r="114" spans="1:19" ht="17.25" thickBot="1">
      <c r="A114" s="128" t="s">
        <v>188</v>
      </c>
      <c r="B114" s="129">
        <v>18760</v>
      </c>
      <c r="C114" s="77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101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219"/>
      <c r="R114" s="219"/>
      <c r="S114" s="219"/>
    </row>
    <row r="115" spans="1:19" ht="17.25" thickBot="1">
      <c r="A115" s="128" t="s">
        <v>61</v>
      </c>
      <c r="B115" s="129">
        <v>1720</v>
      </c>
      <c r="C115" s="77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101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219"/>
      <c r="R115" s="219"/>
      <c r="S115" s="219"/>
    </row>
    <row r="116" spans="1:19">
      <c r="A116" s="128" t="s">
        <v>130</v>
      </c>
      <c r="B116" s="129">
        <v>413800</v>
      </c>
      <c r="C116" s="77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101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241"/>
      <c r="R116" s="242"/>
      <c r="S116" s="243"/>
    </row>
    <row r="117" spans="1:19" ht="17.25" thickBot="1">
      <c r="A117" s="133" t="s">
        <v>156</v>
      </c>
      <c r="B117" s="134">
        <v>161</v>
      </c>
      <c r="C117" s="79">
        <v>7.3333333299999998E-2</v>
      </c>
      <c r="D117" s="24">
        <v>176</v>
      </c>
      <c r="E117" s="25">
        <f t="shared" si="58"/>
        <v>9.3167701863354033E-2</v>
      </c>
      <c r="F117" s="104">
        <f>IF(ISNUMBER(D117), $B118 * E117, "")</f>
        <v>13975.155279503106</v>
      </c>
      <c r="G117" s="102">
        <v>172</v>
      </c>
      <c r="H117" s="25">
        <f t="shared" si="59"/>
        <v>6.8322981366459631E-2</v>
      </c>
      <c r="I117" s="103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4">
        <f>IF(ISNUMBER(J117), $B118 * K117, "")</f>
        <v>12111.801242236024</v>
      </c>
      <c r="M117" s="102">
        <v>183</v>
      </c>
      <c r="N117" s="25">
        <f t="shared" si="61"/>
        <v>0.13664596273291926</v>
      </c>
      <c r="O117" s="104">
        <f>IF(ISNUMBER(M117), $B118 * N117, "")</f>
        <v>20496.89440993789</v>
      </c>
      <c r="Q117" s="244"/>
      <c r="R117" s="245"/>
      <c r="S117" s="246"/>
    </row>
    <row r="118" spans="1:19" ht="17.25" thickBot="1">
      <c r="A118" s="135" t="s">
        <v>301</v>
      </c>
      <c r="B118" s="252">
        <f>$B$37</f>
        <v>150000</v>
      </c>
      <c r="C118" s="253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247"/>
      <c r="R118" s="248"/>
      <c r="S118" s="249"/>
    </row>
    <row r="120" spans="1:19" ht="17.25" thickBot="1"/>
    <row r="121" spans="1:19" ht="17.25" thickBot="1">
      <c r="A121" s="193" t="s">
        <v>288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63" t="s">
        <v>298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72158000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9.1322285000000007E-3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2021-05-06(목) 오전 00:00</v>
      </c>
      <c r="C123" s="257"/>
      <c r="D123" s="216" t="str">
        <f>TEXT($G$1, "[$-ko-KR]yyyy-mm-dd(ddd) ") &amp; "오후 14:00"</f>
        <v>2021-05-06(목) 오후 14:00</v>
      </c>
      <c r="E123" s="217"/>
      <c r="F123" s="218"/>
      <c r="G123" s="216" t="str">
        <f>TEXT($G$1, "[$-ko-KR]yyyy-mm-dd(ddd) ") &amp; "오후 19:00"</f>
        <v>2021-05-06(목) 오후 19:00</v>
      </c>
      <c r="H123" s="217"/>
      <c r="I123" s="218"/>
      <c r="J123" s="216" t="str">
        <f>TEXT($G$1, "[$-ko-KR]yyyy-mm-dd(ddd) ") &amp; "오후 21:00"</f>
        <v>2021-05-06(목) 오후 21:00</v>
      </c>
      <c r="K123" s="217"/>
      <c r="L123" s="218"/>
      <c r="M123" s="216" t="str">
        <f>TEXT($G$1+1, "[$-ko-KR]yyyy-mm-dd(ddd) ") &amp; "오전 00:00"</f>
        <v>2021-05-07(금)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219"/>
      <c r="R124" s="219"/>
      <c r="S124" s="219"/>
    </row>
    <row r="125" spans="1:19" ht="17.25" thickBot="1">
      <c r="A125" s="126" t="s">
        <v>152</v>
      </c>
      <c r="B125" s="127">
        <v>51.5</v>
      </c>
      <c r="C125" s="76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100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214"/>
      <c r="R125" s="214"/>
      <c r="S125" s="214"/>
    </row>
    <row r="126" spans="1:19" ht="17.25" thickBot="1">
      <c r="A126" s="128" t="s">
        <v>126</v>
      </c>
      <c r="B126" s="129">
        <v>65.5</v>
      </c>
      <c r="C126" s="77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101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214"/>
      <c r="R126" s="214"/>
      <c r="S126" s="214"/>
    </row>
    <row r="127" spans="1:19" ht="17.25" thickBot="1">
      <c r="A127" s="128" t="s">
        <v>100</v>
      </c>
      <c r="B127" s="129">
        <v>8.52</v>
      </c>
      <c r="C127" s="77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101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219"/>
      <c r="R127" s="219"/>
      <c r="S127" s="219"/>
    </row>
    <row r="128" spans="1:19" ht="17.25" thickBot="1">
      <c r="A128" s="128" t="s">
        <v>72</v>
      </c>
      <c r="B128" s="129">
        <v>36.1</v>
      </c>
      <c r="C128" s="77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101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219"/>
      <c r="R128" s="219"/>
      <c r="S128" s="219"/>
    </row>
    <row r="129" spans="1:19" ht="17.25" thickBot="1">
      <c r="A129" s="130" t="s">
        <v>65</v>
      </c>
      <c r="B129" s="131">
        <v>73.8</v>
      </c>
      <c r="C129" s="78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5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219"/>
      <c r="R129" s="219"/>
      <c r="S129" s="219"/>
    </row>
    <row r="130" spans="1:19" ht="17.25" thickBot="1">
      <c r="A130" s="128" t="s">
        <v>254</v>
      </c>
      <c r="B130" s="132">
        <v>93.6</v>
      </c>
      <c r="C130" s="80">
        <v>3.08370044E-2</v>
      </c>
      <c r="D130" s="106">
        <v>87.5</v>
      </c>
      <c r="E130" s="107">
        <f>IF(ISNUMBER(D130), (D130 - $B130) / $B130, "")</f>
        <v>-6.517094017094012E-2</v>
      </c>
      <c r="F130" s="108">
        <f>IF(ISNUMBER(D130), $B145 * E130, "")</f>
        <v>-9775.6410256410181</v>
      </c>
      <c r="G130" s="109">
        <v>87.7</v>
      </c>
      <c r="H130" s="107">
        <f>IF(ISNUMBER(G130), (G130 - $B130) / $B130, "")</f>
        <v>-6.3034188034187949E-2</v>
      </c>
      <c r="I130" s="110">
        <f>IF(ISNUMBER(G130), $B145 * H130, "")</f>
        <v>-9455.1282051281923</v>
      </c>
      <c r="J130" s="106">
        <v>86.9</v>
      </c>
      <c r="K130" s="107">
        <f>IF(ISNUMBER(J130), (J130 - $B130) / $B130, "")</f>
        <v>-7.1581196581196466E-2</v>
      </c>
      <c r="L130" s="108">
        <f>IF(ISNUMBER(J130), $B145 * K130, "")</f>
        <v>-10737.17948717947</v>
      </c>
      <c r="M130" s="109">
        <v>86</v>
      </c>
      <c r="N130" s="107">
        <f>IF(ISNUMBER(M130), (M130 - $B130) / $B130, "")</f>
        <v>-8.1196581196581144E-2</v>
      </c>
      <c r="O130" s="108">
        <f>IF(ISNUMBER(M130), $B145 * N130, "")</f>
        <v>-12179.487179487172</v>
      </c>
      <c r="Q130" s="219"/>
      <c r="R130" s="219"/>
      <c r="S130" s="219"/>
    </row>
    <row r="131" spans="1:19" ht="17.25" thickBot="1">
      <c r="A131" s="128" t="s">
        <v>196</v>
      </c>
      <c r="B131" s="129">
        <v>20.9</v>
      </c>
      <c r="C131" s="77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101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219"/>
      <c r="R131" s="219"/>
      <c r="S131" s="219"/>
    </row>
    <row r="132" spans="1:19" ht="17.25" thickBot="1">
      <c r="A132" s="128" t="s">
        <v>220</v>
      </c>
      <c r="B132" s="129">
        <v>22.3</v>
      </c>
      <c r="C132" s="77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101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219"/>
      <c r="R132" s="219"/>
      <c r="S132" s="219"/>
    </row>
    <row r="133" spans="1:19" ht="17.25" thickBot="1">
      <c r="A133" s="128" t="s">
        <v>268</v>
      </c>
      <c r="B133" s="129">
        <v>99.8</v>
      </c>
      <c r="C133" s="77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101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33" t="s">
        <v>198</v>
      </c>
      <c r="B134" s="134">
        <v>29</v>
      </c>
      <c r="C134" s="79">
        <v>-3.4364260999999998E-3</v>
      </c>
      <c r="D134" s="24">
        <v>28.7</v>
      </c>
      <c r="E134" s="25">
        <f t="shared" si="66"/>
        <v>-1.0344827586206921E-2</v>
      </c>
      <c r="F134" s="104">
        <f>IF(ISNUMBER(D134), $B145 * E134, "")</f>
        <v>-1551.7241379310381</v>
      </c>
      <c r="G134" s="102">
        <v>28.3</v>
      </c>
      <c r="H134" s="25">
        <f t="shared" si="67"/>
        <v>-2.4137931034482734E-2</v>
      </c>
      <c r="I134" s="103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4">
        <f>IF(ISNUMBER(J134), $B145 * K134, "")</f>
        <v>-3620.6896551724103</v>
      </c>
      <c r="M134" s="102">
        <v>28.3</v>
      </c>
      <c r="N134" s="25">
        <f t="shared" si="69"/>
        <v>-2.4137931034482734E-2</v>
      </c>
      <c r="O134" s="104">
        <f>IF(ISNUMBER(M134), $B145 * N134, "")</f>
        <v>-3620.6896551724103</v>
      </c>
      <c r="Q134" s="228"/>
      <c r="R134" s="229"/>
      <c r="S134" s="230"/>
    </row>
    <row r="135" spans="1:19">
      <c r="A135" s="126" t="s">
        <v>186</v>
      </c>
      <c r="B135" s="127">
        <v>25.9</v>
      </c>
      <c r="C135" s="76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100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231"/>
      <c r="R135" s="232"/>
      <c r="S135" s="233"/>
    </row>
    <row r="136" spans="1:19" ht="17.25" thickBot="1">
      <c r="A136" s="128" t="s">
        <v>228</v>
      </c>
      <c r="B136" s="129">
        <v>18.7</v>
      </c>
      <c r="C136" s="77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101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234"/>
      <c r="R136" s="235"/>
      <c r="S136" s="236"/>
    </row>
    <row r="137" spans="1:19" ht="17.25" thickBot="1">
      <c r="A137" s="128" t="s">
        <v>222</v>
      </c>
      <c r="B137" s="129">
        <v>18.7</v>
      </c>
      <c r="C137" s="77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101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219"/>
      <c r="R137" s="219"/>
      <c r="S137" s="219"/>
    </row>
    <row r="138" spans="1:19" ht="17.25" thickBot="1">
      <c r="A138" s="128" t="s">
        <v>154</v>
      </c>
      <c r="B138" s="129">
        <v>21.5</v>
      </c>
      <c r="C138" s="77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101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214"/>
      <c r="R138" s="214"/>
      <c r="S138" s="214"/>
    </row>
    <row r="139" spans="1:19" ht="17.25" thickBot="1">
      <c r="A139" s="130" t="s">
        <v>236</v>
      </c>
      <c r="B139" s="131">
        <v>69.599999999999994</v>
      </c>
      <c r="C139" s="78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5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214"/>
      <c r="R139" s="214"/>
      <c r="S139" s="214"/>
    </row>
    <row r="140" spans="1:19" ht="17.25" thickBot="1">
      <c r="A140" s="128" t="s">
        <v>172</v>
      </c>
      <c r="B140" s="132">
        <v>25.6</v>
      </c>
      <c r="C140" s="80">
        <v>-1.5384615399999999E-2</v>
      </c>
      <c r="D140" s="106">
        <v>25.6</v>
      </c>
      <c r="E140" s="107">
        <f>IF(ISNUMBER(D140), (D140 - $B140) / $B140, "")</f>
        <v>0</v>
      </c>
      <c r="F140" s="108">
        <f>IF(ISNUMBER(D140), $B145 * E140, "")</f>
        <v>0</v>
      </c>
      <c r="G140" s="109">
        <v>25.5</v>
      </c>
      <c r="H140" s="107">
        <f>IF(ISNUMBER(G140), (G140 - $B140) / $B140, "")</f>
        <v>-3.9062500000000555E-3</v>
      </c>
      <c r="I140" s="110">
        <f>IF(ISNUMBER(G140), $B145 * H140, "")</f>
        <v>-585.9375000000083</v>
      </c>
      <c r="J140" s="106">
        <v>25.3</v>
      </c>
      <c r="K140" s="107">
        <f>IF(ISNUMBER(J140), (J140 - $B140) / $B140, "")</f>
        <v>-1.1718750000000028E-2</v>
      </c>
      <c r="L140" s="108">
        <f>IF(ISNUMBER(J140), $B145 * K140, "")</f>
        <v>-1757.8125000000041</v>
      </c>
      <c r="M140" s="109">
        <v>25.2</v>
      </c>
      <c r="N140" s="107">
        <f>IF(ISNUMBER(M140), (M140 - $B140) / $B140, "")</f>
        <v>-1.5625000000000083E-2</v>
      </c>
      <c r="O140" s="108">
        <f>IF(ISNUMBER(M140), $B145 * N140, "")</f>
        <v>-2343.7500000000123</v>
      </c>
      <c r="Q140" s="219"/>
      <c r="R140" s="219"/>
      <c r="S140" s="219"/>
    </row>
    <row r="141" spans="1:19" ht="17.25" thickBot="1">
      <c r="A141" s="128" t="s">
        <v>214</v>
      </c>
      <c r="B141" s="129">
        <v>22.4</v>
      </c>
      <c r="C141" s="77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101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219"/>
      <c r="R141" s="219"/>
      <c r="S141" s="219"/>
    </row>
    <row r="142" spans="1:19" ht="17.25" thickBot="1">
      <c r="A142" s="128" t="s">
        <v>218</v>
      </c>
      <c r="B142" s="129">
        <v>28.8</v>
      </c>
      <c r="C142" s="77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101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219"/>
      <c r="R142" s="219"/>
      <c r="S142" s="219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5" t="s">
        <v>301</v>
      </c>
      <c r="B145" s="252">
        <f>$B$37</f>
        <v>150000</v>
      </c>
      <c r="C145" s="253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247"/>
      <c r="R145" s="248"/>
      <c r="S145" s="249"/>
    </row>
    <row r="147" spans="1:19" ht="17.25" thickBot="1"/>
    <row r="148" spans="1:19" ht="17.25" thickBot="1">
      <c r="A148" s="193" t="s">
        <v>289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63" t="s">
        <v>298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72158000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9.1322285000000007E-3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2021-05-06(목) 오전 00:00</v>
      </c>
      <c r="C150" s="257"/>
      <c r="D150" s="216" t="str">
        <f>TEXT($G$1, "[$-ko-KR]yyyy-mm-dd(ddd) ") &amp; "오후 14:00"</f>
        <v>2021-05-06(목) 오후 14:00</v>
      </c>
      <c r="E150" s="217"/>
      <c r="F150" s="218"/>
      <c r="G150" s="216" t="str">
        <f>TEXT($G$1, "[$-ko-KR]yyyy-mm-dd(ddd) ") &amp; "오후 19:00"</f>
        <v>2021-05-06(목) 오후 19:00</v>
      </c>
      <c r="H150" s="217"/>
      <c r="I150" s="218"/>
      <c r="J150" s="216" t="str">
        <f>TEXT($G$1, "[$-ko-KR]yyyy-mm-dd(ddd) ") &amp; "오후 21:00"</f>
        <v>2021-05-06(목) 오후 21:00</v>
      </c>
      <c r="K150" s="217"/>
      <c r="L150" s="218"/>
      <c r="M150" s="216" t="str">
        <f>TEXT($G$1+1, "[$-ko-KR]yyyy-mm-dd(ddd) ") &amp; "오전 00:00"</f>
        <v>2021-05-07(금)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219"/>
      <c r="R151" s="219"/>
      <c r="S151" s="219"/>
    </row>
    <row r="152" spans="1:19" ht="17.25" thickBot="1">
      <c r="A152" s="126" t="s">
        <v>264</v>
      </c>
      <c r="B152" s="127">
        <v>173</v>
      </c>
      <c r="C152" s="76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100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214"/>
      <c r="R152" s="214"/>
      <c r="S152" s="214"/>
    </row>
    <row r="153" spans="1:19" ht="17.25" thickBot="1">
      <c r="A153" s="128" t="s">
        <v>112</v>
      </c>
      <c r="B153" s="129">
        <v>256</v>
      </c>
      <c r="C153" s="77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101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214"/>
      <c r="R153" s="214"/>
      <c r="S153" s="214"/>
    </row>
    <row r="154" spans="1:19" ht="17.25" thickBot="1">
      <c r="A154" s="128" t="s">
        <v>202</v>
      </c>
      <c r="B154" s="129">
        <v>215</v>
      </c>
      <c r="C154" s="77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101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219"/>
      <c r="R154" s="219"/>
      <c r="S154" s="219"/>
    </row>
    <row r="155" spans="1:19" ht="17.25" thickBot="1">
      <c r="A155" s="128" t="s">
        <v>174</v>
      </c>
      <c r="B155" s="129">
        <v>276</v>
      </c>
      <c r="C155" s="77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101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219"/>
      <c r="R155" s="219"/>
      <c r="S155" s="219"/>
    </row>
    <row r="156" spans="1:19" ht="17.25" thickBot="1">
      <c r="A156" s="130" t="s">
        <v>210</v>
      </c>
      <c r="B156" s="131">
        <v>197</v>
      </c>
      <c r="C156" s="78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5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219"/>
      <c r="R156" s="219"/>
      <c r="S156" s="219"/>
    </row>
    <row r="157" spans="1:19" ht="17.25" thickBot="1">
      <c r="A157" s="128" t="s">
        <v>208</v>
      </c>
      <c r="B157" s="132">
        <v>494</v>
      </c>
      <c r="C157" s="80">
        <v>-1.5936255E-2</v>
      </c>
      <c r="D157" s="106">
        <v>496</v>
      </c>
      <c r="E157" s="107">
        <f>IF(ISNUMBER(D157), (D157 - $B157) / $B157, "")</f>
        <v>4.048582995951417E-3</v>
      </c>
      <c r="F157" s="108">
        <f>IF(ISNUMBER(D157), $B172 * E157, "")</f>
        <v>607.28744939271257</v>
      </c>
      <c r="G157" s="109">
        <v>491</v>
      </c>
      <c r="H157" s="107">
        <f>IF(ISNUMBER(G157), (G157 - $B157) / $B157, "")</f>
        <v>-6.0728744939271256E-3</v>
      </c>
      <c r="I157" s="110">
        <f>IF(ISNUMBER(G157), $B172 * H157, "")</f>
        <v>-910.9311740890688</v>
      </c>
      <c r="J157" s="106">
        <v>490</v>
      </c>
      <c r="K157" s="107">
        <f>IF(ISNUMBER(J157), (J157 - $B157) / $B157, "")</f>
        <v>-8.0971659919028341E-3</v>
      </c>
      <c r="L157" s="108">
        <f>IF(ISNUMBER(J157), $B172 * K157, "")</f>
        <v>-1214.5748987854251</v>
      </c>
      <c r="M157" s="109">
        <v>490</v>
      </c>
      <c r="N157" s="107">
        <f>IF(ISNUMBER(M157), (M157 - $B157) / $B157, "")</f>
        <v>-8.0971659919028341E-3</v>
      </c>
      <c r="O157" s="108">
        <f>IF(ISNUMBER(M157), $B172 * N157, "")</f>
        <v>-1214.5748987854251</v>
      </c>
      <c r="Q157" s="219"/>
      <c r="R157" s="219"/>
      <c r="S157" s="219"/>
    </row>
    <row r="158" spans="1:19" ht="17.25" thickBot="1">
      <c r="A158" s="128" t="s">
        <v>238</v>
      </c>
      <c r="B158" s="129">
        <v>294</v>
      </c>
      <c r="C158" s="77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101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219"/>
      <c r="R158" s="219"/>
      <c r="S158" s="219"/>
    </row>
    <row r="159" spans="1:19" ht="17.25" thickBot="1">
      <c r="A159" s="128" t="s">
        <v>246</v>
      </c>
      <c r="B159" s="129">
        <v>401</v>
      </c>
      <c r="C159" s="77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101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219"/>
      <c r="R159" s="219"/>
      <c r="S159" s="219"/>
    </row>
    <row r="160" spans="1:19" ht="17.25" thickBot="1">
      <c r="A160" s="128" t="s">
        <v>282</v>
      </c>
      <c r="B160" s="129">
        <v>163</v>
      </c>
      <c r="C160" s="77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101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33" t="s">
        <v>212</v>
      </c>
      <c r="B161" s="134">
        <v>153</v>
      </c>
      <c r="C161" s="79">
        <v>-1.9230769200000001E-2</v>
      </c>
      <c r="D161" s="24">
        <v>162</v>
      </c>
      <c r="E161" s="25">
        <f t="shared" si="82"/>
        <v>5.8823529411764705E-2</v>
      </c>
      <c r="F161" s="104">
        <f>IF(ISNUMBER(D161), $B172 * E161, "")</f>
        <v>8823.5294117647063</v>
      </c>
      <c r="G161" s="102">
        <v>157</v>
      </c>
      <c r="H161" s="25">
        <f t="shared" si="83"/>
        <v>2.6143790849673203E-2</v>
      </c>
      <c r="I161" s="103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4">
        <f>IF(ISNUMBER(J161), $B172 * K161, "")</f>
        <v>4901.9607843137255</v>
      </c>
      <c r="M161" s="102">
        <v>156</v>
      </c>
      <c r="N161" s="25">
        <f t="shared" si="85"/>
        <v>1.9607843137254902E-2</v>
      </c>
      <c r="O161" s="104">
        <f>IF(ISNUMBER(M161), $B172 * N161, "")</f>
        <v>2941.1764705882351</v>
      </c>
      <c r="Q161" s="228"/>
      <c r="R161" s="229"/>
      <c r="S161" s="230"/>
    </row>
    <row r="162" spans="1:19">
      <c r="A162" s="126" t="s">
        <v>226</v>
      </c>
      <c r="B162" s="127">
        <v>502</v>
      </c>
      <c r="C162" s="76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100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231"/>
      <c r="R162" s="232"/>
      <c r="S162" s="233"/>
    </row>
    <row r="163" spans="1:19" ht="17.25" thickBot="1">
      <c r="A163" s="128" t="s">
        <v>284</v>
      </c>
      <c r="B163" s="129">
        <v>441</v>
      </c>
      <c r="C163" s="77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101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234"/>
      <c r="R163" s="235"/>
      <c r="S163" s="236"/>
    </row>
    <row r="164" spans="1:19" ht="17.25" thickBot="1">
      <c r="A164" s="128" t="s">
        <v>240</v>
      </c>
      <c r="B164" s="129">
        <v>188</v>
      </c>
      <c r="C164" s="77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101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219"/>
      <c r="R164" s="219"/>
      <c r="S164" s="219"/>
    </row>
    <row r="165" spans="1:19" ht="17.25" thickBot="1">
      <c r="A165" s="128" t="s">
        <v>200</v>
      </c>
      <c r="B165" s="129">
        <v>371</v>
      </c>
      <c r="C165" s="77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101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214"/>
      <c r="R165" s="214"/>
      <c r="S165" s="214"/>
    </row>
    <row r="166" spans="1:19" ht="17.25" thickBot="1">
      <c r="A166" s="130" t="s">
        <v>230</v>
      </c>
      <c r="B166" s="131">
        <v>177</v>
      </c>
      <c r="C166" s="78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5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214"/>
      <c r="R166" s="214"/>
      <c r="S166" s="214"/>
    </row>
    <row r="167" spans="1:19" ht="17.25" thickBot="1">
      <c r="A167" s="128" t="s">
        <v>232</v>
      </c>
      <c r="B167" s="132">
        <v>173</v>
      </c>
      <c r="C167" s="80">
        <v>-2.2598870100000001E-2</v>
      </c>
      <c r="D167" s="106">
        <v>176</v>
      </c>
      <c r="E167" s="107">
        <f>IF(ISNUMBER(D167), (D167 - $B167) / $B167, "")</f>
        <v>1.7341040462427744E-2</v>
      </c>
      <c r="F167" s="108">
        <f>IF(ISNUMBER(D167), $B172 * E167, "")</f>
        <v>2601.1560693641618</v>
      </c>
      <c r="G167" s="109">
        <v>175</v>
      </c>
      <c r="H167" s="107">
        <f>IF(ISNUMBER(G167), (G167 - $B167) / $B167, "")</f>
        <v>1.1560693641618497E-2</v>
      </c>
      <c r="I167" s="110">
        <f>IF(ISNUMBER(G167), $B172 * H167, "")</f>
        <v>1734.1040462427745</v>
      </c>
      <c r="J167" s="106">
        <v>175</v>
      </c>
      <c r="K167" s="107">
        <f>IF(ISNUMBER(J167), (J167 - $B167) / $B167, "")</f>
        <v>1.1560693641618497E-2</v>
      </c>
      <c r="L167" s="108">
        <f>IF(ISNUMBER(J167), $B172 * K167, "")</f>
        <v>1734.1040462427745</v>
      </c>
      <c r="M167" s="109">
        <v>173</v>
      </c>
      <c r="N167" s="107">
        <f>IF(ISNUMBER(M167), (M167 - $B167) / $B167, "")</f>
        <v>0</v>
      </c>
      <c r="O167" s="108">
        <f>IF(ISNUMBER(M167), $B172 * N167, "")</f>
        <v>0</v>
      </c>
      <c r="Q167" s="219"/>
      <c r="R167" s="219"/>
      <c r="S167" s="219"/>
    </row>
    <row r="168" spans="1:19" ht="17.25" thickBot="1">
      <c r="A168" s="128" t="s">
        <v>260</v>
      </c>
      <c r="B168" s="129">
        <v>122</v>
      </c>
      <c r="C168" s="77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101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219"/>
      <c r="R168" s="219"/>
      <c r="S168" s="219"/>
    </row>
    <row r="169" spans="1:19" ht="17.25" thickBot="1">
      <c r="A169" s="128" t="s">
        <v>122</v>
      </c>
      <c r="B169" s="129">
        <v>116</v>
      </c>
      <c r="C169" s="77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101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219"/>
      <c r="R169" s="219"/>
      <c r="S169" s="219"/>
    </row>
    <row r="170" spans="1:19">
      <c r="A170" s="128" t="s">
        <v>258</v>
      </c>
      <c r="B170" s="129">
        <v>720</v>
      </c>
      <c r="C170" s="77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101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241"/>
      <c r="R170" s="242"/>
      <c r="S170" s="243"/>
    </row>
    <row r="171" spans="1:19" ht="17.25" thickBot="1">
      <c r="A171" s="133" t="s">
        <v>252</v>
      </c>
      <c r="B171" s="134">
        <v>544</v>
      </c>
      <c r="C171" s="79">
        <v>-2.85714286E-2</v>
      </c>
      <c r="D171" s="24">
        <v>559</v>
      </c>
      <c r="E171" s="25">
        <f t="shared" si="90"/>
        <v>2.7573529411764705E-2</v>
      </c>
      <c r="F171" s="104">
        <f>IF(ISNUMBER(D171), $B172 * E171, "")</f>
        <v>4136.0294117647054</v>
      </c>
      <c r="G171" s="102">
        <v>555</v>
      </c>
      <c r="H171" s="25">
        <f t="shared" si="91"/>
        <v>2.0220588235294119E-2</v>
      </c>
      <c r="I171" s="103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4">
        <f>IF(ISNUMBER(J171), $B172 * K171, "")</f>
        <v>4411.7647058823532</v>
      </c>
      <c r="M171" s="102">
        <v>557</v>
      </c>
      <c r="N171" s="25">
        <f t="shared" si="93"/>
        <v>2.389705882352941E-2</v>
      </c>
      <c r="O171" s="104">
        <f>IF(ISNUMBER(M171), $B172 * N171, "")</f>
        <v>3584.5588235294117</v>
      </c>
      <c r="Q171" s="244"/>
      <c r="R171" s="245"/>
      <c r="S171" s="246"/>
    </row>
    <row r="172" spans="1:19" ht="17.25" thickBot="1">
      <c r="A172" s="135" t="s">
        <v>301</v>
      </c>
      <c r="B172" s="252">
        <f>$B$37</f>
        <v>150000</v>
      </c>
      <c r="C172" s="253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247"/>
      <c r="R172" s="248"/>
      <c r="S172" s="249"/>
    </row>
    <row r="174" spans="1:19" ht="17.25" thickBot="1"/>
    <row r="175" spans="1:19" ht="17.25" thickBot="1">
      <c r="A175" s="193" t="s">
        <v>285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63" t="s">
        <v>298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72158000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9.1322285000000007E-3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2021-05-06(목) 오전 00:00</v>
      </c>
      <c r="C177" s="257"/>
      <c r="D177" s="216" t="str">
        <f>TEXT($G$1, "[$-ko-KR]yyyy-mm-dd(ddd) ") &amp; "오후 14:00"</f>
        <v>2021-05-06(목) 오후 14:00</v>
      </c>
      <c r="E177" s="217"/>
      <c r="F177" s="218"/>
      <c r="G177" s="216" t="str">
        <f>TEXT($G$1, "[$-ko-KR]yyyy-mm-dd(ddd) ") &amp; "오후 19:00"</f>
        <v>2021-05-06(목) 오후 19:00</v>
      </c>
      <c r="H177" s="217"/>
      <c r="I177" s="218"/>
      <c r="J177" s="216" t="str">
        <f>TEXT($G$1, "[$-ko-KR]yyyy-mm-dd(ddd) ") &amp; "오후 21:00"</f>
        <v>2021-05-06(목) 오후 21:00</v>
      </c>
      <c r="K177" s="217"/>
      <c r="L177" s="218"/>
      <c r="M177" s="216" t="str">
        <f>TEXT($G$1+1, "[$-ko-KR]yyyy-mm-dd(ddd) ") &amp; "오전 00:00"</f>
        <v>2021-05-07(금)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219"/>
      <c r="R178" s="219"/>
      <c r="S178" s="219"/>
    </row>
    <row r="179" spans="1:19" ht="17.25" thickBot="1">
      <c r="A179" s="126" t="s">
        <v>284</v>
      </c>
      <c r="B179" s="127">
        <v>441</v>
      </c>
      <c r="C179" s="76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100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214"/>
      <c r="R179" s="214"/>
      <c r="S179" s="214"/>
    </row>
    <row r="180" spans="1:19" ht="17.25" thickBot="1">
      <c r="A180" s="128" t="s">
        <v>218</v>
      </c>
      <c r="B180" s="129">
        <v>28.8</v>
      </c>
      <c r="C180" s="77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101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214"/>
      <c r="R180" s="214"/>
      <c r="S180" s="214"/>
    </row>
    <row r="181" spans="1:19" ht="17.25" thickBot="1">
      <c r="A181" s="128" t="s">
        <v>240</v>
      </c>
      <c r="B181" s="129">
        <v>188</v>
      </c>
      <c r="C181" s="77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101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219"/>
      <c r="R181" s="219"/>
      <c r="S181" s="219"/>
    </row>
    <row r="182" spans="1:19" ht="17.25" thickBot="1">
      <c r="A182" s="128" t="s">
        <v>234</v>
      </c>
      <c r="B182" s="129">
        <v>1395</v>
      </c>
      <c r="C182" s="77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101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219"/>
      <c r="R182" s="219"/>
      <c r="S182" s="219"/>
    </row>
    <row r="183" spans="1:19" ht="17.25" thickBot="1">
      <c r="A183" s="130" t="s">
        <v>200</v>
      </c>
      <c r="B183" s="131">
        <v>371</v>
      </c>
      <c r="C183" s="78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5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219"/>
      <c r="R183" s="219"/>
      <c r="S183" s="219"/>
    </row>
    <row r="184" spans="1:19" ht="17.25" thickBot="1">
      <c r="A184" s="128" t="s">
        <v>230</v>
      </c>
      <c r="B184" s="132">
        <v>177</v>
      </c>
      <c r="C184" s="80">
        <v>-2.2099447500000001E-2</v>
      </c>
      <c r="D184" s="106">
        <v>177</v>
      </c>
      <c r="E184" s="107">
        <f>IF(ISNUMBER(D184), (D184 - $B184) / $B184, "")</f>
        <v>0</v>
      </c>
      <c r="F184" s="108">
        <f>IF(ISNUMBER(D184), $B199 * E184, "")</f>
        <v>0</v>
      </c>
      <c r="G184" s="109">
        <v>176</v>
      </c>
      <c r="H184" s="107">
        <f>IF(ISNUMBER(G184), (G184 - $B184) / $B184, "")</f>
        <v>-5.6497175141242938E-3</v>
      </c>
      <c r="I184" s="110">
        <f>IF(ISNUMBER(G184), $B199 * H184, "")</f>
        <v>-847.45762711864404</v>
      </c>
      <c r="J184" s="106">
        <v>175</v>
      </c>
      <c r="K184" s="107">
        <f>IF(ISNUMBER(J184), (J184 - $B184) / $B184, "")</f>
        <v>-1.1299435028248588E-2</v>
      </c>
      <c r="L184" s="108">
        <f>IF(ISNUMBER(J184), $B199 * K184, "")</f>
        <v>-1694.9152542372881</v>
      </c>
      <c r="M184" s="109">
        <v>173</v>
      </c>
      <c r="N184" s="107">
        <f>IF(ISNUMBER(M184), (M184 - $B184) / $B184, "")</f>
        <v>-2.2598870056497175E-2</v>
      </c>
      <c r="O184" s="108">
        <f>IF(ISNUMBER(M184), $B199 * N184, "")</f>
        <v>-3389.8305084745762</v>
      </c>
      <c r="Q184" s="219"/>
      <c r="R184" s="219"/>
      <c r="S184" s="219"/>
    </row>
    <row r="185" spans="1:19" ht="17.25" thickBot="1">
      <c r="A185" s="128" t="s">
        <v>232</v>
      </c>
      <c r="B185" s="129">
        <v>173</v>
      </c>
      <c r="C185" s="77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101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19"/>
      <c r="R185" s="219"/>
      <c r="S185" s="219"/>
    </row>
    <row r="186" spans="1:19" ht="17.25" thickBot="1">
      <c r="A186" s="128" t="s">
        <v>260</v>
      </c>
      <c r="B186" s="129">
        <v>122</v>
      </c>
      <c r="C186" s="77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101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219"/>
      <c r="R186" s="219"/>
      <c r="S186" s="219"/>
    </row>
    <row r="187" spans="1:19" ht="17.25" thickBot="1">
      <c r="A187" s="128" t="s">
        <v>224</v>
      </c>
      <c r="B187" s="129">
        <v>2015</v>
      </c>
      <c r="C187" s="77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101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33" t="s">
        <v>122</v>
      </c>
      <c r="B188" s="134">
        <v>116</v>
      </c>
      <c r="C188" s="79">
        <v>-2.5210084000000001E-2</v>
      </c>
      <c r="D188" s="24">
        <v>119</v>
      </c>
      <c r="E188" s="25">
        <f t="shared" si="98"/>
        <v>2.5862068965517241E-2</v>
      </c>
      <c r="F188" s="104">
        <f>IF(ISNUMBER(D188), $B199 * E188, "")</f>
        <v>3879.3103448275861</v>
      </c>
      <c r="G188" s="102">
        <v>119</v>
      </c>
      <c r="H188" s="25">
        <f t="shared" si="99"/>
        <v>2.5862068965517241E-2</v>
      </c>
      <c r="I188" s="103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4">
        <f>IF(ISNUMBER(J188), $B199 * K188, "")</f>
        <v>3879.3103448275861</v>
      </c>
      <c r="M188" s="102">
        <v>117</v>
      </c>
      <c r="N188" s="25">
        <f t="shared" si="101"/>
        <v>8.6206896551724137E-3</v>
      </c>
      <c r="O188" s="104">
        <f>IF(ISNUMBER(M188), $B199 * N188, "")</f>
        <v>1293.1034482758621</v>
      </c>
      <c r="Q188" s="228"/>
      <c r="R188" s="229"/>
      <c r="S188" s="230"/>
    </row>
    <row r="189" spans="1:19">
      <c r="A189" s="126" t="s">
        <v>82</v>
      </c>
      <c r="B189" s="127">
        <v>1530</v>
      </c>
      <c r="C189" s="76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100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231"/>
      <c r="R189" s="232"/>
      <c r="S189" s="233"/>
    </row>
    <row r="190" spans="1:19" ht="17.25" thickBot="1">
      <c r="A190" s="128" t="s">
        <v>124</v>
      </c>
      <c r="B190" s="129">
        <v>6935</v>
      </c>
      <c r="C190" s="77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101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234"/>
      <c r="R190" s="235"/>
      <c r="S190" s="236"/>
    </row>
    <row r="191" spans="1:19" ht="17.25" thickBot="1">
      <c r="A191" s="128" t="s">
        <v>258</v>
      </c>
      <c r="B191" s="129">
        <v>720</v>
      </c>
      <c r="C191" s="77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101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219"/>
      <c r="R191" s="219"/>
      <c r="S191" s="219"/>
    </row>
    <row r="192" spans="1:19" ht="17.25" thickBot="1">
      <c r="A192" s="128" t="s">
        <v>252</v>
      </c>
      <c r="B192" s="129">
        <v>544</v>
      </c>
      <c r="C192" s="77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101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214"/>
      <c r="R192" s="214"/>
      <c r="S192" s="214"/>
    </row>
    <row r="193" spans="1:19" ht="17.25" thickBot="1">
      <c r="A193" s="130" t="s">
        <v>206</v>
      </c>
      <c r="B193" s="131">
        <v>39480</v>
      </c>
      <c r="C193" s="78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5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214"/>
      <c r="R193" s="214"/>
      <c r="S193" s="214"/>
    </row>
    <row r="194" spans="1:19" ht="17.25" thickBot="1">
      <c r="A194" s="128" t="s">
        <v>194</v>
      </c>
      <c r="B194" s="132">
        <v>14260</v>
      </c>
      <c r="C194" s="80">
        <v>-3.0591434399999999E-2</v>
      </c>
      <c r="D194" s="106">
        <v>14350</v>
      </c>
      <c r="E194" s="107">
        <f>IF(ISNUMBER(D194), (D194 - $B194) / $B194, "")</f>
        <v>6.311360448807854E-3</v>
      </c>
      <c r="F194" s="108">
        <f>IF(ISNUMBER(D194), $B199 * E194, "")</f>
        <v>946.70406732117806</v>
      </c>
      <c r="G194" s="109">
        <v>14380</v>
      </c>
      <c r="H194" s="107">
        <f>IF(ISNUMBER(G194), (G194 - $B194) / $B194, "")</f>
        <v>8.4151472650771386E-3</v>
      </c>
      <c r="I194" s="110">
        <f>IF(ISNUMBER(G194), $B199 * H194, "")</f>
        <v>1262.2720897615709</v>
      </c>
      <c r="J194" s="106">
        <v>14350</v>
      </c>
      <c r="K194" s="107">
        <f>IF(ISNUMBER(J194), (J194 - $B194) / $B194, "")</f>
        <v>6.311360448807854E-3</v>
      </c>
      <c r="L194" s="108">
        <f>IF(ISNUMBER(J194), $B199 * K194, "")</f>
        <v>946.70406732117806</v>
      </c>
      <c r="M194" s="109">
        <v>14160</v>
      </c>
      <c r="N194" s="107">
        <f>IF(ISNUMBER(M194), (M194 - $B194) / $B194, "")</f>
        <v>-7.0126227208976155E-3</v>
      </c>
      <c r="O194" s="108">
        <f>IF(ISNUMBER(M194), $B199 * N194, "")</f>
        <v>-1051.8934081346424</v>
      </c>
      <c r="Q194" s="219"/>
      <c r="R194" s="219"/>
      <c r="S194" s="219"/>
    </row>
    <row r="195" spans="1:19" ht="17.25" thickBot="1">
      <c r="A195" s="128" t="s">
        <v>67</v>
      </c>
      <c r="B195" s="129">
        <v>8815</v>
      </c>
      <c r="C195" s="77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101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219"/>
      <c r="R195" s="219"/>
      <c r="S195" s="219"/>
    </row>
    <row r="196" spans="1:19" ht="17.25" thickBot="1">
      <c r="A196" s="128" t="s">
        <v>164</v>
      </c>
      <c r="B196" s="129">
        <v>42510</v>
      </c>
      <c r="C196" s="77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101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219"/>
      <c r="R196" s="219"/>
      <c r="S196" s="219"/>
    </row>
    <row r="197" spans="1:19">
      <c r="A197" s="128" t="s">
        <v>204</v>
      </c>
      <c r="B197" s="129">
        <v>8795</v>
      </c>
      <c r="C197" s="77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101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241"/>
      <c r="R197" s="242"/>
      <c r="S197" s="243"/>
    </row>
    <row r="198" spans="1:19" ht="17.25" thickBot="1">
      <c r="A198" s="133" t="s">
        <v>276</v>
      </c>
      <c r="B198" s="134">
        <v>4540</v>
      </c>
      <c r="C198" s="79">
        <v>-4.4210526299999997E-2</v>
      </c>
      <c r="D198" s="24">
        <v>4640</v>
      </c>
      <c r="E198" s="25">
        <f t="shared" si="106"/>
        <v>2.2026431718061675E-2</v>
      </c>
      <c r="F198" s="104">
        <f>IF(ISNUMBER(D198), $B199 * E198, "")</f>
        <v>3303.9647577092514</v>
      </c>
      <c r="G198" s="102">
        <v>4685</v>
      </c>
      <c r="H198" s="25">
        <f t="shared" si="107"/>
        <v>3.1938325991189426E-2</v>
      </c>
      <c r="I198" s="103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4">
        <f>IF(ISNUMBER(J198), $B199 * K198, "")</f>
        <v>3303.9647577092514</v>
      </c>
      <c r="M198" s="102">
        <v>4615</v>
      </c>
      <c r="N198" s="25">
        <f t="shared" si="109"/>
        <v>1.6519823788546256E-2</v>
      </c>
      <c r="O198" s="104">
        <f>IF(ISNUMBER(M198), $B199 * N198, "")</f>
        <v>2477.9735682819382</v>
      </c>
      <c r="Q198" s="244"/>
      <c r="R198" s="245"/>
      <c r="S198" s="246"/>
    </row>
    <row r="199" spans="1:19" ht="17.25" thickBot="1">
      <c r="A199" s="135" t="s">
        <v>301</v>
      </c>
      <c r="B199" s="252">
        <f>$B$37</f>
        <v>150000</v>
      </c>
      <c r="C199" s="253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3" bestFit="1" customWidth="1"/>
    <col min="2" max="2" width="19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44323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20" t="s">
        <v>3</v>
      </c>
      <c r="B2" s="199" t="s">
        <v>4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5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21" t="s">
        <v>7</v>
      </c>
      <c r="B3" s="205" t="s">
        <v>8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209"/>
      <c r="I3" s="210"/>
      <c r="J3" s="4" t="s">
        <v>7</v>
      </c>
      <c r="K3" s="205" t="s">
        <v>9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05" t="s">
        <v>12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13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05" t="s">
        <v>16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209"/>
      <c r="I5" s="210"/>
      <c r="J5" s="4" t="s">
        <v>15</v>
      </c>
      <c r="K5" s="205" t="s">
        <v>17</v>
      </c>
      <c r="L5" s="206"/>
      <c r="M5" s="206"/>
      <c r="N5" s="206"/>
      <c r="O5" s="207"/>
    </row>
    <row r="6" spans="1:19">
      <c r="A6" s="121" t="s">
        <v>18</v>
      </c>
      <c r="B6" s="205" t="s">
        <v>19</v>
      </c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20</v>
      </c>
      <c r="L6" s="206"/>
      <c r="M6" s="206"/>
      <c r="N6" s="206"/>
      <c r="O6" s="207"/>
    </row>
    <row r="7" spans="1:19" ht="17.25" thickBot="1">
      <c r="A7" s="121" t="s">
        <v>21</v>
      </c>
      <c r="B7" s="205" t="s">
        <v>22</v>
      </c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209"/>
      <c r="I7" s="210"/>
      <c r="J7" s="4" t="s">
        <v>21</v>
      </c>
      <c r="K7" s="205" t="s">
        <v>23</v>
      </c>
      <c r="L7" s="206"/>
      <c r="M7" s="206"/>
      <c r="N7" s="206"/>
      <c r="O7" s="207"/>
    </row>
    <row r="8" spans="1:19" ht="17.25" thickBot="1">
      <c r="A8" s="121" t="s">
        <v>24</v>
      </c>
      <c r="B8" s="205" t="s">
        <v>25</v>
      </c>
      <c r="C8" s="206"/>
      <c r="D8" s="206"/>
      <c r="E8" s="206"/>
      <c r="F8" s="207"/>
      <c r="G8" s="202" t="s">
        <v>285</v>
      </c>
      <c r="H8" s="203"/>
      <c r="I8" s="204"/>
      <c r="J8" s="4" t="s">
        <v>24</v>
      </c>
      <c r="K8" s="205" t="s">
        <v>26</v>
      </c>
      <c r="L8" s="206"/>
      <c r="M8" s="206"/>
      <c r="N8" s="206"/>
      <c r="O8" s="207"/>
      <c r="Q8" s="193" t="s">
        <v>27</v>
      </c>
      <c r="R8" s="195"/>
    </row>
    <row r="9" spans="1:19" ht="17.25" thickBot="1">
      <c r="A9" s="121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209"/>
      <c r="I9" s="210"/>
      <c r="J9" s="4" t="s">
        <v>28</v>
      </c>
      <c r="K9" s="205" t="s">
        <v>293</v>
      </c>
      <c r="L9" s="206"/>
      <c r="M9" s="206"/>
      <c r="N9" s="206"/>
      <c r="O9" s="207"/>
      <c r="Q9" s="2" t="s">
        <v>29</v>
      </c>
      <c r="R9" s="6">
        <v>10</v>
      </c>
    </row>
    <row r="10" spans="1:19">
      <c r="A10" s="121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/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22" t="s">
        <v>32</v>
      </c>
      <c r="B11" s="211"/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209"/>
      <c r="I11" s="210"/>
      <c r="J11" s="7" t="s">
        <v>32</v>
      </c>
      <c r="K11" s="211"/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67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72158000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9.1322285000000007E-3</v>
      </c>
      <c r="N14" s="224"/>
      <c r="O14" s="225"/>
      <c r="Q14" s="214"/>
      <c r="R14" s="214"/>
      <c r="S14" s="214"/>
    </row>
    <row r="15" spans="1:19" ht="17.25" customHeight="1" thickBot="1">
      <c r="A15" s="258" t="s">
        <v>39</v>
      </c>
      <c r="B15" s="259" t="str">
        <f>TEXT($G$1, "[$-ko-KR]yyyy-mm-dd(ddd) ") &amp; "오전 00:00"</f>
        <v>2021-05-07(금) 오전 00:00</v>
      </c>
      <c r="C15" s="260"/>
      <c r="D15" s="216" t="str">
        <f>TEXT($G$1, "[$-ko-KR]yyyy-mm-dd(ddd) ") &amp; "오후 14:00"</f>
        <v>2021-05-07(금) 오후 14:00</v>
      </c>
      <c r="E15" s="217"/>
      <c r="F15" s="218"/>
      <c r="G15" s="216" t="str">
        <f>TEXT($G$1, "[$-ko-KR]yyyy-mm-dd(ddd) ") &amp; "오후 19:00"</f>
        <v>2021-05-07(금) 오후 19:00</v>
      </c>
      <c r="H15" s="217"/>
      <c r="I15" s="218"/>
      <c r="J15" s="216" t="str">
        <f>TEXT($G$1, "[$-ko-KR]yyyy-mm-dd(ddd) ") &amp; "오후 21:00"</f>
        <v>2021-05-07(금) 오후 21:00</v>
      </c>
      <c r="K15" s="217"/>
      <c r="L15" s="218"/>
      <c r="M15" s="216" t="str">
        <f>TEXT($G$1+1, "[$-ko-KR]yyyy-mm-dd(ddd) ") &amp; "오전 00:00"</f>
        <v>2021-05-08(토) 오전 00:00</v>
      </c>
      <c r="N15" s="217"/>
      <c r="O15" s="218"/>
      <c r="Q15" s="214"/>
      <c r="R15" s="214"/>
      <c r="S15" s="214"/>
    </row>
    <row r="16" spans="1:19" ht="17.25" customHeight="1" thickBot="1">
      <c r="A16" s="258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6" t="s">
        <v>188</v>
      </c>
      <c r="B17" s="127">
        <f>IF(NOT(ISBLANK(_xlfn.IFNA(VLOOKUP($A17, $A$40:$O$199, 2, FALSE), ))), _xlfn.IFNA(VLOOKUP($A17, $A$40:$O$199, 2, FALSE), ), "")</f>
        <v>26350</v>
      </c>
      <c r="C17" s="76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100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214"/>
      <c r="R17" s="214"/>
      <c r="S17" s="214"/>
    </row>
    <row r="18" spans="1:19" ht="17.25" customHeight="1" thickBot="1">
      <c r="A18" s="128" t="s">
        <v>102</v>
      </c>
      <c r="B18" s="129">
        <f t="shared" ref="B18:B36" si="0">IF(NOT(ISBLANK(_xlfn.IFNA(VLOOKUP($A18, $A$40:$O$199, 2, FALSE), ))), _xlfn.IFNA(VLOOKUP($A18, $A$40:$O$199, 2, FALSE), ), "")</f>
        <v>137000</v>
      </c>
      <c r="C18" s="77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101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214"/>
      <c r="R18" s="214"/>
      <c r="S18" s="214"/>
    </row>
    <row r="19" spans="1:19" ht="17.25" customHeight="1" thickBot="1">
      <c r="A19" s="128" t="s">
        <v>248</v>
      </c>
      <c r="B19" s="129">
        <f t="shared" si="0"/>
        <v>4055</v>
      </c>
      <c r="C19" s="77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101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219"/>
      <c r="R19" s="219"/>
      <c r="S19" s="219"/>
    </row>
    <row r="20" spans="1:19" ht="17.25" customHeight="1" thickBot="1">
      <c r="A20" s="128" t="s">
        <v>262</v>
      </c>
      <c r="B20" s="129">
        <f t="shared" si="0"/>
        <v>1300</v>
      </c>
      <c r="C20" s="77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101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219"/>
      <c r="R20" s="219"/>
      <c r="S20" s="219"/>
    </row>
    <row r="21" spans="1:19" ht="17.25" customHeight="1" thickBot="1">
      <c r="A21" s="130" t="s">
        <v>136</v>
      </c>
      <c r="B21" s="131">
        <f t="shared" si="0"/>
        <v>292</v>
      </c>
      <c r="C21" s="78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5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219"/>
      <c r="R21" s="219"/>
      <c r="S21" s="219"/>
    </row>
    <row r="22" spans="1:19" ht="17.25" customHeight="1" thickBot="1">
      <c r="A22" s="128" t="s">
        <v>168</v>
      </c>
      <c r="B22" s="132">
        <f t="shared" si="0"/>
        <v>255</v>
      </c>
      <c r="C22" s="80">
        <f t="shared" si="1"/>
        <v>0.13839285709999999</v>
      </c>
      <c r="D22" s="106">
        <f t="shared" si="2"/>
        <v>258</v>
      </c>
      <c r="E22" s="107">
        <f t="shared" si="3"/>
        <v>1.1764705882352941E-2</v>
      </c>
      <c r="F22" s="108">
        <f t="shared" si="4"/>
        <v>1764.7058823529412</v>
      </c>
      <c r="G22" s="109">
        <f t="shared" si="5"/>
        <v>262</v>
      </c>
      <c r="H22" s="107">
        <f t="shared" si="6"/>
        <v>2.7450980392156862E-2</v>
      </c>
      <c r="I22" s="110">
        <f t="shared" si="7"/>
        <v>4117.6470588235297</v>
      </c>
      <c r="J22" s="106">
        <f t="shared" si="8"/>
        <v>270</v>
      </c>
      <c r="K22" s="107">
        <f t="shared" si="9"/>
        <v>5.8823529411764705E-2</v>
      </c>
      <c r="L22" s="108">
        <f t="shared" si="10"/>
        <v>8823.5294117647063</v>
      </c>
      <c r="M22" s="109">
        <f t="shared" si="11"/>
        <v>261</v>
      </c>
      <c r="N22" s="107">
        <f t="shared" si="12"/>
        <v>2.3529411764705882E-2</v>
      </c>
      <c r="O22" s="108">
        <f t="shared" si="13"/>
        <v>3529.4117647058824</v>
      </c>
      <c r="Q22" s="219"/>
      <c r="R22" s="219"/>
      <c r="S22" s="219"/>
    </row>
    <row r="23" spans="1:19" ht="17.25" customHeight="1" thickBot="1">
      <c r="A23" s="128" t="s">
        <v>94</v>
      </c>
      <c r="B23" s="129">
        <f t="shared" si="0"/>
        <v>184150</v>
      </c>
      <c r="C23" s="77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101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219"/>
      <c r="R23" s="219"/>
      <c r="S23" s="219"/>
    </row>
    <row r="24" spans="1:19" ht="17.25" customHeight="1" thickBot="1">
      <c r="A24" s="128" t="s">
        <v>98</v>
      </c>
      <c r="B24" s="129">
        <f t="shared" si="0"/>
        <v>8825</v>
      </c>
      <c r="C24" s="77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101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219"/>
      <c r="R24" s="219"/>
      <c r="S24" s="219"/>
    </row>
    <row r="25" spans="1:19" ht="17.25" customHeight="1" thickBot="1">
      <c r="A25" s="128" t="s">
        <v>84</v>
      </c>
      <c r="B25" s="129">
        <f t="shared" si="0"/>
        <v>1970</v>
      </c>
      <c r="C25" s="77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101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33" t="s">
        <v>184</v>
      </c>
      <c r="B26" s="134">
        <f t="shared" si="0"/>
        <v>2845</v>
      </c>
      <c r="C26" s="79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4">
        <f t="shared" si="4"/>
        <v>-1318.1019332161688</v>
      </c>
      <c r="G26" s="102">
        <f t="shared" si="5"/>
        <v>3005</v>
      </c>
      <c r="H26" s="25">
        <f t="shared" si="6"/>
        <v>5.6239015817223195E-2</v>
      </c>
      <c r="I26" s="103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4">
        <f t="shared" si="10"/>
        <v>5799.6485061511421</v>
      </c>
      <c r="M26" s="102">
        <f t="shared" si="11"/>
        <v>3070</v>
      </c>
      <c r="N26" s="25">
        <f t="shared" si="12"/>
        <v>7.9086115992970121E-2</v>
      </c>
      <c r="O26" s="104">
        <f t="shared" si="13"/>
        <v>11862.917398945518</v>
      </c>
      <c r="Q26" s="228"/>
      <c r="R26" s="229"/>
      <c r="S26" s="230"/>
    </row>
    <row r="27" spans="1:19" ht="17.25" customHeight="1">
      <c r="A27" s="126" t="s">
        <v>100</v>
      </c>
      <c r="B27" s="127">
        <f t="shared" si="0"/>
        <v>9.58</v>
      </c>
      <c r="C27" s="76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100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231"/>
      <c r="R27" s="232"/>
      <c r="S27" s="233"/>
    </row>
    <row r="28" spans="1:19" ht="17.25" customHeight="1" thickBot="1">
      <c r="A28" s="128" t="s">
        <v>86</v>
      </c>
      <c r="B28" s="129">
        <f t="shared" si="0"/>
        <v>11500</v>
      </c>
      <c r="C28" s="77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101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234"/>
      <c r="R28" s="235"/>
      <c r="S28" s="236"/>
    </row>
    <row r="29" spans="1:19" ht="17.25" customHeight="1" thickBot="1">
      <c r="A29" s="128" t="s">
        <v>242</v>
      </c>
      <c r="B29" s="129">
        <f t="shared" si="0"/>
        <v>8015</v>
      </c>
      <c r="C29" s="77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101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219"/>
      <c r="R29" s="219"/>
      <c r="S29" s="219"/>
    </row>
    <row r="30" spans="1:19" ht="17.25" customHeight="1" thickBot="1">
      <c r="A30" s="128" t="s">
        <v>72</v>
      </c>
      <c r="B30" s="129">
        <f t="shared" si="0"/>
        <v>39</v>
      </c>
      <c r="C30" s="77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101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214"/>
      <c r="R30" s="214"/>
      <c r="S30" s="214"/>
    </row>
    <row r="31" spans="1:19" ht="17.25" customHeight="1" thickBot="1">
      <c r="A31" s="130" t="s">
        <v>104</v>
      </c>
      <c r="B31" s="131">
        <f t="shared" si="0"/>
        <v>2765</v>
      </c>
      <c r="C31" s="78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5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214"/>
      <c r="R31" s="214"/>
      <c r="S31" s="214"/>
    </row>
    <row r="32" spans="1:19" ht="17.25" customHeight="1" thickBot="1">
      <c r="A32" s="128" t="s">
        <v>182</v>
      </c>
      <c r="B32" s="132">
        <f t="shared" si="0"/>
        <v>515</v>
      </c>
      <c r="C32" s="80">
        <f t="shared" si="1"/>
        <v>7.2916666699999994E-2</v>
      </c>
      <c r="D32" s="106">
        <f t="shared" si="2"/>
        <v>498</v>
      </c>
      <c r="E32" s="107">
        <f t="shared" si="3"/>
        <v>-3.3009708737864081E-2</v>
      </c>
      <c r="F32" s="108">
        <f t="shared" si="4"/>
        <v>-4951.4563106796122</v>
      </c>
      <c r="G32" s="109">
        <f t="shared" si="5"/>
        <v>536</v>
      </c>
      <c r="H32" s="107">
        <f t="shared" si="6"/>
        <v>4.0776699029126215E-2</v>
      </c>
      <c r="I32" s="110">
        <f t="shared" si="7"/>
        <v>6116.5048543689327</v>
      </c>
      <c r="J32" s="106">
        <f t="shared" si="8"/>
        <v>559</v>
      </c>
      <c r="K32" s="107">
        <f t="shared" si="9"/>
        <v>8.5436893203883493E-2</v>
      </c>
      <c r="L32" s="108">
        <f t="shared" si="10"/>
        <v>12815.533980582524</v>
      </c>
      <c r="M32" s="109">
        <f t="shared" si="11"/>
        <v>569</v>
      </c>
      <c r="N32" s="107">
        <f t="shared" si="12"/>
        <v>0.10485436893203884</v>
      </c>
      <c r="O32" s="108">
        <f t="shared" si="13"/>
        <v>15728.155339805826</v>
      </c>
      <c r="Q32" s="219"/>
      <c r="R32" s="219"/>
      <c r="S32" s="219"/>
    </row>
    <row r="33" spans="1:19" ht="17.25" customHeight="1" thickBot="1">
      <c r="A33" s="128" t="s">
        <v>132</v>
      </c>
      <c r="B33" s="129">
        <f t="shared" si="0"/>
        <v>265</v>
      </c>
      <c r="C33" s="77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101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219"/>
      <c r="R33" s="219"/>
      <c r="S33" s="219"/>
    </row>
    <row r="34" spans="1:19" ht="17.25" customHeight="1" thickBot="1">
      <c r="A34" s="128" t="s">
        <v>106</v>
      </c>
      <c r="B34" s="129">
        <f t="shared" si="0"/>
        <v>2400</v>
      </c>
      <c r="C34" s="77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101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219"/>
      <c r="R34" s="219"/>
      <c r="S34" s="219"/>
    </row>
    <row r="35" spans="1:19" ht="17.25" customHeight="1">
      <c r="A35" s="128" t="s">
        <v>118</v>
      </c>
      <c r="B35" s="129">
        <f t="shared" si="0"/>
        <v>7875</v>
      </c>
      <c r="C35" s="77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101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241"/>
      <c r="R35" s="242"/>
      <c r="S35" s="243"/>
    </row>
    <row r="36" spans="1:19" ht="17.25" customHeight="1" thickBot="1">
      <c r="A36" s="133" t="s">
        <v>152</v>
      </c>
      <c r="B36" s="134">
        <f t="shared" si="0"/>
        <v>52.3</v>
      </c>
      <c r="C36" s="79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4">
        <f t="shared" si="4"/>
        <v>-11759.082217973217</v>
      </c>
      <c r="G36" s="102">
        <f t="shared" si="5"/>
        <v>52.1</v>
      </c>
      <c r="H36" s="25">
        <f t="shared" si="6"/>
        <v>-3.8240917782025956E-3</v>
      </c>
      <c r="I36" s="103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4">
        <f t="shared" si="10"/>
        <v>-1434.0344168260037</v>
      </c>
      <c r="M36" s="102">
        <f t="shared" si="11"/>
        <v>52.3</v>
      </c>
      <c r="N36" s="25">
        <f t="shared" si="12"/>
        <v>0</v>
      </c>
      <c r="O36" s="104">
        <f t="shared" si="13"/>
        <v>0</v>
      </c>
      <c r="Q36" s="244"/>
      <c r="R36" s="245"/>
      <c r="S36" s="246"/>
    </row>
    <row r="37" spans="1:19" ht="17.25" customHeight="1" thickBot="1">
      <c r="A37" s="135" t="s">
        <v>42</v>
      </c>
      <c r="B37" s="252">
        <v>150000</v>
      </c>
      <c r="C37" s="253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67" t="s">
        <v>298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72158000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9.1322285000000007E-3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2021-05-07(금) 오전 00:00</v>
      </c>
      <c r="C42" s="257"/>
      <c r="D42" s="216" t="str">
        <f>TEXT($G$1, "[$-ko-KR]yyyy-mm-dd(ddd) ") &amp; "오후 14:00"</f>
        <v>2021-05-07(금) 오후 14:00</v>
      </c>
      <c r="E42" s="217"/>
      <c r="F42" s="218"/>
      <c r="G42" s="216" t="str">
        <f>TEXT($G$1, "[$-ko-KR]yyyy-mm-dd(ddd) ") &amp; "오후 19:00"</f>
        <v>2021-05-07(금) 오후 19:00</v>
      </c>
      <c r="H42" s="217"/>
      <c r="I42" s="218"/>
      <c r="J42" s="216" t="str">
        <f>TEXT($G$1, "[$-ko-KR]yyyy-mm-dd(ddd) ") &amp; "오후 21:00"</f>
        <v>2021-05-07(금) 오후 21:00</v>
      </c>
      <c r="K42" s="217"/>
      <c r="L42" s="218"/>
      <c r="M42" s="216" t="str">
        <f>TEXT($G$1+1, "[$-ko-KR]yyyy-mm-dd(ddd) ") &amp; "오전 00:00"</f>
        <v>2021-05-08(토)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219"/>
      <c r="R43" s="219"/>
      <c r="S43" s="219"/>
    </row>
    <row r="44" spans="1:19" ht="17.25" customHeight="1" thickBot="1">
      <c r="A44" s="126" t="s">
        <v>100</v>
      </c>
      <c r="B44" s="127">
        <v>9.58</v>
      </c>
      <c r="C44" s="76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100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214"/>
      <c r="R44" s="214"/>
      <c r="S44" s="214"/>
    </row>
    <row r="45" spans="1:19" ht="17.25" customHeight="1" thickBot="1">
      <c r="A45" s="128" t="s">
        <v>72</v>
      </c>
      <c r="B45" s="129">
        <v>39</v>
      </c>
      <c r="C45" s="77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101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214"/>
      <c r="R45" s="214"/>
      <c r="S45" s="214"/>
    </row>
    <row r="46" spans="1:19" ht="17.25" customHeight="1" thickBot="1">
      <c r="A46" s="128" t="s">
        <v>152</v>
      </c>
      <c r="B46" s="129">
        <v>52.3</v>
      </c>
      <c r="C46" s="77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101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219"/>
      <c r="R46" s="219"/>
      <c r="S46" s="219"/>
    </row>
    <row r="47" spans="1:19" ht="17.25" customHeight="1" thickBot="1">
      <c r="A47" s="128" t="s">
        <v>65</v>
      </c>
      <c r="B47" s="129">
        <v>76.400000000000006</v>
      </c>
      <c r="C47" s="77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101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219"/>
      <c r="R47" s="219"/>
      <c r="S47" s="219"/>
    </row>
    <row r="48" spans="1:19" ht="17.25" customHeight="1" thickBot="1">
      <c r="A48" s="130" t="s">
        <v>222</v>
      </c>
      <c r="B48" s="131">
        <v>18.8</v>
      </c>
      <c r="C48" s="78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5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219"/>
      <c r="R48" s="219"/>
      <c r="S48" s="219"/>
    </row>
    <row r="49" spans="1:19" ht="17.25" customHeight="1" thickBot="1">
      <c r="A49" s="128" t="s">
        <v>126</v>
      </c>
      <c r="B49" s="132">
        <v>63.3</v>
      </c>
      <c r="C49" s="80">
        <v>-1.0937499999999999E-2</v>
      </c>
      <c r="D49" s="106">
        <v>59.1</v>
      </c>
      <c r="E49" s="107">
        <f>IF(ISNUMBER(D49), (D49 - $B49) / $B49, "")</f>
        <v>-6.6350710900473869E-2</v>
      </c>
      <c r="F49" s="108">
        <f>IF(ISNUMBER(D49), $B64 * E49, "")</f>
        <v>-9952.6066350710807</v>
      </c>
      <c r="G49" s="109">
        <v>61</v>
      </c>
      <c r="H49" s="107">
        <f>IF(ISNUMBER(G49), (G49 - $B49) / $B49, "")</f>
        <v>-3.6334913112164254E-2</v>
      </c>
      <c r="I49" s="110">
        <f>IF(ISNUMBER(G49), $B64 * H49, "")</f>
        <v>-5450.2369668246383</v>
      </c>
      <c r="J49" s="106">
        <v>61.8</v>
      </c>
      <c r="K49" s="107">
        <f>IF(ISNUMBER(J49), (J49 - $B49) / $B49, "")</f>
        <v>-2.3696682464454978E-2</v>
      </c>
      <c r="L49" s="108">
        <f>IF(ISNUMBER(J49), $B64 * K49, "")</f>
        <v>-3554.5023696682465</v>
      </c>
      <c r="M49" s="109">
        <v>61</v>
      </c>
      <c r="N49" s="107">
        <f>IF(ISNUMBER(M49), (M49 - $B49) / $B49, "")</f>
        <v>-3.6334913112164254E-2</v>
      </c>
      <c r="O49" s="108">
        <f>IF(ISNUMBER(M49), $B64 * N49, "")</f>
        <v>-5450.2369668246383</v>
      </c>
      <c r="Q49" s="219"/>
      <c r="R49" s="219"/>
      <c r="S49" s="219"/>
    </row>
    <row r="50" spans="1:19" ht="17.25" customHeight="1" thickBot="1">
      <c r="A50" s="128" t="s">
        <v>196</v>
      </c>
      <c r="B50" s="129">
        <v>20.5</v>
      </c>
      <c r="C50" s="77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101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219"/>
      <c r="R50" s="219"/>
      <c r="S50" s="219"/>
    </row>
    <row r="51" spans="1:19" ht="17.25" customHeight="1" thickBot="1">
      <c r="A51" s="128" t="s">
        <v>186</v>
      </c>
      <c r="B51" s="129">
        <v>25.3</v>
      </c>
      <c r="C51" s="77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101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219"/>
      <c r="R51" s="219"/>
      <c r="S51" s="219"/>
    </row>
    <row r="52" spans="1:19" ht="17.25" customHeight="1" thickBot="1">
      <c r="A52" s="128" t="s">
        <v>236</v>
      </c>
      <c r="B52" s="129">
        <v>68.3</v>
      </c>
      <c r="C52" s="77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101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33" t="s">
        <v>198</v>
      </c>
      <c r="B53" s="134">
        <v>28.3</v>
      </c>
      <c r="C53" s="79">
        <v>-3.7414966000000001E-2</v>
      </c>
      <c r="D53" s="24">
        <v>25.9</v>
      </c>
      <c r="E53" s="25">
        <f t="shared" si="18"/>
        <v>-8.4805653710247425E-2</v>
      </c>
      <c r="F53" s="104">
        <f>IF(ISNUMBER(D53), $B64 * E53, "")</f>
        <v>-12720.848056537114</v>
      </c>
      <c r="G53" s="102">
        <v>26.7</v>
      </c>
      <c r="H53" s="25">
        <f t="shared" si="19"/>
        <v>-5.6537102473498281E-2</v>
      </c>
      <c r="I53" s="103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4">
        <f>IF(ISNUMBER(J53), $B64 * K53, "")</f>
        <v>-2650.1766784452298</v>
      </c>
      <c r="M53" s="102">
        <v>28.1</v>
      </c>
      <c r="N53" s="25">
        <f t="shared" si="21"/>
        <v>-7.0671378091872539E-3</v>
      </c>
      <c r="O53" s="104">
        <f>IF(ISNUMBER(M53), $B64 * N53, "")</f>
        <v>-1060.070671378088</v>
      </c>
      <c r="Q53" s="228"/>
      <c r="R53" s="229"/>
      <c r="S53" s="230"/>
    </row>
    <row r="54" spans="1:19" ht="17.25" customHeight="1">
      <c r="A54" s="126" t="s">
        <v>172</v>
      </c>
      <c r="B54" s="127">
        <v>25.2</v>
      </c>
      <c r="C54" s="76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100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231"/>
      <c r="R54" s="232"/>
      <c r="S54" s="233"/>
    </row>
    <row r="55" spans="1:19" ht="17.25" customHeight="1" thickBot="1">
      <c r="A55" s="128" t="s">
        <v>214</v>
      </c>
      <c r="B55" s="129">
        <v>22.2</v>
      </c>
      <c r="C55" s="77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101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234"/>
      <c r="R55" s="235"/>
      <c r="S55" s="236"/>
    </row>
    <row r="56" spans="1:19" ht="17.25" customHeight="1" thickBot="1">
      <c r="A56" s="128" t="s">
        <v>218</v>
      </c>
      <c r="B56" s="129">
        <v>28.5</v>
      </c>
      <c r="C56" s="77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101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219"/>
      <c r="R56" s="219"/>
      <c r="S56" s="219"/>
    </row>
    <row r="57" spans="1:19" ht="17.25" customHeight="1" thickBot="1">
      <c r="A57" s="128" t="s">
        <v>154</v>
      </c>
      <c r="B57" s="129">
        <v>21.1</v>
      </c>
      <c r="C57" s="77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101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214"/>
      <c r="R57" s="214"/>
      <c r="S57" s="214"/>
    </row>
    <row r="58" spans="1:19" ht="17.25" customHeight="1" thickBot="1">
      <c r="A58" s="130" t="s">
        <v>228</v>
      </c>
      <c r="B58" s="131">
        <v>18.399999999999999</v>
      </c>
      <c r="C58" s="78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5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214"/>
      <c r="R58" s="214"/>
      <c r="S58" s="214"/>
    </row>
    <row r="59" spans="1:19" ht="17.25" customHeight="1" thickBot="1">
      <c r="A59" s="128" t="s">
        <v>268</v>
      </c>
      <c r="B59" s="132">
        <v>96.1</v>
      </c>
      <c r="C59" s="80">
        <v>-4.8514851499999997E-2</v>
      </c>
      <c r="D59" s="106">
        <v>89.1</v>
      </c>
      <c r="E59" s="107">
        <f>IF(ISNUMBER(D59), (D59 - $B59) / $B59, "")</f>
        <v>-7.2840790842872011E-2</v>
      </c>
      <c r="F59" s="108">
        <f>IF(ISNUMBER(D59), $B64 * E59, "")</f>
        <v>-10926.118626430802</v>
      </c>
      <c r="G59" s="109">
        <v>89.9</v>
      </c>
      <c r="H59" s="107">
        <f>IF(ISNUMBER(G59), (G59 - $B59) / $B59, "")</f>
        <v>-6.4516129032257952E-2</v>
      </c>
      <c r="I59" s="110">
        <f>IF(ISNUMBER(G59), $B64 * H59, "")</f>
        <v>-9677.419354838692</v>
      </c>
      <c r="J59" s="106">
        <v>93.1</v>
      </c>
      <c r="K59" s="107">
        <f>IF(ISNUMBER(J59), (J59 - $B59) / $B59, "")</f>
        <v>-3.1217481789802291E-2</v>
      </c>
      <c r="L59" s="108">
        <f>IF(ISNUMBER(J59), $B64 * K59, "")</f>
        <v>-4682.6222684703434</v>
      </c>
      <c r="M59" s="109">
        <v>93.4</v>
      </c>
      <c r="N59" s="107">
        <f>IF(ISNUMBER(M59), (M59 - $B59) / $B59, "")</f>
        <v>-2.8095733610821943E-2</v>
      </c>
      <c r="O59" s="108">
        <f>IF(ISNUMBER(M59), $B64 * N59, "")</f>
        <v>-4214.3600416232912</v>
      </c>
      <c r="Q59" s="219"/>
      <c r="R59" s="219"/>
      <c r="S59" s="219"/>
    </row>
    <row r="60" spans="1:19" ht="17.25" customHeight="1" thickBot="1">
      <c r="A60" s="128" t="s">
        <v>254</v>
      </c>
      <c r="B60" s="129">
        <v>86</v>
      </c>
      <c r="C60" s="77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101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219"/>
      <c r="R60" s="219"/>
      <c r="S60" s="219"/>
    </row>
    <row r="61" spans="1:19" ht="17.25" customHeight="1" thickBot="1">
      <c r="A61" s="128" t="s">
        <v>220</v>
      </c>
      <c r="B61" s="129">
        <v>21.2</v>
      </c>
      <c r="C61" s="77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101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219"/>
      <c r="R61" s="219"/>
      <c r="S61" s="219"/>
    </row>
    <row r="62" spans="1:19" ht="17.25" customHeight="1">
      <c r="A62" s="128" t="s">
        <v>266</v>
      </c>
      <c r="B62" s="129">
        <v>97.2</v>
      </c>
      <c r="C62" s="77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101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241"/>
      <c r="R62" s="242"/>
      <c r="S62" s="243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5" t="s">
        <v>301</v>
      </c>
      <c r="B64" s="252">
        <f>$B$37</f>
        <v>150000</v>
      </c>
      <c r="C64" s="253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67" t="s">
        <v>298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72158000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9.1322285000000007E-3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2021-05-07(금) 오전 00:00</v>
      </c>
      <c r="C69" s="257"/>
      <c r="D69" s="216" t="str">
        <f>TEXT($G$1, "[$-ko-KR]yyyy-mm-dd(ddd) ") &amp; "오후 14:00"</f>
        <v>2021-05-07(금) 오후 14:00</v>
      </c>
      <c r="E69" s="217"/>
      <c r="F69" s="218"/>
      <c r="G69" s="216" t="str">
        <f>TEXT($G$1, "[$-ko-KR]yyyy-mm-dd(ddd) ") &amp; "오후 19:00"</f>
        <v>2021-05-07(금) 오후 19:00</v>
      </c>
      <c r="H69" s="217"/>
      <c r="I69" s="218"/>
      <c r="J69" s="216" t="str">
        <f>TEXT($G$1, "[$-ko-KR]yyyy-mm-dd(ddd) ") &amp; "오후 21:00"</f>
        <v>2021-05-07(금) 오후 21:00</v>
      </c>
      <c r="K69" s="217"/>
      <c r="L69" s="218"/>
      <c r="M69" s="216" t="str">
        <f>TEXT($G$1+1, "[$-ko-KR]yyyy-mm-dd(ddd) ") &amp; "오전 00:00"</f>
        <v>2021-05-08(토) 오전 00:00</v>
      </c>
      <c r="N69" s="217"/>
      <c r="O69" s="218"/>
      <c r="Q69" s="214"/>
      <c r="R69" s="214"/>
      <c r="S69" s="214"/>
    </row>
    <row r="70" spans="1:19" ht="17.25" thickBot="1">
      <c r="A70" s="255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219"/>
      <c r="R70" s="219"/>
      <c r="S70" s="219"/>
    </row>
    <row r="71" spans="1:19" ht="17.25" thickBot="1">
      <c r="A71" s="126" t="s">
        <v>136</v>
      </c>
      <c r="B71" s="127">
        <v>292</v>
      </c>
      <c r="C71" s="76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100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214"/>
      <c r="R71" s="214"/>
      <c r="S71" s="214"/>
    </row>
    <row r="72" spans="1:19" ht="17.25" thickBot="1">
      <c r="A72" s="128" t="s">
        <v>168</v>
      </c>
      <c r="B72" s="129">
        <v>255</v>
      </c>
      <c r="C72" s="77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101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214"/>
      <c r="R72" s="214"/>
      <c r="S72" s="214"/>
    </row>
    <row r="73" spans="1:19" ht="17.25" thickBot="1">
      <c r="A73" s="128" t="s">
        <v>182</v>
      </c>
      <c r="B73" s="129">
        <v>515</v>
      </c>
      <c r="C73" s="77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101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219"/>
      <c r="R73" s="219"/>
      <c r="S73" s="219"/>
    </row>
    <row r="74" spans="1:19" ht="17.25" thickBot="1">
      <c r="A74" s="128" t="s">
        <v>132</v>
      </c>
      <c r="B74" s="129">
        <v>265</v>
      </c>
      <c r="C74" s="77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101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219"/>
      <c r="R74" s="219"/>
      <c r="S74" s="219"/>
    </row>
    <row r="75" spans="1:19" ht="17.25" thickBot="1">
      <c r="A75" s="130" t="s">
        <v>278</v>
      </c>
      <c r="B75" s="131">
        <v>175</v>
      </c>
      <c r="C75" s="78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5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219"/>
      <c r="R75" s="219"/>
      <c r="S75" s="219"/>
    </row>
    <row r="76" spans="1:19" ht="17.25" thickBot="1">
      <c r="A76" s="128" t="s">
        <v>51</v>
      </c>
      <c r="B76" s="132">
        <v>767</v>
      </c>
      <c r="C76" s="80">
        <v>5.0684931500000002E-2</v>
      </c>
      <c r="D76" s="106">
        <v>755</v>
      </c>
      <c r="E76" s="107">
        <f>IF(ISNUMBER(D76), (D76 - $B76) / $B76, "")</f>
        <v>-1.5645371577574969E-2</v>
      </c>
      <c r="F76" s="108">
        <f>IF(ISNUMBER(D76), $B91 * E76, "")</f>
        <v>-2346.8057366362455</v>
      </c>
      <c r="G76" s="109">
        <v>779</v>
      </c>
      <c r="H76" s="107">
        <f>IF(ISNUMBER(G76), (G76 - $B76) / $B76, "")</f>
        <v>1.5645371577574969E-2</v>
      </c>
      <c r="I76" s="110">
        <f>IF(ISNUMBER(G76), $B91 * H76, "")</f>
        <v>2346.8057366362455</v>
      </c>
      <c r="J76" s="106">
        <v>812</v>
      </c>
      <c r="K76" s="107">
        <f>IF(ISNUMBER(J76), (J76 - $B76) / $B76, "")</f>
        <v>5.867014341590613E-2</v>
      </c>
      <c r="L76" s="108">
        <f>IF(ISNUMBER(J76), $B91 * K76, "")</f>
        <v>8800.5215123859198</v>
      </c>
      <c r="M76" s="109">
        <v>782</v>
      </c>
      <c r="N76" s="107">
        <f>IF(ISNUMBER(M76), (M76 - $B76) / $B76, "")</f>
        <v>1.955671447196871E-2</v>
      </c>
      <c r="O76" s="108">
        <f>IF(ISNUMBER(M76), $B91 * N76, "")</f>
        <v>2933.5071707953066</v>
      </c>
      <c r="Q76" s="219"/>
      <c r="R76" s="219"/>
      <c r="S76" s="219"/>
    </row>
    <row r="77" spans="1:19" ht="17.25" thickBot="1">
      <c r="A77" s="128" t="s">
        <v>57</v>
      </c>
      <c r="B77" s="129">
        <v>460</v>
      </c>
      <c r="C77" s="77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101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219"/>
      <c r="R77" s="219"/>
      <c r="S77" s="219"/>
    </row>
    <row r="78" spans="1:19" ht="17.25" thickBot="1">
      <c r="A78" s="128" t="s">
        <v>156</v>
      </c>
      <c r="B78" s="129">
        <v>183</v>
      </c>
      <c r="C78" s="77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101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219"/>
      <c r="R78" s="219"/>
      <c r="S78" s="219"/>
    </row>
    <row r="79" spans="1:19" ht="17.25" thickBot="1">
      <c r="A79" s="128" t="s">
        <v>120</v>
      </c>
      <c r="B79" s="129">
        <v>230</v>
      </c>
      <c r="C79" s="77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101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33" t="s">
        <v>216</v>
      </c>
      <c r="B80" s="134">
        <v>465</v>
      </c>
      <c r="C80" s="79">
        <v>3.3333333299999997E-2</v>
      </c>
      <c r="D80" s="24">
        <v>508</v>
      </c>
      <c r="E80" s="25">
        <f t="shared" si="34"/>
        <v>9.2473118279569888E-2</v>
      </c>
      <c r="F80" s="104">
        <f>IF(ISNUMBER(D80), $B91 * E80, "")</f>
        <v>13870.967741935483</v>
      </c>
      <c r="G80" s="102">
        <v>539</v>
      </c>
      <c r="H80" s="25">
        <f t="shared" si="35"/>
        <v>0.15913978494623657</v>
      </c>
      <c r="I80" s="103">
        <f>IF(ISNUMBER(G80), $B91 * H80, "")</f>
        <v>23870.967741935485</v>
      </c>
      <c r="J80" s="24">
        <v>544</v>
      </c>
      <c r="K80" s="25">
        <f t="shared" si="36"/>
        <v>0.16989247311827957</v>
      </c>
      <c r="L80" s="104">
        <f>IF(ISNUMBER(J80), $B91 * K80, "")</f>
        <v>25483.870967741936</v>
      </c>
      <c r="M80" s="102">
        <v>555</v>
      </c>
      <c r="N80" s="25">
        <f t="shared" si="37"/>
        <v>0.19354838709677419</v>
      </c>
      <c r="O80" s="104">
        <f>IF(ISNUMBER(M80), $B91 * N80, "")</f>
        <v>29032.258064516129</v>
      </c>
      <c r="Q80" s="228"/>
      <c r="R80" s="229"/>
      <c r="S80" s="230"/>
    </row>
    <row r="81" spans="1:19">
      <c r="A81" s="126" t="s">
        <v>134</v>
      </c>
      <c r="B81" s="127">
        <v>157</v>
      </c>
      <c r="C81" s="76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100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231"/>
      <c r="R81" s="232"/>
      <c r="S81" s="233"/>
    </row>
    <row r="82" spans="1:19" ht="17.25" thickBot="1">
      <c r="A82" s="128" t="s">
        <v>88</v>
      </c>
      <c r="B82" s="129">
        <v>638</v>
      </c>
      <c r="C82" s="77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101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234"/>
      <c r="R82" s="235"/>
      <c r="S82" s="236"/>
    </row>
    <row r="83" spans="1:19" ht="17.25" thickBot="1">
      <c r="A83" s="128" t="s">
        <v>270</v>
      </c>
      <c r="B83" s="129">
        <v>605</v>
      </c>
      <c r="C83" s="77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101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219"/>
      <c r="R83" s="219"/>
      <c r="S83" s="219"/>
    </row>
    <row r="84" spans="1:19" ht="17.25" thickBot="1">
      <c r="A84" s="128" t="s">
        <v>142</v>
      </c>
      <c r="B84" s="129">
        <v>468</v>
      </c>
      <c r="C84" s="77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101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214"/>
      <c r="R84" s="214"/>
      <c r="S84" s="214"/>
    </row>
    <row r="85" spans="1:19" ht="17.25" thickBot="1">
      <c r="A85" s="130" t="s">
        <v>284</v>
      </c>
      <c r="B85" s="131">
        <v>471</v>
      </c>
      <c r="C85" s="78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5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214"/>
      <c r="R85" s="214"/>
      <c r="S85" s="214"/>
    </row>
    <row r="86" spans="1:19" ht="17.25" thickBot="1">
      <c r="A86" s="128" t="s">
        <v>148</v>
      </c>
      <c r="B86" s="132">
        <v>199</v>
      </c>
      <c r="C86" s="80">
        <v>1.53061224E-2</v>
      </c>
      <c r="D86" s="106">
        <v>192</v>
      </c>
      <c r="E86" s="107">
        <f>IF(ISNUMBER(D86), (D86 - $B86) / $B86, "")</f>
        <v>-3.5175879396984924E-2</v>
      </c>
      <c r="F86" s="108">
        <f>IF(ISNUMBER(D86), $B91 * E86, "")</f>
        <v>-5276.3819095477384</v>
      </c>
      <c r="G86" s="109">
        <v>195</v>
      </c>
      <c r="H86" s="107">
        <f>IF(ISNUMBER(G86), (G86 - $B86) / $B86, "")</f>
        <v>-2.0100502512562814E-2</v>
      </c>
      <c r="I86" s="110">
        <f>IF(ISNUMBER(G86), $B91 * H86, "")</f>
        <v>-3015.075376884422</v>
      </c>
      <c r="J86" s="106">
        <v>194</v>
      </c>
      <c r="K86" s="107">
        <f>IF(ISNUMBER(J86), (J86 - $B86) / $B86, "")</f>
        <v>-2.5125628140703519E-2</v>
      </c>
      <c r="L86" s="108">
        <f>IF(ISNUMBER(J86), $B91 * K86, "")</f>
        <v>-3768.844221105528</v>
      </c>
      <c r="M86" s="109">
        <v>195</v>
      </c>
      <c r="N86" s="107">
        <f>IF(ISNUMBER(M86), (M86 - $B86) / $B86, "")</f>
        <v>-2.0100502512562814E-2</v>
      </c>
      <c r="O86" s="108">
        <f>IF(ISNUMBER(M86), $B91 * N86, "")</f>
        <v>-3015.075376884422</v>
      </c>
      <c r="Q86" s="219"/>
      <c r="R86" s="219"/>
      <c r="S86" s="219"/>
    </row>
    <row r="87" spans="1:19" ht="17.25" thickBot="1">
      <c r="A87" s="128" t="s">
        <v>264</v>
      </c>
      <c r="B87" s="129">
        <v>179</v>
      </c>
      <c r="C87" s="77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101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219"/>
      <c r="R87" s="219"/>
      <c r="S87" s="219"/>
    </row>
    <row r="88" spans="1:19" ht="17.25" thickBot="1">
      <c r="A88" s="128" t="s">
        <v>128</v>
      </c>
      <c r="B88" s="129">
        <v>697</v>
      </c>
      <c r="C88" s="77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101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219"/>
      <c r="R88" s="219"/>
      <c r="S88" s="219"/>
    </row>
    <row r="89" spans="1:19">
      <c r="A89" s="128" t="s">
        <v>212</v>
      </c>
      <c r="B89" s="129">
        <v>156</v>
      </c>
      <c r="C89" s="77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101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241"/>
      <c r="R89" s="242"/>
      <c r="S89" s="243"/>
    </row>
    <row r="90" spans="1:19" ht="17.25" thickBot="1">
      <c r="A90" s="133" t="s">
        <v>54</v>
      </c>
      <c r="B90" s="134">
        <v>373</v>
      </c>
      <c r="C90" s="79">
        <v>-1.0610079600000001E-2</v>
      </c>
      <c r="D90" s="24">
        <v>356</v>
      </c>
      <c r="E90" s="25">
        <f t="shared" si="42"/>
        <v>-4.5576407506702415E-2</v>
      </c>
      <c r="F90" s="104">
        <f>IF(ISNUMBER(D90), $B91 * E90, "")</f>
        <v>-6836.4611260053625</v>
      </c>
      <c r="G90" s="102">
        <v>364</v>
      </c>
      <c r="H90" s="25">
        <f t="shared" si="43"/>
        <v>-2.4128686327077747E-2</v>
      </c>
      <c r="I90" s="103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4">
        <f>IF(ISNUMBER(J90), $B91 * K90, "")</f>
        <v>1608.5790884718499</v>
      </c>
      <c r="M90" s="102">
        <v>372</v>
      </c>
      <c r="N90" s="25">
        <f t="shared" si="45"/>
        <v>-2.6809651474530832E-3</v>
      </c>
      <c r="O90" s="104">
        <f>IF(ISNUMBER(M90), $B91 * N90, "")</f>
        <v>-402.14477211796248</v>
      </c>
      <c r="Q90" s="244"/>
      <c r="R90" s="245"/>
      <c r="S90" s="246"/>
    </row>
    <row r="91" spans="1:19" ht="17.25" thickBot="1">
      <c r="A91" s="135" t="s">
        <v>301</v>
      </c>
      <c r="B91" s="252">
        <f>$B$37</f>
        <v>150000</v>
      </c>
      <c r="C91" s="253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67" t="s">
        <v>298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72158000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9.1322285000000007E-3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2021-05-07(금) 오전 00:00</v>
      </c>
      <c r="C96" s="257"/>
      <c r="D96" s="216" t="str">
        <f>TEXT($G$1, "[$-ko-KR]yyyy-mm-dd(ddd) ") &amp; "오후 14:00"</f>
        <v>2021-05-07(금) 오후 14:00</v>
      </c>
      <c r="E96" s="217"/>
      <c r="F96" s="218"/>
      <c r="G96" s="216" t="str">
        <f>TEXT($G$1, "[$-ko-KR]yyyy-mm-dd(ddd) ") &amp; "오후 19:00"</f>
        <v>2021-05-07(금) 오후 19:00</v>
      </c>
      <c r="H96" s="217"/>
      <c r="I96" s="218"/>
      <c r="J96" s="216" t="str">
        <f>TEXT($G$1, "[$-ko-KR]yyyy-mm-dd(ddd) ") &amp; "오후 21:00"</f>
        <v>2021-05-07(금) 오후 21:00</v>
      </c>
      <c r="K96" s="217"/>
      <c r="L96" s="218"/>
      <c r="M96" s="216" t="str">
        <f>TEXT($G$1+1, "[$-ko-KR]yyyy-mm-dd(ddd) ") &amp; "오전 00:00"</f>
        <v>2021-05-08(토) 오전 00:00</v>
      </c>
      <c r="N96" s="217"/>
      <c r="O96" s="218"/>
      <c r="Q96" s="214"/>
      <c r="R96" s="214"/>
      <c r="S96" s="214"/>
    </row>
    <row r="97" spans="1:19" ht="17.25" thickBot="1">
      <c r="A97" s="255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219"/>
      <c r="R97" s="219"/>
      <c r="S97" s="219"/>
    </row>
    <row r="98" spans="1:19" ht="17.25" thickBot="1">
      <c r="A98" s="126" t="s">
        <v>188</v>
      </c>
      <c r="B98" s="127">
        <v>26350</v>
      </c>
      <c r="C98" s="76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100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214"/>
      <c r="R98" s="214"/>
      <c r="S98" s="214"/>
    </row>
    <row r="99" spans="1:19" ht="17.25" thickBot="1">
      <c r="A99" s="128" t="s">
        <v>102</v>
      </c>
      <c r="B99" s="129">
        <v>137000</v>
      </c>
      <c r="C99" s="77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101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214"/>
      <c r="R99" s="214"/>
      <c r="S99" s="214"/>
    </row>
    <row r="100" spans="1:19" ht="17.25" thickBot="1">
      <c r="A100" s="128" t="s">
        <v>248</v>
      </c>
      <c r="B100" s="129">
        <v>4055</v>
      </c>
      <c r="C100" s="77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101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219"/>
      <c r="R100" s="219"/>
      <c r="S100" s="219"/>
    </row>
    <row r="101" spans="1:19" ht="17.25" thickBot="1">
      <c r="A101" s="128" t="s">
        <v>262</v>
      </c>
      <c r="B101" s="129">
        <v>1300</v>
      </c>
      <c r="C101" s="77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101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219"/>
      <c r="R101" s="219"/>
      <c r="S101" s="219"/>
    </row>
    <row r="102" spans="1:19" ht="17.25" thickBot="1">
      <c r="A102" s="130" t="s">
        <v>136</v>
      </c>
      <c r="B102" s="131">
        <v>292</v>
      </c>
      <c r="C102" s="78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5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219"/>
      <c r="R102" s="219"/>
      <c r="S102" s="219"/>
    </row>
    <row r="103" spans="1:19" ht="17.25" thickBot="1">
      <c r="A103" s="128" t="s">
        <v>168</v>
      </c>
      <c r="B103" s="132">
        <v>255</v>
      </c>
      <c r="C103" s="80">
        <v>0.13839285709999999</v>
      </c>
      <c r="D103" s="106">
        <v>258</v>
      </c>
      <c r="E103" s="107">
        <f>IF(ISNUMBER(D103), (D103 - $B103) / $B103, "")</f>
        <v>1.1764705882352941E-2</v>
      </c>
      <c r="F103" s="108">
        <f>IF(ISNUMBER(D103), $B118 * E103, "")</f>
        <v>1764.7058823529412</v>
      </c>
      <c r="G103" s="109">
        <v>262</v>
      </c>
      <c r="H103" s="107">
        <f>IF(ISNUMBER(G103), (G103 - $B103) / $B103, "")</f>
        <v>2.7450980392156862E-2</v>
      </c>
      <c r="I103" s="110">
        <f>IF(ISNUMBER(G103), $B118 * H103, "")</f>
        <v>4117.6470588235297</v>
      </c>
      <c r="J103" s="106">
        <v>270</v>
      </c>
      <c r="K103" s="107">
        <f>IF(ISNUMBER(J103), (J103 - $B103) / $B103, "")</f>
        <v>5.8823529411764705E-2</v>
      </c>
      <c r="L103" s="108">
        <f>IF(ISNUMBER(J103), $B118 * K103, "")</f>
        <v>8823.5294117647063</v>
      </c>
      <c r="M103" s="109">
        <v>261</v>
      </c>
      <c r="N103" s="107">
        <f>IF(ISNUMBER(M103), (M103 - $B103) / $B103, "")</f>
        <v>2.3529411764705882E-2</v>
      </c>
      <c r="O103" s="108">
        <f>IF(ISNUMBER(M103), $B118 * N103, "")</f>
        <v>3529.4117647058824</v>
      </c>
      <c r="Q103" s="219"/>
      <c r="R103" s="219"/>
      <c r="S103" s="219"/>
    </row>
    <row r="104" spans="1:19" ht="17.25" thickBot="1">
      <c r="A104" s="128" t="s">
        <v>94</v>
      </c>
      <c r="B104" s="129">
        <v>184150</v>
      </c>
      <c r="C104" s="77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101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219"/>
      <c r="R104" s="219"/>
      <c r="S104" s="219"/>
    </row>
    <row r="105" spans="1:19" ht="17.25" thickBot="1">
      <c r="A105" s="128" t="s">
        <v>98</v>
      </c>
      <c r="B105" s="129">
        <v>8825</v>
      </c>
      <c r="C105" s="77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101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219"/>
      <c r="R105" s="219"/>
      <c r="S105" s="219"/>
    </row>
    <row r="106" spans="1:19" ht="17.25" thickBot="1">
      <c r="A106" s="128" t="s">
        <v>84</v>
      </c>
      <c r="B106" s="129">
        <v>1970</v>
      </c>
      <c r="C106" s="77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101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33" t="s">
        <v>184</v>
      </c>
      <c r="B107" s="134">
        <v>2845</v>
      </c>
      <c r="C107" s="79">
        <v>0.1135029354</v>
      </c>
      <c r="D107" s="24">
        <v>2820</v>
      </c>
      <c r="E107" s="25">
        <f t="shared" si="50"/>
        <v>-8.7873462214411256E-3</v>
      </c>
      <c r="F107" s="104">
        <f>IF(ISNUMBER(D107), $B118 * E107, "")</f>
        <v>-1318.1019332161688</v>
      </c>
      <c r="G107" s="102">
        <v>3005</v>
      </c>
      <c r="H107" s="25">
        <f t="shared" si="51"/>
        <v>5.6239015817223195E-2</v>
      </c>
      <c r="I107" s="103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4">
        <f>IF(ISNUMBER(J107), $B118 * K107, "")</f>
        <v>5799.6485061511421</v>
      </c>
      <c r="M107" s="102">
        <v>3070</v>
      </c>
      <c r="N107" s="25">
        <f t="shared" si="53"/>
        <v>7.9086115992970121E-2</v>
      </c>
      <c r="O107" s="104">
        <f>IF(ISNUMBER(M107), $B118 * N107, "")</f>
        <v>11862.917398945518</v>
      </c>
      <c r="Q107" s="228"/>
      <c r="R107" s="229"/>
      <c r="S107" s="230"/>
    </row>
    <row r="108" spans="1:19">
      <c r="A108" s="126" t="s">
        <v>100</v>
      </c>
      <c r="B108" s="127">
        <v>9.58</v>
      </c>
      <c r="C108" s="76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100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231"/>
      <c r="R108" s="232"/>
      <c r="S108" s="233"/>
    </row>
    <row r="109" spans="1:19" ht="17.25" thickBot="1">
      <c r="A109" s="128" t="s">
        <v>86</v>
      </c>
      <c r="B109" s="129">
        <v>11500</v>
      </c>
      <c r="C109" s="77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101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234"/>
      <c r="R109" s="235"/>
      <c r="S109" s="236"/>
    </row>
    <row r="110" spans="1:19" ht="17.25" thickBot="1">
      <c r="A110" s="128" t="s">
        <v>242</v>
      </c>
      <c r="B110" s="129">
        <v>8015</v>
      </c>
      <c r="C110" s="77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101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219"/>
      <c r="R110" s="219"/>
      <c r="S110" s="219"/>
    </row>
    <row r="111" spans="1:19" ht="17.25" thickBot="1">
      <c r="A111" s="128" t="s">
        <v>72</v>
      </c>
      <c r="B111" s="129">
        <v>39</v>
      </c>
      <c r="C111" s="77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101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214"/>
      <c r="R111" s="214"/>
      <c r="S111" s="214"/>
    </row>
    <row r="112" spans="1:19" ht="17.25" thickBot="1">
      <c r="A112" s="130" t="s">
        <v>104</v>
      </c>
      <c r="B112" s="131">
        <v>2765</v>
      </c>
      <c r="C112" s="78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5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214"/>
      <c r="R112" s="214"/>
      <c r="S112" s="214"/>
    </row>
    <row r="113" spans="1:19" ht="17.25" thickBot="1">
      <c r="A113" s="128" t="s">
        <v>182</v>
      </c>
      <c r="B113" s="132">
        <v>515</v>
      </c>
      <c r="C113" s="80">
        <v>7.2916666699999994E-2</v>
      </c>
      <c r="D113" s="106">
        <v>498</v>
      </c>
      <c r="E113" s="107">
        <f>IF(ISNUMBER(D113), (D113 - $B113) / $B113, "")</f>
        <v>-3.3009708737864081E-2</v>
      </c>
      <c r="F113" s="108">
        <f>IF(ISNUMBER(D113), $B118 * E113, "")</f>
        <v>-4951.4563106796122</v>
      </c>
      <c r="G113" s="109">
        <v>536</v>
      </c>
      <c r="H113" s="107">
        <f>IF(ISNUMBER(G113), (G113 - $B113) / $B113, "")</f>
        <v>4.0776699029126215E-2</v>
      </c>
      <c r="I113" s="110">
        <f>IF(ISNUMBER(G113), $B118 * H113, "")</f>
        <v>6116.5048543689327</v>
      </c>
      <c r="J113" s="106">
        <v>559</v>
      </c>
      <c r="K113" s="107">
        <f>IF(ISNUMBER(J113), (J113 - $B113) / $B113, "")</f>
        <v>8.5436893203883493E-2</v>
      </c>
      <c r="L113" s="108">
        <f>IF(ISNUMBER(J113), $B118 * K113, "")</f>
        <v>12815.533980582524</v>
      </c>
      <c r="M113" s="109">
        <v>569</v>
      </c>
      <c r="N113" s="107">
        <f>IF(ISNUMBER(M113), (M113 - $B113) / $B113, "")</f>
        <v>0.10485436893203884</v>
      </c>
      <c r="O113" s="108">
        <f>IF(ISNUMBER(M113), $B118 * N113, "")</f>
        <v>15728.155339805826</v>
      </c>
      <c r="Q113" s="219"/>
      <c r="R113" s="219"/>
      <c r="S113" s="219"/>
    </row>
    <row r="114" spans="1:19" ht="17.25" thickBot="1">
      <c r="A114" s="128" t="s">
        <v>132</v>
      </c>
      <c r="B114" s="129">
        <v>265</v>
      </c>
      <c r="C114" s="77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101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219"/>
      <c r="R114" s="219"/>
      <c r="S114" s="219"/>
    </row>
    <row r="115" spans="1:19" ht="17.25" thickBot="1">
      <c r="A115" s="128" t="s">
        <v>106</v>
      </c>
      <c r="B115" s="129">
        <v>2400</v>
      </c>
      <c r="C115" s="77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101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219"/>
      <c r="R115" s="219"/>
      <c r="S115" s="219"/>
    </row>
    <row r="116" spans="1:19">
      <c r="A116" s="128" t="s">
        <v>118</v>
      </c>
      <c r="B116" s="129">
        <v>7875</v>
      </c>
      <c r="C116" s="77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101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241"/>
      <c r="R116" s="242"/>
      <c r="S116" s="243"/>
    </row>
    <row r="117" spans="1:19" ht="17.25" thickBot="1">
      <c r="A117" s="133" t="s">
        <v>152</v>
      </c>
      <c r="B117" s="134">
        <v>52.3</v>
      </c>
      <c r="C117" s="79">
        <v>6.0851927E-2</v>
      </c>
      <c r="D117" s="24">
        <v>48.2</v>
      </c>
      <c r="E117" s="25">
        <f t="shared" si="58"/>
        <v>-7.8393881453154776E-2</v>
      </c>
      <c r="F117" s="104">
        <f>IF(ISNUMBER(D117), $B118 * E117, "")</f>
        <v>-11759.082217973217</v>
      </c>
      <c r="G117" s="102">
        <v>52.1</v>
      </c>
      <c r="H117" s="25">
        <f t="shared" si="59"/>
        <v>-3.8240917782025956E-3</v>
      </c>
      <c r="I117" s="103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4">
        <f>IF(ISNUMBER(J117), $B118 * K117, "")</f>
        <v>-1434.0344168260037</v>
      </c>
      <c r="M117" s="102">
        <v>52.3</v>
      </c>
      <c r="N117" s="25">
        <f t="shared" si="61"/>
        <v>0</v>
      </c>
      <c r="O117" s="104">
        <f>IF(ISNUMBER(M117), $B118 * N117, "")</f>
        <v>0</v>
      </c>
      <c r="Q117" s="244"/>
      <c r="R117" s="245"/>
      <c r="S117" s="246"/>
    </row>
    <row r="118" spans="1:19" ht="17.25" thickBot="1">
      <c r="A118" s="135" t="s">
        <v>301</v>
      </c>
      <c r="B118" s="252">
        <f>$B$37</f>
        <v>150000</v>
      </c>
      <c r="C118" s="253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247"/>
      <c r="R118" s="248"/>
      <c r="S118" s="249"/>
    </row>
    <row r="120" spans="1:19" ht="17.25" thickBot="1"/>
    <row r="121" spans="1:19" ht="17.25" thickBot="1">
      <c r="A121" s="193" t="s">
        <v>288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67" t="s">
        <v>298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72158000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9.1322285000000007E-3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2021-05-07(금) 오전 00:00</v>
      </c>
      <c r="C123" s="257"/>
      <c r="D123" s="216" t="str">
        <f>TEXT($G$1, "[$-ko-KR]yyyy-mm-dd(ddd) ") &amp; "오후 14:00"</f>
        <v>2021-05-07(금) 오후 14:00</v>
      </c>
      <c r="E123" s="217"/>
      <c r="F123" s="218"/>
      <c r="G123" s="216" t="str">
        <f>TEXT($G$1, "[$-ko-KR]yyyy-mm-dd(ddd) ") &amp; "오후 19:00"</f>
        <v>2021-05-07(금) 오후 19:00</v>
      </c>
      <c r="H123" s="217"/>
      <c r="I123" s="218"/>
      <c r="J123" s="216" t="str">
        <f>TEXT($G$1, "[$-ko-KR]yyyy-mm-dd(ddd) ") &amp; "오후 21:00"</f>
        <v>2021-05-07(금) 오후 21:00</v>
      </c>
      <c r="K123" s="217"/>
      <c r="L123" s="218"/>
      <c r="M123" s="216" t="str">
        <f>TEXT($G$1+1, "[$-ko-KR]yyyy-mm-dd(ddd) ") &amp; "오전 00:00"</f>
        <v>2021-05-08(토)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219"/>
      <c r="R124" s="219"/>
      <c r="S124" s="219"/>
    </row>
    <row r="125" spans="1:19" ht="17.25" thickBot="1">
      <c r="A125" s="126" t="s">
        <v>100</v>
      </c>
      <c r="B125" s="127">
        <v>9.58</v>
      </c>
      <c r="C125" s="76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100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214"/>
      <c r="R125" s="214"/>
      <c r="S125" s="214"/>
    </row>
    <row r="126" spans="1:19" ht="17.25" thickBot="1">
      <c r="A126" s="128" t="s">
        <v>72</v>
      </c>
      <c r="B126" s="129">
        <v>39</v>
      </c>
      <c r="C126" s="77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101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214"/>
      <c r="R126" s="214"/>
      <c r="S126" s="214"/>
    </row>
    <row r="127" spans="1:19" ht="17.25" thickBot="1">
      <c r="A127" s="128" t="s">
        <v>152</v>
      </c>
      <c r="B127" s="129">
        <v>52.3</v>
      </c>
      <c r="C127" s="77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101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219"/>
      <c r="R127" s="219"/>
      <c r="S127" s="219"/>
    </row>
    <row r="128" spans="1:19" ht="17.25" thickBot="1">
      <c r="A128" s="128" t="s">
        <v>65</v>
      </c>
      <c r="B128" s="129">
        <v>76.400000000000006</v>
      </c>
      <c r="C128" s="77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101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219"/>
      <c r="R128" s="219"/>
      <c r="S128" s="219"/>
    </row>
    <row r="129" spans="1:19" ht="17.25" thickBot="1">
      <c r="A129" s="130" t="s">
        <v>222</v>
      </c>
      <c r="B129" s="131">
        <v>18.8</v>
      </c>
      <c r="C129" s="78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5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219"/>
      <c r="R129" s="219"/>
      <c r="S129" s="219"/>
    </row>
    <row r="130" spans="1:19" ht="17.25" thickBot="1">
      <c r="A130" s="128" t="s">
        <v>126</v>
      </c>
      <c r="B130" s="132">
        <v>63.3</v>
      </c>
      <c r="C130" s="80">
        <v>-1.0937499999999999E-2</v>
      </c>
      <c r="D130" s="106">
        <v>59.1</v>
      </c>
      <c r="E130" s="107">
        <f>IF(ISNUMBER(D130), (D130 - $B130) / $B130, "")</f>
        <v>-6.6350710900473869E-2</v>
      </c>
      <c r="F130" s="108">
        <f>IF(ISNUMBER(D130), $B145 * E130, "")</f>
        <v>-9952.6066350710807</v>
      </c>
      <c r="G130" s="109">
        <v>61</v>
      </c>
      <c r="H130" s="107">
        <f>IF(ISNUMBER(G130), (G130 - $B130) / $B130, "")</f>
        <v>-3.6334913112164254E-2</v>
      </c>
      <c r="I130" s="110">
        <f>IF(ISNUMBER(G130), $B145 * H130, "")</f>
        <v>-5450.2369668246383</v>
      </c>
      <c r="J130" s="106">
        <v>61.8</v>
      </c>
      <c r="K130" s="107">
        <f>IF(ISNUMBER(J130), (J130 - $B130) / $B130, "")</f>
        <v>-2.3696682464454978E-2</v>
      </c>
      <c r="L130" s="108">
        <f>IF(ISNUMBER(J130), $B145 * K130, "")</f>
        <v>-3554.5023696682465</v>
      </c>
      <c r="M130" s="109">
        <v>61</v>
      </c>
      <c r="N130" s="107">
        <f>IF(ISNUMBER(M130), (M130 - $B130) / $B130, "")</f>
        <v>-3.6334913112164254E-2</v>
      </c>
      <c r="O130" s="108">
        <f>IF(ISNUMBER(M130), $B145 * N130, "")</f>
        <v>-5450.2369668246383</v>
      </c>
      <c r="Q130" s="219"/>
      <c r="R130" s="219"/>
      <c r="S130" s="219"/>
    </row>
    <row r="131" spans="1:19" ht="17.25" thickBot="1">
      <c r="A131" s="128" t="s">
        <v>196</v>
      </c>
      <c r="B131" s="129">
        <v>20.5</v>
      </c>
      <c r="C131" s="77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101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219"/>
      <c r="R131" s="219"/>
      <c r="S131" s="219"/>
    </row>
    <row r="132" spans="1:19" ht="17.25" thickBot="1">
      <c r="A132" s="128" t="s">
        <v>186</v>
      </c>
      <c r="B132" s="129">
        <v>25.3</v>
      </c>
      <c r="C132" s="77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101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219"/>
      <c r="R132" s="219"/>
      <c r="S132" s="219"/>
    </row>
    <row r="133" spans="1:19" ht="17.25" thickBot="1">
      <c r="A133" s="128" t="s">
        <v>236</v>
      </c>
      <c r="B133" s="129">
        <v>68.3</v>
      </c>
      <c r="C133" s="77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101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33" t="s">
        <v>198</v>
      </c>
      <c r="B134" s="134">
        <v>28.3</v>
      </c>
      <c r="C134" s="79">
        <v>-3.7414966000000001E-2</v>
      </c>
      <c r="D134" s="24">
        <v>25.9</v>
      </c>
      <c r="E134" s="25">
        <f t="shared" si="66"/>
        <v>-8.4805653710247425E-2</v>
      </c>
      <c r="F134" s="104">
        <f>IF(ISNUMBER(D134), $B145 * E134, "")</f>
        <v>-12720.848056537114</v>
      </c>
      <c r="G134" s="102">
        <v>26.7</v>
      </c>
      <c r="H134" s="25">
        <f t="shared" si="67"/>
        <v>-5.6537102473498281E-2</v>
      </c>
      <c r="I134" s="103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4">
        <f>IF(ISNUMBER(J134), $B145 * K134, "")</f>
        <v>-2650.1766784452298</v>
      </c>
      <c r="M134" s="102">
        <v>28.1</v>
      </c>
      <c r="N134" s="25">
        <f t="shared" si="69"/>
        <v>-7.0671378091872539E-3</v>
      </c>
      <c r="O134" s="104">
        <f>IF(ISNUMBER(M134), $B145 * N134, "")</f>
        <v>-1060.070671378088</v>
      </c>
      <c r="Q134" s="228"/>
      <c r="R134" s="229"/>
      <c r="S134" s="230"/>
    </row>
    <row r="135" spans="1:19">
      <c r="A135" s="126" t="s">
        <v>172</v>
      </c>
      <c r="B135" s="127">
        <v>25.2</v>
      </c>
      <c r="C135" s="76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100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231"/>
      <c r="R135" s="232"/>
      <c r="S135" s="233"/>
    </row>
    <row r="136" spans="1:19" ht="17.25" thickBot="1">
      <c r="A136" s="128" t="s">
        <v>214</v>
      </c>
      <c r="B136" s="129">
        <v>22.2</v>
      </c>
      <c r="C136" s="77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101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234"/>
      <c r="R136" s="235"/>
      <c r="S136" s="236"/>
    </row>
    <row r="137" spans="1:19" ht="17.25" thickBot="1">
      <c r="A137" s="128" t="s">
        <v>218</v>
      </c>
      <c r="B137" s="129">
        <v>28.5</v>
      </c>
      <c r="C137" s="77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101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219"/>
      <c r="R137" s="219"/>
      <c r="S137" s="219"/>
    </row>
    <row r="138" spans="1:19" ht="17.25" thickBot="1">
      <c r="A138" s="128" t="s">
        <v>154</v>
      </c>
      <c r="B138" s="129">
        <v>21.1</v>
      </c>
      <c r="C138" s="77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101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214"/>
      <c r="R138" s="214"/>
      <c r="S138" s="214"/>
    </row>
    <row r="139" spans="1:19" ht="17.25" thickBot="1">
      <c r="A139" s="130" t="s">
        <v>228</v>
      </c>
      <c r="B139" s="131">
        <v>18.399999999999999</v>
      </c>
      <c r="C139" s="78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5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214"/>
      <c r="R139" s="214"/>
      <c r="S139" s="214"/>
    </row>
    <row r="140" spans="1:19" ht="17.25" thickBot="1">
      <c r="A140" s="128" t="s">
        <v>268</v>
      </c>
      <c r="B140" s="132">
        <v>96.1</v>
      </c>
      <c r="C140" s="80">
        <v>-4.8514851499999997E-2</v>
      </c>
      <c r="D140" s="106">
        <v>89.1</v>
      </c>
      <c r="E140" s="107">
        <f>IF(ISNUMBER(D140), (D140 - $B140) / $B140, "")</f>
        <v>-7.2840790842872011E-2</v>
      </c>
      <c r="F140" s="108">
        <f>IF(ISNUMBER(D140), $B145 * E140, "")</f>
        <v>-10926.118626430802</v>
      </c>
      <c r="G140" s="109">
        <v>89.9</v>
      </c>
      <c r="H140" s="107">
        <f>IF(ISNUMBER(G140), (G140 - $B140) / $B140, "")</f>
        <v>-6.4516129032257952E-2</v>
      </c>
      <c r="I140" s="110">
        <f>IF(ISNUMBER(G140), $B145 * H140, "")</f>
        <v>-9677.419354838692</v>
      </c>
      <c r="J140" s="106">
        <v>93.1</v>
      </c>
      <c r="K140" s="107">
        <f>IF(ISNUMBER(J140), (J140 - $B140) / $B140, "")</f>
        <v>-3.1217481789802291E-2</v>
      </c>
      <c r="L140" s="108">
        <f>IF(ISNUMBER(J140), $B145 * K140, "")</f>
        <v>-4682.6222684703434</v>
      </c>
      <c r="M140" s="109">
        <v>93.4</v>
      </c>
      <c r="N140" s="107">
        <f>IF(ISNUMBER(M140), (M140 - $B140) / $B140, "")</f>
        <v>-2.8095733610821943E-2</v>
      </c>
      <c r="O140" s="108">
        <f>IF(ISNUMBER(M140), $B145 * N140, "")</f>
        <v>-4214.3600416232912</v>
      </c>
      <c r="Q140" s="219"/>
      <c r="R140" s="219"/>
      <c r="S140" s="219"/>
    </row>
    <row r="141" spans="1:19" ht="17.25" thickBot="1">
      <c r="A141" s="128" t="s">
        <v>254</v>
      </c>
      <c r="B141" s="129">
        <v>86</v>
      </c>
      <c r="C141" s="77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101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219"/>
      <c r="R141" s="219"/>
      <c r="S141" s="219"/>
    </row>
    <row r="142" spans="1:19" ht="17.25" thickBot="1">
      <c r="A142" s="128" t="s">
        <v>220</v>
      </c>
      <c r="B142" s="129">
        <v>21.2</v>
      </c>
      <c r="C142" s="77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101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219"/>
      <c r="R142" s="219"/>
      <c r="S142" s="219"/>
    </row>
    <row r="143" spans="1:19">
      <c r="A143" s="128" t="s">
        <v>266</v>
      </c>
      <c r="B143" s="129">
        <v>97.2</v>
      </c>
      <c r="C143" s="77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101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241"/>
      <c r="R143" s="242"/>
      <c r="S143" s="243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5" t="s">
        <v>301</v>
      </c>
      <c r="B145" s="252">
        <f>$B$37</f>
        <v>150000</v>
      </c>
      <c r="C145" s="253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247"/>
      <c r="R145" s="248"/>
      <c r="S145" s="249"/>
    </row>
    <row r="147" spans="1:19" ht="17.25" thickBot="1"/>
    <row r="148" spans="1:19" ht="17.25" thickBot="1">
      <c r="A148" s="193" t="s">
        <v>289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67" t="s">
        <v>298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72158000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9.1322285000000007E-3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2021-05-07(금) 오전 00:00</v>
      </c>
      <c r="C150" s="257"/>
      <c r="D150" s="216" t="str">
        <f>TEXT($G$1, "[$-ko-KR]yyyy-mm-dd(ddd) ") &amp; "오후 14:00"</f>
        <v>2021-05-07(금) 오후 14:00</v>
      </c>
      <c r="E150" s="217"/>
      <c r="F150" s="218"/>
      <c r="G150" s="216" t="str">
        <f>TEXT($G$1, "[$-ko-KR]yyyy-mm-dd(ddd) ") &amp; "오후 19:00"</f>
        <v>2021-05-07(금) 오후 19:00</v>
      </c>
      <c r="H150" s="217"/>
      <c r="I150" s="218"/>
      <c r="J150" s="216" t="str">
        <f>TEXT($G$1, "[$-ko-KR]yyyy-mm-dd(ddd) ") &amp; "오후 21:00"</f>
        <v>2021-05-07(금) 오후 21:00</v>
      </c>
      <c r="K150" s="217"/>
      <c r="L150" s="218"/>
      <c r="M150" s="216" t="str">
        <f>TEXT($G$1+1, "[$-ko-KR]yyyy-mm-dd(ddd) ") &amp; "오전 00:00"</f>
        <v>2021-05-08(토)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219"/>
      <c r="R151" s="219"/>
      <c r="S151" s="219"/>
    </row>
    <row r="152" spans="1:19" ht="17.25" thickBot="1">
      <c r="A152" s="126" t="s">
        <v>122</v>
      </c>
      <c r="B152" s="127">
        <v>117</v>
      </c>
      <c r="C152" s="76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100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214"/>
      <c r="R152" s="214"/>
      <c r="S152" s="214"/>
    </row>
    <row r="153" spans="1:19" ht="17.25" thickBot="1">
      <c r="A153" s="128" t="s">
        <v>282</v>
      </c>
      <c r="B153" s="129">
        <v>168</v>
      </c>
      <c r="C153" s="77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101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214"/>
      <c r="R153" s="214"/>
      <c r="S153" s="214"/>
    </row>
    <row r="154" spans="1:19" ht="17.25" thickBot="1">
      <c r="A154" s="128" t="s">
        <v>252</v>
      </c>
      <c r="B154" s="129">
        <v>557</v>
      </c>
      <c r="C154" s="77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101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219"/>
      <c r="R154" s="219"/>
      <c r="S154" s="219"/>
    </row>
    <row r="155" spans="1:19" ht="17.25" thickBot="1">
      <c r="A155" s="128" t="s">
        <v>226</v>
      </c>
      <c r="B155" s="129">
        <v>503</v>
      </c>
      <c r="C155" s="77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101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219"/>
      <c r="R155" s="219"/>
      <c r="S155" s="219"/>
    </row>
    <row r="156" spans="1:19" ht="17.25" thickBot="1">
      <c r="A156" s="130" t="s">
        <v>208</v>
      </c>
      <c r="B156" s="131">
        <v>490</v>
      </c>
      <c r="C156" s="78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5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219"/>
      <c r="R156" s="219"/>
      <c r="S156" s="219"/>
    </row>
    <row r="157" spans="1:19" ht="17.25" thickBot="1">
      <c r="A157" s="128" t="s">
        <v>232</v>
      </c>
      <c r="B157" s="132">
        <v>173</v>
      </c>
      <c r="C157" s="80">
        <v>-2.8089887599999998E-2</v>
      </c>
      <c r="D157" s="106">
        <v>160</v>
      </c>
      <c r="E157" s="107">
        <f>IF(ISNUMBER(D157), (D157 - $B157) / $B157, "")</f>
        <v>-7.5144508670520235E-2</v>
      </c>
      <c r="F157" s="108">
        <f>IF(ISNUMBER(D157), $B172 * E157, "")</f>
        <v>-11271.676300578036</v>
      </c>
      <c r="G157" s="109">
        <v>162</v>
      </c>
      <c r="H157" s="107">
        <f>IF(ISNUMBER(G157), (G157 - $B157) / $B157, "")</f>
        <v>-6.358381502890173E-2</v>
      </c>
      <c r="I157" s="110">
        <f>IF(ISNUMBER(G157), $B172 * H157, "")</f>
        <v>-9537.5722543352604</v>
      </c>
      <c r="J157" s="106">
        <v>175</v>
      </c>
      <c r="K157" s="107">
        <f>IF(ISNUMBER(J157), (J157 - $B157) / $B157, "")</f>
        <v>1.1560693641618497E-2</v>
      </c>
      <c r="L157" s="108">
        <f>IF(ISNUMBER(J157), $B172 * K157, "")</f>
        <v>1734.1040462427745</v>
      </c>
      <c r="M157" s="109">
        <v>176</v>
      </c>
      <c r="N157" s="107">
        <f>IF(ISNUMBER(M157), (M157 - $B157) / $B157, "")</f>
        <v>1.7341040462427744E-2</v>
      </c>
      <c r="O157" s="108">
        <f>IF(ISNUMBER(M157), $B172 * N157, "")</f>
        <v>2601.1560693641618</v>
      </c>
      <c r="Q157" s="219"/>
      <c r="R157" s="219"/>
      <c r="S157" s="219"/>
    </row>
    <row r="158" spans="1:19" ht="17.25" thickBot="1">
      <c r="A158" s="128" t="s">
        <v>112</v>
      </c>
      <c r="B158" s="129">
        <v>253</v>
      </c>
      <c r="C158" s="77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101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219"/>
      <c r="R158" s="219"/>
      <c r="S158" s="219"/>
    </row>
    <row r="159" spans="1:19" ht="17.25" thickBot="1">
      <c r="A159" s="128" t="s">
        <v>200</v>
      </c>
      <c r="B159" s="129">
        <v>370</v>
      </c>
      <c r="C159" s="77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101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219"/>
      <c r="R159" s="219"/>
      <c r="S159" s="219"/>
    </row>
    <row r="160" spans="1:19" ht="17.25" thickBot="1">
      <c r="A160" s="128" t="s">
        <v>174</v>
      </c>
      <c r="B160" s="129">
        <v>273</v>
      </c>
      <c r="C160" s="77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101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3" t="s">
        <v>256</v>
      </c>
      <c r="B161" s="134">
        <v>261</v>
      </c>
      <c r="C161" s="79">
        <v>-3.3333333299999997E-2</v>
      </c>
      <c r="D161" s="24">
        <v>252</v>
      </c>
      <c r="E161" s="25">
        <f t="shared" si="82"/>
        <v>-3.4482758620689655E-2</v>
      </c>
      <c r="F161" s="104">
        <f>IF(ISNUMBER(D161), $B172 * E161, "")</f>
        <v>-5172.4137931034484</v>
      </c>
      <c r="G161" s="102">
        <v>253</v>
      </c>
      <c r="H161" s="25">
        <f t="shared" si="83"/>
        <v>-3.0651340996168581E-2</v>
      </c>
      <c r="I161" s="103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4">
        <f>IF(ISNUMBER(J161), $B172 * K161, "")</f>
        <v>-2298.8505747126437</v>
      </c>
      <c r="M161" s="102">
        <v>258</v>
      </c>
      <c r="N161" s="25">
        <f t="shared" si="85"/>
        <v>-1.1494252873563218E-2</v>
      </c>
      <c r="O161" s="104">
        <f>IF(ISNUMBER(M161), $B172 * N161, "")</f>
        <v>-1724.1379310344828</v>
      </c>
      <c r="Q161" s="228"/>
      <c r="R161" s="229"/>
      <c r="S161" s="230"/>
    </row>
    <row r="162" spans="1:19">
      <c r="A162" s="126" t="s">
        <v>210</v>
      </c>
      <c r="B162" s="127">
        <v>194</v>
      </c>
      <c r="C162" s="76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100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231"/>
      <c r="R162" s="232"/>
      <c r="S162" s="233"/>
    </row>
    <row r="163" spans="1:19" ht="17.25" thickBot="1">
      <c r="A163" s="128" t="s">
        <v>202</v>
      </c>
      <c r="B163" s="129">
        <v>216</v>
      </c>
      <c r="C163" s="77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101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234"/>
      <c r="R163" s="235"/>
      <c r="S163" s="236"/>
    </row>
    <row r="164" spans="1:19" ht="17.25" thickBot="1">
      <c r="A164" s="128" t="s">
        <v>116</v>
      </c>
      <c r="B164" s="129">
        <v>695</v>
      </c>
      <c r="C164" s="77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101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219"/>
      <c r="R164" s="219"/>
      <c r="S164" s="219"/>
    </row>
    <row r="165" spans="1:19" ht="17.25" thickBot="1">
      <c r="A165" s="128" t="s">
        <v>250</v>
      </c>
      <c r="B165" s="129">
        <v>214</v>
      </c>
      <c r="C165" s="77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101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214"/>
      <c r="R165" s="214"/>
      <c r="S165" s="214"/>
    </row>
    <row r="166" spans="1:19" ht="17.25" thickBot="1">
      <c r="A166" s="130" t="s">
        <v>240</v>
      </c>
      <c r="B166" s="131">
        <v>185</v>
      </c>
      <c r="C166" s="78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5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214"/>
      <c r="R166" s="214"/>
      <c r="S166" s="214"/>
    </row>
    <row r="167" spans="1:19" ht="17.25" thickBot="1">
      <c r="A167" s="128" t="s">
        <v>258</v>
      </c>
      <c r="B167" s="132">
        <v>702</v>
      </c>
      <c r="C167" s="80">
        <v>-4.4897959199999997E-2</v>
      </c>
      <c r="D167" s="106">
        <v>658</v>
      </c>
      <c r="E167" s="107">
        <f>IF(ISNUMBER(D167), (D167 - $B167) / $B167, "")</f>
        <v>-6.2678062678062682E-2</v>
      </c>
      <c r="F167" s="108">
        <f>IF(ISNUMBER(D167), $B172 * E167, "")</f>
        <v>-9401.7094017094023</v>
      </c>
      <c r="G167" s="109">
        <v>669</v>
      </c>
      <c r="H167" s="107">
        <f>IF(ISNUMBER(G167), (G167 - $B167) / $B167, "")</f>
        <v>-4.7008547008547008E-2</v>
      </c>
      <c r="I167" s="110">
        <f>IF(ISNUMBER(G167), $B172 * H167, "")</f>
        <v>-7051.2820512820508</v>
      </c>
      <c r="J167" s="106">
        <v>692</v>
      </c>
      <c r="K167" s="107">
        <f>IF(ISNUMBER(J167), (J167 - $B167) / $B167, "")</f>
        <v>-1.4245014245014245E-2</v>
      </c>
      <c r="L167" s="108">
        <f>IF(ISNUMBER(J167), $B172 * K167, "")</f>
        <v>-2136.7521367521367</v>
      </c>
      <c r="M167" s="109">
        <v>697</v>
      </c>
      <c r="N167" s="107">
        <f>IF(ISNUMBER(M167), (M167 - $B167) / $B167, "")</f>
        <v>-7.1225071225071226E-3</v>
      </c>
      <c r="O167" s="108">
        <f>IF(ISNUMBER(M167), $B172 * N167, "")</f>
        <v>-1068.3760683760684</v>
      </c>
      <c r="Q167" s="219"/>
      <c r="R167" s="219"/>
      <c r="S167" s="219"/>
    </row>
    <row r="168" spans="1:19" ht="17.25" thickBot="1">
      <c r="A168" s="128" t="s">
        <v>238</v>
      </c>
      <c r="B168" s="129">
        <v>291</v>
      </c>
      <c r="C168" s="77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101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219"/>
      <c r="R168" s="219"/>
      <c r="S168" s="219"/>
    </row>
    <row r="169" spans="1:19" ht="17.25" thickBot="1">
      <c r="A169" s="128" t="s">
        <v>246</v>
      </c>
      <c r="B169" s="129">
        <v>391</v>
      </c>
      <c r="C169" s="77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101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219"/>
      <c r="R169" s="219"/>
      <c r="S169" s="219"/>
    </row>
    <row r="170" spans="1:19">
      <c r="A170" s="128" t="s">
        <v>230</v>
      </c>
      <c r="B170" s="129">
        <v>173</v>
      </c>
      <c r="C170" s="77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101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241"/>
      <c r="R170" s="242"/>
      <c r="S170" s="243"/>
    </row>
    <row r="171" spans="1:19" ht="17.25" thickBot="1">
      <c r="A171" s="133" t="s">
        <v>296</v>
      </c>
      <c r="B171" s="134">
        <v>735</v>
      </c>
      <c r="C171" s="79">
        <v>-6.1302681999999997E-2</v>
      </c>
      <c r="D171" s="24">
        <v>693</v>
      </c>
      <c r="E171" s="25">
        <f t="shared" si="90"/>
        <v>-5.7142857142857141E-2</v>
      </c>
      <c r="F171" s="104">
        <f>IF(ISNUMBER(D171), $B172 * E171, "")</f>
        <v>-8571.4285714285706</v>
      </c>
      <c r="G171" s="102">
        <v>743</v>
      </c>
      <c r="H171" s="25">
        <f t="shared" si="91"/>
        <v>1.0884353741496598E-2</v>
      </c>
      <c r="I171" s="103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4">
        <f>IF(ISNUMBER(J171), $B172 * K171, "")</f>
        <v>-2653.0612244897961</v>
      </c>
      <c r="M171" s="102">
        <v>706</v>
      </c>
      <c r="N171" s="25">
        <f t="shared" si="93"/>
        <v>-3.9455782312925167E-2</v>
      </c>
      <c r="O171" s="104">
        <f>IF(ISNUMBER(M171), $B172 * N171, "")</f>
        <v>-5918.367346938775</v>
      </c>
      <c r="Q171" s="244"/>
      <c r="R171" s="245"/>
      <c r="S171" s="246"/>
    </row>
    <row r="172" spans="1:19" ht="17.25" thickBot="1">
      <c r="A172" s="135" t="s">
        <v>301</v>
      </c>
      <c r="B172" s="252">
        <f>$B$37</f>
        <v>150000</v>
      </c>
      <c r="C172" s="253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247"/>
      <c r="R172" s="248"/>
      <c r="S172" s="249"/>
    </row>
    <row r="174" spans="1:19" ht="17.25" thickBot="1"/>
    <row r="175" spans="1:19" ht="17.25" thickBot="1">
      <c r="A175" s="193" t="s">
        <v>285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67" t="s">
        <v>298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72158000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9.1322285000000007E-3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2021-05-07(금) 오전 00:00</v>
      </c>
      <c r="C177" s="257"/>
      <c r="D177" s="216" t="str">
        <f>TEXT($G$1, "[$-ko-KR]yyyy-mm-dd(ddd) ") &amp; "오후 14:00"</f>
        <v>2021-05-07(금) 오후 14:00</v>
      </c>
      <c r="E177" s="217"/>
      <c r="F177" s="218"/>
      <c r="G177" s="216" t="str">
        <f>TEXT($G$1, "[$-ko-KR]yyyy-mm-dd(ddd) ") &amp; "오후 19:00"</f>
        <v>2021-05-07(금) 오후 19:00</v>
      </c>
      <c r="H177" s="217"/>
      <c r="I177" s="218"/>
      <c r="J177" s="216" t="str">
        <f>TEXT($G$1, "[$-ko-KR]yyyy-mm-dd(ddd) ") &amp; "오후 21:00"</f>
        <v>2021-05-07(금) 오후 21:00</v>
      </c>
      <c r="K177" s="217"/>
      <c r="L177" s="218"/>
      <c r="M177" s="216" t="str">
        <f>TEXT($G$1+1, "[$-ko-KR]yyyy-mm-dd(ddd) ") &amp; "오전 00:00"</f>
        <v>2021-05-08(토)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219"/>
      <c r="R178" s="219"/>
      <c r="S178" s="219"/>
    </row>
    <row r="179" spans="1:19" ht="17.25" thickBot="1">
      <c r="A179" s="126" t="s">
        <v>218</v>
      </c>
      <c r="B179" s="127">
        <v>28.5</v>
      </c>
      <c r="C179" s="76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100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214"/>
      <c r="R179" s="214"/>
      <c r="S179" s="214"/>
    </row>
    <row r="180" spans="1:19" ht="17.25" thickBot="1">
      <c r="A180" s="128" t="s">
        <v>154</v>
      </c>
      <c r="B180" s="129">
        <v>21.1</v>
      </c>
      <c r="C180" s="77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101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214"/>
      <c r="R180" s="214"/>
      <c r="S180" s="214"/>
    </row>
    <row r="181" spans="1:19" ht="17.25" thickBot="1">
      <c r="A181" s="128" t="s">
        <v>240</v>
      </c>
      <c r="B181" s="129">
        <v>185</v>
      </c>
      <c r="C181" s="77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101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219"/>
      <c r="R181" s="219"/>
      <c r="S181" s="219"/>
    </row>
    <row r="182" spans="1:19" ht="17.25" thickBot="1">
      <c r="A182" s="128" t="s">
        <v>228</v>
      </c>
      <c r="B182" s="129">
        <v>18.399999999999999</v>
      </c>
      <c r="C182" s="77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101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219"/>
      <c r="R182" s="219"/>
      <c r="S182" s="219"/>
    </row>
    <row r="183" spans="1:19" ht="17.25" thickBot="1">
      <c r="A183" s="130" t="s">
        <v>258</v>
      </c>
      <c r="B183" s="131">
        <v>702</v>
      </c>
      <c r="C183" s="78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5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219"/>
      <c r="R183" s="219"/>
      <c r="S183" s="219"/>
    </row>
    <row r="184" spans="1:19" ht="17.25" thickBot="1">
      <c r="A184" s="128" t="s">
        <v>238</v>
      </c>
      <c r="B184" s="132">
        <v>291</v>
      </c>
      <c r="C184" s="80">
        <v>-4.5901639299999998E-2</v>
      </c>
      <c r="D184" s="106">
        <v>272</v>
      </c>
      <c r="E184" s="107">
        <f>IF(ISNUMBER(D184), (D184 - $B184) / $B184, "")</f>
        <v>-6.5292096219931275E-2</v>
      </c>
      <c r="F184" s="108">
        <f>IF(ISNUMBER(D184), $B199 * E184, "")</f>
        <v>-9793.8144329896913</v>
      </c>
      <c r="G184" s="109">
        <v>280</v>
      </c>
      <c r="H184" s="107">
        <f>IF(ISNUMBER(G184), (G184 - $B184) / $B184, "")</f>
        <v>-3.7800687285223365E-2</v>
      </c>
      <c r="I184" s="110">
        <f>IF(ISNUMBER(G184), $B199 * H184, "")</f>
        <v>-5670.1030927835045</v>
      </c>
      <c r="J184" s="106">
        <v>287</v>
      </c>
      <c r="K184" s="107">
        <f>IF(ISNUMBER(J184), (J184 - $B184) / $B184, "")</f>
        <v>-1.3745704467353952E-2</v>
      </c>
      <c r="L184" s="108">
        <f>IF(ISNUMBER(J184), $B199 * K184, "")</f>
        <v>-2061.855670103093</v>
      </c>
      <c r="M184" s="109">
        <v>292</v>
      </c>
      <c r="N184" s="107">
        <f>IF(ISNUMBER(M184), (M184 - $B184) / $B184, "")</f>
        <v>3.4364261168384879E-3</v>
      </c>
      <c r="O184" s="108">
        <f>IF(ISNUMBER(M184), $B199 * N184, "")</f>
        <v>515.46391752577324</v>
      </c>
      <c r="Q184" s="219"/>
      <c r="R184" s="219"/>
      <c r="S184" s="219"/>
    </row>
    <row r="185" spans="1:19" ht="17.25" thickBot="1">
      <c r="A185" s="128" t="s">
        <v>246</v>
      </c>
      <c r="B185" s="129">
        <v>391</v>
      </c>
      <c r="C185" s="77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101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19"/>
      <c r="R185" s="219"/>
      <c r="S185" s="219"/>
    </row>
    <row r="186" spans="1:19" ht="17.25" thickBot="1">
      <c r="A186" s="128" t="s">
        <v>268</v>
      </c>
      <c r="B186" s="129">
        <v>96.1</v>
      </c>
      <c r="C186" s="77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101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219"/>
      <c r="R186" s="219"/>
      <c r="S186" s="219"/>
    </row>
    <row r="187" spans="1:19" ht="17.25" thickBot="1">
      <c r="A187" s="128" t="s">
        <v>254</v>
      </c>
      <c r="B187" s="129">
        <v>86</v>
      </c>
      <c r="C187" s="77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101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33" t="s">
        <v>190</v>
      </c>
      <c r="B188" s="134">
        <v>72510</v>
      </c>
      <c r="C188" s="79">
        <v>-4.9173878800000001E-2</v>
      </c>
      <c r="D188" s="24">
        <v>66940</v>
      </c>
      <c r="E188" s="25">
        <f t="shared" si="98"/>
        <v>-7.681699075989519E-2</v>
      </c>
      <c r="F188" s="104">
        <f>IF(ISNUMBER(D188), $B199 * E188, "")</f>
        <v>-11522.548613984278</v>
      </c>
      <c r="G188" s="102">
        <v>67120</v>
      </c>
      <c r="H188" s="25">
        <f t="shared" si="99"/>
        <v>-7.4334574541442558E-2</v>
      </c>
      <c r="I188" s="103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4">
        <f>IF(ISNUMBER(J188), $B199 * K188, "")</f>
        <v>-4426.9755895738517</v>
      </c>
      <c r="M188" s="102">
        <v>70940</v>
      </c>
      <c r="N188" s="25">
        <f t="shared" si="101"/>
        <v>-2.1652185905392359E-2</v>
      </c>
      <c r="O188" s="104">
        <f>IF(ISNUMBER(M188), $B199 * N188, "")</f>
        <v>-3247.8278858088538</v>
      </c>
      <c r="Q188" s="228"/>
      <c r="R188" s="229"/>
      <c r="S188" s="230"/>
    </row>
    <row r="189" spans="1:19">
      <c r="A189" s="126" t="s">
        <v>220</v>
      </c>
      <c r="B189" s="127">
        <v>21.2</v>
      </c>
      <c r="C189" s="76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100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231"/>
      <c r="R189" s="232"/>
      <c r="S189" s="233"/>
    </row>
    <row r="190" spans="1:19" ht="17.25" thickBot="1">
      <c r="A190" s="128" t="s">
        <v>230</v>
      </c>
      <c r="B190" s="129">
        <v>173</v>
      </c>
      <c r="C190" s="77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101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234"/>
      <c r="R190" s="235"/>
      <c r="S190" s="236"/>
    </row>
    <row r="191" spans="1:19" ht="17.25" thickBot="1">
      <c r="A191" s="128" t="s">
        <v>234</v>
      </c>
      <c r="B191" s="129">
        <v>1375</v>
      </c>
      <c r="C191" s="77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101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219"/>
      <c r="R191" s="219"/>
      <c r="S191" s="219"/>
    </row>
    <row r="192" spans="1:19" ht="17.25" thickBot="1">
      <c r="A192" s="128" t="s">
        <v>194</v>
      </c>
      <c r="B192" s="129">
        <v>14160</v>
      </c>
      <c r="C192" s="77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101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214"/>
      <c r="R192" s="214"/>
      <c r="S192" s="214"/>
    </row>
    <row r="193" spans="1:19" ht="17.25" thickBot="1">
      <c r="A193" s="130" t="s">
        <v>67</v>
      </c>
      <c r="B193" s="131">
        <v>8565</v>
      </c>
      <c r="C193" s="78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5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214"/>
      <c r="R193" s="214"/>
      <c r="S193" s="214"/>
    </row>
    <row r="194" spans="1:19" ht="17.25" thickBot="1">
      <c r="A194" s="128" t="s">
        <v>266</v>
      </c>
      <c r="B194" s="132">
        <v>97.2</v>
      </c>
      <c r="C194" s="80">
        <v>-5.6310679600000003E-2</v>
      </c>
      <c r="D194" s="106">
        <v>89</v>
      </c>
      <c r="E194" s="107">
        <f>IF(ISNUMBER(D194), (D194 - $B194) / $B194, "")</f>
        <v>-8.4362139917695506E-2</v>
      </c>
      <c r="F194" s="108">
        <f>IF(ISNUMBER(D194), $B199 * E194, "")</f>
        <v>-12654.320987654326</v>
      </c>
      <c r="G194" s="109">
        <v>90.4</v>
      </c>
      <c r="H194" s="107">
        <f>IF(ISNUMBER(G194), (G194 - $B194) / $B194, "")</f>
        <v>-6.9958847736625487E-2</v>
      </c>
      <c r="I194" s="110">
        <f>IF(ISNUMBER(G194), $B199 * H194, "")</f>
        <v>-10493.827160493824</v>
      </c>
      <c r="J194" s="106">
        <v>94.3</v>
      </c>
      <c r="K194" s="107">
        <f>IF(ISNUMBER(J194), (J194 - $B194) / $B194, "")</f>
        <v>-2.9835390946502116E-2</v>
      </c>
      <c r="L194" s="108">
        <f>IF(ISNUMBER(J194), $B199 * K194, "")</f>
        <v>-4475.3086419753172</v>
      </c>
      <c r="M194" s="109">
        <v>94.2</v>
      </c>
      <c r="N194" s="107">
        <f>IF(ISNUMBER(M194), (M194 - $B194) / $B194, "")</f>
        <v>-3.0864197530864196E-2</v>
      </c>
      <c r="O194" s="108">
        <f>IF(ISNUMBER(M194), $B199 * N194, "")</f>
        <v>-4629.6296296296296</v>
      </c>
      <c r="Q194" s="219"/>
      <c r="R194" s="219"/>
      <c r="S194" s="219"/>
    </row>
    <row r="195" spans="1:19" ht="17.25" thickBot="1">
      <c r="A195" s="128" t="s">
        <v>296</v>
      </c>
      <c r="B195" s="129">
        <v>735</v>
      </c>
      <c r="C195" s="77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101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219"/>
      <c r="R195" s="219"/>
      <c r="S195" s="219"/>
    </row>
    <row r="196" spans="1:19" ht="17.25" thickBot="1">
      <c r="A196" s="128" t="s">
        <v>206</v>
      </c>
      <c r="B196" s="129">
        <v>37580</v>
      </c>
      <c r="C196" s="77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101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219"/>
      <c r="R196" s="219"/>
      <c r="S196" s="219"/>
    </row>
    <row r="197" spans="1:19">
      <c r="A197" s="128" t="s">
        <v>78</v>
      </c>
      <c r="B197" s="129">
        <v>1707500</v>
      </c>
      <c r="C197" s="77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101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241"/>
      <c r="R197" s="242"/>
      <c r="S197" s="243"/>
    </row>
    <row r="198" spans="1:19" ht="17.25" thickBot="1">
      <c r="A198" s="133" t="s">
        <v>204</v>
      </c>
      <c r="B198" s="134">
        <v>8555</v>
      </c>
      <c r="C198" s="79">
        <v>-6.8082788699999994E-2</v>
      </c>
      <c r="D198" s="24">
        <v>7530</v>
      </c>
      <c r="E198" s="25">
        <f t="shared" si="106"/>
        <v>-0.11981297486849796</v>
      </c>
      <c r="F198" s="104">
        <f>IF(ISNUMBER(D198), $B199 * E198, "")</f>
        <v>-17971.946230274694</v>
      </c>
      <c r="G198" s="102">
        <v>7820</v>
      </c>
      <c r="H198" s="25">
        <f t="shared" si="107"/>
        <v>-8.5914669783752187E-2</v>
      </c>
      <c r="I198" s="103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4">
        <f>IF(ISNUMBER(J198), $B199 * K198, "")</f>
        <v>-2717.7089421390997</v>
      </c>
      <c r="M198" s="102">
        <v>8045</v>
      </c>
      <c r="N198" s="25">
        <f t="shared" si="109"/>
        <v>-5.9614260666277029E-2</v>
      </c>
      <c r="O198" s="104">
        <f>IF(ISNUMBER(M198), $B199 * N198, "")</f>
        <v>-8942.1390999415544</v>
      </c>
      <c r="Q198" s="244"/>
      <c r="R198" s="245"/>
      <c r="S198" s="246"/>
    </row>
    <row r="199" spans="1:19" ht="17.25" thickBot="1">
      <c r="A199" s="135" t="s">
        <v>301</v>
      </c>
      <c r="B199" s="252">
        <f>$B$37</f>
        <v>150000</v>
      </c>
      <c r="C199" s="253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44324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20" t="s">
        <v>3</v>
      </c>
      <c r="B2" s="199" t="s">
        <v>4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5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21" t="s">
        <v>7</v>
      </c>
      <c r="B3" s="205" t="s">
        <v>8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209"/>
      <c r="I3" s="210"/>
      <c r="J3" s="4" t="s">
        <v>7</v>
      </c>
      <c r="K3" s="205" t="s">
        <v>9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05" t="s">
        <v>12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13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05" t="s">
        <v>16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209"/>
      <c r="I5" s="210"/>
      <c r="J5" s="4" t="s">
        <v>15</v>
      </c>
      <c r="K5" s="205" t="s">
        <v>17</v>
      </c>
      <c r="L5" s="206"/>
      <c r="M5" s="206"/>
      <c r="N5" s="206"/>
      <c r="O5" s="207"/>
    </row>
    <row r="6" spans="1:19">
      <c r="A6" s="121" t="s">
        <v>18</v>
      </c>
      <c r="B6" s="205" t="s">
        <v>19</v>
      </c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20</v>
      </c>
      <c r="L6" s="206"/>
      <c r="M6" s="206"/>
      <c r="N6" s="206"/>
      <c r="O6" s="207"/>
    </row>
    <row r="7" spans="1:19" ht="17.25" thickBot="1">
      <c r="A7" s="121" t="s">
        <v>21</v>
      </c>
      <c r="B7" s="205" t="s">
        <v>22</v>
      </c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209"/>
      <c r="I7" s="210"/>
      <c r="J7" s="4" t="s">
        <v>21</v>
      </c>
      <c r="K7" s="205" t="s">
        <v>375</v>
      </c>
      <c r="L7" s="206"/>
      <c r="M7" s="206"/>
      <c r="N7" s="206"/>
      <c r="O7" s="207"/>
    </row>
    <row r="8" spans="1:19" ht="17.25" thickBot="1">
      <c r="A8" s="121" t="s">
        <v>24</v>
      </c>
      <c r="B8" s="205" t="s">
        <v>25</v>
      </c>
      <c r="C8" s="206"/>
      <c r="D8" s="206"/>
      <c r="E8" s="206"/>
      <c r="F8" s="207"/>
      <c r="G8" s="202" t="s">
        <v>285</v>
      </c>
      <c r="H8" s="203"/>
      <c r="I8" s="204"/>
      <c r="J8" s="4" t="s">
        <v>24</v>
      </c>
      <c r="K8" s="205" t="s">
        <v>26</v>
      </c>
      <c r="L8" s="206"/>
      <c r="M8" s="206"/>
      <c r="N8" s="206"/>
      <c r="O8" s="207"/>
      <c r="Q8" s="193" t="s">
        <v>27</v>
      </c>
      <c r="R8" s="195"/>
    </row>
    <row r="9" spans="1:19" ht="17.25" thickBot="1">
      <c r="A9" s="121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209"/>
      <c r="I9" s="210"/>
      <c r="J9" s="4" t="s">
        <v>28</v>
      </c>
      <c r="K9" s="205" t="s">
        <v>293</v>
      </c>
      <c r="L9" s="206"/>
      <c r="M9" s="206"/>
      <c r="N9" s="206"/>
      <c r="O9" s="207"/>
      <c r="Q9" s="2" t="s">
        <v>29</v>
      </c>
      <c r="R9" s="6">
        <v>10</v>
      </c>
    </row>
    <row r="10" spans="1:19">
      <c r="A10" s="121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/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22" t="s">
        <v>32</v>
      </c>
      <c r="B11" s="211"/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209"/>
      <c r="I11" s="210"/>
      <c r="J11" s="7" t="s">
        <v>32</v>
      </c>
      <c r="K11" s="211"/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71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72158000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9.1322285000000007E-3</v>
      </c>
      <c r="N14" s="224"/>
      <c r="O14" s="225"/>
      <c r="Q14" s="214"/>
      <c r="R14" s="214"/>
      <c r="S14" s="214"/>
    </row>
    <row r="15" spans="1:19" ht="17.25" customHeight="1" thickBot="1">
      <c r="A15" s="258" t="s">
        <v>39</v>
      </c>
      <c r="B15" s="259" t="str">
        <f>TEXT($G$1, "[$-ko-KR]yyyy-mm-dd(ddd) ") &amp; "오전 00:00"</f>
        <v>2021-05-08(토) 오전 00:00</v>
      </c>
      <c r="C15" s="260"/>
      <c r="D15" s="216" t="str">
        <f>TEXT($G$1, "[$-ko-KR]yyyy-mm-dd(ddd) ") &amp; "오후 14:00"</f>
        <v>2021-05-08(토) 오후 14:00</v>
      </c>
      <c r="E15" s="217"/>
      <c r="F15" s="218"/>
      <c r="G15" s="216" t="str">
        <f>TEXT($G$1, "[$-ko-KR]yyyy-mm-dd(ddd) ") &amp; "오후 19:00"</f>
        <v>2021-05-08(토) 오후 19:00</v>
      </c>
      <c r="H15" s="217"/>
      <c r="I15" s="218"/>
      <c r="J15" s="216" t="str">
        <f>TEXT($G$1, "[$-ko-KR]yyyy-mm-dd(ddd) ") &amp; "오후 21:00"</f>
        <v>2021-05-08(토) 오후 21:00</v>
      </c>
      <c r="K15" s="217"/>
      <c r="L15" s="218"/>
      <c r="M15" s="216" t="str">
        <f>TEXT($G$1+1, "[$-ko-KR]yyyy-mm-dd(ddd) ") &amp; "오전 00:00"</f>
        <v>2021-05-09(일) 오전 00:00</v>
      </c>
      <c r="N15" s="217"/>
      <c r="O15" s="218"/>
      <c r="Q15" s="214"/>
      <c r="R15" s="214"/>
      <c r="S15" s="214"/>
    </row>
    <row r="16" spans="1:19" ht="17.25" customHeight="1" thickBot="1">
      <c r="A16" s="258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6" t="s">
        <v>355</v>
      </c>
      <c r="B17" s="127">
        <f>IF(NOT(ISBLANK(_xlfn.IFNA(VLOOKUP($A17, $A$40:$O$199, 2, FALSE), ))), _xlfn.IFNA(VLOOKUP($A17, $A$40:$O$199, 2, FALSE), ), "")</f>
        <v>13180</v>
      </c>
      <c r="C17" s="76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100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214"/>
      <c r="R17" s="214"/>
      <c r="S17" s="214"/>
    </row>
    <row r="18" spans="1:19" ht="17.25" customHeight="1" thickBot="1">
      <c r="A18" s="128" t="s">
        <v>356</v>
      </c>
      <c r="B18" s="129">
        <f t="shared" ref="B18:B36" si="0">IF(NOT(ISBLANK(_xlfn.IFNA(VLOOKUP($A18, $A$40:$O$199, 2, FALSE), ))), _xlfn.IFNA(VLOOKUP($A18, $A$40:$O$199, 2, FALSE), ), "")</f>
        <v>273</v>
      </c>
      <c r="C18" s="77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101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214"/>
      <c r="R18" s="214"/>
      <c r="S18" s="214"/>
    </row>
    <row r="19" spans="1:19" ht="17.25" customHeight="1" thickBot="1">
      <c r="A19" s="128" t="s">
        <v>303</v>
      </c>
      <c r="B19" s="129">
        <f t="shared" si="0"/>
        <v>166</v>
      </c>
      <c r="C19" s="77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101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219"/>
      <c r="R19" s="219"/>
      <c r="S19" s="219"/>
    </row>
    <row r="20" spans="1:19" ht="17.25" customHeight="1" thickBot="1">
      <c r="A20" s="128" t="s">
        <v>357</v>
      </c>
      <c r="B20" s="129">
        <f t="shared" si="0"/>
        <v>34250</v>
      </c>
      <c r="C20" s="77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101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219"/>
      <c r="R20" s="219"/>
      <c r="S20" s="219"/>
    </row>
    <row r="21" spans="1:19" ht="17.25" customHeight="1" thickBot="1">
      <c r="A21" s="130" t="s">
        <v>304</v>
      </c>
      <c r="B21" s="131">
        <f t="shared" si="0"/>
        <v>555</v>
      </c>
      <c r="C21" s="78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5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219"/>
      <c r="R21" s="219"/>
      <c r="S21" s="219"/>
    </row>
    <row r="22" spans="1:19" ht="17.25" customHeight="1" thickBot="1">
      <c r="A22" s="128" t="s">
        <v>358</v>
      </c>
      <c r="B22" s="132">
        <f t="shared" si="0"/>
        <v>3435</v>
      </c>
      <c r="C22" s="80">
        <f t="shared" si="1"/>
        <v>0.1336633663</v>
      </c>
      <c r="D22" s="106">
        <f t="shared" si="2"/>
        <v>3190</v>
      </c>
      <c r="E22" s="107">
        <f t="shared" si="3"/>
        <v>-7.132459970887918E-2</v>
      </c>
      <c r="F22" s="108">
        <f t="shared" si="4"/>
        <v>-10698.689956331877</v>
      </c>
      <c r="G22" s="109">
        <f t="shared" si="5"/>
        <v>3275</v>
      </c>
      <c r="H22" s="107">
        <f t="shared" si="6"/>
        <v>-4.6579330422125184E-2</v>
      </c>
      <c r="I22" s="110">
        <f t="shared" si="7"/>
        <v>-6986.8995633187778</v>
      </c>
      <c r="J22" s="106">
        <f t="shared" si="8"/>
        <v>3230</v>
      </c>
      <c r="K22" s="107">
        <f t="shared" si="9"/>
        <v>-5.9679767103347887E-2</v>
      </c>
      <c r="L22" s="108">
        <f t="shared" si="10"/>
        <v>-8951.9650655021833</v>
      </c>
      <c r="M22" s="109">
        <f t="shared" si="11"/>
        <v>3265</v>
      </c>
      <c r="N22" s="107">
        <f t="shared" si="12"/>
        <v>-4.9490538573508006E-2</v>
      </c>
      <c r="O22" s="108">
        <f t="shared" si="13"/>
        <v>-7423.5807860262012</v>
      </c>
      <c r="Q22" s="219"/>
      <c r="R22" s="219"/>
      <c r="S22" s="219"/>
    </row>
    <row r="23" spans="1:19" ht="17.25" customHeight="1" thickBot="1">
      <c r="A23" s="128" t="s">
        <v>359</v>
      </c>
      <c r="B23" s="129">
        <f t="shared" si="0"/>
        <v>3310</v>
      </c>
      <c r="C23" s="77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101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219"/>
      <c r="R23" s="219"/>
      <c r="S23" s="219"/>
    </row>
    <row r="24" spans="1:19" ht="17.25" customHeight="1" thickBot="1">
      <c r="A24" s="128" t="s">
        <v>360</v>
      </c>
      <c r="B24" s="129">
        <f t="shared" si="0"/>
        <v>28.1</v>
      </c>
      <c r="C24" s="77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101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219"/>
      <c r="R24" s="219"/>
      <c r="S24" s="219"/>
    </row>
    <row r="25" spans="1:19" ht="17.25" customHeight="1" thickBot="1">
      <c r="A25" s="128" t="s">
        <v>361</v>
      </c>
      <c r="B25" s="129">
        <f t="shared" si="0"/>
        <v>263</v>
      </c>
      <c r="C25" s="77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101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33" t="s">
        <v>362</v>
      </c>
      <c r="B26" s="134">
        <f t="shared" si="0"/>
        <v>5730</v>
      </c>
      <c r="C26" s="79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4">
        <f t="shared" si="4"/>
        <v>-19764.39790575916</v>
      </c>
      <c r="G26" s="102">
        <f t="shared" si="5"/>
        <v>5430</v>
      </c>
      <c r="H26" s="25">
        <f t="shared" si="6"/>
        <v>-5.2356020942408377E-2</v>
      </c>
      <c r="I26" s="103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4">
        <f t="shared" si="10"/>
        <v>-4450.2617801047127</v>
      </c>
      <c r="M26" s="102">
        <f t="shared" si="11"/>
        <v>5600</v>
      </c>
      <c r="N26" s="25">
        <f t="shared" si="12"/>
        <v>-2.2687609075043629E-2</v>
      </c>
      <c r="O26" s="104">
        <f t="shared" si="13"/>
        <v>-3403.1413612565443</v>
      </c>
      <c r="Q26" s="228"/>
      <c r="R26" s="229"/>
      <c r="S26" s="230"/>
    </row>
    <row r="27" spans="1:19" ht="17.25" customHeight="1">
      <c r="A27" s="126" t="s">
        <v>363</v>
      </c>
      <c r="B27" s="127">
        <f t="shared" si="0"/>
        <v>20.8</v>
      </c>
      <c r="C27" s="76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100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231"/>
      <c r="R27" s="232"/>
      <c r="S27" s="233"/>
    </row>
    <row r="28" spans="1:19" ht="17.25" customHeight="1" thickBot="1">
      <c r="A28" s="128" t="s">
        <v>364</v>
      </c>
      <c r="B28" s="129">
        <f t="shared" si="0"/>
        <v>176</v>
      </c>
      <c r="C28" s="77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101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234"/>
      <c r="R28" s="235"/>
      <c r="S28" s="236"/>
    </row>
    <row r="29" spans="1:19" ht="17.25" customHeight="1" thickBot="1">
      <c r="A29" s="128" t="s">
        <v>365</v>
      </c>
      <c r="B29" s="129">
        <f t="shared" si="0"/>
        <v>18.899999999999999</v>
      </c>
      <c r="C29" s="77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101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219"/>
      <c r="R29" s="219"/>
      <c r="S29" s="219"/>
    </row>
    <row r="30" spans="1:19" ht="17.25" customHeight="1" thickBot="1">
      <c r="A30" s="128" t="s">
        <v>366</v>
      </c>
      <c r="B30" s="129">
        <f t="shared" si="0"/>
        <v>29.1</v>
      </c>
      <c r="C30" s="77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101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214"/>
      <c r="R30" s="214"/>
      <c r="S30" s="214"/>
    </row>
    <row r="31" spans="1:19" ht="17.25" customHeight="1" thickBot="1">
      <c r="A31" s="130" t="s">
        <v>367</v>
      </c>
      <c r="B31" s="131">
        <f t="shared" si="0"/>
        <v>84.8</v>
      </c>
      <c r="C31" s="78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5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214"/>
      <c r="R31" s="214"/>
      <c r="S31" s="214"/>
    </row>
    <row r="32" spans="1:19" ht="17.25" customHeight="1" thickBot="1">
      <c r="A32" s="128" t="s">
        <v>368</v>
      </c>
      <c r="B32" s="132">
        <f t="shared" si="0"/>
        <v>615</v>
      </c>
      <c r="C32" s="80">
        <f t="shared" si="1"/>
        <v>0.1452513966</v>
      </c>
      <c r="D32" s="106">
        <f t="shared" si="2"/>
        <v>553</v>
      </c>
      <c r="E32" s="107">
        <f t="shared" si="3"/>
        <v>-0.1008130081300813</v>
      </c>
      <c r="F32" s="108">
        <f t="shared" si="4"/>
        <v>-15121.951219512195</v>
      </c>
      <c r="G32" s="109">
        <f t="shared" si="5"/>
        <v>563</v>
      </c>
      <c r="H32" s="107">
        <f t="shared" si="6"/>
        <v>-8.4552845528455281E-2</v>
      </c>
      <c r="I32" s="110">
        <f t="shared" si="7"/>
        <v>-12682.926829268292</v>
      </c>
      <c r="J32" s="106">
        <f t="shared" si="8"/>
        <v>563</v>
      </c>
      <c r="K32" s="107">
        <f t="shared" si="9"/>
        <v>-8.4552845528455281E-2</v>
      </c>
      <c r="L32" s="108">
        <f t="shared" si="10"/>
        <v>-12682.926829268292</v>
      </c>
      <c r="M32" s="109">
        <f t="shared" si="11"/>
        <v>557</v>
      </c>
      <c r="N32" s="107">
        <f t="shared" si="12"/>
        <v>-9.4308943089430899E-2</v>
      </c>
      <c r="O32" s="108">
        <f t="shared" si="13"/>
        <v>-14146.341463414636</v>
      </c>
      <c r="Q32" s="219"/>
      <c r="R32" s="219"/>
      <c r="S32" s="219"/>
    </row>
    <row r="33" spans="1:19" ht="17.25" customHeight="1" thickBot="1">
      <c r="A33" s="128" t="s">
        <v>369</v>
      </c>
      <c r="B33" s="129">
        <f t="shared" si="0"/>
        <v>181</v>
      </c>
      <c r="C33" s="77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101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219"/>
      <c r="R33" s="219"/>
      <c r="S33" s="219"/>
    </row>
    <row r="34" spans="1:19" ht="17.25" customHeight="1" thickBot="1">
      <c r="A34" s="128" t="s">
        <v>370</v>
      </c>
      <c r="B34" s="129">
        <f t="shared" si="0"/>
        <v>481</v>
      </c>
      <c r="C34" s="77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101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219"/>
      <c r="R34" s="219"/>
      <c r="S34" s="219"/>
    </row>
    <row r="35" spans="1:19" ht="17.25" customHeight="1">
      <c r="A35" s="128" t="s">
        <v>371</v>
      </c>
      <c r="B35" s="129">
        <f t="shared" si="0"/>
        <v>18.3</v>
      </c>
      <c r="C35" s="77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101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241"/>
      <c r="R35" s="242"/>
      <c r="S35" s="243"/>
    </row>
    <row r="36" spans="1:19" ht="17.25" customHeight="1" thickBot="1">
      <c r="A36" s="133" t="s">
        <v>372</v>
      </c>
      <c r="B36" s="134">
        <f t="shared" si="0"/>
        <v>206</v>
      </c>
      <c r="C36" s="79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4">
        <f t="shared" si="4"/>
        <v>-2184.4660194174758</v>
      </c>
      <c r="G36" s="102">
        <f t="shared" si="5"/>
        <v>207</v>
      </c>
      <c r="H36" s="25">
        <f t="shared" si="6"/>
        <v>4.8543689320388345E-3</v>
      </c>
      <c r="I36" s="103">
        <f t="shared" si="7"/>
        <v>728.15533980582518</v>
      </c>
      <c r="J36" s="24">
        <f t="shared" si="8"/>
        <v>206</v>
      </c>
      <c r="K36" s="25">
        <f t="shared" si="9"/>
        <v>0</v>
      </c>
      <c r="L36" s="104">
        <f t="shared" si="10"/>
        <v>0</v>
      </c>
      <c r="M36" s="102">
        <f t="shared" si="11"/>
        <v>206</v>
      </c>
      <c r="N36" s="25">
        <f t="shared" si="12"/>
        <v>0</v>
      </c>
      <c r="O36" s="104">
        <f t="shared" si="13"/>
        <v>0</v>
      </c>
      <c r="Q36" s="244"/>
      <c r="R36" s="245"/>
      <c r="S36" s="246"/>
    </row>
    <row r="37" spans="1:19" ht="17.25" customHeight="1" thickBot="1">
      <c r="A37" s="135" t="s">
        <v>42</v>
      </c>
      <c r="B37" s="252">
        <v>150000</v>
      </c>
      <c r="C37" s="253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71" t="s">
        <v>298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72158000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9.1322285000000007E-3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2021-05-08(토) 오전 00:00</v>
      </c>
      <c r="C42" s="257"/>
      <c r="D42" s="216" t="str">
        <f>TEXT($G$1, "[$-ko-KR]yyyy-mm-dd(ddd) ") &amp; "오후 14:00"</f>
        <v>2021-05-08(토) 오후 14:00</v>
      </c>
      <c r="E42" s="217"/>
      <c r="F42" s="218"/>
      <c r="G42" s="216" t="str">
        <f>TEXT($G$1, "[$-ko-KR]yyyy-mm-dd(ddd) ") &amp; "오후 19:00"</f>
        <v>2021-05-08(토) 오후 19:00</v>
      </c>
      <c r="H42" s="217"/>
      <c r="I42" s="218"/>
      <c r="J42" s="216" t="str">
        <f>TEXT($G$1, "[$-ko-KR]yyyy-mm-dd(ddd) ") &amp; "오후 21:00"</f>
        <v>2021-05-08(토) 오후 21:00</v>
      </c>
      <c r="K42" s="217"/>
      <c r="L42" s="218"/>
      <c r="M42" s="216" t="str">
        <f>TEXT($G$1+1, "[$-ko-KR]yyyy-mm-dd(ddd) ") &amp; "오전 00:00"</f>
        <v>2021-05-09(일)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219"/>
      <c r="R43" s="219"/>
      <c r="S43" s="219"/>
    </row>
    <row r="44" spans="1:19" ht="17.25" customHeight="1" thickBot="1">
      <c r="A44" s="126" t="s">
        <v>65</v>
      </c>
      <c r="B44" s="127">
        <v>84.8</v>
      </c>
      <c r="C44" s="76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100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214"/>
      <c r="R44" s="214"/>
      <c r="S44" s="214"/>
    </row>
    <row r="45" spans="1:19" ht="17.25" customHeight="1" thickBot="1">
      <c r="A45" s="128" t="s">
        <v>172</v>
      </c>
      <c r="B45" s="129">
        <v>25.9</v>
      </c>
      <c r="C45" s="77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101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214"/>
      <c r="R45" s="214"/>
      <c r="S45" s="214"/>
    </row>
    <row r="46" spans="1:19" ht="17.25" customHeight="1" thickBot="1">
      <c r="A46" s="128" t="s">
        <v>218</v>
      </c>
      <c r="B46" s="129">
        <v>29.1</v>
      </c>
      <c r="C46" s="77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101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219"/>
      <c r="R46" s="219"/>
      <c r="S46" s="219"/>
    </row>
    <row r="47" spans="1:19" ht="17.25" customHeight="1" thickBot="1">
      <c r="A47" s="128" t="s">
        <v>152</v>
      </c>
      <c r="B47" s="129">
        <v>52.3</v>
      </c>
      <c r="C47" s="77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101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219"/>
      <c r="R47" s="219"/>
      <c r="S47" s="219"/>
    </row>
    <row r="48" spans="1:19" ht="17.25" customHeight="1" thickBot="1">
      <c r="A48" s="130" t="s">
        <v>222</v>
      </c>
      <c r="B48" s="131">
        <v>18.899999999999999</v>
      </c>
      <c r="C48" s="78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5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219"/>
      <c r="R48" s="219"/>
      <c r="S48" s="219"/>
    </row>
    <row r="49" spans="1:19" ht="17.25" customHeight="1" thickBot="1">
      <c r="A49" s="128" t="s">
        <v>236</v>
      </c>
      <c r="B49" s="132">
        <v>69.3</v>
      </c>
      <c r="C49" s="80">
        <v>2.3633678000000002E-2</v>
      </c>
      <c r="D49" s="106">
        <v>67</v>
      </c>
      <c r="E49" s="107">
        <f>IF(ISNUMBER(D49), (D49 - $B49) / $B49, "")</f>
        <v>-3.318903318903315E-2</v>
      </c>
      <c r="F49" s="108">
        <f>IF(ISNUMBER(D49), $B64 * E49, "")</f>
        <v>-4978.3549783549724</v>
      </c>
      <c r="G49" s="109">
        <v>67.400000000000006</v>
      </c>
      <c r="H49" s="107">
        <f>IF(ISNUMBER(G49), (G49 - $B49) / $B49, "")</f>
        <v>-2.7417027417027295E-2</v>
      </c>
      <c r="I49" s="110">
        <f>IF(ISNUMBER(G49), $B64 * H49, "")</f>
        <v>-4112.554112554094</v>
      </c>
      <c r="J49" s="106">
        <v>67.5</v>
      </c>
      <c r="K49" s="107">
        <f>IF(ISNUMBER(J49), (J49 - $B49) / $B49, "")</f>
        <v>-2.5974025974025934E-2</v>
      </c>
      <c r="L49" s="108">
        <f>IF(ISNUMBER(J49), $B64 * K49, "")</f>
        <v>-3896.1038961038903</v>
      </c>
      <c r="M49" s="109">
        <v>67.400000000000006</v>
      </c>
      <c r="N49" s="107">
        <f>IF(ISNUMBER(M49), (M49 - $B49) / $B49, "")</f>
        <v>-2.7417027417027295E-2</v>
      </c>
      <c r="O49" s="108">
        <f>IF(ISNUMBER(M49), $B64 * N49, "")</f>
        <v>-4112.554112554094</v>
      </c>
      <c r="Q49" s="219"/>
      <c r="R49" s="219"/>
      <c r="S49" s="219"/>
    </row>
    <row r="50" spans="1:19" ht="17.25" customHeight="1" thickBot="1">
      <c r="A50" s="128" t="s">
        <v>196</v>
      </c>
      <c r="B50" s="129">
        <v>20.6</v>
      </c>
      <c r="C50" s="77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101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219"/>
      <c r="R50" s="219"/>
      <c r="S50" s="219"/>
    </row>
    <row r="51" spans="1:19" ht="17.25" customHeight="1" thickBot="1">
      <c r="A51" s="128" t="s">
        <v>100</v>
      </c>
      <c r="B51" s="129">
        <v>9.85</v>
      </c>
      <c r="C51" s="77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101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219"/>
      <c r="R51" s="219"/>
      <c r="S51" s="219"/>
    </row>
    <row r="52" spans="1:19" ht="17.25" customHeight="1" thickBot="1">
      <c r="A52" s="128" t="s">
        <v>214</v>
      </c>
      <c r="B52" s="129">
        <v>22.1</v>
      </c>
      <c r="C52" s="77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101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33" t="s">
        <v>186</v>
      </c>
      <c r="B53" s="134">
        <v>25.3</v>
      </c>
      <c r="C53" s="79">
        <v>7.9681274999999999E-3</v>
      </c>
      <c r="D53" s="24">
        <v>25.5</v>
      </c>
      <c r="E53" s="25">
        <f t="shared" si="18"/>
        <v>7.9051383399209203E-3</v>
      </c>
      <c r="F53" s="104">
        <f>IF(ISNUMBER(D53), $B64 * E53, "")</f>
        <v>1185.7707509881382</v>
      </c>
      <c r="G53" s="102">
        <v>25.3</v>
      </c>
      <c r="H53" s="25">
        <f t="shared" si="19"/>
        <v>0</v>
      </c>
      <c r="I53" s="103">
        <f>IF(ISNUMBER(G53), $B64 * H53, "")</f>
        <v>0</v>
      </c>
      <c r="J53" s="24">
        <v>25.8</v>
      </c>
      <c r="K53" s="25">
        <f t="shared" si="20"/>
        <v>1.9762845849802372E-2</v>
      </c>
      <c r="L53" s="104">
        <f>IF(ISNUMBER(J53), $B64 * K53, "")</f>
        <v>2964.426877470356</v>
      </c>
      <c r="M53" s="102">
        <v>25.2</v>
      </c>
      <c r="N53" s="25">
        <f t="shared" si="21"/>
        <v>-3.9525691699605304E-3</v>
      </c>
      <c r="O53" s="104">
        <f>IF(ISNUMBER(M53), $B64 * N53, "")</f>
        <v>-592.88537549407954</v>
      </c>
      <c r="Q53" s="228"/>
      <c r="R53" s="229"/>
      <c r="S53" s="230"/>
    </row>
    <row r="54" spans="1:19" ht="17.25" customHeight="1">
      <c r="A54" s="126" t="s">
        <v>198</v>
      </c>
      <c r="B54" s="127">
        <v>28.1</v>
      </c>
      <c r="C54" s="76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100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231"/>
      <c r="R54" s="232"/>
      <c r="S54" s="233"/>
    </row>
    <row r="55" spans="1:19" ht="17.25" customHeight="1" thickBot="1">
      <c r="A55" s="128" t="s">
        <v>154</v>
      </c>
      <c r="B55" s="129">
        <v>20.8</v>
      </c>
      <c r="C55" s="77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101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234"/>
      <c r="R55" s="235"/>
      <c r="S55" s="236"/>
    </row>
    <row r="56" spans="1:19" ht="17.25" customHeight="1" thickBot="1">
      <c r="A56" s="128" t="s">
        <v>126</v>
      </c>
      <c r="B56" s="129">
        <v>61</v>
      </c>
      <c r="C56" s="77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101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219"/>
      <c r="R56" s="219"/>
      <c r="S56" s="219"/>
    </row>
    <row r="57" spans="1:19" ht="17.25" customHeight="1" thickBot="1">
      <c r="A57" s="128" t="s">
        <v>228</v>
      </c>
      <c r="B57" s="129">
        <v>18.3</v>
      </c>
      <c r="C57" s="77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101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214"/>
      <c r="R57" s="214"/>
      <c r="S57" s="214"/>
    </row>
    <row r="58" spans="1:19" ht="17.25" customHeight="1" thickBot="1">
      <c r="A58" s="130" t="s">
        <v>72</v>
      </c>
      <c r="B58" s="131">
        <v>39.1</v>
      </c>
      <c r="C58" s="78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5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214"/>
      <c r="R58" s="214"/>
      <c r="S58" s="214"/>
    </row>
    <row r="59" spans="1:19" ht="17.25" customHeight="1" thickBot="1">
      <c r="A59" s="128" t="s">
        <v>254</v>
      </c>
      <c r="B59" s="132">
        <v>83.8</v>
      </c>
      <c r="C59" s="80">
        <v>-1.06257379E-2</v>
      </c>
      <c r="D59" s="106">
        <v>84.4</v>
      </c>
      <c r="E59" s="107">
        <f>IF(ISNUMBER(D59), (D59 - $B59) / $B59, "")</f>
        <v>7.1599045346063071E-3</v>
      </c>
      <c r="F59" s="108">
        <f>IF(ISNUMBER(D59), $B64 * E59, "")</f>
        <v>1073.9856801909461</v>
      </c>
      <c r="G59" s="109">
        <v>84.4</v>
      </c>
      <c r="H59" s="107">
        <f>IF(ISNUMBER(G59), (G59 - $B59) / $B59, "")</f>
        <v>7.1599045346063071E-3</v>
      </c>
      <c r="I59" s="110">
        <f>IF(ISNUMBER(G59), $B64 * H59, "")</f>
        <v>1073.9856801909461</v>
      </c>
      <c r="J59" s="106">
        <v>84.4</v>
      </c>
      <c r="K59" s="107">
        <f>IF(ISNUMBER(J59), (J59 - $B59) / $B59, "")</f>
        <v>7.1599045346063071E-3</v>
      </c>
      <c r="L59" s="108">
        <f>IF(ISNUMBER(J59), $B64 * K59, "")</f>
        <v>1073.9856801909461</v>
      </c>
      <c r="M59" s="109">
        <v>83.8</v>
      </c>
      <c r="N59" s="107">
        <f>IF(ISNUMBER(M59), (M59 - $B59) / $B59, "")</f>
        <v>0</v>
      </c>
      <c r="O59" s="108">
        <f>IF(ISNUMBER(M59), $B64 * N59, "")</f>
        <v>0</v>
      </c>
      <c r="Q59" s="219"/>
      <c r="R59" s="219"/>
      <c r="S59" s="219"/>
    </row>
    <row r="60" spans="1:19" ht="17.25" customHeight="1" thickBot="1">
      <c r="A60" s="128" t="s">
        <v>268</v>
      </c>
      <c r="B60" s="129">
        <v>93.4</v>
      </c>
      <c r="C60" s="77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219"/>
      <c r="R60" s="219"/>
      <c r="S60" s="219"/>
    </row>
    <row r="61" spans="1:19" ht="17.25" customHeight="1" thickBot="1">
      <c r="A61" s="128" t="s">
        <v>220</v>
      </c>
      <c r="B61" s="129">
        <v>20.6</v>
      </c>
      <c r="C61" s="77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101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219"/>
      <c r="R61" s="219"/>
      <c r="S61" s="219"/>
    </row>
    <row r="62" spans="1:19" ht="17.25" customHeight="1">
      <c r="A62" s="128" t="s">
        <v>266</v>
      </c>
      <c r="B62" s="129">
        <v>94.2</v>
      </c>
      <c r="C62" s="77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101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241"/>
      <c r="R62" s="242"/>
      <c r="S62" s="243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5" t="s">
        <v>301</v>
      </c>
      <c r="B64" s="252">
        <f>$B$37</f>
        <v>150000</v>
      </c>
      <c r="C64" s="253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71" t="s">
        <v>298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72158000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9.1322285000000007E-3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2021-05-08(토) 오전 00:00</v>
      </c>
      <c r="C69" s="257"/>
      <c r="D69" s="216" t="str">
        <f>TEXT($G$1, "[$-ko-KR]yyyy-mm-dd(ddd) ") &amp; "오후 14:00"</f>
        <v>2021-05-08(토) 오후 14:00</v>
      </c>
      <c r="E69" s="217"/>
      <c r="F69" s="218"/>
      <c r="G69" s="216" t="str">
        <f>TEXT($G$1, "[$-ko-KR]yyyy-mm-dd(ddd) ") &amp; "오후 19:00"</f>
        <v>2021-05-08(토) 오후 19:00</v>
      </c>
      <c r="H69" s="217"/>
      <c r="I69" s="218"/>
      <c r="J69" s="216" t="str">
        <f>TEXT($G$1, "[$-ko-KR]yyyy-mm-dd(ddd) ") &amp; "오후 21:00"</f>
        <v>2021-05-08(토) 오후 21:00</v>
      </c>
      <c r="K69" s="217"/>
      <c r="L69" s="218"/>
      <c r="M69" s="216" t="str">
        <f>TEXT($G$1+1, "[$-ko-KR]yyyy-mm-dd(ddd) ") &amp; "오전 00:00"</f>
        <v>2021-05-09(일) 오전 00:00</v>
      </c>
      <c r="N69" s="217"/>
      <c r="O69" s="218"/>
      <c r="Q69" s="214"/>
      <c r="R69" s="214"/>
      <c r="S69" s="214"/>
    </row>
    <row r="70" spans="1:19" ht="17.25" thickBot="1">
      <c r="A70" s="255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219"/>
      <c r="R70" s="219"/>
      <c r="S70" s="219"/>
    </row>
    <row r="71" spans="1:19" ht="17.25" thickBot="1">
      <c r="A71" s="126" t="s">
        <v>216</v>
      </c>
      <c r="B71" s="127">
        <v>555</v>
      </c>
      <c r="C71" s="76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100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214"/>
      <c r="R71" s="214"/>
      <c r="S71" s="214"/>
    </row>
    <row r="72" spans="1:19" ht="17.25" thickBot="1">
      <c r="A72" s="128" t="s">
        <v>170</v>
      </c>
      <c r="B72" s="129">
        <v>615</v>
      </c>
      <c r="C72" s="77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101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214"/>
      <c r="R72" s="214"/>
      <c r="S72" s="214"/>
    </row>
    <row r="73" spans="1:19" ht="17.25" thickBot="1">
      <c r="A73" s="128" t="s">
        <v>132</v>
      </c>
      <c r="B73" s="129">
        <v>291</v>
      </c>
      <c r="C73" s="77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101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219"/>
      <c r="R73" s="219"/>
      <c r="S73" s="219"/>
    </row>
    <row r="74" spans="1:19" ht="17.25" thickBot="1">
      <c r="A74" s="128" t="s">
        <v>134</v>
      </c>
      <c r="B74" s="129">
        <v>166</v>
      </c>
      <c r="C74" s="77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101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219"/>
      <c r="R74" s="219"/>
      <c r="S74" s="219"/>
    </row>
    <row r="75" spans="1:19" ht="17.25" thickBot="1">
      <c r="A75" s="130" t="s">
        <v>284</v>
      </c>
      <c r="B75" s="131">
        <v>538</v>
      </c>
      <c r="C75" s="78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5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219"/>
      <c r="R75" s="219"/>
      <c r="S75" s="219"/>
    </row>
    <row r="76" spans="1:19" ht="17.25" thickBot="1">
      <c r="A76" s="128" t="s">
        <v>270</v>
      </c>
      <c r="B76" s="132">
        <v>653</v>
      </c>
      <c r="C76" s="80">
        <v>7.7557755800000003E-2</v>
      </c>
      <c r="D76" s="106">
        <v>619</v>
      </c>
      <c r="E76" s="107">
        <f>IF(ISNUMBER(D76), (D76 - $B76) / $B76, "")</f>
        <v>-5.2067381316998472E-2</v>
      </c>
      <c r="F76" s="108">
        <f>IF(ISNUMBER(D76), $B91 * E76, "")</f>
        <v>-7810.1071975497707</v>
      </c>
      <c r="G76" s="109">
        <v>633</v>
      </c>
      <c r="H76" s="107">
        <f>IF(ISNUMBER(G76), (G76 - $B76) / $B76, "")</f>
        <v>-3.0627871362940276E-2</v>
      </c>
      <c r="I76" s="110">
        <f>IF(ISNUMBER(G76), $B91 * H76, "")</f>
        <v>-4594.1807044410416</v>
      </c>
      <c r="J76" s="106">
        <v>639</v>
      </c>
      <c r="K76" s="107">
        <f>IF(ISNUMBER(J76), (J76 - $B76) / $B76, "")</f>
        <v>-2.1439509954058193E-2</v>
      </c>
      <c r="L76" s="108">
        <f>IF(ISNUMBER(J76), $B91 * K76, "")</f>
        <v>-3215.9264931087287</v>
      </c>
      <c r="M76" s="109">
        <v>617</v>
      </c>
      <c r="N76" s="107">
        <f>IF(ISNUMBER(M76), (M76 - $B76) / $B76, "")</f>
        <v>-5.5130168453292494E-2</v>
      </c>
      <c r="O76" s="108">
        <f>IF(ISNUMBER(M76), $B91 * N76, "")</f>
        <v>-8269.5252679938749</v>
      </c>
      <c r="Q76" s="219"/>
      <c r="R76" s="219"/>
      <c r="S76" s="219"/>
    </row>
    <row r="77" spans="1:19" ht="17.25" thickBot="1">
      <c r="A77" s="128" t="s">
        <v>182</v>
      </c>
      <c r="B77" s="129">
        <v>569</v>
      </c>
      <c r="C77" s="77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101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219"/>
      <c r="R77" s="219"/>
      <c r="S77" s="219"/>
    </row>
    <row r="78" spans="1:19" ht="17.25" thickBot="1">
      <c r="A78" s="128" t="s">
        <v>128</v>
      </c>
      <c r="B78" s="129">
        <v>752</v>
      </c>
      <c r="C78" s="77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101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219"/>
      <c r="R78" s="219"/>
      <c r="S78" s="219"/>
    </row>
    <row r="79" spans="1:19" ht="17.25" thickBot="1">
      <c r="A79" s="128" t="s">
        <v>142</v>
      </c>
      <c r="B79" s="129">
        <v>496</v>
      </c>
      <c r="C79" s="77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101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33" t="s">
        <v>112</v>
      </c>
      <c r="B80" s="134">
        <v>263</v>
      </c>
      <c r="C80" s="79">
        <v>5.1999999999999998E-2</v>
      </c>
      <c r="D80" s="24">
        <v>260</v>
      </c>
      <c r="E80" s="25">
        <f t="shared" si="34"/>
        <v>-1.1406844106463879E-2</v>
      </c>
      <c r="F80" s="104">
        <f>IF(ISNUMBER(D80), $B91 * E80, "")</f>
        <v>-1711.0266159695818</v>
      </c>
      <c r="G80" s="102">
        <v>261</v>
      </c>
      <c r="H80" s="25">
        <f t="shared" si="35"/>
        <v>-7.6045627376425855E-3</v>
      </c>
      <c r="I80" s="103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4">
        <f>IF(ISNUMBER(J80), $B91 * K80, "")</f>
        <v>-570.34220532319387</v>
      </c>
      <c r="M80" s="102">
        <v>260</v>
      </c>
      <c r="N80" s="25">
        <f t="shared" si="37"/>
        <v>-1.1406844106463879E-2</v>
      </c>
      <c r="O80" s="104">
        <f>IF(ISNUMBER(M80), $B91 * N80, "")</f>
        <v>-1711.0266159695818</v>
      </c>
      <c r="Q80" s="228"/>
      <c r="R80" s="229"/>
      <c r="S80" s="230"/>
    </row>
    <row r="81" spans="1:19">
      <c r="A81" s="126" t="s">
        <v>57</v>
      </c>
      <c r="B81" s="127">
        <v>498</v>
      </c>
      <c r="C81" s="76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100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231"/>
      <c r="R81" s="232"/>
      <c r="S81" s="233"/>
    </row>
    <row r="82" spans="1:19" ht="17.25" thickBot="1">
      <c r="A82" s="128" t="s">
        <v>264</v>
      </c>
      <c r="B82" s="129">
        <v>190</v>
      </c>
      <c r="C82" s="77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101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234"/>
      <c r="R82" s="235"/>
      <c r="S82" s="236"/>
    </row>
    <row r="83" spans="1:19" ht="17.25" thickBot="1">
      <c r="A83" s="128" t="s">
        <v>232</v>
      </c>
      <c r="B83" s="129">
        <v>176</v>
      </c>
      <c r="C83" s="77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101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219"/>
      <c r="R83" s="219"/>
      <c r="S83" s="219"/>
    </row>
    <row r="84" spans="1:19" ht="17.25" thickBot="1">
      <c r="A84" s="128" t="s">
        <v>278</v>
      </c>
      <c r="B84" s="129">
        <v>183</v>
      </c>
      <c r="C84" s="77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101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214"/>
      <c r="R84" s="214"/>
      <c r="S84" s="214"/>
    </row>
    <row r="85" spans="1:19" ht="17.25" thickBot="1">
      <c r="A85" s="130" t="s">
        <v>174</v>
      </c>
      <c r="B85" s="131">
        <v>273</v>
      </c>
      <c r="C85" s="78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5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214"/>
      <c r="R85" s="214"/>
      <c r="S85" s="214"/>
    </row>
    <row r="86" spans="1:19" ht="17.25" thickBot="1">
      <c r="A86" s="128" t="s">
        <v>252</v>
      </c>
      <c r="B86" s="132">
        <v>570</v>
      </c>
      <c r="C86" s="80">
        <v>1.7857142900000001E-2</v>
      </c>
      <c r="D86" s="106">
        <v>552</v>
      </c>
      <c r="E86" s="107">
        <f>IF(ISNUMBER(D86), (D86 - $B86) / $B86, "")</f>
        <v>-3.1578947368421054E-2</v>
      </c>
      <c r="F86" s="108">
        <f>IF(ISNUMBER(D86), $B91 * E86, "")</f>
        <v>-4736.8421052631584</v>
      </c>
      <c r="G86" s="109">
        <v>565</v>
      </c>
      <c r="H86" s="107">
        <f>IF(ISNUMBER(G86), (G86 - $B86) / $B86, "")</f>
        <v>-8.771929824561403E-3</v>
      </c>
      <c r="I86" s="110">
        <f>IF(ISNUMBER(G86), $B91 * H86, "")</f>
        <v>-1315.7894736842104</v>
      </c>
      <c r="J86" s="106">
        <v>565</v>
      </c>
      <c r="K86" s="107">
        <f>IF(ISNUMBER(J86), (J86 - $B86) / $B86, "")</f>
        <v>-8.771929824561403E-3</v>
      </c>
      <c r="L86" s="108">
        <f>IF(ISNUMBER(J86), $B91 * K86, "")</f>
        <v>-1315.7894736842104</v>
      </c>
      <c r="M86" s="109">
        <v>568</v>
      </c>
      <c r="N86" s="107">
        <f>IF(ISNUMBER(M86), (M86 - $B86) / $B86, "")</f>
        <v>-3.5087719298245615E-3</v>
      </c>
      <c r="O86" s="108">
        <f>IF(ISNUMBER(M86), $B91 * N86, "")</f>
        <v>-526.31578947368428</v>
      </c>
      <c r="Q86" s="219"/>
      <c r="R86" s="219"/>
      <c r="S86" s="219"/>
    </row>
    <row r="87" spans="1:19" ht="17.25" thickBot="1">
      <c r="A87" s="128" t="s">
        <v>282</v>
      </c>
      <c r="B87" s="129">
        <v>177</v>
      </c>
      <c r="C87" s="77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101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219"/>
      <c r="R87" s="219"/>
      <c r="S87" s="219"/>
    </row>
    <row r="88" spans="1:19" ht="17.25" thickBot="1">
      <c r="A88" s="128" t="s">
        <v>156</v>
      </c>
      <c r="B88" s="129">
        <v>189</v>
      </c>
      <c r="C88" s="77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101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219"/>
      <c r="R88" s="219"/>
      <c r="S88" s="219"/>
    </row>
    <row r="89" spans="1:19">
      <c r="A89" s="128" t="s">
        <v>238</v>
      </c>
      <c r="B89" s="129">
        <v>292</v>
      </c>
      <c r="C89" s="77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101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241"/>
      <c r="R89" s="242"/>
      <c r="S89" s="243"/>
    </row>
    <row r="90" spans="1:19" ht="17.25" thickBot="1">
      <c r="A90" s="133" t="s">
        <v>122</v>
      </c>
      <c r="B90" s="134">
        <v>116</v>
      </c>
      <c r="C90" s="79">
        <v>8.6956522000000008E-3</v>
      </c>
      <c r="D90" s="24">
        <v>118</v>
      </c>
      <c r="E90" s="25">
        <f t="shared" si="42"/>
        <v>1.7241379310344827E-2</v>
      </c>
      <c r="F90" s="104">
        <f>IF(ISNUMBER(D90), $B91 * E90, "")</f>
        <v>2586.2068965517242</v>
      </c>
      <c r="G90" s="102">
        <v>119</v>
      </c>
      <c r="H90" s="25">
        <f t="shared" si="43"/>
        <v>2.5862068965517241E-2</v>
      </c>
      <c r="I90" s="103">
        <f>IF(ISNUMBER(G90), $B91 * H90, "")</f>
        <v>3879.3103448275861</v>
      </c>
      <c r="J90" s="24">
        <v>119</v>
      </c>
      <c r="K90" s="25">
        <f t="shared" si="44"/>
        <v>2.5862068965517241E-2</v>
      </c>
      <c r="L90" s="104">
        <f>IF(ISNUMBER(J90), $B91 * K90, "")</f>
        <v>3879.3103448275861</v>
      </c>
      <c r="M90" s="102">
        <v>117</v>
      </c>
      <c r="N90" s="25">
        <f t="shared" si="45"/>
        <v>8.6206896551724137E-3</v>
      </c>
      <c r="O90" s="104">
        <f>IF(ISNUMBER(M90), $B91 * N90, "")</f>
        <v>1293.1034482758621</v>
      </c>
      <c r="Q90" s="244"/>
      <c r="R90" s="245"/>
      <c r="S90" s="246"/>
    </row>
    <row r="91" spans="1:19" ht="17.25" thickBot="1">
      <c r="A91" s="135" t="s">
        <v>301</v>
      </c>
      <c r="B91" s="252">
        <f>$B$37</f>
        <v>150000</v>
      </c>
      <c r="C91" s="253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71" t="s">
        <v>298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72158000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9.1322285000000007E-3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2021-05-08(토) 오전 00:00</v>
      </c>
      <c r="C96" s="257"/>
      <c r="D96" s="216" t="str">
        <f>TEXT($G$1, "[$-ko-KR]yyyy-mm-dd(ddd) ") &amp; "오후 14:00"</f>
        <v>2021-05-08(토) 오후 14:00</v>
      </c>
      <c r="E96" s="217"/>
      <c r="F96" s="218"/>
      <c r="G96" s="216" t="str">
        <f>TEXT($G$1, "[$-ko-KR]yyyy-mm-dd(ddd) ") &amp; "오후 19:00"</f>
        <v>2021-05-08(토) 오후 19:00</v>
      </c>
      <c r="H96" s="217"/>
      <c r="I96" s="218"/>
      <c r="J96" s="216" t="str">
        <f>TEXT($G$1, "[$-ko-KR]yyyy-mm-dd(ddd) ") &amp; "오후 21:00"</f>
        <v>2021-05-08(토) 오후 21:00</v>
      </c>
      <c r="K96" s="217"/>
      <c r="L96" s="218"/>
      <c r="M96" s="216" t="str">
        <f>TEXT($G$1+1, "[$-ko-KR]yyyy-mm-dd(ddd) ") &amp; "오전 00:00"</f>
        <v>2021-05-09(일) 오전 00:00</v>
      </c>
      <c r="N96" s="217"/>
      <c r="O96" s="218"/>
      <c r="Q96" s="214"/>
      <c r="R96" s="214"/>
      <c r="S96" s="214"/>
    </row>
    <row r="97" spans="1:19" ht="17.25" thickBot="1">
      <c r="A97" s="255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219"/>
      <c r="R97" s="219"/>
      <c r="S97" s="219"/>
    </row>
    <row r="98" spans="1:19" ht="17.25" thickBot="1">
      <c r="A98" s="126" t="s">
        <v>242</v>
      </c>
      <c r="B98" s="127">
        <v>13180</v>
      </c>
      <c r="C98" s="76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100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214"/>
      <c r="R98" s="214"/>
      <c r="S98" s="214"/>
    </row>
    <row r="99" spans="1:19" ht="17.25" thickBot="1">
      <c r="A99" s="128" t="s">
        <v>272</v>
      </c>
      <c r="B99" s="129">
        <v>3310</v>
      </c>
      <c r="C99" s="77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101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214"/>
      <c r="R99" s="214"/>
      <c r="S99" s="214"/>
    </row>
    <row r="100" spans="1:19" ht="17.25" thickBot="1">
      <c r="A100" s="128" t="s">
        <v>276</v>
      </c>
      <c r="B100" s="129">
        <v>5730</v>
      </c>
      <c r="C100" s="77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101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219"/>
      <c r="R100" s="219"/>
      <c r="S100" s="219"/>
    </row>
    <row r="101" spans="1:19" ht="17.25" thickBot="1">
      <c r="A101" s="128" t="s">
        <v>216</v>
      </c>
      <c r="B101" s="129">
        <v>555</v>
      </c>
      <c r="C101" s="77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101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219"/>
      <c r="R101" s="219"/>
      <c r="S101" s="219"/>
    </row>
    <row r="102" spans="1:19" ht="17.25" thickBot="1">
      <c r="A102" s="130" t="s">
        <v>188</v>
      </c>
      <c r="B102" s="131">
        <v>35420</v>
      </c>
      <c r="C102" s="78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5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219"/>
      <c r="R102" s="219"/>
      <c r="S102" s="219"/>
    </row>
    <row r="103" spans="1:19" ht="17.25" thickBot="1">
      <c r="A103" s="128" t="s">
        <v>170</v>
      </c>
      <c r="B103" s="132">
        <v>615</v>
      </c>
      <c r="C103" s="80">
        <v>0.1452513966</v>
      </c>
      <c r="D103" s="106">
        <v>553</v>
      </c>
      <c r="E103" s="107">
        <f>IF(ISNUMBER(D103), (D103 - $B103) / $B103, "")</f>
        <v>-0.1008130081300813</v>
      </c>
      <c r="F103" s="108">
        <f>IF(ISNUMBER(D103), $B118 * E103, "")</f>
        <v>-15121.951219512195</v>
      </c>
      <c r="G103" s="109">
        <v>563</v>
      </c>
      <c r="H103" s="107">
        <f>IF(ISNUMBER(G103), (G103 - $B103) / $B103, "")</f>
        <v>-8.4552845528455281E-2</v>
      </c>
      <c r="I103" s="110">
        <f>IF(ISNUMBER(G103), $B118 * H103, "")</f>
        <v>-12682.926829268292</v>
      </c>
      <c r="J103" s="106">
        <v>563</v>
      </c>
      <c r="K103" s="107">
        <f>IF(ISNUMBER(J103), (J103 - $B103) / $B103, "")</f>
        <v>-8.4552845528455281E-2</v>
      </c>
      <c r="L103" s="108">
        <f>IF(ISNUMBER(J103), $B118 * K103, "")</f>
        <v>-12682.926829268292</v>
      </c>
      <c r="M103" s="109">
        <v>557</v>
      </c>
      <c r="N103" s="107">
        <f>IF(ISNUMBER(M103), (M103 - $B103) / $B103, "")</f>
        <v>-9.4308943089430899E-2</v>
      </c>
      <c r="O103" s="108">
        <f>IF(ISNUMBER(M103), $B118 * N103, "")</f>
        <v>-14146.341463414636</v>
      </c>
      <c r="Q103" s="219"/>
      <c r="R103" s="219"/>
      <c r="S103" s="219"/>
    </row>
    <row r="104" spans="1:19" ht="17.25" thickBot="1">
      <c r="A104" s="128" t="s">
        <v>110</v>
      </c>
      <c r="B104" s="129">
        <v>3435</v>
      </c>
      <c r="C104" s="77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101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219"/>
      <c r="R104" s="219"/>
      <c r="S104" s="219"/>
    </row>
    <row r="105" spans="1:19" ht="17.25" thickBot="1">
      <c r="A105" s="128" t="s">
        <v>248</v>
      </c>
      <c r="B105" s="129">
        <v>4275</v>
      </c>
      <c r="C105" s="77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101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219"/>
      <c r="R105" s="219"/>
      <c r="S105" s="219"/>
    </row>
    <row r="106" spans="1:19" ht="17.25" thickBot="1">
      <c r="A106" s="128" t="s">
        <v>132</v>
      </c>
      <c r="B106" s="129">
        <v>291</v>
      </c>
      <c r="C106" s="77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101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33" t="s">
        <v>74</v>
      </c>
      <c r="B107" s="134">
        <v>34250</v>
      </c>
      <c r="C107" s="79">
        <v>9.7404677999999995E-2</v>
      </c>
      <c r="D107" s="24">
        <v>33600</v>
      </c>
      <c r="E107" s="25">
        <f t="shared" si="50"/>
        <v>-1.8978102189781021E-2</v>
      </c>
      <c r="F107" s="104">
        <f>IF(ISNUMBER(D107), $B118 * E107, "")</f>
        <v>-2846.7153284671531</v>
      </c>
      <c r="G107" s="102">
        <v>34940</v>
      </c>
      <c r="H107" s="25">
        <f t="shared" si="51"/>
        <v>2.0145985401459853E-2</v>
      </c>
      <c r="I107" s="103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4">
        <f>IF(ISNUMBER(J107), $B118 * K107, "")</f>
        <v>2014.5985401459852</v>
      </c>
      <c r="M107" s="102">
        <v>33780</v>
      </c>
      <c r="N107" s="25">
        <f t="shared" si="53"/>
        <v>-1.3722627737226278E-2</v>
      </c>
      <c r="O107" s="104">
        <f>IF(ISNUMBER(M107), $B118 * N107, "")</f>
        <v>-2058.3941605839418</v>
      </c>
      <c r="Q107" s="228"/>
      <c r="R107" s="229"/>
      <c r="S107" s="230"/>
    </row>
    <row r="108" spans="1:19">
      <c r="A108" s="126" t="s">
        <v>114</v>
      </c>
      <c r="B108" s="127">
        <v>14530</v>
      </c>
      <c r="C108" s="76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100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231"/>
      <c r="R108" s="232"/>
      <c r="S108" s="233"/>
    </row>
    <row r="109" spans="1:19" ht="17.25" thickBot="1">
      <c r="A109" s="128" t="s">
        <v>134</v>
      </c>
      <c r="B109" s="129">
        <v>166</v>
      </c>
      <c r="C109" s="77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101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234"/>
      <c r="R109" s="235"/>
      <c r="S109" s="236"/>
    </row>
    <row r="110" spans="1:19" ht="17.25" thickBot="1">
      <c r="A110" s="128" t="s">
        <v>284</v>
      </c>
      <c r="B110" s="129">
        <v>538</v>
      </c>
      <c r="C110" s="77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101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219"/>
      <c r="R110" s="219"/>
      <c r="S110" s="219"/>
    </row>
    <row r="111" spans="1:19" ht="17.25" thickBot="1">
      <c r="A111" s="128" t="s">
        <v>140</v>
      </c>
      <c r="B111" s="129">
        <v>4675</v>
      </c>
      <c r="C111" s="77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101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214"/>
      <c r="R111" s="214"/>
      <c r="S111" s="214"/>
    </row>
    <row r="112" spans="1:19" ht="17.25" thickBot="1">
      <c r="A112" s="130" t="s">
        <v>65</v>
      </c>
      <c r="B112" s="131">
        <v>84.8</v>
      </c>
      <c r="C112" s="78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5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214"/>
      <c r="R112" s="214"/>
      <c r="S112" s="214"/>
    </row>
    <row r="113" spans="1:19" ht="17.25" thickBot="1">
      <c r="A113" s="128" t="s">
        <v>118</v>
      </c>
      <c r="B113" s="132">
        <v>8225</v>
      </c>
      <c r="C113" s="80">
        <v>7.7981651400000004E-2</v>
      </c>
      <c r="D113" s="106">
        <v>7635</v>
      </c>
      <c r="E113" s="107">
        <f>IF(ISNUMBER(D113), (D113 - $B113) / $B113, "")</f>
        <v>-7.1732522796352588E-2</v>
      </c>
      <c r="F113" s="108">
        <f>IF(ISNUMBER(D113), $B118 * E113, "")</f>
        <v>-10759.878419452889</v>
      </c>
      <c r="G113" s="109">
        <v>7780</v>
      </c>
      <c r="H113" s="107">
        <f>IF(ISNUMBER(G113), (G113 - $B113) / $B113, "")</f>
        <v>-5.410334346504559E-2</v>
      </c>
      <c r="I113" s="110">
        <f>IF(ISNUMBER(G113), $B118 * H113, "")</f>
        <v>-8115.5015197568382</v>
      </c>
      <c r="J113" s="106">
        <v>7685</v>
      </c>
      <c r="K113" s="107">
        <f>IF(ISNUMBER(J113), (J113 - $B113) / $B113, "")</f>
        <v>-6.5653495440729487E-2</v>
      </c>
      <c r="L113" s="108">
        <f>IF(ISNUMBER(J113), $B118 * K113, "")</f>
        <v>-9848.0243161094222</v>
      </c>
      <c r="M113" s="109">
        <v>7715</v>
      </c>
      <c r="N113" s="107">
        <f>IF(ISNUMBER(M113), (M113 - $B113) / $B113, "")</f>
        <v>-6.2006079027355623E-2</v>
      </c>
      <c r="O113" s="108">
        <f>IF(ISNUMBER(M113), $B118 * N113, "")</f>
        <v>-9300.911854103344</v>
      </c>
      <c r="Q113" s="219"/>
      <c r="R113" s="219"/>
      <c r="S113" s="219"/>
    </row>
    <row r="114" spans="1:19" ht="17.25" thickBot="1">
      <c r="A114" s="128" t="s">
        <v>270</v>
      </c>
      <c r="B114" s="129">
        <v>653</v>
      </c>
      <c r="C114" s="77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101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219"/>
      <c r="R114" s="219"/>
      <c r="S114" s="219"/>
    </row>
    <row r="115" spans="1:19" ht="17.25" thickBot="1">
      <c r="A115" s="128" t="s">
        <v>182</v>
      </c>
      <c r="B115" s="129">
        <v>569</v>
      </c>
      <c r="C115" s="77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101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219"/>
      <c r="R115" s="219"/>
      <c r="S115" s="219"/>
    </row>
    <row r="116" spans="1:19">
      <c r="A116" s="128" t="s">
        <v>184</v>
      </c>
      <c r="B116" s="129">
        <v>3070</v>
      </c>
      <c r="C116" s="77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101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241"/>
      <c r="R116" s="242"/>
      <c r="S116" s="243"/>
    </row>
    <row r="117" spans="1:19" ht="17.25" thickBot="1">
      <c r="A117" s="133" t="s">
        <v>180</v>
      </c>
      <c r="B117" s="134">
        <v>5005</v>
      </c>
      <c r="C117" s="79">
        <v>6.3761955400000001E-2</v>
      </c>
      <c r="D117" s="24">
        <v>4715</v>
      </c>
      <c r="E117" s="25">
        <f t="shared" si="58"/>
        <v>-5.7942057942057944E-2</v>
      </c>
      <c r="F117" s="104">
        <f>IF(ISNUMBER(D117), $B118 * E117, "")</f>
        <v>-8691.3086913086918</v>
      </c>
      <c r="G117" s="102">
        <v>5155</v>
      </c>
      <c r="H117" s="25">
        <f t="shared" si="59"/>
        <v>2.9970029970029972E-2</v>
      </c>
      <c r="I117" s="103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4">
        <f>IF(ISNUMBER(J117), $B118 * K117, "")</f>
        <v>4345.6543456543459</v>
      </c>
      <c r="M117" s="102">
        <v>5075</v>
      </c>
      <c r="N117" s="25">
        <f t="shared" si="61"/>
        <v>1.3986013986013986E-2</v>
      </c>
      <c r="O117" s="104">
        <f>IF(ISNUMBER(M117), $B118 * N117, "")</f>
        <v>2097.9020979020979</v>
      </c>
      <c r="Q117" s="244"/>
      <c r="R117" s="245"/>
      <c r="S117" s="246"/>
    </row>
    <row r="118" spans="1:19" ht="17.25" thickBot="1">
      <c r="A118" s="135" t="s">
        <v>301</v>
      </c>
      <c r="B118" s="252">
        <f>$B$37</f>
        <v>150000</v>
      </c>
      <c r="C118" s="253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247"/>
      <c r="R118" s="248"/>
      <c r="S118" s="249"/>
    </row>
    <row r="120" spans="1:19" ht="17.25" thickBot="1"/>
    <row r="121" spans="1:19" ht="17.25" thickBot="1">
      <c r="A121" s="193" t="s">
        <v>288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71" t="s">
        <v>298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72158000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9.1322285000000007E-3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2021-05-08(토) 오전 00:00</v>
      </c>
      <c r="C123" s="257"/>
      <c r="D123" s="216" t="str">
        <f>TEXT($G$1, "[$-ko-KR]yyyy-mm-dd(ddd) ") &amp; "오후 14:00"</f>
        <v>2021-05-08(토) 오후 14:00</v>
      </c>
      <c r="E123" s="217"/>
      <c r="F123" s="218"/>
      <c r="G123" s="216" t="str">
        <f>TEXT($G$1, "[$-ko-KR]yyyy-mm-dd(ddd) ") &amp; "오후 19:00"</f>
        <v>2021-05-08(토) 오후 19:00</v>
      </c>
      <c r="H123" s="217"/>
      <c r="I123" s="218"/>
      <c r="J123" s="216" t="str">
        <f>TEXT($G$1, "[$-ko-KR]yyyy-mm-dd(ddd) ") &amp; "오후 21:00"</f>
        <v>2021-05-08(토) 오후 21:00</v>
      </c>
      <c r="K123" s="217"/>
      <c r="L123" s="218"/>
      <c r="M123" s="216" t="str">
        <f>TEXT($G$1+1, "[$-ko-KR]yyyy-mm-dd(ddd) ") &amp; "오전 00:00"</f>
        <v>2021-05-09(일)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219"/>
      <c r="R124" s="219"/>
      <c r="S124" s="219"/>
    </row>
    <row r="125" spans="1:19" ht="17.25" thickBot="1">
      <c r="A125" s="126" t="s">
        <v>65</v>
      </c>
      <c r="B125" s="127">
        <v>84.8</v>
      </c>
      <c r="C125" s="76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100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214"/>
      <c r="R125" s="214"/>
      <c r="S125" s="214"/>
    </row>
    <row r="126" spans="1:19" ht="17.25" thickBot="1">
      <c r="A126" s="128" t="s">
        <v>172</v>
      </c>
      <c r="B126" s="129">
        <v>25.9</v>
      </c>
      <c r="C126" s="77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101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214"/>
      <c r="R126" s="214"/>
      <c r="S126" s="214"/>
    </row>
    <row r="127" spans="1:19" ht="17.25" thickBot="1">
      <c r="A127" s="128" t="s">
        <v>218</v>
      </c>
      <c r="B127" s="129">
        <v>29.1</v>
      </c>
      <c r="C127" s="77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101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219"/>
      <c r="R127" s="219"/>
      <c r="S127" s="219"/>
    </row>
    <row r="128" spans="1:19" ht="17.25" thickBot="1">
      <c r="A128" s="128" t="s">
        <v>152</v>
      </c>
      <c r="B128" s="129">
        <v>52.3</v>
      </c>
      <c r="C128" s="77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101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219"/>
      <c r="R128" s="219"/>
      <c r="S128" s="219"/>
    </row>
    <row r="129" spans="1:19" ht="17.25" thickBot="1">
      <c r="A129" s="130" t="s">
        <v>222</v>
      </c>
      <c r="B129" s="131">
        <v>18.899999999999999</v>
      </c>
      <c r="C129" s="78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5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219"/>
      <c r="R129" s="219"/>
      <c r="S129" s="219"/>
    </row>
    <row r="130" spans="1:19" ht="17.25" thickBot="1">
      <c r="A130" s="128" t="s">
        <v>236</v>
      </c>
      <c r="B130" s="132">
        <v>69.3</v>
      </c>
      <c r="C130" s="80">
        <v>2.3633678000000002E-2</v>
      </c>
      <c r="D130" s="106">
        <v>67</v>
      </c>
      <c r="E130" s="107">
        <f>IF(ISNUMBER(D130), (D130 - $B130) / $B130, "")</f>
        <v>-3.318903318903315E-2</v>
      </c>
      <c r="F130" s="108">
        <f>IF(ISNUMBER(D130), $B145 * E130, "")</f>
        <v>-4978.3549783549724</v>
      </c>
      <c r="G130" s="109">
        <v>67.400000000000006</v>
      </c>
      <c r="H130" s="107">
        <f>IF(ISNUMBER(G130), (G130 - $B130) / $B130, "")</f>
        <v>-2.7417027417027295E-2</v>
      </c>
      <c r="I130" s="110">
        <f>IF(ISNUMBER(G130), $B145 * H130, "")</f>
        <v>-4112.554112554094</v>
      </c>
      <c r="J130" s="106">
        <v>67.5</v>
      </c>
      <c r="K130" s="107">
        <f>IF(ISNUMBER(J130), (J130 - $B130) / $B130, "")</f>
        <v>-2.5974025974025934E-2</v>
      </c>
      <c r="L130" s="108">
        <f>IF(ISNUMBER(J130), $B145 * K130, "")</f>
        <v>-3896.1038961038903</v>
      </c>
      <c r="M130" s="109">
        <v>67.400000000000006</v>
      </c>
      <c r="N130" s="107">
        <f>IF(ISNUMBER(M130), (M130 - $B130) / $B130, "")</f>
        <v>-2.7417027417027295E-2</v>
      </c>
      <c r="O130" s="108">
        <f>IF(ISNUMBER(M130), $B145 * N130, "")</f>
        <v>-4112.554112554094</v>
      </c>
      <c r="Q130" s="219"/>
      <c r="R130" s="219"/>
      <c r="S130" s="219"/>
    </row>
    <row r="131" spans="1:19" ht="17.25" thickBot="1">
      <c r="A131" s="128" t="s">
        <v>196</v>
      </c>
      <c r="B131" s="129">
        <v>20.6</v>
      </c>
      <c r="C131" s="77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101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219"/>
      <c r="R131" s="219"/>
      <c r="S131" s="219"/>
    </row>
    <row r="132" spans="1:19" ht="17.25" thickBot="1">
      <c r="A132" s="128" t="s">
        <v>100</v>
      </c>
      <c r="B132" s="129">
        <v>9.85</v>
      </c>
      <c r="C132" s="77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101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219"/>
      <c r="R132" s="219"/>
      <c r="S132" s="219"/>
    </row>
    <row r="133" spans="1:19" ht="17.25" thickBot="1">
      <c r="A133" s="128" t="s">
        <v>214</v>
      </c>
      <c r="B133" s="129">
        <v>22.1</v>
      </c>
      <c r="C133" s="77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101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33" t="s">
        <v>186</v>
      </c>
      <c r="B134" s="134">
        <v>25.3</v>
      </c>
      <c r="C134" s="79">
        <v>7.9681274999999999E-3</v>
      </c>
      <c r="D134" s="24">
        <v>25.5</v>
      </c>
      <c r="E134" s="25">
        <f t="shared" si="66"/>
        <v>7.9051383399209203E-3</v>
      </c>
      <c r="F134" s="104">
        <f>IF(ISNUMBER(D134), $B145 * E134, "")</f>
        <v>1185.7707509881382</v>
      </c>
      <c r="G134" s="102">
        <v>25.3</v>
      </c>
      <c r="H134" s="25">
        <f t="shared" si="67"/>
        <v>0</v>
      </c>
      <c r="I134" s="103">
        <f>IF(ISNUMBER(G134), $B145 * H134, "")</f>
        <v>0</v>
      </c>
      <c r="J134" s="24">
        <v>25.8</v>
      </c>
      <c r="K134" s="25">
        <f t="shared" si="68"/>
        <v>1.9762845849802372E-2</v>
      </c>
      <c r="L134" s="104">
        <f>IF(ISNUMBER(J134), $B145 * K134, "")</f>
        <v>2964.426877470356</v>
      </c>
      <c r="M134" s="102">
        <v>25.2</v>
      </c>
      <c r="N134" s="25">
        <f t="shared" si="69"/>
        <v>-3.9525691699605304E-3</v>
      </c>
      <c r="O134" s="104">
        <f>IF(ISNUMBER(M134), $B145 * N134, "")</f>
        <v>-592.88537549407954</v>
      </c>
      <c r="Q134" s="228"/>
      <c r="R134" s="229"/>
      <c r="S134" s="230"/>
    </row>
    <row r="135" spans="1:19">
      <c r="A135" s="126" t="s">
        <v>198</v>
      </c>
      <c r="B135" s="127">
        <v>28.1</v>
      </c>
      <c r="C135" s="76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100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231"/>
      <c r="R135" s="232"/>
      <c r="S135" s="233"/>
    </row>
    <row r="136" spans="1:19" ht="17.25" thickBot="1">
      <c r="A136" s="128" t="s">
        <v>154</v>
      </c>
      <c r="B136" s="129">
        <v>20.8</v>
      </c>
      <c r="C136" s="77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101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234"/>
      <c r="R136" s="235"/>
      <c r="S136" s="236"/>
    </row>
    <row r="137" spans="1:19" ht="17.25" thickBot="1">
      <c r="A137" s="128" t="s">
        <v>126</v>
      </c>
      <c r="B137" s="129">
        <v>61</v>
      </c>
      <c r="C137" s="77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101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219"/>
      <c r="R137" s="219"/>
      <c r="S137" s="219"/>
    </row>
    <row r="138" spans="1:19" ht="17.25" thickBot="1">
      <c r="A138" s="128" t="s">
        <v>228</v>
      </c>
      <c r="B138" s="129">
        <v>18.3</v>
      </c>
      <c r="C138" s="77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101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214"/>
      <c r="R138" s="214"/>
      <c r="S138" s="214"/>
    </row>
    <row r="139" spans="1:19" ht="17.25" thickBot="1">
      <c r="A139" s="130" t="s">
        <v>72</v>
      </c>
      <c r="B139" s="131">
        <v>39.1</v>
      </c>
      <c r="C139" s="78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5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214"/>
      <c r="R139" s="214"/>
      <c r="S139" s="214"/>
    </row>
    <row r="140" spans="1:19" ht="17.25" thickBot="1">
      <c r="A140" s="128" t="s">
        <v>254</v>
      </c>
      <c r="B140" s="132">
        <v>83.8</v>
      </c>
      <c r="C140" s="80">
        <v>-1.06257379E-2</v>
      </c>
      <c r="D140" s="106">
        <v>84.4</v>
      </c>
      <c r="E140" s="107">
        <f>IF(ISNUMBER(D140), (D140 - $B140) / $B140, "")</f>
        <v>7.1599045346063071E-3</v>
      </c>
      <c r="F140" s="108">
        <f>IF(ISNUMBER(D140), $B145 * E140, "")</f>
        <v>1073.9856801909461</v>
      </c>
      <c r="G140" s="109">
        <v>84.4</v>
      </c>
      <c r="H140" s="107">
        <f>IF(ISNUMBER(G140), (G140 - $B140) / $B140, "")</f>
        <v>7.1599045346063071E-3</v>
      </c>
      <c r="I140" s="110">
        <f>IF(ISNUMBER(G140), $B145 * H140, "")</f>
        <v>1073.9856801909461</v>
      </c>
      <c r="J140" s="106">
        <v>84.4</v>
      </c>
      <c r="K140" s="107">
        <f>IF(ISNUMBER(J140), (J140 - $B140) / $B140, "")</f>
        <v>7.1599045346063071E-3</v>
      </c>
      <c r="L140" s="108">
        <f>IF(ISNUMBER(J140), $B145 * K140, "")</f>
        <v>1073.9856801909461</v>
      </c>
      <c r="M140" s="109">
        <v>83.8</v>
      </c>
      <c r="N140" s="107">
        <f>IF(ISNUMBER(M140), (M140 - $B140) / $B140, "")</f>
        <v>0</v>
      </c>
      <c r="O140" s="108">
        <f>IF(ISNUMBER(M140), $B145 * N140, "")</f>
        <v>0</v>
      </c>
      <c r="Q140" s="219"/>
      <c r="R140" s="219"/>
      <c r="S140" s="219"/>
    </row>
    <row r="141" spans="1:19" ht="17.25" thickBot="1">
      <c r="A141" s="128" t="s">
        <v>268</v>
      </c>
      <c r="B141" s="129">
        <v>93.4</v>
      </c>
      <c r="C141" s="77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219"/>
      <c r="R141" s="219"/>
      <c r="S141" s="219"/>
    </row>
    <row r="142" spans="1:19" ht="17.25" thickBot="1">
      <c r="A142" s="128" t="s">
        <v>220</v>
      </c>
      <c r="B142" s="129">
        <v>20.6</v>
      </c>
      <c r="C142" s="77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101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219"/>
      <c r="R142" s="219"/>
      <c r="S142" s="219"/>
    </row>
    <row r="143" spans="1:19">
      <c r="A143" s="128" t="s">
        <v>266</v>
      </c>
      <c r="B143" s="129">
        <v>94.2</v>
      </c>
      <c r="C143" s="77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101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241"/>
      <c r="R143" s="242"/>
      <c r="S143" s="243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5" t="s">
        <v>301</v>
      </c>
      <c r="B145" s="252">
        <f>$B$37</f>
        <v>150000</v>
      </c>
      <c r="C145" s="253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247"/>
      <c r="R145" s="248"/>
      <c r="S145" s="249"/>
    </row>
    <row r="147" spans="1:19" ht="17.25" thickBot="1"/>
    <row r="148" spans="1:19" ht="17.25" thickBot="1">
      <c r="A148" s="193" t="s">
        <v>289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71" t="s">
        <v>298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72158000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9.1322285000000007E-3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2021-05-08(토) 오전 00:00</v>
      </c>
      <c r="C150" s="257"/>
      <c r="D150" s="216" t="str">
        <f>TEXT($G$1, "[$-ko-KR]yyyy-mm-dd(ddd) ") &amp; "오후 14:00"</f>
        <v>2021-05-08(토) 오후 14:00</v>
      </c>
      <c r="E150" s="217"/>
      <c r="F150" s="218"/>
      <c r="G150" s="216" t="str">
        <f>TEXT($G$1, "[$-ko-KR]yyyy-mm-dd(ddd) ") &amp; "오후 19:00"</f>
        <v>2021-05-08(토) 오후 19:00</v>
      </c>
      <c r="H150" s="217"/>
      <c r="I150" s="218"/>
      <c r="J150" s="216" t="str">
        <f>TEXT($G$1, "[$-ko-KR]yyyy-mm-dd(ddd) ") &amp; "오후 21:00"</f>
        <v>2021-05-08(토) 오후 21:00</v>
      </c>
      <c r="K150" s="217"/>
      <c r="L150" s="218"/>
      <c r="M150" s="216" t="str">
        <f>TEXT($G$1+1, "[$-ko-KR]yyyy-mm-dd(ddd) ") &amp; "오전 00:00"</f>
        <v>2021-05-09(일)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219"/>
      <c r="R151" s="219"/>
      <c r="S151" s="219"/>
    </row>
    <row r="152" spans="1:19" ht="17.25" thickBot="1">
      <c r="A152" s="126" t="s">
        <v>240</v>
      </c>
      <c r="B152" s="127">
        <v>181</v>
      </c>
      <c r="C152" s="76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100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214"/>
      <c r="R152" s="214"/>
      <c r="S152" s="214"/>
    </row>
    <row r="153" spans="1:19" ht="17.25" thickBot="1">
      <c r="A153" s="128" t="s">
        <v>260</v>
      </c>
      <c r="B153" s="129">
        <v>120</v>
      </c>
      <c r="C153" s="77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214"/>
      <c r="R153" s="214"/>
      <c r="S153" s="214"/>
    </row>
    <row r="154" spans="1:19" ht="17.25" thickBot="1">
      <c r="A154" s="128" t="s">
        <v>88</v>
      </c>
      <c r="B154" s="129">
        <v>614</v>
      </c>
      <c r="C154" s="77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101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219"/>
      <c r="R154" s="219"/>
      <c r="S154" s="219"/>
    </row>
    <row r="155" spans="1:19" ht="17.25" thickBot="1">
      <c r="A155" s="128" t="s">
        <v>226</v>
      </c>
      <c r="B155" s="129">
        <v>493</v>
      </c>
      <c r="C155" s="77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101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219"/>
      <c r="R155" s="219"/>
      <c r="S155" s="219"/>
    </row>
    <row r="156" spans="1:19" ht="17.25" thickBot="1">
      <c r="A156" s="130" t="s">
        <v>296</v>
      </c>
      <c r="B156" s="131">
        <v>706</v>
      </c>
      <c r="C156" s="78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5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219"/>
      <c r="R156" s="219"/>
      <c r="S156" s="219"/>
    </row>
    <row r="157" spans="1:19" ht="17.25" thickBot="1">
      <c r="A157" s="128" t="s">
        <v>258</v>
      </c>
      <c r="B157" s="132">
        <v>697</v>
      </c>
      <c r="C157" s="80">
        <v>-5.7061341000000003E-3</v>
      </c>
      <c r="D157" s="106">
        <v>695</v>
      </c>
      <c r="E157" s="107">
        <f>IF(ISNUMBER(D157), (D157 - $B157) / $B157, "")</f>
        <v>-2.8694404591104736E-3</v>
      </c>
      <c r="F157" s="108">
        <f>IF(ISNUMBER(D157), $B172 * E157, "")</f>
        <v>-430.41606886657104</v>
      </c>
      <c r="G157" s="109">
        <v>720</v>
      </c>
      <c r="H157" s="107">
        <f>IF(ISNUMBER(G157), (G157 - $B157) / $B157, "")</f>
        <v>3.2998565279770443E-2</v>
      </c>
      <c r="I157" s="110">
        <f>IF(ISNUMBER(G157), $B172 * H157, "")</f>
        <v>4949.7847919655669</v>
      </c>
      <c r="J157" s="106">
        <v>716</v>
      </c>
      <c r="K157" s="107">
        <f>IF(ISNUMBER(J157), (J157 - $B157) / $B157, "")</f>
        <v>2.7259684361549498E-2</v>
      </c>
      <c r="L157" s="108">
        <f>IF(ISNUMBER(J157), $B172 * K157, "")</f>
        <v>4088.9526542324247</v>
      </c>
      <c r="M157" s="109">
        <v>722</v>
      </c>
      <c r="N157" s="107">
        <f>IF(ISNUMBER(M157), (M157 - $B157) / $B157, "")</f>
        <v>3.5868005738880916E-2</v>
      </c>
      <c r="O157" s="108">
        <f>IF(ISNUMBER(M157), $B172 * N157, "")</f>
        <v>5380.2008608321376</v>
      </c>
      <c r="Q157" s="219"/>
      <c r="R157" s="219"/>
      <c r="S157" s="219"/>
    </row>
    <row r="158" spans="1:19" ht="17.25" thickBot="1">
      <c r="A158" s="128" t="s">
        <v>208</v>
      </c>
      <c r="B158" s="129">
        <v>481</v>
      </c>
      <c r="C158" s="77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101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219"/>
      <c r="R158" s="219"/>
      <c r="S158" s="219"/>
    </row>
    <row r="159" spans="1:19" ht="17.25" thickBot="1">
      <c r="A159" s="128" t="s">
        <v>168</v>
      </c>
      <c r="B159" s="129">
        <v>261</v>
      </c>
      <c r="C159" s="77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101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219"/>
      <c r="R159" s="219"/>
      <c r="S159" s="219"/>
    </row>
    <row r="160" spans="1:19" ht="17.25" thickBot="1">
      <c r="A160" s="128" t="s">
        <v>200</v>
      </c>
      <c r="B160" s="129">
        <v>365</v>
      </c>
      <c r="C160" s="77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101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33" t="s">
        <v>136</v>
      </c>
      <c r="B161" s="134">
        <v>282</v>
      </c>
      <c r="C161" s="79">
        <v>-1.05263158E-2</v>
      </c>
      <c r="D161" s="24">
        <v>275</v>
      </c>
      <c r="E161" s="25">
        <f t="shared" si="82"/>
        <v>-2.4822695035460994E-2</v>
      </c>
      <c r="F161" s="104">
        <f>IF(ISNUMBER(D161), $B172 * E161, "")</f>
        <v>-3723.4042553191489</v>
      </c>
      <c r="G161" s="102">
        <v>271</v>
      </c>
      <c r="H161" s="25">
        <f t="shared" si="83"/>
        <v>-3.9007092198581561E-2</v>
      </c>
      <c r="I161" s="103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4">
        <f>IF(ISNUMBER(J161), $B172 * K161, "")</f>
        <v>-5851.0638297872338</v>
      </c>
      <c r="M161" s="102">
        <v>282</v>
      </c>
      <c r="N161" s="25">
        <f t="shared" si="85"/>
        <v>0</v>
      </c>
      <c r="O161" s="104">
        <f>IF(ISNUMBER(M161), $B172 * N161, "")</f>
        <v>0</v>
      </c>
      <c r="Q161" s="228"/>
      <c r="R161" s="229"/>
      <c r="S161" s="230"/>
    </row>
    <row r="162" spans="1:19">
      <c r="A162" s="126" t="s">
        <v>210</v>
      </c>
      <c r="B162" s="127">
        <v>187</v>
      </c>
      <c r="C162" s="76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100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231"/>
      <c r="R162" s="232"/>
      <c r="S162" s="233"/>
    </row>
    <row r="163" spans="1:19" ht="17.25" thickBot="1">
      <c r="A163" s="128" t="s">
        <v>54</v>
      </c>
      <c r="B163" s="129">
        <v>372</v>
      </c>
      <c r="C163" s="77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101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234"/>
      <c r="R163" s="235"/>
      <c r="S163" s="236"/>
    </row>
    <row r="164" spans="1:19" ht="17.25" thickBot="1">
      <c r="A164" s="128" t="s">
        <v>250</v>
      </c>
      <c r="B164" s="129">
        <v>211</v>
      </c>
      <c r="C164" s="77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101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219"/>
      <c r="R164" s="219"/>
      <c r="S164" s="219"/>
    </row>
    <row r="165" spans="1:19" ht="17.25" thickBot="1">
      <c r="A165" s="128" t="s">
        <v>51</v>
      </c>
      <c r="B165" s="129">
        <v>782</v>
      </c>
      <c r="C165" s="77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101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214"/>
      <c r="R165" s="214"/>
      <c r="S165" s="214"/>
    </row>
    <row r="166" spans="1:19" ht="17.25" thickBot="1">
      <c r="A166" s="130" t="s">
        <v>256</v>
      </c>
      <c r="B166" s="131">
        <v>258</v>
      </c>
      <c r="C166" s="78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5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214"/>
      <c r="R166" s="214"/>
      <c r="S166" s="214"/>
    </row>
    <row r="167" spans="1:19" ht="17.25" thickBot="1">
      <c r="A167" s="128" t="s">
        <v>202</v>
      </c>
      <c r="B167" s="132">
        <v>206</v>
      </c>
      <c r="C167" s="80">
        <v>-1.9047618999999998E-2</v>
      </c>
      <c r="D167" s="106">
        <v>203</v>
      </c>
      <c r="E167" s="107">
        <f>IF(ISNUMBER(D167), (D167 - $B167) / $B167, "")</f>
        <v>-1.4563106796116505E-2</v>
      </c>
      <c r="F167" s="108">
        <f>IF(ISNUMBER(D167), $B172 * E167, "")</f>
        <v>-2184.4660194174758</v>
      </c>
      <c r="G167" s="109">
        <v>207</v>
      </c>
      <c r="H167" s="107">
        <f>IF(ISNUMBER(G167), (G167 - $B167) / $B167, "")</f>
        <v>4.8543689320388345E-3</v>
      </c>
      <c r="I167" s="110">
        <f>IF(ISNUMBER(G167), $B172 * H167, "")</f>
        <v>728.15533980582518</v>
      </c>
      <c r="J167" s="106">
        <v>206</v>
      </c>
      <c r="K167" s="107">
        <f>IF(ISNUMBER(J167), (J167 - $B167) / $B167, "")</f>
        <v>0</v>
      </c>
      <c r="L167" s="108">
        <f>IF(ISNUMBER(J167), $B172 * K167, "")</f>
        <v>0</v>
      </c>
      <c r="M167" s="109">
        <v>206</v>
      </c>
      <c r="N167" s="107">
        <f>IF(ISNUMBER(M167), (M167 - $B167) / $B167, "")</f>
        <v>0</v>
      </c>
      <c r="O167" s="108">
        <f>IF(ISNUMBER(M167), $B172 * N167, "")</f>
        <v>0</v>
      </c>
      <c r="Q167" s="219"/>
      <c r="R167" s="219"/>
      <c r="S167" s="219"/>
    </row>
    <row r="168" spans="1:19" ht="17.25" thickBot="1">
      <c r="A168" s="128" t="s">
        <v>230</v>
      </c>
      <c r="B168" s="129">
        <v>168</v>
      </c>
      <c r="C168" s="77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101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219"/>
      <c r="R168" s="219"/>
      <c r="S168" s="219"/>
    </row>
    <row r="169" spans="1:19" ht="17.25" thickBot="1">
      <c r="A169" s="128" t="s">
        <v>120</v>
      </c>
      <c r="B169" s="129">
        <v>227</v>
      </c>
      <c r="C169" s="77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101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219"/>
      <c r="R169" s="219"/>
      <c r="S169" s="219"/>
    </row>
    <row r="170" spans="1:19">
      <c r="A170" s="128" t="s">
        <v>212</v>
      </c>
      <c r="B170" s="129">
        <v>148</v>
      </c>
      <c r="C170" s="77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101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241"/>
      <c r="R170" s="242"/>
      <c r="S170" s="243"/>
    </row>
    <row r="171" spans="1:19" ht="17.25" thickBot="1">
      <c r="A171" s="133" t="s">
        <v>116</v>
      </c>
      <c r="B171" s="134">
        <v>668</v>
      </c>
      <c r="C171" s="79">
        <v>-2.7656477400000001E-2</v>
      </c>
      <c r="D171" s="24">
        <v>661</v>
      </c>
      <c r="E171" s="25">
        <f t="shared" si="90"/>
        <v>-1.0479041916167664E-2</v>
      </c>
      <c r="F171" s="104">
        <f>IF(ISNUMBER(D171), $B172 * E171, "")</f>
        <v>-1571.8562874251495</v>
      </c>
      <c r="G171" s="102">
        <v>668</v>
      </c>
      <c r="H171" s="25">
        <f t="shared" si="91"/>
        <v>0</v>
      </c>
      <c r="I171" s="103">
        <f>IF(ISNUMBER(G171), $B172 * H171, "")</f>
        <v>0</v>
      </c>
      <c r="J171" s="24">
        <v>665</v>
      </c>
      <c r="K171" s="25">
        <f t="shared" si="92"/>
        <v>-4.4910179640718561E-3</v>
      </c>
      <c r="L171" s="104">
        <f>IF(ISNUMBER(J171), $B172 * K171, "")</f>
        <v>-673.65269461077844</v>
      </c>
      <c r="M171" s="102">
        <v>665</v>
      </c>
      <c r="N171" s="25">
        <f t="shared" si="93"/>
        <v>-4.4910179640718561E-3</v>
      </c>
      <c r="O171" s="104">
        <f>IF(ISNUMBER(M171), $B172 * N171, "")</f>
        <v>-673.65269461077844</v>
      </c>
      <c r="Q171" s="244"/>
      <c r="R171" s="245"/>
      <c r="S171" s="246"/>
    </row>
    <row r="172" spans="1:19" ht="17.25" thickBot="1">
      <c r="A172" s="135" t="s">
        <v>301</v>
      </c>
      <c r="B172" s="252">
        <f>$B$37</f>
        <v>150000</v>
      </c>
      <c r="C172" s="253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247"/>
      <c r="R172" s="248"/>
      <c r="S172" s="249"/>
    </row>
    <row r="174" spans="1:19" ht="17.25" thickBot="1"/>
    <row r="175" spans="1:19" ht="17.25" thickBot="1">
      <c r="A175" s="193" t="s">
        <v>285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71" t="s">
        <v>298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72158000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9.1322285000000007E-3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2021-05-08(토) 오전 00:00</v>
      </c>
      <c r="C177" s="257"/>
      <c r="D177" s="216" t="str">
        <f>TEXT($G$1, "[$-ko-KR]yyyy-mm-dd(ddd) ") &amp; "오후 14:00"</f>
        <v>2021-05-08(토) 오후 14:00</v>
      </c>
      <c r="E177" s="217"/>
      <c r="F177" s="218"/>
      <c r="G177" s="216" t="str">
        <f>TEXT($G$1, "[$-ko-KR]yyyy-mm-dd(ddd) ") &amp; "오후 19:00"</f>
        <v>2021-05-08(토) 오후 19:00</v>
      </c>
      <c r="H177" s="217"/>
      <c r="I177" s="218"/>
      <c r="J177" s="216" t="str">
        <f>TEXT($G$1, "[$-ko-KR]yyyy-mm-dd(ddd) ") &amp; "오후 21:00"</f>
        <v>2021-05-08(토) 오후 21:00</v>
      </c>
      <c r="K177" s="217"/>
      <c r="L177" s="218"/>
      <c r="M177" s="216" t="str">
        <f>TEXT($G$1+1, "[$-ko-KR]yyyy-mm-dd(ddd) ") &amp; "오전 00:00"</f>
        <v>2021-05-09(일)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219"/>
      <c r="R178" s="219"/>
      <c r="S178" s="219"/>
    </row>
    <row r="179" spans="1:19" ht="17.25" thickBot="1">
      <c r="A179" s="126" t="s">
        <v>69</v>
      </c>
      <c r="B179" s="127">
        <v>12360</v>
      </c>
      <c r="C179" s="76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100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214"/>
      <c r="R179" s="214"/>
      <c r="S179" s="214"/>
    </row>
    <row r="180" spans="1:19" ht="17.25" thickBot="1">
      <c r="A180" s="128" t="s">
        <v>150</v>
      </c>
      <c r="B180" s="129">
        <v>5830</v>
      </c>
      <c r="C180" s="77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101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214"/>
      <c r="R180" s="214"/>
      <c r="S180" s="214"/>
    </row>
    <row r="181" spans="1:19" ht="17.25" thickBot="1">
      <c r="A181" s="128" t="s">
        <v>146</v>
      </c>
      <c r="B181" s="129">
        <v>19920</v>
      </c>
      <c r="C181" s="77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101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219"/>
      <c r="R181" s="219"/>
      <c r="S181" s="219"/>
    </row>
    <row r="182" spans="1:19" ht="17.25" thickBot="1">
      <c r="A182" s="128" t="s">
        <v>120</v>
      </c>
      <c r="B182" s="129">
        <v>227</v>
      </c>
      <c r="C182" s="77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101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219"/>
      <c r="R182" s="219"/>
      <c r="S182" s="219"/>
    </row>
    <row r="183" spans="1:19" ht="17.25" thickBot="1">
      <c r="A183" s="130" t="s">
        <v>212</v>
      </c>
      <c r="B183" s="131">
        <v>148</v>
      </c>
      <c r="C183" s="78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5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219"/>
      <c r="R183" s="219"/>
      <c r="S183" s="219"/>
    </row>
    <row r="184" spans="1:19" ht="17.25" thickBot="1">
      <c r="A184" s="128" t="s">
        <v>116</v>
      </c>
      <c r="B184" s="132">
        <v>668</v>
      </c>
      <c r="C184" s="80">
        <v>-2.7656477400000001E-2</v>
      </c>
      <c r="D184" s="106">
        <v>661</v>
      </c>
      <c r="E184" s="107">
        <f>IF(ISNUMBER(D184), (D184 - $B184) / $B184, "")</f>
        <v>-1.0479041916167664E-2</v>
      </c>
      <c r="F184" s="108">
        <f>IF(ISNUMBER(D184), $B199 * E184, "")</f>
        <v>-1571.8562874251495</v>
      </c>
      <c r="G184" s="109">
        <v>668</v>
      </c>
      <c r="H184" s="107">
        <f>IF(ISNUMBER(G184), (G184 - $B184) / $B184, "")</f>
        <v>0</v>
      </c>
      <c r="I184" s="110">
        <f>IF(ISNUMBER(G184), $B199 * H184, "")</f>
        <v>0</v>
      </c>
      <c r="J184" s="106">
        <v>665</v>
      </c>
      <c r="K184" s="107">
        <f>IF(ISNUMBER(J184), (J184 - $B184) / $B184, "")</f>
        <v>-4.4910179640718561E-3</v>
      </c>
      <c r="L184" s="108">
        <f>IF(ISNUMBER(J184), $B199 * K184, "")</f>
        <v>-673.65269461077844</v>
      </c>
      <c r="M184" s="109">
        <v>665</v>
      </c>
      <c r="N184" s="107">
        <f>IF(ISNUMBER(M184), (M184 - $B184) / $B184, "")</f>
        <v>-4.4910179640718561E-3</v>
      </c>
      <c r="O184" s="108">
        <f>IF(ISNUMBER(M184), $B199 * N184, "")</f>
        <v>-673.65269461077844</v>
      </c>
      <c r="Q184" s="219"/>
      <c r="R184" s="219"/>
      <c r="S184" s="219"/>
    </row>
    <row r="185" spans="1:19" ht="17.25" thickBot="1">
      <c r="A185" s="128" t="s">
        <v>138</v>
      </c>
      <c r="B185" s="129">
        <v>49370</v>
      </c>
      <c r="C185" s="77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101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219"/>
      <c r="R185" s="219"/>
      <c r="S185" s="219"/>
    </row>
    <row r="186" spans="1:19" ht="17.25" thickBot="1">
      <c r="A186" s="128" t="s">
        <v>130</v>
      </c>
      <c r="B186" s="129">
        <v>421700</v>
      </c>
      <c r="C186" s="77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101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219"/>
      <c r="R186" s="219"/>
      <c r="S186" s="219"/>
    </row>
    <row r="187" spans="1:19" ht="17.25" thickBot="1">
      <c r="A187" s="128" t="s">
        <v>63</v>
      </c>
      <c r="B187" s="129">
        <v>145450</v>
      </c>
      <c r="C187" s="77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101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33" t="s">
        <v>61</v>
      </c>
      <c r="B188" s="134">
        <v>1860</v>
      </c>
      <c r="C188" s="79">
        <v>-3.3766233800000003E-2</v>
      </c>
      <c r="D188" s="24">
        <v>1755</v>
      </c>
      <c r="E188" s="25">
        <f t="shared" si="98"/>
        <v>-5.6451612903225805E-2</v>
      </c>
      <c r="F188" s="104">
        <f>IF(ISNUMBER(D188), $B199 * E188, "")</f>
        <v>-8467.7419354838712</v>
      </c>
      <c r="G188" s="102">
        <v>1765</v>
      </c>
      <c r="H188" s="25">
        <f t="shared" si="99"/>
        <v>-5.1075268817204304E-2</v>
      </c>
      <c r="I188" s="103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4">
        <f>IF(ISNUMBER(J188), $B199 * K188, "")</f>
        <v>-9274.1935483870966</v>
      </c>
      <c r="M188" s="102">
        <v>1760</v>
      </c>
      <c r="N188" s="25">
        <f t="shared" si="101"/>
        <v>-5.3763440860215055E-2</v>
      </c>
      <c r="O188" s="104">
        <f>IF(ISNUMBER(M188), $B199 * N188, "")</f>
        <v>-8064.5161290322585</v>
      </c>
      <c r="Q188" s="228"/>
      <c r="R188" s="229"/>
      <c r="S188" s="230"/>
    </row>
    <row r="189" spans="1:19">
      <c r="A189" s="126" t="s">
        <v>206</v>
      </c>
      <c r="B189" s="127">
        <v>35950</v>
      </c>
      <c r="C189" s="76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100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231"/>
      <c r="R189" s="232"/>
      <c r="S189" s="233"/>
    </row>
    <row r="190" spans="1:19" ht="17.25" thickBot="1">
      <c r="A190" s="128" t="s">
        <v>204</v>
      </c>
      <c r="B190" s="129">
        <v>8045</v>
      </c>
      <c r="C190" s="77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101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234"/>
      <c r="R190" s="235"/>
      <c r="S190" s="236"/>
    </row>
    <row r="191" spans="1:19" ht="17.25" thickBot="1">
      <c r="A191" s="128" t="s">
        <v>164</v>
      </c>
      <c r="B191" s="129">
        <v>40110</v>
      </c>
      <c r="C191" s="77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101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219"/>
      <c r="R191" s="219"/>
      <c r="S191" s="219"/>
    </row>
    <row r="192" spans="1:19" ht="17.25" thickBot="1">
      <c r="A192" s="128" t="s">
        <v>98</v>
      </c>
      <c r="B192" s="129">
        <v>8775</v>
      </c>
      <c r="C192" s="77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101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214"/>
      <c r="R192" s="214"/>
      <c r="S192" s="214"/>
    </row>
    <row r="193" spans="1:19" ht="17.25" thickBot="1">
      <c r="A193" s="130" t="s">
        <v>90</v>
      </c>
      <c r="B193" s="131">
        <v>483500</v>
      </c>
      <c r="C193" s="78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5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214"/>
      <c r="R193" s="214"/>
      <c r="S193" s="214"/>
    </row>
    <row r="194" spans="1:19" ht="17.25" thickBot="1">
      <c r="A194" s="128" t="s">
        <v>94</v>
      </c>
      <c r="B194" s="132">
        <v>162950</v>
      </c>
      <c r="C194" s="80">
        <v>-6.40436531E-2</v>
      </c>
      <c r="D194" s="106">
        <v>155400</v>
      </c>
      <c r="E194" s="107">
        <f>IF(ISNUMBER(D194), (D194 - $B194) / $B194, "")</f>
        <v>-4.6333231052470079E-2</v>
      </c>
      <c r="F194" s="108">
        <f>IF(ISNUMBER(D194), $B199 * E194, "")</f>
        <v>-6949.9846578705119</v>
      </c>
      <c r="G194" s="109">
        <v>158100</v>
      </c>
      <c r="H194" s="107">
        <f>IF(ISNUMBER(G194), (G194 - $B194) / $B194, "")</f>
        <v>-2.9763731205891378E-2</v>
      </c>
      <c r="I194" s="110">
        <f>IF(ISNUMBER(G194), $B199 * H194, "")</f>
        <v>-4464.5596808837072</v>
      </c>
      <c r="J194" s="106">
        <v>157100</v>
      </c>
      <c r="K194" s="107">
        <f>IF(ISNUMBER(J194), (J194 - $B194) / $B194, "")</f>
        <v>-3.5900583000920527E-2</v>
      </c>
      <c r="L194" s="108">
        <f>IF(ISNUMBER(J194), $B199 * K194, "")</f>
        <v>-5385.0874501380795</v>
      </c>
      <c r="M194" s="109">
        <v>157050</v>
      </c>
      <c r="N194" s="107">
        <f>IF(ISNUMBER(M194), (M194 - $B194) / $B194, "")</f>
        <v>-3.6207425590671985E-2</v>
      </c>
      <c r="O194" s="108">
        <f>IF(ISNUMBER(M194), $B199 * N194, "")</f>
        <v>-5431.1138386007979</v>
      </c>
      <c r="Q194" s="219"/>
      <c r="R194" s="219"/>
      <c r="S194" s="219"/>
    </row>
    <row r="195" spans="1:19" ht="17.25" thickBot="1">
      <c r="A195" s="128" t="s">
        <v>104</v>
      </c>
      <c r="B195" s="129">
        <v>3060</v>
      </c>
      <c r="C195" s="77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101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219"/>
      <c r="R195" s="219"/>
      <c r="S195" s="219"/>
    </row>
    <row r="196" spans="1:19" ht="17.25" thickBot="1">
      <c r="A196" s="128" t="s">
        <v>86</v>
      </c>
      <c r="B196" s="129">
        <v>12930</v>
      </c>
      <c r="C196" s="77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101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219"/>
      <c r="R196" s="219"/>
      <c r="S196" s="219"/>
    </row>
    <row r="197" spans="1:19">
      <c r="A197" s="128" t="s">
        <v>78</v>
      </c>
      <c r="B197" s="129">
        <v>1685500</v>
      </c>
      <c r="C197" s="77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101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241"/>
      <c r="R197" s="242"/>
      <c r="S197" s="243"/>
    </row>
    <row r="198" spans="1:19" ht="17.25" thickBot="1">
      <c r="A198" s="133" t="s">
        <v>108</v>
      </c>
      <c r="B198" s="134">
        <v>65080</v>
      </c>
      <c r="C198" s="79">
        <v>-9.0171955799999995E-2</v>
      </c>
      <c r="D198" s="24">
        <v>61560</v>
      </c>
      <c r="E198" s="25">
        <f t="shared" si="106"/>
        <v>-5.4087277197295634E-2</v>
      </c>
      <c r="F198" s="104">
        <f>IF(ISNUMBER(D198), $B199 * E198, "")</f>
        <v>-8113.0915795943447</v>
      </c>
      <c r="G198" s="102">
        <v>62840</v>
      </c>
      <c r="H198" s="25">
        <f t="shared" si="107"/>
        <v>-3.4419176398279044E-2</v>
      </c>
      <c r="I198" s="103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4">
        <f>IF(ISNUMBER(J198), $B199 * K198, "")</f>
        <v>-4102.6429010448683</v>
      </c>
      <c r="M198" s="102">
        <v>61790</v>
      </c>
      <c r="N198" s="25">
        <f t="shared" si="109"/>
        <v>-5.0553165334972339E-2</v>
      </c>
      <c r="O198" s="104">
        <f>IF(ISNUMBER(M198), $B199 * N198, "")</f>
        <v>-7582.9748002458509</v>
      </c>
      <c r="Q198" s="244"/>
      <c r="R198" s="245"/>
      <c r="S198" s="246"/>
    </row>
    <row r="199" spans="1:19" ht="17.25" thickBot="1">
      <c r="A199" s="135" t="s">
        <v>301</v>
      </c>
      <c r="B199" s="252">
        <f>$B$37</f>
        <v>150000</v>
      </c>
      <c r="C199" s="253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44325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20" t="s">
        <v>3</v>
      </c>
      <c r="B2" s="199" t="s">
        <v>8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376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21" t="s">
        <v>7</v>
      </c>
      <c r="B3" s="205" t="s">
        <v>384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209"/>
      <c r="I3" s="210"/>
      <c r="J3" s="4" t="s">
        <v>7</v>
      </c>
      <c r="K3" s="205" t="s">
        <v>377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05" t="s">
        <v>16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378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05" t="s">
        <v>374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209"/>
      <c r="I5" s="210"/>
      <c r="J5" s="4" t="s">
        <v>15</v>
      </c>
      <c r="K5" s="205" t="s">
        <v>379</v>
      </c>
      <c r="L5" s="206"/>
      <c r="M5" s="206"/>
      <c r="N5" s="206"/>
      <c r="O5" s="207"/>
    </row>
    <row r="6" spans="1:19">
      <c r="A6" s="121" t="s">
        <v>18</v>
      </c>
      <c r="B6" s="205"/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380</v>
      </c>
      <c r="L6" s="206"/>
      <c r="M6" s="206"/>
      <c r="N6" s="206"/>
      <c r="O6" s="207"/>
    </row>
    <row r="7" spans="1:19" ht="17.25" thickBot="1">
      <c r="A7" s="121" t="s">
        <v>21</v>
      </c>
      <c r="B7" s="205"/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209"/>
      <c r="I7" s="210"/>
      <c r="J7" s="4" t="s">
        <v>21</v>
      </c>
      <c r="K7" s="205" t="s">
        <v>381</v>
      </c>
      <c r="L7" s="206"/>
      <c r="M7" s="206"/>
      <c r="N7" s="206"/>
      <c r="O7" s="207"/>
    </row>
    <row r="8" spans="1:19" ht="17.25" thickBot="1">
      <c r="A8" s="121" t="s">
        <v>24</v>
      </c>
      <c r="B8" s="205"/>
      <c r="C8" s="206"/>
      <c r="D8" s="206"/>
      <c r="E8" s="206"/>
      <c r="F8" s="207"/>
      <c r="G8" s="202" t="s">
        <v>285</v>
      </c>
      <c r="H8" s="203"/>
      <c r="I8" s="204"/>
      <c r="J8" s="4" t="s">
        <v>24</v>
      </c>
      <c r="K8" s="205"/>
      <c r="L8" s="206"/>
      <c r="M8" s="206"/>
      <c r="N8" s="206"/>
      <c r="O8" s="207"/>
      <c r="Q8" s="193" t="s">
        <v>27</v>
      </c>
      <c r="R8" s="195"/>
    </row>
    <row r="9" spans="1:19" ht="17.25" thickBot="1">
      <c r="A9" s="121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209"/>
      <c r="I9" s="210"/>
      <c r="J9" s="4" t="s">
        <v>28</v>
      </c>
      <c r="K9" s="205"/>
      <c r="L9" s="206"/>
      <c r="M9" s="206"/>
      <c r="N9" s="206"/>
      <c r="O9" s="207"/>
      <c r="Q9" s="2" t="s">
        <v>29</v>
      </c>
      <c r="R9" s="6">
        <v>10</v>
      </c>
    </row>
    <row r="10" spans="1:19">
      <c r="A10" s="121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 t="s">
        <v>382</v>
      </c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22" t="s">
        <v>32</v>
      </c>
      <c r="B11" s="211" t="s">
        <v>383</v>
      </c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209"/>
      <c r="I11" s="210"/>
      <c r="J11" s="7" t="s">
        <v>32</v>
      </c>
      <c r="K11" s="211" t="s">
        <v>373</v>
      </c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75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72158000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9.1322285000000007E-3</v>
      </c>
      <c r="N14" s="224"/>
      <c r="O14" s="225"/>
      <c r="Q14" s="214"/>
      <c r="R14" s="214"/>
      <c r="S14" s="214"/>
    </row>
    <row r="15" spans="1:19" ht="17.25" customHeight="1" thickBot="1">
      <c r="A15" s="258" t="s">
        <v>39</v>
      </c>
      <c r="B15" s="259" t="str">
        <f>TEXT($G$1, "[$-ko-KR]yyyy-mm-dd(ddd) ") &amp; "오전 00:00"</f>
        <v>2021-05-09(일) 오전 00:00</v>
      </c>
      <c r="C15" s="260"/>
      <c r="D15" s="216" t="str">
        <f>TEXT($G$1, "[$-ko-KR]yyyy-mm-dd(ddd) ") &amp; "오후 14:00"</f>
        <v>2021-05-09(일) 오후 14:00</v>
      </c>
      <c r="E15" s="217"/>
      <c r="F15" s="218"/>
      <c r="G15" s="216" t="str">
        <f>TEXT($G$1, "[$-ko-KR]yyyy-mm-dd(ddd) ") &amp; "오후 19:00"</f>
        <v>2021-05-09(일) 오후 19:00</v>
      </c>
      <c r="H15" s="217"/>
      <c r="I15" s="218"/>
      <c r="J15" s="216" t="str">
        <f>TEXT($G$1, "[$-ko-KR]yyyy-mm-dd(ddd) ") &amp; "오후 21:00"</f>
        <v>2021-05-09(일) 오후 21:00</v>
      </c>
      <c r="K15" s="217"/>
      <c r="L15" s="218"/>
      <c r="M15" s="216" t="str">
        <f>TEXT($G$1+1, "[$-ko-KR]yyyy-mm-dd(ddd) ") &amp; "오전 00:00"</f>
        <v>2021-05-10(월) 오전 00:00</v>
      </c>
      <c r="N15" s="217"/>
      <c r="O15" s="218"/>
      <c r="Q15" s="214"/>
      <c r="R15" s="214"/>
      <c r="S15" s="214"/>
    </row>
    <row r="16" spans="1:19" ht="17.25" customHeight="1" thickBot="1">
      <c r="A16" s="258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76" t="s">
        <v>37</v>
      </c>
      <c r="H16" s="177" t="s">
        <v>40</v>
      </c>
      <c r="I16" s="17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6" t="s">
        <v>385</v>
      </c>
      <c r="B17" s="127">
        <f>IF(NOT(ISBLANK(_xlfn.IFNA(VLOOKUP($A17, $A$40:$O$199, 2, FALSE), ))), _xlfn.IFNA(VLOOKUP($A17, $A$40:$O$199, 2, FALSE), ), "")</f>
        <v>4675</v>
      </c>
      <c r="C17" s="76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100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214"/>
      <c r="R17" s="214"/>
      <c r="S17" s="214"/>
    </row>
    <row r="18" spans="1:19" ht="17.25" customHeight="1" thickBot="1">
      <c r="A18" s="128" t="s">
        <v>386</v>
      </c>
      <c r="B18" s="129">
        <f t="shared" ref="B18:B36" si="0">IF(NOT(ISBLANK(_xlfn.IFNA(VLOOKUP($A18, $A$40:$O$199, 2, FALSE), ))), _xlfn.IFNA(VLOOKUP($A18, $A$40:$O$199, 2, FALSE), ), "")</f>
        <v>1555</v>
      </c>
      <c r="C18" s="77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101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214"/>
      <c r="R18" s="214"/>
      <c r="S18" s="214"/>
    </row>
    <row r="19" spans="1:19" ht="17.25" customHeight="1" thickBot="1">
      <c r="A19" s="128" t="s">
        <v>387</v>
      </c>
      <c r="B19" s="129">
        <f t="shared" si="0"/>
        <v>567</v>
      </c>
      <c r="C19" s="77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101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219"/>
      <c r="R19" s="219"/>
      <c r="S19" s="219"/>
    </row>
    <row r="20" spans="1:19" ht="17.25" customHeight="1" thickBot="1">
      <c r="A20" s="128" t="s">
        <v>362</v>
      </c>
      <c r="B20" s="129">
        <f t="shared" si="0"/>
        <v>5600</v>
      </c>
      <c r="C20" s="77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101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219"/>
      <c r="R20" s="219"/>
      <c r="S20" s="219"/>
    </row>
    <row r="21" spans="1:19" ht="17.25" customHeight="1" thickBot="1">
      <c r="A21" s="130" t="s">
        <v>388</v>
      </c>
      <c r="B21" s="131">
        <f t="shared" si="0"/>
        <v>14800</v>
      </c>
      <c r="C21" s="78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5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219"/>
      <c r="R21" s="219"/>
      <c r="S21" s="219"/>
    </row>
    <row r="22" spans="1:19" ht="17.25" customHeight="1" thickBot="1">
      <c r="A22" s="128" t="s">
        <v>389</v>
      </c>
      <c r="B22" s="132">
        <f t="shared" si="0"/>
        <v>13000</v>
      </c>
      <c r="C22" s="80">
        <f t="shared" si="1"/>
        <v>6.9078947399999993E-2</v>
      </c>
      <c r="D22" s="106">
        <f t="shared" si="2"/>
        <v>12780</v>
      </c>
      <c r="E22" s="107">
        <f t="shared" si="3"/>
        <v>-1.6923076923076923E-2</v>
      </c>
      <c r="F22" s="108">
        <f t="shared" si="4"/>
        <v>-2538.4615384615386</v>
      </c>
      <c r="G22" s="109">
        <f t="shared" si="5"/>
        <v>12640</v>
      </c>
      <c r="H22" s="107">
        <f t="shared" si="6"/>
        <v>-2.7692307692307693E-2</v>
      </c>
      <c r="I22" s="110">
        <f t="shared" si="7"/>
        <v>-4153.8461538461543</v>
      </c>
      <c r="J22" s="106">
        <f t="shared" si="8"/>
        <v>12500</v>
      </c>
      <c r="K22" s="107">
        <f t="shared" si="9"/>
        <v>-3.8461538461538464E-2</v>
      </c>
      <c r="L22" s="108">
        <f t="shared" si="10"/>
        <v>-5769.2307692307695</v>
      </c>
      <c r="M22" s="109">
        <f t="shared" si="11"/>
        <v>12440</v>
      </c>
      <c r="N22" s="107">
        <f t="shared" si="12"/>
        <v>-4.3076923076923075E-2</v>
      </c>
      <c r="O22" s="108">
        <f t="shared" si="13"/>
        <v>-6461.538461538461</v>
      </c>
      <c r="Q22" s="219"/>
      <c r="R22" s="219"/>
      <c r="S22" s="219"/>
    </row>
    <row r="23" spans="1:19" ht="17.25" customHeight="1" thickBot="1">
      <c r="A23" s="128" t="s">
        <v>390</v>
      </c>
      <c r="B23" s="129">
        <f t="shared" si="0"/>
        <v>5075</v>
      </c>
      <c r="C23" s="77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101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219"/>
      <c r="R23" s="219"/>
      <c r="S23" s="219"/>
    </row>
    <row r="24" spans="1:19" ht="17.25" customHeight="1" thickBot="1">
      <c r="A24" s="128" t="s">
        <v>391</v>
      </c>
      <c r="B24" s="129">
        <f t="shared" si="0"/>
        <v>8320</v>
      </c>
      <c r="C24" s="77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101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219"/>
      <c r="R24" s="219"/>
      <c r="S24" s="219"/>
    </row>
    <row r="25" spans="1:19" ht="17.25" customHeight="1" thickBot="1">
      <c r="A25" s="128" t="s">
        <v>392</v>
      </c>
      <c r="B25" s="129">
        <f t="shared" si="0"/>
        <v>4381000</v>
      </c>
      <c r="C25" s="77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101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33" t="s">
        <v>359</v>
      </c>
      <c r="B26" s="134">
        <f t="shared" si="0"/>
        <v>3045</v>
      </c>
      <c r="C26" s="79">
        <f t="shared" si="1"/>
        <v>0.05</v>
      </c>
      <c r="D26" s="24">
        <f t="shared" si="2"/>
        <v>2940</v>
      </c>
      <c r="E26" s="25">
        <f t="shared" si="3"/>
        <v>-3.4482758620689655E-2</v>
      </c>
      <c r="F26" s="104">
        <f t="shared" si="4"/>
        <v>-5172.4137931034484</v>
      </c>
      <c r="G26" s="102">
        <f t="shared" si="5"/>
        <v>2820</v>
      </c>
      <c r="H26" s="25">
        <f t="shared" si="6"/>
        <v>-7.3891625615763554E-2</v>
      </c>
      <c r="I26" s="103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4">
        <f t="shared" si="10"/>
        <v>-13546.79802955665</v>
      </c>
      <c r="M26" s="102">
        <f t="shared" si="11"/>
        <v>2785</v>
      </c>
      <c r="N26" s="25">
        <f t="shared" si="12"/>
        <v>-8.5385878489326772E-2</v>
      </c>
      <c r="O26" s="104">
        <f t="shared" si="13"/>
        <v>-12807.881773399016</v>
      </c>
      <c r="Q26" s="228"/>
      <c r="R26" s="229"/>
      <c r="S26" s="230"/>
    </row>
    <row r="27" spans="1:19" ht="17.25" customHeight="1">
      <c r="A27" s="126" t="s">
        <v>393</v>
      </c>
      <c r="B27" s="127">
        <f t="shared" si="0"/>
        <v>2795</v>
      </c>
      <c r="C27" s="76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100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231"/>
      <c r="R27" s="232"/>
      <c r="S27" s="233"/>
    </row>
    <row r="28" spans="1:19" ht="17.25" customHeight="1" thickBot="1">
      <c r="A28" s="128" t="s">
        <v>394</v>
      </c>
      <c r="B28" s="129">
        <f t="shared" si="0"/>
        <v>9800</v>
      </c>
      <c r="C28" s="77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101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234"/>
      <c r="R28" s="235"/>
      <c r="S28" s="236"/>
    </row>
    <row r="29" spans="1:19" ht="17.25" customHeight="1" thickBot="1">
      <c r="A29" s="128" t="s">
        <v>395</v>
      </c>
      <c r="B29" s="129">
        <f t="shared" si="0"/>
        <v>722</v>
      </c>
      <c r="C29" s="77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101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219"/>
      <c r="R29" s="219"/>
      <c r="S29" s="219"/>
    </row>
    <row r="30" spans="1:19" ht="17.25" customHeight="1" thickBot="1">
      <c r="A30" s="128" t="s">
        <v>396</v>
      </c>
      <c r="B30" s="129">
        <f t="shared" si="0"/>
        <v>1905</v>
      </c>
      <c r="C30" s="77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101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214"/>
      <c r="R30" s="214"/>
      <c r="S30" s="214"/>
    </row>
    <row r="31" spans="1:19" ht="17.25" customHeight="1" thickBot="1">
      <c r="A31" s="130" t="s">
        <v>397</v>
      </c>
      <c r="B31" s="131">
        <f t="shared" si="0"/>
        <v>3805</v>
      </c>
      <c r="C31" s="78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5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214"/>
      <c r="R31" s="214"/>
      <c r="S31" s="214"/>
    </row>
    <row r="32" spans="1:19" ht="17.25" customHeight="1" thickBot="1">
      <c r="A32" s="128" t="s">
        <v>398</v>
      </c>
      <c r="B32" s="132">
        <f t="shared" si="0"/>
        <v>746</v>
      </c>
      <c r="C32" s="80">
        <f t="shared" si="1"/>
        <v>4.4817927200000003E-2</v>
      </c>
      <c r="D32" s="106">
        <f t="shared" si="2"/>
        <v>723</v>
      </c>
      <c r="E32" s="107">
        <f t="shared" si="3"/>
        <v>-3.0831099195710455E-2</v>
      </c>
      <c r="F32" s="108">
        <f t="shared" si="4"/>
        <v>-4624.6648793565682</v>
      </c>
      <c r="G32" s="109">
        <f t="shared" si="5"/>
        <v>718</v>
      </c>
      <c r="H32" s="107">
        <f t="shared" si="6"/>
        <v>-3.7533512064343161E-2</v>
      </c>
      <c r="I32" s="110">
        <f t="shared" si="7"/>
        <v>-5630.0268096514737</v>
      </c>
      <c r="J32" s="106">
        <f t="shared" si="8"/>
        <v>713</v>
      </c>
      <c r="K32" s="107">
        <f t="shared" si="9"/>
        <v>-4.4235924932975873E-2</v>
      </c>
      <c r="L32" s="108">
        <f t="shared" si="10"/>
        <v>-6635.3887399463811</v>
      </c>
      <c r="M32" s="109">
        <f t="shared" si="11"/>
        <v>715</v>
      </c>
      <c r="N32" s="107">
        <f t="shared" si="12"/>
        <v>-4.1554959785522788E-2</v>
      </c>
      <c r="O32" s="108">
        <f t="shared" si="13"/>
        <v>-6233.2439678284181</v>
      </c>
      <c r="Q32" s="219"/>
      <c r="R32" s="219"/>
      <c r="S32" s="219"/>
    </row>
    <row r="33" spans="1:19" ht="17.25" customHeight="1" thickBot="1">
      <c r="A33" s="128" t="s">
        <v>399</v>
      </c>
      <c r="B33" s="129">
        <f t="shared" si="0"/>
        <v>857</v>
      </c>
      <c r="C33" s="77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101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219"/>
      <c r="R33" s="219"/>
      <c r="S33" s="219"/>
    </row>
    <row r="34" spans="1:19" ht="17.25" customHeight="1" thickBot="1">
      <c r="A34" s="128" t="s">
        <v>400</v>
      </c>
      <c r="B34" s="129">
        <f t="shared" si="0"/>
        <v>617</v>
      </c>
      <c r="C34" s="77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101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219"/>
      <c r="R34" s="219"/>
      <c r="S34" s="219"/>
    </row>
    <row r="35" spans="1:19" ht="17.25" customHeight="1">
      <c r="A35" s="128" t="s">
        <v>401</v>
      </c>
      <c r="B35" s="129">
        <f t="shared" si="0"/>
        <v>1755</v>
      </c>
      <c r="C35" s="77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101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241"/>
      <c r="R35" s="242"/>
      <c r="S35" s="243"/>
    </row>
    <row r="36" spans="1:19" ht="17.25" customHeight="1" thickBot="1">
      <c r="A36" s="133" t="s">
        <v>402</v>
      </c>
      <c r="B36" s="134">
        <f t="shared" si="0"/>
        <v>282</v>
      </c>
      <c r="C36" s="79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4">
        <f t="shared" si="4"/>
        <v>-3723.4042553191489</v>
      </c>
      <c r="G36" s="102">
        <f t="shared" si="5"/>
        <v>279</v>
      </c>
      <c r="H36" s="25">
        <f t="shared" si="6"/>
        <v>-1.0638297872340425E-2</v>
      </c>
      <c r="I36" s="103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4">
        <f t="shared" si="10"/>
        <v>-3191.4893617021276</v>
      </c>
      <c r="M36" s="102">
        <f t="shared" si="11"/>
        <v>276</v>
      </c>
      <c r="N36" s="25">
        <f t="shared" si="12"/>
        <v>-2.1276595744680851E-2</v>
      </c>
      <c r="O36" s="104">
        <f t="shared" si="13"/>
        <v>-3191.4893617021276</v>
      </c>
      <c r="Q36" s="244"/>
      <c r="R36" s="245"/>
      <c r="S36" s="246"/>
    </row>
    <row r="37" spans="1:19" ht="17.25" customHeight="1" thickBot="1">
      <c r="A37" s="135" t="s">
        <v>42</v>
      </c>
      <c r="B37" s="252">
        <v>150000</v>
      </c>
      <c r="C37" s="253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75" t="s">
        <v>298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72158000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9.1322285000000007E-3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2021-05-09(일) 오전 00:00</v>
      </c>
      <c r="C42" s="257"/>
      <c r="D42" s="216" t="str">
        <f>TEXT($G$1, "[$-ko-KR]yyyy-mm-dd(ddd) ") &amp; "오후 14:00"</f>
        <v>2021-05-09(일) 오후 14:00</v>
      </c>
      <c r="E42" s="217"/>
      <c r="F42" s="218"/>
      <c r="G42" s="216" t="str">
        <f>TEXT($G$1, "[$-ko-KR]yyyy-mm-dd(ddd) ") &amp; "오후 19:00"</f>
        <v>2021-05-09(일) 오후 19:00</v>
      </c>
      <c r="H42" s="217"/>
      <c r="I42" s="218"/>
      <c r="J42" s="216" t="str">
        <f>TEXT($G$1, "[$-ko-KR]yyyy-mm-dd(ddd) ") &amp; "오후 21:00"</f>
        <v>2021-05-09(일) 오후 21:00</v>
      </c>
      <c r="K42" s="217"/>
      <c r="L42" s="218"/>
      <c r="M42" s="216" t="str">
        <f>TEXT($G$1+1, "[$-ko-KR]yyyy-mm-dd(ddd) ") &amp; "오전 00:00"</f>
        <v>2021-05-10(월)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219"/>
      <c r="R43" s="219"/>
      <c r="S43" s="219"/>
    </row>
    <row r="44" spans="1:19" ht="17.25" customHeight="1" thickBot="1">
      <c r="A44" s="126" t="s">
        <v>154</v>
      </c>
      <c r="B44" s="127">
        <v>21.5</v>
      </c>
      <c r="C44" s="76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100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214"/>
      <c r="R44" s="214"/>
      <c r="S44" s="214"/>
    </row>
    <row r="45" spans="1:19" ht="17.25" customHeight="1" thickBot="1">
      <c r="A45" s="128" t="s">
        <v>172</v>
      </c>
      <c r="B45" s="129">
        <v>25.1</v>
      </c>
      <c r="C45" s="77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101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214"/>
      <c r="R45" s="214"/>
      <c r="S45" s="214"/>
    </row>
    <row r="46" spans="1:19" ht="17.25" customHeight="1" thickBot="1">
      <c r="A46" s="128" t="s">
        <v>186</v>
      </c>
      <c r="B46" s="129">
        <v>25.2</v>
      </c>
      <c r="C46" s="77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101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219"/>
      <c r="R46" s="219"/>
      <c r="S46" s="219"/>
    </row>
    <row r="47" spans="1:19" ht="17.25" customHeight="1" thickBot="1">
      <c r="A47" s="128" t="s">
        <v>126</v>
      </c>
      <c r="B47" s="129">
        <v>60.6</v>
      </c>
      <c r="C47" s="77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101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219"/>
      <c r="R47" s="219"/>
      <c r="S47" s="219"/>
    </row>
    <row r="48" spans="1:19" ht="17.25" customHeight="1" thickBot="1">
      <c r="A48" s="130" t="s">
        <v>196</v>
      </c>
      <c r="B48" s="131">
        <v>20.5</v>
      </c>
      <c r="C48" s="78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5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219"/>
      <c r="R48" s="219"/>
      <c r="S48" s="219"/>
    </row>
    <row r="49" spans="1:19" ht="17.25" customHeight="1" thickBot="1">
      <c r="A49" s="128" t="s">
        <v>100</v>
      </c>
      <c r="B49" s="132">
        <v>9.2200000000000006</v>
      </c>
      <c r="C49" s="80">
        <v>-3.2432431999999999E-3</v>
      </c>
      <c r="D49" s="106">
        <v>8.9600000000000009</v>
      </c>
      <c r="E49" s="107">
        <f>IF(ISNUMBER(D49), (D49 - $B49) / $B49, "")</f>
        <v>-2.8199566160520582E-2</v>
      </c>
      <c r="F49" s="108">
        <f>IF(ISNUMBER(D49), $B64 * E49, "")</f>
        <v>-4229.9349240780875</v>
      </c>
      <c r="G49" s="109">
        <v>8.7899999999999991</v>
      </c>
      <c r="H49" s="107">
        <f>IF(ISNUMBER(G49), (G49 - $B49) / $B49, "")</f>
        <v>-4.6637744034707315E-2</v>
      </c>
      <c r="I49" s="110">
        <f>IF(ISNUMBER(G49), $B64 * H49, "")</f>
        <v>-6995.6616052060972</v>
      </c>
      <c r="J49" s="106">
        <v>8.66</v>
      </c>
      <c r="K49" s="107">
        <f>IF(ISNUMBER(J49), (J49 - $B49) / $B49, "")</f>
        <v>-6.0737527114967514E-2</v>
      </c>
      <c r="L49" s="108">
        <f>IF(ISNUMBER(J49), $B64 * K49, "")</f>
        <v>-9110.6290672451269</v>
      </c>
      <c r="M49" s="109">
        <v>8.7200000000000006</v>
      </c>
      <c r="N49" s="107">
        <f>IF(ISNUMBER(M49), (M49 - $B49) / $B49, "")</f>
        <v>-5.4229934924078085E-2</v>
      </c>
      <c r="O49" s="108">
        <f>IF(ISNUMBER(M49), $B64 * N49, "")</f>
        <v>-8134.4902386117128</v>
      </c>
      <c r="Q49" s="219"/>
      <c r="R49" s="219"/>
      <c r="S49" s="219"/>
    </row>
    <row r="50" spans="1:19" ht="17.25" customHeight="1" thickBot="1">
      <c r="A50" s="128" t="s">
        <v>65</v>
      </c>
      <c r="B50" s="129">
        <v>79.5</v>
      </c>
      <c r="C50" s="77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101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219"/>
      <c r="R50" s="219"/>
      <c r="S50" s="219"/>
    </row>
    <row r="51" spans="1:19" ht="17.25" customHeight="1" thickBot="1">
      <c r="A51" s="128" t="s">
        <v>220</v>
      </c>
      <c r="B51" s="129">
        <v>20.399999999999999</v>
      </c>
      <c r="C51" s="77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101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219"/>
      <c r="R51" s="219"/>
      <c r="S51" s="219"/>
    </row>
    <row r="52" spans="1:19" ht="17.25" customHeight="1" thickBot="1">
      <c r="A52" s="128" t="s">
        <v>72</v>
      </c>
      <c r="B52" s="129">
        <v>38.799999999999997</v>
      </c>
      <c r="C52" s="77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101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33" t="s">
        <v>266</v>
      </c>
      <c r="B53" s="134">
        <v>92.4</v>
      </c>
      <c r="C53" s="79">
        <v>-1.2820512799999999E-2</v>
      </c>
      <c r="D53" s="24">
        <v>91.8</v>
      </c>
      <c r="E53" s="25">
        <f t="shared" si="18"/>
        <v>-6.493506493506585E-3</v>
      </c>
      <c r="F53" s="104">
        <f>IF(ISNUMBER(D53), $B64 * E53, "")</f>
        <v>-974.02597402598781</v>
      </c>
      <c r="G53" s="102">
        <v>90.3</v>
      </c>
      <c r="H53" s="25">
        <f t="shared" si="19"/>
        <v>-2.2727272727272818E-2</v>
      </c>
      <c r="I53" s="103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4">
        <f>IF(ISNUMBER(J53), $B64 * K53, "")</f>
        <v>-3409.0909090909227</v>
      </c>
      <c r="M53" s="102">
        <v>89.9</v>
      </c>
      <c r="N53" s="25">
        <f t="shared" si="21"/>
        <v>-2.7056277056277056E-2</v>
      </c>
      <c r="O53" s="104">
        <f>IF(ISNUMBER(M53), $B64 * N53, "")</f>
        <v>-4058.4415584415583</v>
      </c>
      <c r="Q53" s="228"/>
      <c r="R53" s="229"/>
      <c r="S53" s="230"/>
    </row>
    <row r="54" spans="1:19" ht="17.25" customHeight="1">
      <c r="A54" s="126" t="s">
        <v>268</v>
      </c>
      <c r="B54" s="127">
        <v>92.3</v>
      </c>
      <c r="C54" s="76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100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231"/>
      <c r="R54" s="232"/>
      <c r="S54" s="233"/>
    </row>
    <row r="55" spans="1:19" ht="17.25" customHeight="1" thickBot="1">
      <c r="A55" s="128" t="s">
        <v>228</v>
      </c>
      <c r="B55" s="129">
        <v>18.2</v>
      </c>
      <c r="C55" s="77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101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234"/>
      <c r="R55" s="235"/>
      <c r="S55" s="236"/>
    </row>
    <row r="56" spans="1:19" ht="17.25" customHeight="1" thickBot="1">
      <c r="A56" s="128" t="s">
        <v>236</v>
      </c>
      <c r="B56" s="129">
        <v>67.400000000000006</v>
      </c>
      <c r="C56" s="77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101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219"/>
      <c r="R56" s="219"/>
      <c r="S56" s="219"/>
    </row>
    <row r="57" spans="1:19" ht="17.25" customHeight="1" thickBot="1">
      <c r="A57" s="128" t="s">
        <v>222</v>
      </c>
      <c r="B57" s="129">
        <v>18.600000000000001</v>
      </c>
      <c r="C57" s="77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101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214"/>
      <c r="R57" s="214"/>
      <c r="S57" s="214"/>
    </row>
    <row r="58" spans="1:19" ht="17.25" customHeight="1" thickBot="1">
      <c r="A58" s="130" t="s">
        <v>218</v>
      </c>
      <c r="B58" s="131">
        <v>27.9</v>
      </c>
      <c r="C58" s="78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5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214"/>
      <c r="R58" s="214"/>
      <c r="S58" s="214"/>
    </row>
    <row r="59" spans="1:19" ht="17.25" customHeight="1" thickBot="1">
      <c r="A59" s="128" t="s">
        <v>254</v>
      </c>
      <c r="B59" s="132">
        <v>83.8</v>
      </c>
      <c r="C59" s="80">
        <v>-2.6713124299999998E-2</v>
      </c>
      <c r="D59" s="106">
        <v>81.400000000000006</v>
      </c>
      <c r="E59" s="107">
        <f>IF(ISNUMBER(D59), (D59 - $B59) / $B59, "")</f>
        <v>-2.8639618138424722E-2</v>
      </c>
      <c r="F59" s="108">
        <f>IF(ISNUMBER(D59), $B64 * E59, "")</f>
        <v>-4295.9427207637082</v>
      </c>
      <c r="G59" s="109">
        <v>80.2</v>
      </c>
      <c r="H59" s="107">
        <f>IF(ISNUMBER(G59), (G59 - $B59) / $B59, "")</f>
        <v>-4.2959427207637166E-2</v>
      </c>
      <c r="I59" s="110">
        <f>IF(ISNUMBER(G59), $B64 * H59, "")</f>
        <v>-6443.9140811455745</v>
      </c>
      <c r="J59" s="106">
        <v>78.900000000000006</v>
      </c>
      <c r="K59" s="107">
        <f>IF(ISNUMBER(J59), (J59 - $B59) / $B59, "")</f>
        <v>-5.8472553699283912E-2</v>
      </c>
      <c r="L59" s="108">
        <f>IF(ISNUMBER(J59), $B64 * K59, "")</f>
        <v>-8770.8830548925871</v>
      </c>
      <c r="M59" s="109">
        <v>80.3</v>
      </c>
      <c r="N59" s="107">
        <f>IF(ISNUMBER(M59), (M59 - $B59) / $B59, "")</f>
        <v>-4.1766109785202864E-2</v>
      </c>
      <c r="O59" s="108">
        <f>IF(ISNUMBER(M59), $B64 * N59, "")</f>
        <v>-6264.9164677804292</v>
      </c>
      <c r="Q59" s="219"/>
      <c r="R59" s="219"/>
      <c r="S59" s="219"/>
    </row>
    <row r="60" spans="1:19" ht="17.25" customHeight="1" thickBot="1">
      <c r="A60" s="128" t="s">
        <v>214</v>
      </c>
      <c r="B60" s="129">
        <v>21.6</v>
      </c>
      <c r="C60" s="77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101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219"/>
      <c r="R60" s="219"/>
      <c r="S60" s="219"/>
    </row>
    <row r="61" spans="1:19" ht="17.25" customHeight="1" thickBot="1">
      <c r="A61" s="128" t="s">
        <v>152</v>
      </c>
      <c r="B61" s="129">
        <v>49.7</v>
      </c>
      <c r="C61" s="77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101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219"/>
      <c r="R61" s="219"/>
      <c r="S61" s="219"/>
    </row>
    <row r="62" spans="1:19" ht="17.25" customHeight="1">
      <c r="A62" s="128" t="s">
        <v>198</v>
      </c>
      <c r="B62" s="129">
        <v>27.7</v>
      </c>
      <c r="C62" s="77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101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241"/>
      <c r="R62" s="242"/>
      <c r="S62" s="243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5" t="s">
        <v>301</v>
      </c>
      <c r="B64" s="252">
        <f>$B$37</f>
        <v>150000</v>
      </c>
      <c r="C64" s="253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75" t="s">
        <v>298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72158000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9.1322285000000007E-3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2021-05-09(일) 오전 00:00</v>
      </c>
      <c r="C69" s="257"/>
      <c r="D69" s="216" t="str">
        <f>TEXT($G$1, "[$-ko-KR]yyyy-mm-dd(ddd) ") &amp; "오후 14:00"</f>
        <v>2021-05-09(일) 오후 14:00</v>
      </c>
      <c r="E69" s="217"/>
      <c r="F69" s="218"/>
      <c r="G69" s="216" t="str">
        <f>TEXT($G$1, "[$-ko-KR]yyyy-mm-dd(ddd) ") &amp; "오후 19:00"</f>
        <v>2021-05-09(일) 오후 19:00</v>
      </c>
      <c r="H69" s="217"/>
      <c r="I69" s="218"/>
      <c r="J69" s="216" t="str">
        <f>TEXT($G$1, "[$-ko-KR]yyyy-mm-dd(ddd) ") &amp; "오후 21:00"</f>
        <v>2021-05-09(일) 오후 21:00</v>
      </c>
      <c r="K69" s="217"/>
      <c r="L69" s="218"/>
      <c r="M69" s="216" t="str">
        <f>TEXT($G$1+1, "[$-ko-KR]yyyy-mm-dd(ddd) ") &amp; "오전 00:00"</f>
        <v>2021-05-10(월) 오전 00:00</v>
      </c>
      <c r="N69" s="217"/>
      <c r="O69" s="218"/>
      <c r="Q69" s="214"/>
      <c r="R69" s="214"/>
      <c r="S69" s="214"/>
    </row>
    <row r="70" spans="1:19" ht="17.25" thickBot="1">
      <c r="A70" s="255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219"/>
      <c r="R70" s="219"/>
      <c r="S70" s="219"/>
    </row>
    <row r="71" spans="1:19" ht="17.25" thickBot="1">
      <c r="A71" s="126" t="s">
        <v>182</v>
      </c>
      <c r="B71" s="127">
        <v>567</v>
      </c>
      <c r="C71" s="76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100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214"/>
      <c r="R71" s="214"/>
      <c r="S71" s="214"/>
    </row>
    <row r="72" spans="1:19" ht="17.25" thickBot="1">
      <c r="A72" s="128" t="s">
        <v>128</v>
      </c>
      <c r="B72" s="129">
        <v>746</v>
      </c>
      <c r="C72" s="77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101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214"/>
      <c r="R72" s="214"/>
      <c r="S72" s="214"/>
    </row>
    <row r="73" spans="1:19" ht="17.25" thickBot="1">
      <c r="A73" s="128" t="s">
        <v>258</v>
      </c>
      <c r="B73" s="129">
        <v>722</v>
      </c>
      <c r="C73" s="77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101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219"/>
      <c r="R73" s="219"/>
      <c r="S73" s="219"/>
    </row>
    <row r="74" spans="1:19" ht="17.25" thickBot="1">
      <c r="A74" s="128" t="s">
        <v>136</v>
      </c>
      <c r="B74" s="129">
        <v>282</v>
      </c>
      <c r="C74" s="77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101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219"/>
      <c r="R74" s="219"/>
      <c r="S74" s="219"/>
    </row>
    <row r="75" spans="1:19" ht="17.25" thickBot="1">
      <c r="A75" s="130" t="s">
        <v>296</v>
      </c>
      <c r="B75" s="131">
        <v>857</v>
      </c>
      <c r="C75" s="78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5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219"/>
      <c r="R75" s="219"/>
      <c r="S75" s="219"/>
    </row>
    <row r="76" spans="1:19" ht="17.25" thickBot="1">
      <c r="A76" s="128" t="s">
        <v>284</v>
      </c>
      <c r="B76" s="132">
        <v>534</v>
      </c>
      <c r="C76" s="80">
        <v>2.89017341E-2</v>
      </c>
      <c r="D76" s="106">
        <v>525</v>
      </c>
      <c r="E76" s="107">
        <f>IF(ISNUMBER(D76), (D76 - $B76) / $B76, "")</f>
        <v>-1.6853932584269662E-2</v>
      </c>
      <c r="F76" s="108">
        <f>IF(ISNUMBER(D76), $B91 * E76, "")</f>
        <v>-2528.0898876404494</v>
      </c>
      <c r="G76" s="109">
        <v>525</v>
      </c>
      <c r="H76" s="107">
        <f>IF(ISNUMBER(G76), (G76 - $B76) / $B76, "")</f>
        <v>-1.6853932584269662E-2</v>
      </c>
      <c r="I76" s="110">
        <f>IF(ISNUMBER(G76), $B91 * H76, "")</f>
        <v>-2528.0898876404494</v>
      </c>
      <c r="J76" s="106">
        <v>517</v>
      </c>
      <c r="K76" s="107">
        <f>IF(ISNUMBER(J76), (J76 - $B76) / $B76, "")</f>
        <v>-3.1835205992509365E-2</v>
      </c>
      <c r="L76" s="108">
        <f>IF(ISNUMBER(J76), $B91 * K76, "")</f>
        <v>-4775.2808988764045</v>
      </c>
      <c r="M76" s="109">
        <v>511</v>
      </c>
      <c r="N76" s="107">
        <f>IF(ISNUMBER(M76), (M76 - $B76) / $B76, "")</f>
        <v>-4.307116104868914E-2</v>
      </c>
      <c r="O76" s="108">
        <f>IF(ISNUMBER(M76), $B91 * N76, "")</f>
        <v>-6460.6741573033705</v>
      </c>
      <c r="Q76" s="219"/>
      <c r="R76" s="219"/>
      <c r="S76" s="219"/>
    </row>
    <row r="77" spans="1:19" ht="17.25" thickBot="1">
      <c r="A77" s="128" t="s">
        <v>264</v>
      </c>
      <c r="B77" s="129">
        <v>184</v>
      </c>
      <c r="C77" s="77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101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219"/>
      <c r="R77" s="219"/>
      <c r="S77" s="219"/>
    </row>
    <row r="78" spans="1:19" ht="17.25" thickBot="1">
      <c r="A78" s="128" t="s">
        <v>212</v>
      </c>
      <c r="B78" s="129">
        <v>152</v>
      </c>
      <c r="C78" s="77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101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219"/>
      <c r="R78" s="219"/>
      <c r="S78" s="219"/>
    </row>
    <row r="79" spans="1:19" ht="17.25" thickBot="1">
      <c r="A79" s="128" t="s">
        <v>270</v>
      </c>
      <c r="B79" s="129">
        <v>617</v>
      </c>
      <c r="C79" s="77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101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33" t="s">
        <v>148</v>
      </c>
      <c r="B80" s="134">
        <v>198</v>
      </c>
      <c r="C80" s="79">
        <v>1.5384615399999999E-2</v>
      </c>
      <c r="D80" s="24">
        <v>195</v>
      </c>
      <c r="E80" s="25">
        <f t="shared" si="34"/>
        <v>-1.5151515151515152E-2</v>
      </c>
      <c r="F80" s="104">
        <f>IF(ISNUMBER(D80), $B91 * E80, "")</f>
        <v>-2272.727272727273</v>
      </c>
      <c r="G80" s="102">
        <v>195</v>
      </c>
      <c r="H80" s="25">
        <f t="shared" si="35"/>
        <v>-1.5151515151515152E-2</v>
      </c>
      <c r="I80" s="103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4">
        <f>IF(ISNUMBER(J80), $B91 * K80, "")</f>
        <v>-4545.454545454546</v>
      </c>
      <c r="M80" s="102">
        <v>194</v>
      </c>
      <c r="N80" s="25">
        <f t="shared" si="37"/>
        <v>-2.0202020202020204E-2</v>
      </c>
      <c r="O80" s="104">
        <f>IF(ISNUMBER(M80), $B91 * N80, "")</f>
        <v>-3030.3030303030305</v>
      </c>
      <c r="Q80" s="228"/>
      <c r="R80" s="229"/>
      <c r="S80" s="230"/>
    </row>
    <row r="81" spans="1:19">
      <c r="A81" s="126" t="s">
        <v>116</v>
      </c>
      <c r="B81" s="127">
        <v>665</v>
      </c>
      <c r="C81" s="76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100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231"/>
      <c r="R81" s="232"/>
      <c r="S81" s="233"/>
    </row>
    <row r="82" spans="1:19" ht="17.25" thickBot="1">
      <c r="A82" s="128" t="s">
        <v>120</v>
      </c>
      <c r="B82" s="129">
        <v>228</v>
      </c>
      <c r="C82" s="77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101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234"/>
      <c r="R82" s="235"/>
      <c r="S82" s="236"/>
    </row>
    <row r="83" spans="1:19" ht="17.25" thickBot="1">
      <c r="A83" s="128" t="s">
        <v>250</v>
      </c>
      <c r="B83" s="129">
        <v>211</v>
      </c>
      <c r="C83" s="77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101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219"/>
      <c r="R83" s="219"/>
      <c r="S83" s="219"/>
    </row>
    <row r="84" spans="1:19" ht="17.25" thickBot="1">
      <c r="A84" s="128" t="s">
        <v>156</v>
      </c>
      <c r="B84" s="129">
        <v>178</v>
      </c>
      <c r="C84" s="77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101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214"/>
      <c r="R84" s="214"/>
      <c r="S84" s="214"/>
    </row>
    <row r="85" spans="1:19" ht="17.25" thickBot="1">
      <c r="A85" s="130" t="s">
        <v>278</v>
      </c>
      <c r="B85" s="131">
        <v>171</v>
      </c>
      <c r="C85" s="78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5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214"/>
      <c r="R85" s="214"/>
      <c r="S85" s="214"/>
    </row>
    <row r="86" spans="1:19" ht="17.25" thickBot="1">
      <c r="A86" s="128" t="s">
        <v>202</v>
      </c>
      <c r="B86" s="132">
        <v>206</v>
      </c>
      <c r="C86" s="80">
        <v>0</v>
      </c>
      <c r="D86" s="106">
        <v>204</v>
      </c>
      <c r="E86" s="107">
        <f>IF(ISNUMBER(D86), (D86 - $B86) / $B86, "")</f>
        <v>-9.7087378640776691E-3</v>
      </c>
      <c r="F86" s="108">
        <f>IF(ISNUMBER(D86), $B91 * E86, "")</f>
        <v>-1456.3106796116504</v>
      </c>
      <c r="G86" s="109">
        <v>200</v>
      </c>
      <c r="H86" s="107">
        <f>IF(ISNUMBER(G86), (G86 - $B86) / $B86, "")</f>
        <v>-2.9126213592233011E-2</v>
      </c>
      <c r="I86" s="110">
        <f>IF(ISNUMBER(G86), $B91 * H86, "")</f>
        <v>-4368.9320388349515</v>
      </c>
      <c r="J86" s="106">
        <v>194</v>
      </c>
      <c r="K86" s="107">
        <f>IF(ISNUMBER(J86), (J86 - $B86) / $B86, "")</f>
        <v>-5.8252427184466021E-2</v>
      </c>
      <c r="L86" s="108">
        <f>IF(ISNUMBER(J86), $B91 * K86, "")</f>
        <v>-8737.8640776699031</v>
      </c>
      <c r="M86" s="109">
        <v>196</v>
      </c>
      <c r="N86" s="107">
        <f>IF(ISNUMBER(M86), (M86 - $B86) / $B86, "")</f>
        <v>-4.8543689320388349E-2</v>
      </c>
      <c r="O86" s="108">
        <f>IF(ISNUMBER(M86), $B91 * N86, "")</f>
        <v>-7281.5533980582522</v>
      </c>
      <c r="Q86" s="219"/>
      <c r="R86" s="219"/>
      <c r="S86" s="219"/>
    </row>
    <row r="87" spans="1:19" ht="17.25" thickBot="1">
      <c r="A87" s="128" t="s">
        <v>88</v>
      </c>
      <c r="B87" s="129">
        <v>603</v>
      </c>
      <c r="C87" s="77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101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219"/>
      <c r="R87" s="219"/>
      <c r="S87" s="219"/>
    </row>
    <row r="88" spans="1:19" ht="17.25" thickBot="1">
      <c r="A88" s="128" t="s">
        <v>238</v>
      </c>
      <c r="B88" s="129">
        <v>294</v>
      </c>
      <c r="C88" s="77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101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219"/>
      <c r="R88" s="219"/>
      <c r="S88" s="219"/>
    </row>
    <row r="89" spans="1:19">
      <c r="A89" s="128" t="s">
        <v>112</v>
      </c>
      <c r="B89" s="129">
        <v>260</v>
      </c>
      <c r="C89" s="77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101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241"/>
      <c r="R89" s="242"/>
      <c r="S89" s="243"/>
    </row>
    <row r="90" spans="1:19" ht="17.25" thickBot="1">
      <c r="A90" s="133" t="s">
        <v>168</v>
      </c>
      <c r="B90" s="134">
        <v>243</v>
      </c>
      <c r="C90" s="79">
        <v>-4.0983607000000003E-3</v>
      </c>
      <c r="D90" s="24">
        <v>236</v>
      </c>
      <c r="E90" s="25">
        <f t="shared" si="42"/>
        <v>-2.8806584362139918E-2</v>
      </c>
      <c r="F90" s="104">
        <f>IF(ISNUMBER(D90), $B91 * E90, "")</f>
        <v>-4320.9876543209875</v>
      </c>
      <c r="G90" s="102">
        <v>235</v>
      </c>
      <c r="H90" s="25">
        <f t="shared" si="43"/>
        <v>-3.292181069958848E-2</v>
      </c>
      <c r="I90" s="103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4">
        <f>IF(ISNUMBER(J90), $B91 * K90, "")</f>
        <v>-8024.691358024691</v>
      </c>
      <c r="M90" s="102">
        <v>231</v>
      </c>
      <c r="N90" s="25">
        <f t="shared" si="45"/>
        <v>-4.9382716049382713E-2</v>
      </c>
      <c r="O90" s="104">
        <f>IF(ISNUMBER(M90), $B91 * N90, "")</f>
        <v>-7407.4074074074069</v>
      </c>
      <c r="Q90" s="244"/>
      <c r="R90" s="245"/>
      <c r="S90" s="246"/>
    </row>
    <row r="91" spans="1:19" ht="17.25" thickBot="1">
      <c r="A91" s="135" t="s">
        <v>301</v>
      </c>
      <c r="B91" s="252">
        <f>$B$37</f>
        <v>150000</v>
      </c>
      <c r="C91" s="253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75" t="s">
        <v>298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72158000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9.1322285000000007E-3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2021-05-09(일) 오전 00:00</v>
      </c>
      <c r="C96" s="257"/>
      <c r="D96" s="216" t="str">
        <f>TEXT($G$1, "[$-ko-KR]yyyy-mm-dd(ddd) ") &amp; "오후 14:00"</f>
        <v>2021-05-09(일) 오후 14:00</v>
      </c>
      <c r="E96" s="217"/>
      <c r="F96" s="218"/>
      <c r="G96" s="216" t="str">
        <f>TEXT($G$1, "[$-ko-KR]yyyy-mm-dd(ddd) ") &amp; "오후 19:00"</f>
        <v>2021-05-09(일) 오후 19:00</v>
      </c>
      <c r="H96" s="217"/>
      <c r="I96" s="218"/>
      <c r="J96" s="216" t="str">
        <f>TEXT($G$1, "[$-ko-KR]yyyy-mm-dd(ddd) ") &amp; "오후 21:00"</f>
        <v>2021-05-09(일) 오후 21:00</v>
      </c>
      <c r="K96" s="217"/>
      <c r="L96" s="218"/>
      <c r="M96" s="216" t="str">
        <f>TEXT($G$1+1, "[$-ko-KR]yyyy-mm-dd(ddd) ") &amp; "오전 00:00"</f>
        <v>2021-05-10(월) 오전 00:00</v>
      </c>
      <c r="N96" s="217"/>
      <c r="O96" s="218"/>
      <c r="Q96" s="214"/>
      <c r="R96" s="214"/>
      <c r="S96" s="214"/>
    </row>
    <row r="97" spans="1:19" ht="17.25" thickBot="1">
      <c r="A97" s="255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219"/>
      <c r="R97" s="219"/>
      <c r="S97" s="219"/>
    </row>
    <row r="98" spans="1:19" ht="17.25" thickBot="1">
      <c r="A98" s="126" t="s">
        <v>248</v>
      </c>
      <c r="B98" s="127">
        <v>4675</v>
      </c>
      <c r="C98" s="76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100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214"/>
      <c r="R98" s="214"/>
      <c r="S98" s="214"/>
    </row>
    <row r="99" spans="1:19" ht="17.25" thickBot="1">
      <c r="A99" s="128" t="s">
        <v>262</v>
      </c>
      <c r="B99" s="129">
        <v>1555</v>
      </c>
      <c r="C99" s="77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101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214"/>
      <c r="R99" s="214"/>
      <c r="S99" s="214"/>
    </row>
    <row r="100" spans="1:19" ht="17.25" thickBot="1">
      <c r="A100" s="128" t="s">
        <v>182</v>
      </c>
      <c r="B100" s="129">
        <v>567</v>
      </c>
      <c r="C100" s="77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101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219"/>
      <c r="R100" s="219"/>
      <c r="S100" s="219"/>
    </row>
    <row r="101" spans="1:19" ht="17.25" thickBot="1">
      <c r="A101" s="128" t="s">
        <v>276</v>
      </c>
      <c r="B101" s="129">
        <v>5600</v>
      </c>
      <c r="C101" s="77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101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219"/>
      <c r="R101" s="219"/>
      <c r="S101" s="219"/>
    </row>
    <row r="102" spans="1:19" ht="17.25" thickBot="1">
      <c r="A102" s="130" t="s">
        <v>114</v>
      </c>
      <c r="B102" s="131">
        <v>14800</v>
      </c>
      <c r="C102" s="78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5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219"/>
      <c r="R102" s="219"/>
      <c r="S102" s="219"/>
    </row>
    <row r="103" spans="1:19" ht="17.25" thickBot="1">
      <c r="A103" s="128" t="s">
        <v>69</v>
      </c>
      <c r="B103" s="132">
        <v>13000</v>
      </c>
      <c r="C103" s="80">
        <v>6.9078947399999993E-2</v>
      </c>
      <c r="D103" s="106">
        <v>12780</v>
      </c>
      <c r="E103" s="107">
        <f>IF(ISNUMBER(D103), (D103 - $B103) / $B103, "")</f>
        <v>-1.6923076923076923E-2</v>
      </c>
      <c r="F103" s="108">
        <f>IF(ISNUMBER(D103), $B118 * E103, "")</f>
        <v>-2538.4615384615386</v>
      </c>
      <c r="G103" s="109">
        <v>12640</v>
      </c>
      <c r="H103" s="107">
        <f>IF(ISNUMBER(G103), (G103 - $B103) / $B103, "")</f>
        <v>-2.7692307692307693E-2</v>
      </c>
      <c r="I103" s="110">
        <f>IF(ISNUMBER(G103), $B118 * H103, "")</f>
        <v>-4153.8461538461543</v>
      </c>
      <c r="J103" s="106">
        <v>12500</v>
      </c>
      <c r="K103" s="107">
        <f>IF(ISNUMBER(J103), (J103 - $B103) / $B103, "")</f>
        <v>-3.8461538461538464E-2</v>
      </c>
      <c r="L103" s="108">
        <f>IF(ISNUMBER(J103), $B118 * K103, "")</f>
        <v>-5769.2307692307695</v>
      </c>
      <c r="M103" s="109">
        <v>12440</v>
      </c>
      <c r="N103" s="107">
        <f>IF(ISNUMBER(M103), (M103 - $B103) / $B103, "")</f>
        <v>-4.3076923076923075E-2</v>
      </c>
      <c r="O103" s="108">
        <f>IF(ISNUMBER(M103), $B118 * N103, "")</f>
        <v>-6461.538461538461</v>
      </c>
      <c r="Q103" s="219"/>
      <c r="R103" s="219"/>
      <c r="S103" s="219"/>
    </row>
    <row r="104" spans="1:19" ht="17.25" thickBot="1">
      <c r="A104" s="128" t="s">
        <v>180</v>
      </c>
      <c r="B104" s="129">
        <v>5075</v>
      </c>
      <c r="C104" s="77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101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219"/>
      <c r="R104" s="219"/>
      <c r="S104" s="219"/>
    </row>
    <row r="105" spans="1:19" ht="17.25" thickBot="1">
      <c r="A105" s="128" t="s">
        <v>204</v>
      </c>
      <c r="B105" s="129">
        <v>8320</v>
      </c>
      <c r="C105" s="77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101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219"/>
      <c r="R105" s="219"/>
      <c r="S105" s="219"/>
    </row>
    <row r="106" spans="1:19" ht="17.25" thickBot="1">
      <c r="A106" s="128" t="s">
        <v>96</v>
      </c>
      <c r="B106" s="129">
        <v>4381000</v>
      </c>
      <c r="C106" s="77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101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33" t="s">
        <v>272</v>
      </c>
      <c r="B107" s="134">
        <v>3045</v>
      </c>
      <c r="C107" s="79">
        <v>0.05</v>
      </c>
      <c r="D107" s="24">
        <v>2940</v>
      </c>
      <c r="E107" s="25">
        <f t="shared" si="50"/>
        <v>-3.4482758620689655E-2</v>
      </c>
      <c r="F107" s="104">
        <f>IF(ISNUMBER(D107), $B118 * E107, "")</f>
        <v>-5172.4137931034484</v>
      </c>
      <c r="G107" s="102">
        <v>2820</v>
      </c>
      <c r="H107" s="25">
        <f t="shared" si="51"/>
        <v>-7.3891625615763554E-2</v>
      </c>
      <c r="I107" s="103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4">
        <f>IF(ISNUMBER(J107), $B118 * K107, "")</f>
        <v>-13546.79802955665</v>
      </c>
      <c r="M107" s="102">
        <v>2785</v>
      </c>
      <c r="N107" s="25">
        <f t="shared" si="53"/>
        <v>-8.5385878489326772E-2</v>
      </c>
      <c r="O107" s="104">
        <f>IF(ISNUMBER(M107), $B118 * N107, "")</f>
        <v>-12807.881773399016</v>
      </c>
      <c r="Q107" s="228"/>
      <c r="R107" s="229"/>
      <c r="S107" s="230"/>
    </row>
    <row r="108" spans="1:19">
      <c r="A108" s="126" t="s">
        <v>280</v>
      </c>
      <c r="B108" s="127">
        <v>1905</v>
      </c>
      <c r="C108" s="76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100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231"/>
      <c r="R108" s="232"/>
      <c r="S108" s="233"/>
    </row>
    <row r="109" spans="1:19" ht="17.25" thickBot="1">
      <c r="A109" s="128" t="s">
        <v>244</v>
      </c>
      <c r="B109" s="129">
        <v>3805</v>
      </c>
      <c r="C109" s="77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101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234"/>
      <c r="R109" s="235"/>
      <c r="S109" s="236"/>
    </row>
    <row r="110" spans="1:19" ht="17.25" thickBot="1">
      <c r="A110" s="128" t="s">
        <v>128</v>
      </c>
      <c r="B110" s="129">
        <v>746</v>
      </c>
      <c r="C110" s="77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101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219"/>
      <c r="R110" s="219"/>
      <c r="S110" s="219"/>
    </row>
    <row r="111" spans="1:19" ht="17.25" thickBot="1">
      <c r="A111" s="128" t="s">
        <v>258</v>
      </c>
      <c r="B111" s="129">
        <v>722</v>
      </c>
      <c r="C111" s="77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101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214"/>
      <c r="R111" s="214"/>
      <c r="S111" s="214"/>
    </row>
    <row r="112" spans="1:19" ht="17.25" thickBot="1">
      <c r="A112" s="130" t="s">
        <v>136</v>
      </c>
      <c r="B112" s="131">
        <v>282</v>
      </c>
      <c r="C112" s="78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5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214"/>
      <c r="R112" s="214"/>
      <c r="S112" s="214"/>
    </row>
    <row r="113" spans="1:19" ht="17.25" thickBot="1">
      <c r="A113" s="128" t="s">
        <v>150</v>
      </c>
      <c r="B113" s="132">
        <v>5990</v>
      </c>
      <c r="C113" s="80">
        <v>3.9930555600000001E-2</v>
      </c>
      <c r="D113" s="106">
        <v>5930</v>
      </c>
      <c r="E113" s="107">
        <f>IF(ISNUMBER(D113), (D113 - $B113) / $B113, "")</f>
        <v>-1.001669449081803E-2</v>
      </c>
      <c r="F113" s="108">
        <f>IF(ISNUMBER(D113), $B118 * E113, "")</f>
        <v>-1502.5041736227045</v>
      </c>
      <c r="G113" s="109">
        <v>5940</v>
      </c>
      <c r="H113" s="107">
        <f>IF(ISNUMBER(G113), (G113 - $B113) / $B113, "")</f>
        <v>-8.3472454090150246E-3</v>
      </c>
      <c r="I113" s="110">
        <f>IF(ISNUMBER(G113), $B118 * H113, "")</f>
        <v>-1252.0868113522538</v>
      </c>
      <c r="J113" s="106">
        <v>5945</v>
      </c>
      <c r="K113" s="107">
        <f>IF(ISNUMBER(J113), (J113 - $B113) / $B113, "")</f>
        <v>-7.5125208681135229E-3</v>
      </c>
      <c r="L113" s="108">
        <f>IF(ISNUMBER(J113), $B118 * K113, "")</f>
        <v>-1126.8781302170285</v>
      </c>
      <c r="M113" s="109">
        <v>5915</v>
      </c>
      <c r="N113" s="107">
        <f>IF(ISNUMBER(M113), (M113 - $B113) / $B113, "")</f>
        <v>-1.2520868113522538E-2</v>
      </c>
      <c r="O113" s="108">
        <f>IF(ISNUMBER(M113), $B118 * N113, "")</f>
        <v>-1878.1302170283807</v>
      </c>
      <c r="Q113" s="219"/>
      <c r="R113" s="219"/>
      <c r="S113" s="219"/>
    </row>
    <row r="114" spans="1:19" ht="17.25" thickBot="1">
      <c r="A114" s="128" t="s">
        <v>274</v>
      </c>
      <c r="B114" s="129">
        <v>9800</v>
      </c>
      <c r="C114" s="77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101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219"/>
      <c r="R114" s="219"/>
      <c r="S114" s="219"/>
    </row>
    <row r="115" spans="1:19" ht="17.25" thickBot="1">
      <c r="A115" s="128" t="s">
        <v>166</v>
      </c>
      <c r="B115" s="129">
        <v>2795</v>
      </c>
      <c r="C115" s="77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101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219"/>
      <c r="R115" s="219"/>
      <c r="S115" s="219"/>
    </row>
    <row r="116" spans="1:19">
      <c r="A116" s="128" t="s">
        <v>296</v>
      </c>
      <c r="B116" s="129">
        <v>857</v>
      </c>
      <c r="C116" s="77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101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241"/>
      <c r="R116" s="242"/>
      <c r="S116" s="243"/>
    </row>
    <row r="117" spans="1:19" ht="17.25" thickBot="1">
      <c r="A117" s="133" t="s">
        <v>80</v>
      </c>
      <c r="B117" s="134">
        <v>1755</v>
      </c>
      <c r="C117" s="79">
        <v>3.8461538500000003E-2</v>
      </c>
      <c r="D117" s="24">
        <v>1730</v>
      </c>
      <c r="E117" s="25">
        <f t="shared" si="58"/>
        <v>-1.4245014245014245E-2</v>
      </c>
      <c r="F117" s="104">
        <f>IF(ISNUMBER(D117), $B118 * E117, "")</f>
        <v>-2136.7521367521367</v>
      </c>
      <c r="G117" s="102">
        <v>1710</v>
      </c>
      <c r="H117" s="25">
        <f t="shared" si="59"/>
        <v>-2.564102564102564E-2</v>
      </c>
      <c r="I117" s="103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4">
        <f>IF(ISNUMBER(J117), $B118 * K117, "")</f>
        <v>-5555.5555555555557</v>
      </c>
      <c r="M117" s="102">
        <v>1705</v>
      </c>
      <c r="N117" s="25">
        <f t="shared" si="61"/>
        <v>-2.8490028490028491E-2</v>
      </c>
      <c r="O117" s="104">
        <f>IF(ISNUMBER(M117), $B118 * N117, "")</f>
        <v>-4273.5042735042734</v>
      </c>
      <c r="Q117" s="244"/>
      <c r="R117" s="245"/>
      <c r="S117" s="246"/>
    </row>
    <row r="118" spans="1:19" ht="17.25" thickBot="1">
      <c r="A118" s="135" t="s">
        <v>301</v>
      </c>
      <c r="B118" s="252">
        <f>$B$37</f>
        <v>150000</v>
      </c>
      <c r="C118" s="253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247"/>
      <c r="R118" s="248"/>
      <c r="S118" s="249"/>
    </row>
    <row r="120" spans="1:19" ht="17.25" thickBot="1"/>
    <row r="121" spans="1:19" ht="17.25" thickBot="1">
      <c r="A121" s="193" t="s">
        <v>288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75" t="s">
        <v>298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72158000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9.1322285000000007E-3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2021-05-09(일) 오전 00:00</v>
      </c>
      <c r="C123" s="257"/>
      <c r="D123" s="216" t="str">
        <f>TEXT($G$1, "[$-ko-KR]yyyy-mm-dd(ddd) ") &amp; "오후 14:00"</f>
        <v>2021-05-09(일) 오후 14:00</v>
      </c>
      <c r="E123" s="217"/>
      <c r="F123" s="218"/>
      <c r="G123" s="216" t="str">
        <f>TEXT($G$1, "[$-ko-KR]yyyy-mm-dd(ddd) ") &amp; "오후 19:00"</f>
        <v>2021-05-09(일) 오후 19:00</v>
      </c>
      <c r="H123" s="217"/>
      <c r="I123" s="218"/>
      <c r="J123" s="216" t="str">
        <f>TEXT($G$1, "[$-ko-KR]yyyy-mm-dd(ddd) ") &amp; "오후 21:00"</f>
        <v>2021-05-09(일) 오후 21:00</v>
      </c>
      <c r="K123" s="217"/>
      <c r="L123" s="218"/>
      <c r="M123" s="216" t="str">
        <f>TEXT($G$1+1, "[$-ko-KR]yyyy-mm-dd(ddd) ") &amp; "오전 00:00"</f>
        <v>2021-05-10(월)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219"/>
      <c r="R124" s="219"/>
      <c r="S124" s="219"/>
    </row>
    <row r="125" spans="1:19" ht="17.25" thickBot="1">
      <c r="A125" s="126" t="s">
        <v>154</v>
      </c>
      <c r="B125" s="127">
        <v>21.5</v>
      </c>
      <c r="C125" s="76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100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214"/>
      <c r="R125" s="214"/>
      <c r="S125" s="214"/>
    </row>
    <row r="126" spans="1:19" ht="17.25" thickBot="1">
      <c r="A126" s="128" t="s">
        <v>172</v>
      </c>
      <c r="B126" s="129">
        <v>25.1</v>
      </c>
      <c r="C126" s="77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101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214"/>
      <c r="R126" s="214"/>
      <c r="S126" s="214"/>
    </row>
    <row r="127" spans="1:19" ht="17.25" thickBot="1">
      <c r="A127" s="128" t="s">
        <v>186</v>
      </c>
      <c r="B127" s="129">
        <v>25.2</v>
      </c>
      <c r="C127" s="77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101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219"/>
      <c r="R127" s="219"/>
      <c r="S127" s="219"/>
    </row>
    <row r="128" spans="1:19" ht="17.25" thickBot="1">
      <c r="A128" s="128" t="s">
        <v>126</v>
      </c>
      <c r="B128" s="129">
        <v>60.6</v>
      </c>
      <c r="C128" s="77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101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219"/>
      <c r="R128" s="219"/>
      <c r="S128" s="219"/>
    </row>
    <row r="129" spans="1:19" ht="17.25" thickBot="1">
      <c r="A129" s="130" t="s">
        <v>196</v>
      </c>
      <c r="B129" s="131">
        <v>20.5</v>
      </c>
      <c r="C129" s="78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5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219"/>
      <c r="R129" s="219"/>
      <c r="S129" s="219"/>
    </row>
    <row r="130" spans="1:19" ht="17.25" thickBot="1">
      <c r="A130" s="128" t="s">
        <v>100</v>
      </c>
      <c r="B130" s="132">
        <v>9.2200000000000006</v>
      </c>
      <c r="C130" s="80">
        <v>-3.2432431999999999E-3</v>
      </c>
      <c r="D130" s="106">
        <v>8.9600000000000009</v>
      </c>
      <c r="E130" s="107">
        <f>IF(ISNUMBER(D130), (D130 - $B130) / $B130, "")</f>
        <v>-2.8199566160520582E-2</v>
      </c>
      <c r="F130" s="108">
        <f>IF(ISNUMBER(D130), $B145 * E130, "")</f>
        <v>-4229.9349240780875</v>
      </c>
      <c r="G130" s="109">
        <v>8.7899999999999991</v>
      </c>
      <c r="H130" s="107">
        <f>IF(ISNUMBER(G130), (G130 - $B130) / $B130, "")</f>
        <v>-4.6637744034707315E-2</v>
      </c>
      <c r="I130" s="110">
        <f>IF(ISNUMBER(G130), $B145 * H130, "")</f>
        <v>-6995.6616052060972</v>
      </c>
      <c r="J130" s="106">
        <v>8.66</v>
      </c>
      <c r="K130" s="107">
        <f>IF(ISNUMBER(J130), (J130 - $B130) / $B130, "")</f>
        <v>-6.0737527114967514E-2</v>
      </c>
      <c r="L130" s="108">
        <f>IF(ISNUMBER(J130), $B145 * K130, "")</f>
        <v>-9110.6290672451269</v>
      </c>
      <c r="M130" s="109">
        <v>8.7200000000000006</v>
      </c>
      <c r="N130" s="107">
        <f>IF(ISNUMBER(M130), (M130 - $B130) / $B130, "")</f>
        <v>-5.4229934924078085E-2</v>
      </c>
      <c r="O130" s="108">
        <f>IF(ISNUMBER(M130), $B145 * N130, "")</f>
        <v>-8134.4902386117128</v>
      </c>
      <c r="Q130" s="219"/>
      <c r="R130" s="219"/>
      <c r="S130" s="219"/>
    </row>
    <row r="131" spans="1:19" ht="17.25" thickBot="1">
      <c r="A131" s="128" t="s">
        <v>65</v>
      </c>
      <c r="B131" s="129">
        <v>79.5</v>
      </c>
      <c r="C131" s="77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101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219"/>
      <c r="R131" s="219"/>
      <c r="S131" s="219"/>
    </row>
    <row r="132" spans="1:19" ht="17.25" thickBot="1">
      <c r="A132" s="128" t="s">
        <v>220</v>
      </c>
      <c r="B132" s="129">
        <v>20.399999999999999</v>
      </c>
      <c r="C132" s="77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101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219"/>
      <c r="R132" s="219"/>
      <c r="S132" s="219"/>
    </row>
    <row r="133" spans="1:19" ht="17.25" thickBot="1">
      <c r="A133" s="128" t="s">
        <v>72</v>
      </c>
      <c r="B133" s="129">
        <v>38.799999999999997</v>
      </c>
      <c r="C133" s="77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101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33" t="s">
        <v>266</v>
      </c>
      <c r="B134" s="134">
        <v>92.4</v>
      </c>
      <c r="C134" s="79">
        <v>-1.2820512799999999E-2</v>
      </c>
      <c r="D134" s="24">
        <v>91.8</v>
      </c>
      <c r="E134" s="25">
        <f t="shared" si="66"/>
        <v>-6.493506493506585E-3</v>
      </c>
      <c r="F134" s="104">
        <f>IF(ISNUMBER(D134), $B145 * E134, "")</f>
        <v>-974.02597402598781</v>
      </c>
      <c r="G134" s="102">
        <v>90.3</v>
      </c>
      <c r="H134" s="25">
        <f t="shared" si="67"/>
        <v>-2.2727272727272818E-2</v>
      </c>
      <c r="I134" s="103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4">
        <f>IF(ISNUMBER(J134), $B145 * K134, "")</f>
        <v>-3409.0909090909227</v>
      </c>
      <c r="M134" s="102">
        <v>89.9</v>
      </c>
      <c r="N134" s="25">
        <f t="shared" si="69"/>
        <v>-2.7056277056277056E-2</v>
      </c>
      <c r="O134" s="104">
        <f>IF(ISNUMBER(M134), $B145 * N134, "")</f>
        <v>-4058.4415584415583</v>
      </c>
      <c r="Q134" s="228"/>
      <c r="R134" s="229"/>
      <c r="S134" s="230"/>
    </row>
    <row r="135" spans="1:19">
      <c r="A135" s="126" t="s">
        <v>268</v>
      </c>
      <c r="B135" s="127">
        <v>92.3</v>
      </c>
      <c r="C135" s="76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100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231"/>
      <c r="R135" s="232"/>
      <c r="S135" s="233"/>
    </row>
    <row r="136" spans="1:19" ht="17.25" thickBot="1">
      <c r="A136" s="128" t="s">
        <v>228</v>
      </c>
      <c r="B136" s="129">
        <v>18.2</v>
      </c>
      <c r="C136" s="77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101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234"/>
      <c r="R136" s="235"/>
      <c r="S136" s="236"/>
    </row>
    <row r="137" spans="1:19" ht="17.25" thickBot="1">
      <c r="A137" s="128" t="s">
        <v>236</v>
      </c>
      <c r="B137" s="129">
        <v>67.400000000000006</v>
      </c>
      <c r="C137" s="77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101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219"/>
      <c r="R137" s="219"/>
      <c r="S137" s="219"/>
    </row>
    <row r="138" spans="1:19" ht="17.25" thickBot="1">
      <c r="A138" s="128" t="s">
        <v>222</v>
      </c>
      <c r="B138" s="129">
        <v>18.600000000000001</v>
      </c>
      <c r="C138" s="77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101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214"/>
      <c r="R138" s="214"/>
      <c r="S138" s="214"/>
    </row>
    <row r="139" spans="1:19" ht="17.25" thickBot="1">
      <c r="A139" s="130" t="s">
        <v>218</v>
      </c>
      <c r="B139" s="131">
        <v>27.9</v>
      </c>
      <c r="C139" s="78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5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214"/>
      <c r="R139" s="214"/>
      <c r="S139" s="214"/>
    </row>
    <row r="140" spans="1:19" ht="17.25" thickBot="1">
      <c r="A140" s="128" t="s">
        <v>254</v>
      </c>
      <c r="B140" s="132">
        <v>83.8</v>
      </c>
      <c r="C140" s="80">
        <v>-2.6713124299999998E-2</v>
      </c>
      <c r="D140" s="106">
        <v>81.400000000000006</v>
      </c>
      <c r="E140" s="107">
        <f>IF(ISNUMBER(D140), (D140 - $B140) / $B140, "")</f>
        <v>-2.8639618138424722E-2</v>
      </c>
      <c r="F140" s="108">
        <f>IF(ISNUMBER(D140), $B145 * E140, "")</f>
        <v>-4295.9427207637082</v>
      </c>
      <c r="G140" s="109">
        <v>80.2</v>
      </c>
      <c r="H140" s="107">
        <f>IF(ISNUMBER(G140), (G140 - $B140) / $B140, "")</f>
        <v>-4.2959427207637166E-2</v>
      </c>
      <c r="I140" s="110">
        <f>IF(ISNUMBER(G140), $B145 * H140, "")</f>
        <v>-6443.9140811455745</v>
      </c>
      <c r="J140" s="106">
        <v>78.900000000000006</v>
      </c>
      <c r="K140" s="107">
        <f>IF(ISNUMBER(J140), (J140 - $B140) / $B140, "")</f>
        <v>-5.8472553699283912E-2</v>
      </c>
      <c r="L140" s="108">
        <f>IF(ISNUMBER(J140), $B145 * K140, "")</f>
        <v>-8770.8830548925871</v>
      </c>
      <c r="M140" s="109">
        <v>80.3</v>
      </c>
      <c r="N140" s="107">
        <f>IF(ISNUMBER(M140), (M140 - $B140) / $B140, "")</f>
        <v>-4.1766109785202864E-2</v>
      </c>
      <c r="O140" s="108">
        <f>IF(ISNUMBER(M140), $B145 * N140, "")</f>
        <v>-6264.9164677804292</v>
      </c>
      <c r="Q140" s="219"/>
      <c r="R140" s="219"/>
      <c r="S140" s="219"/>
    </row>
    <row r="141" spans="1:19" ht="17.25" thickBot="1">
      <c r="A141" s="128" t="s">
        <v>214</v>
      </c>
      <c r="B141" s="129">
        <v>21.6</v>
      </c>
      <c r="C141" s="77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101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219"/>
      <c r="R141" s="219"/>
      <c r="S141" s="219"/>
    </row>
    <row r="142" spans="1:19" ht="17.25" thickBot="1">
      <c r="A142" s="128" t="s">
        <v>152</v>
      </c>
      <c r="B142" s="129">
        <v>49.7</v>
      </c>
      <c r="C142" s="77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101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219"/>
      <c r="R142" s="219"/>
      <c r="S142" s="219"/>
    </row>
    <row r="143" spans="1:19">
      <c r="A143" s="128" t="s">
        <v>198</v>
      </c>
      <c r="B143" s="129">
        <v>27.7</v>
      </c>
      <c r="C143" s="77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101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241"/>
      <c r="R143" s="242"/>
      <c r="S143" s="243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5" t="s">
        <v>301</v>
      </c>
      <c r="B145" s="252">
        <f>$B$37</f>
        <v>150000</v>
      </c>
      <c r="C145" s="253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247"/>
      <c r="R145" s="248"/>
      <c r="S145" s="249"/>
    </row>
    <row r="147" spans="1:19" ht="17.25" thickBot="1"/>
    <row r="148" spans="1:19" ht="17.25" thickBot="1">
      <c r="A148" s="193" t="s">
        <v>289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75" t="s">
        <v>298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72158000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9.1322285000000007E-3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2021-05-09(일) 오전 00:00</v>
      </c>
      <c r="C150" s="257"/>
      <c r="D150" s="216" t="str">
        <f>TEXT($G$1, "[$-ko-KR]yyyy-mm-dd(ddd) ") &amp; "오후 14:00"</f>
        <v>2021-05-09(일) 오후 14:00</v>
      </c>
      <c r="E150" s="217"/>
      <c r="F150" s="218"/>
      <c r="G150" s="216" t="str">
        <f>TEXT($G$1, "[$-ko-KR]yyyy-mm-dd(ddd) ") &amp; "오후 19:00"</f>
        <v>2021-05-09(일) 오후 19:00</v>
      </c>
      <c r="H150" s="217"/>
      <c r="I150" s="218"/>
      <c r="J150" s="216" t="str">
        <f>TEXT($G$1, "[$-ko-KR]yyyy-mm-dd(ddd) ") &amp; "오후 21:00"</f>
        <v>2021-05-09(일) 오후 21:00</v>
      </c>
      <c r="K150" s="217"/>
      <c r="L150" s="218"/>
      <c r="M150" s="216" t="str">
        <f>TEXT($G$1+1, "[$-ko-KR]yyyy-mm-dd(ddd) ") &amp; "오전 00:00"</f>
        <v>2021-05-10(월)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219"/>
      <c r="R151" s="219"/>
      <c r="S151" s="219"/>
    </row>
    <row r="152" spans="1:19" ht="17.25" thickBot="1">
      <c r="A152" s="126" t="s">
        <v>122</v>
      </c>
      <c r="B152" s="127">
        <v>117</v>
      </c>
      <c r="C152" s="76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100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214"/>
      <c r="R152" s="214"/>
      <c r="S152" s="214"/>
    </row>
    <row r="153" spans="1:19" ht="17.25" thickBot="1">
      <c r="A153" s="128" t="s">
        <v>208</v>
      </c>
      <c r="B153" s="129">
        <v>485</v>
      </c>
      <c r="C153" s="77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101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14"/>
      <c r="R153" s="214"/>
      <c r="S153" s="214"/>
    </row>
    <row r="154" spans="1:19" ht="17.25" thickBot="1">
      <c r="A154" s="128" t="s">
        <v>142</v>
      </c>
      <c r="B154" s="129">
        <v>482</v>
      </c>
      <c r="C154" s="77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101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219"/>
      <c r="R154" s="219"/>
      <c r="S154" s="219"/>
    </row>
    <row r="155" spans="1:19" ht="17.25" thickBot="1">
      <c r="A155" s="128" t="s">
        <v>57</v>
      </c>
      <c r="B155" s="129">
        <v>471</v>
      </c>
      <c r="C155" s="77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101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219"/>
      <c r="R155" s="219"/>
      <c r="S155" s="219"/>
    </row>
    <row r="156" spans="1:19" ht="17.25" thickBot="1">
      <c r="A156" s="130" t="s">
        <v>260</v>
      </c>
      <c r="B156" s="131">
        <v>121</v>
      </c>
      <c r="C156" s="78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5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219"/>
      <c r="R156" s="219"/>
      <c r="S156" s="219"/>
    </row>
    <row r="157" spans="1:19" ht="17.25" thickBot="1">
      <c r="A157" s="128" t="s">
        <v>200</v>
      </c>
      <c r="B157" s="132">
        <v>360</v>
      </c>
      <c r="C157" s="80">
        <v>-1.6393442599999999E-2</v>
      </c>
      <c r="D157" s="106">
        <v>351</v>
      </c>
      <c r="E157" s="107">
        <f>IF(ISNUMBER(D157), (D157 - $B157) / $B157, "")</f>
        <v>-2.5000000000000001E-2</v>
      </c>
      <c r="F157" s="108">
        <f>IF(ISNUMBER(D157), $B172 * E157, "")</f>
        <v>-3750</v>
      </c>
      <c r="G157" s="109">
        <v>348</v>
      </c>
      <c r="H157" s="107">
        <f>IF(ISNUMBER(G157), (G157 - $B157) / $B157, "")</f>
        <v>-3.3333333333333333E-2</v>
      </c>
      <c r="I157" s="110">
        <f>IF(ISNUMBER(G157), $B172 * H157, "")</f>
        <v>-5000</v>
      </c>
      <c r="J157" s="106">
        <v>340</v>
      </c>
      <c r="K157" s="107">
        <f>IF(ISNUMBER(J157), (J157 - $B157) / $B157, "")</f>
        <v>-5.5555555555555552E-2</v>
      </c>
      <c r="L157" s="108">
        <f>IF(ISNUMBER(J157), $B172 * K157, "")</f>
        <v>-8333.3333333333321</v>
      </c>
      <c r="M157" s="109">
        <v>344</v>
      </c>
      <c r="N157" s="107">
        <f>IF(ISNUMBER(M157), (M157 - $B157) / $B157, "")</f>
        <v>-4.4444444444444446E-2</v>
      </c>
      <c r="O157" s="108">
        <f>IF(ISNUMBER(M157), $B172 * N157, "")</f>
        <v>-6666.666666666667</v>
      </c>
      <c r="Q157" s="219"/>
      <c r="R157" s="219"/>
      <c r="S157" s="219"/>
    </row>
    <row r="158" spans="1:19" ht="17.25" thickBot="1">
      <c r="A158" s="128" t="s">
        <v>246</v>
      </c>
      <c r="B158" s="129">
        <v>390</v>
      </c>
      <c r="C158" s="77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101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219"/>
      <c r="R158" s="219"/>
      <c r="S158" s="219"/>
    </row>
    <row r="159" spans="1:19" ht="17.25" thickBot="1">
      <c r="A159" s="128" t="s">
        <v>226</v>
      </c>
      <c r="B159" s="129">
        <v>498</v>
      </c>
      <c r="C159" s="77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101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219"/>
      <c r="R159" s="219"/>
      <c r="S159" s="219"/>
    </row>
    <row r="160" spans="1:19" ht="17.25" thickBot="1">
      <c r="A160" s="128" t="s">
        <v>132</v>
      </c>
      <c r="B160" s="129">
        <v>273</v>
      </c>
      <c r="C160" s="77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101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33" t="s">
        <v>256</v>
      </c>
      <c r="B161" s="134">
        <v>256</v>
      </c>
      <c r="C161" s="79">
        <v>-1.9157088100000001E-2</v>
      </c>
      <c r="D161" s="24">
        <v>249</v>
      </c>
      <c r="E161" s="25">
        <f t="shared" si="82"/>
        <v>-2.734375E-2</v>
      </c>
      <c r="F161" s="104">
        <f>IF(ISNUMBER(D161), $B172 * E161, "")</f>
        <v>-4101.5625</v>
      </c>
      <c r="G161" s="102">
        <v>246</v>
      </c>
      <c r="H161" s="25">
        <f t="shared" si="83"/>
        <v>-3.90625E-2</v>
      </c>
      <c r="I161" s="103">
        <f>IF(ISNUMBER(G161), $B172 * H161, "")</f>
        <v>-5859.375</v>
      </c>
      <c r="J161" s="24">
        <v>244</v>
      </c>
      <c r="K161" s="25">
        <f t="shared" si="84"/>
        <v>-4.6875E-2</v>
      </c>
      <c r="L161" s="104">
        <f>IF(ISNUMBER(J161), $B172 * K161, "")</f>
        <v>-7031.25</v>
      </c>
      <c r="M161" s="102">
        <v>248</v>
      </c>
      <c r="N161" s="25">
        <f t="shared" si="85"/>
        <v>-3.125E-2</v>
      </c>
      <c r="O161" s="104">
        <f>IF(ISNUMBER(M161), $B172 * N161, "")</f>
        <v>-4687.5</v>
      </c>
      <c r="Q161" s="228"/>
      <c r="R161" s="229"/>
      <c r="S161" s="230"/>
    </row>
    <row r="162" spans="1:19">
      <c r="A162" s="126" t="s">
        <v>210</v>
      </c>
      <c r="B162" s="127">
        <v>189</v>
      </c>
      <c r="C162" s="76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100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231"/>
      <c r="R162" s="232"/>
      <c r="S162" s="233"/>
    </row>
    <row r="163" spans="1:19" ht="17.25" thickBot="1">
      <c r="A163" s="128" t="s">
        <v>230</v>
      </c>
      <c r="B163" s="129">
        <v>170</v>
      </c>
      <c r="C163" s="77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101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234"/>
      <c r="R163" s="235"/>
      <c r="S163" s="236"/>
    </row>
    <row r="164" spans="1:19" ht="17.25" thickBot="1">
      <c r="A164" s="128" t="s">
        <v>240</v>
      </c>
      <c r="B164" s="129">
        <v>179</v>
      </c>
      <c r="C164" s="77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101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219"/>
      <c r="R164" s="219"/>
      <c r="S164" s="219"/>
    </row>
    <row r="165" spans="1:19" ht="17.25" thickBot="1">
      <c r="A165" s="128" t="s">
        <v>54</v>
      </c>
      <c r="B165" s="129">
        <v>356</v>
      </c>
      <c r="C165" s="77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101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214"/>
      <c r="R165" s="214"/>
      <c r="S165" s="214"/>
    </row>
    <row r="166" spans="1:19" ht="17.25" thickBot="1">
      <c r="A166" s="130" t="s">
        <v>170</v>
      </c>
      <c r="B166" s="131">
        <v>557</v>
      </c>
      <c r="C166" s="78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5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214"/>
      <c r="R166" s="214"/>
      <c r="S166" s="214"/>
    </row>
    <row r="167" spans="1:19" ht="17.25" thickBot="1">
      <c r="A167" s="128" t="s">
        <v>216</v>
      </c>
      <c r="B167" s="132">
        <v>508</v>
      </c>
      <c r="C167" s="80">
        <v>-3.0534351099999999E-2</v>
      </c>
      <c r="D167" s="106">
        <v>492</v>
      </c>
      <c r="E167" s="107">
        <f>IF(ISNUMBER(D167), (D167 - $B167) / $B167, "")</f>
        <v>-3.1496062992125984E-2</v>
      </c>
      <c r="F167" s="108">
        <f>IF(ISNUMBER(D167), $B172 * E167, "")</f>
        <v>-4724.4094488188975</v>
      </c>
      <c r="G167" s="109">
        <v>488</v>
      </c>
      <c r="H167" s="107">
        <f>IF(ISNUMBER(G167), (G167 - $B167) / $B167, "")</f>
        <v>-3.937007874015748E-2</v>
      </c>
      <c r="I167" s="110">
        <f>IF(ISNUMBER(G167), $B172 * H167, "")</f>
        <v>-5905.5118110236217</v>
      </c>
      <c r="J167" s="106">
        <v>484</v>
      </c>
      <c r="K167" s="107">
        <f>IF(ISNUMBER(J167), (J167 - $B167) / $B167, "")</f>
        <v>-4.7244094488188976E-2</v>
      </c>
      <c r="L167" s="108">
        <f>IF(ISNUMBER(J167), $B172 * K167, "")</f>
        <v>-7086.6141732283468</v>
      </c>
      <c r="M167" s="109">
        <v>488</v>
      </c>
      <c r="N167" s="107">
        <f>IF(ISNUMBER(M167), (M167 - $B167) / $B167, "")</f>
        <v>-3.937007874015748E-2</v>
      </c>
      <c r="O167" s="108">
        <f>IF(ISNUMBER(M167), $B172 * N167, "")</f>
        <v>-5905.5118110236217</v>
      </c>
      <c r="Q167" s="219"/>
      <c r="R167" s="219"/>
      <c r="S167" s="219"/>
    </row>
    <row r="168" spans="1:19" ht="17.25" thickBot="1">
      <c r="A168" s="128" t="s">
        <v>174</v>
      </c>
      <c r="B168" s="129">
        <v>276</v>
      </c>
      <c r="C168" s="77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101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219"/>
      <c r="R168" s="219"/>
      <c r="S168" s="219"/>
    </row>
    <row r="169" spans="1:19" ht="17.25" thickBot="1">
      <c r="A169" s="128" t="s">
        <v>232</v>
      </c>
      <c r="B169" s="129">
        <v>183</v>
      </c>
      <c r="C169" s="77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101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219"/>
      <c r="R169" s="219"/>
      <c r="S169" s="219"/>
    </row>
    <row r="170" spans="1:19">
      <c r="A170" s="128" t="s">
        <v>134</v>
      </c>
      <c r="B170" s="129">
        <v>164</v>
      </c>
      <c r="C170" s="77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101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241"/>
      <c r="R170" s="242"/>
      <c r="S170" s="243"/>
    </row>
    <row r="171" spans="1:19" ht="17.25" thickBot="1">
      <c r="A171" s="133" t="s">
        <v>282</v>
      </c>
      <c r="B171" s="134">
        <v>181</v>
      </c>
      <c r="C171" s="79">
        <v>-4.23280423E-2</v>
      </c>
      <c r="D171" s="24">
        <v>177</v>
      </c>
      <c r="E171" s="25">
        <f t="shared" si="90"/>
        <v>-2.2099447513812154E-2</v>
      </c>
      <c r="F171" s="104">
        <f>IF(ISNUMBER(D171), $B172 * E171, "")</f>
        <v>-3314.917127071823</v>
      </c>
      <c r="G171" s="102">
        <v>174</v>
      </c>
      <c r="H171" s="25">
        <f t="shared" si="91"/>
        <v>-3.8674033149171269E-2</v>
      </c>
      <c r="I171" s="103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4">
        <f>IF(ISNUMBER(J171), $B172 * K171, "")</f>
        <v>-9944.7513812154684</v>
      </c>
      <c r="M171" s="102">
        <v>172</v>
      </c>
      <c r="N171" s="25">
        <f t="shared" si="93"/>
        <v>-4.9723756906077346E-2</v>
      </c>
      <c r="O171" s="104">
        <f>IF(ISNUMBER(M171), $B172 * N171, "")</f>
        <v>-7458.5635359116022</v>
      </c>
      <c r="Q171" s="244"/>
      <c r="R171" s="245"/>
      <c r="S171" s="246"/>
    </row>
    <row r="172" spans="1:19" ht="17.25" thickBot="1">
      <c r="A172" s="135" t="s">
        <v>301</v>
      </c>
      <c r="B172" s="252">
        <f>$B$37</f>
        <v>150000</v>
      </c>
      <c r="C172" s="253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247"/>
      <c r="R172" s="248"/>
      <c r="S172" s="249"/>
    </row>
    <row r="174" spans="1:19" ht="17.25" thickBot="1"/>
    <row r="175" spans="1:19" ht="17.25" thickBot="1">
      <c r="A175" s="193" t="s">
        <v>285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75" t="s">
        <v>298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72158000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9.1322285000000007E-3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2021-05-09(일) 오전 00:00</v>
      </c>
      <c r="C177" s="257"/>
      <c r="D177" s="216" t="str">
        <f>TEXT($G$1, "[$-ko-KR]yyyy-mm-dd(ddd) ") &amp; "오후 14:00"</f>
        <v>2021-05-09(일) 오후 14:00</v>
      </c>
      <c r="E177" s="217"/>
      <c r="F177" s="218"/>
      <c r="G177" s="216" t="str">
        <f>TEXT($G$1, "[$-ko-KR]yyyy-mm-dd(ddd) ") &amp; "오후 19:00"</f>
        <v>2021-05-09(일) 오후 19:00</v>
      </c>
      <c r="H177" s="217"/>
      <c r="I177" s="218"/>
      <c r="J177" s="216" t="str">
        <f>TEXT($G$1, "[$-ko-KR]yyyy-mm-dd(ddd) ") &amp; "오후 21:00"</f>
        <v>2021-05-09(일) 오후 21:00</v>
      </c>
      <c r="K177" s="217"/>
      <c r="L177" s="218"/>
      <c r="M177" s="216" t="str">
        <f>TEXT($G$1+1, "[$-ko-KR]yyyy-mm-dd(ddd) ") &amp; "오전 00:00"</f>
        <v>2021-05-10(월)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219"/>
      <c r="R178" s="219"/>
      <c r="S178" s="219"/>
    </row>
    <row r="179" spans="1:19" ht="17.25" thickBot="1">
      <c r="A179" s="126" t="s">
        <v>254</v>
      </c>
      <c r="B179" s="127">
        <v>83.8</v>
      </c>
      <c r="C179" s="76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100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214"/>
      <c r="R179" s="214"/>
      <c r="S179" s="214"/>
    </row>
    <row r="180" spans="1:19" ht="17.25" thickBot="1">
      <c r="A180" s="128" t="s">
        <v>214</v>
      </c>
      <c r="B180" s="129">
        <v>21.6</v>
      </c>
      <c r="C180" s="77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101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214"/>
      <c r="R180" s="214"/>
      <c r="S180" s="214"/>
    </row>
    <row r="181" spans="1:19" ht="17.25" thickBot="1">
      <c r="A181" s="128" t="s">
        <v>240</v>
      </c>
      <c r="B181" s="129">
        <v>179</v>
      </c>
      <c r="C181" s="77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101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219"/>
      <c r="R181" s="219"/>
      <c r="S181" s="219"/>
    </row>
    <row r="182" spans="1:19" ht="17.25" thickBot="1">
      <c r="A182" s="128" t="s">
        <v>54</v>
      </c>
      <c r="B182" s="129">
        <v>356</v>
      </c>
      <c r="C182" s="77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101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219"/>
      <c r="R182" s="219"/>
      <c r="S182" s="219"/>
    </row>
    <row r="183" spans="1:19" ht="17.25" thickBot="1">
      <c r="A183" s="130" t="s">
        <v>152</v>
      </c>
      <c r="B183" s="131">
        <v>49.7</v>
      </c>
      <c r="C183" s="78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5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219"/>
      <c r="R183" s="219"/>
      <c r="S183" s="219"/>
    </row>
    <row r="184" spans="1:19" ht="17.25" thickBot="1">
      <c r="A184" s="128" t="s">
        <v>192</v>
      </c>
      <c r="B184" s="132">
        <v>1240</v>
      </c>
      <c r="C184" s="80">
        <v>-2.7450980400000002E-2</v>
      </c>
      <c r="D184" s="106">
        <v>1230</v>
      </c>
      <c r="E184" s="107">
        <f>IF(ISNUMBER(D184), (D184 - $B184) / $B184, "")</f>
        <v>-8.0645161290322578E-3</v>
      </c>
      <c r="F184" s="108">
        <f>IF(ISNUMBER(D184), $B199 * E184, "")</f>
        <v>-1209.6774193548388</v>
      </c>
      <c r="G184" s="109">
        <v>1215</v>
      </c>
      <c r="H184" s="107">
        <f>IF(ISNUMBER(G184), (G184 - $B184) / $B184, "")</f>
        <v>-2.0161290322580645E-2</v>
      </c>
      <c r="I184" s="110">
        <f>IF(ISNUMBER(G184), $B199 * H184, "")</f>
        <v>-3024.1935483870966</v>
      </c>
      <c r="J184" s="106">
        <v>1195</v>
      </c>
      <c r="K184" s="107">
        <f>IF(ISNUMBER(J184), (J184 - $B184) / $B184, "")</f>
        <v>-3.6290322580645164E-2</v>
      </c>
      <c r="L184" s="108">
        <f>IF(ISNUMBER(J184), $B199 * K184, "")</f>
        <v>-5443.5483870967746</v>
      </c>
      <c r="M184" s="109">
        <v>1210</v>
      </c>
      <c r="N184" s="107">
        <f>IF(ISNUMBER(M184), (M184 - $B184) / $B184, "")</f>
        <v>-2.4193548387096774E-2</v>
      </c>
      <c r="O184" s="108">
        <f>IF(ISNUMBER(M184), $B199 * N184, "")</f>
        <v>-3629.0322580645161</v>
      </c>
      <c r="Q184" s="219"/>
      <c r="R184" s="219"/>
      <c r="S184" s="219"/>
    </row>
    <row r="185" spans="1:19" ht="17.25" thickBot="1">
      <c r="A185" s="128" t="s">
        <v>84</v>
      </c>
      <c r="B185" s="129">
        <v>1925</v>
      </c>
      <c r="C185" s="77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101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219"/>
      <c r="R185" s="219"/>
      <c r="S185" s="219"/>
    </row>
    <row r="186" spans="1:19" ht="17.25" thickBot="1">
      <c r="A186" s="128" t="s">
        <v>146</v>
      </c>
      <c r="B186" s="129">
        <v>18960</v>
      </c>
      <c r="C186" s="77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101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219"/>
      <c r="R186" s="219"/>
      <c r="S186" s="219"/>
    </row>
    <row r="187" spans="1:19" ht="17.25" thickBot="1">
      <c r="A187" s="128" t="s">
        <v>170</v>
      </c>
      <c r="B187" s="129">
        <v>557</v>
      </c>
      <c r="C187" s="77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101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33" t="s">
        <v>216</v>
      </c>
      <c r="B188" s="134">
        <v>508</v>
      </c>
      <c r="C188" s="79">
        <v>-3.0534351099999999E-2</v>
      </c>
      <c r="D188" s="24">
        <v>492</v>
      </c>
      <c r="E188" s="25">
        <f t="shared" si="98"/>
        <v>-3.1496062992125984E-2</v>
      </c>
      <c r="F188" s="104">
        <f>IF(ISNUMBER(D188), $B199 * E188, "")</f>
        <v>-4724.4094488188975</v>
      </c>
      <c r="G188" s="102">
        <v>488</v>
      </c>
      <c r="H188" s="25">
        <f t="shared" si="99"/>
        <v>-3.937007874015748E-2</v>
      </c>
      <c r="I188" s="103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4">
        <f>IF(ISNUMBER(J188), $B199 * K188, "")</f>
        <v>-7086.6141732283468</v>
      </c>
      <c r="M188" s="102">
        <v>488</v>
      </c>
      <c r="N188" s="25">
        <f t="shared" si="101"/>
        <v>-3.937007874015748E-2</v>
      </c>
      <c r="O188" s="104">
        <f>IF(ISNUMBER(M188), $B199 * N188, "")</f>
        <v>-5905.5118110236217</v>
      </c>
      <c r="Q188" s="228"/>
      <c r="R188" s="229"/>
      <c r="S188" s="230"/>
    </row>
    <row r="189" spans="1:19">
      <c r="A189" s="126" t="s">
        <v>174</v>
      </c>
      <c r="B189" s="127">
        <v>276</v>
      </c>
      <c r="C189" s="76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100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231"/>
      <c r="R189" s="232"/>
      <c r="S189" s="233"/>
    </row>
    <row r="190" spans="1:19" ht="17.25" thickBot="1">
      <c r="A190" s="128" t="s">
        <v>232</v>
      </c>
      <c r="B190" s="129">
        <v>183</v>
      </c>
      <c r="C190" s="77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101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234"/>
      <c r="R190" s="235"/>
      <c r="S190" s="236"/>
    </row>
    <row r="191" spans="1:19" ht="17.25" thickBot="1">
      <c r="A191" s="128" t="s">
        <v>108</v>
      </c>
      <c r="B191" s="129">
        <v>61790</v>
      </c>
      <c r="C191" s="77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101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219"/>
      <c r="R191" s="219"/>
      <c r="S191" s="219"/>
    </row>
    <row r="192" spans="1:19" ht="17.25" thickBot="1">
      <c r="A192" s="128" t="s">
        <v>198</v>
      </c>
      <c r="B192" s="129">
        <v>27.7</v>
      </c>
      <c r="C192" s="77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101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214"/>
      <c r="R192" s="214"/>
      <c r="S192" s="214"/>
    </row>
    <row r="193" spans="1:19" ht="17.25" thickBot="1">
      <c r="A193" s="130" t="s">
        <v>134</v>
      </c>
      <c r="B193" s="131">
        <v>164</v>
      </c>
      <c r="C193" s="78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5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214"/>
      <c r="R193" s="214"/>
      <c r="S193" s="214"/>
    </row>
    <row r="194" spans="1:19" ht="17.25" thickBot="1">
      <c r="A194" s="128" t="s">
        <v>184</v>
      </c>
      <c r="B194" s="132">
        <v>2815</v>
      </c>
      <c r="C194" s="80">
        <v>-3.7606837599999998E-2</v>
      </c>
      <c r="D194" s="106">
        <v>2760</v>
      </c>
      <c r="E194" s="107">
        <f>IF(ISNUMBER(D194), (D194 - $B194) / $B194, "")</f>
        <v>-1.9538188277087035E-2</v>
      </c>
      <c r="F194" s="108">
        <f>IF(ISNUMBER(D194), $B199 * E194, "")</f>
        <v>-2930.7282415630552</v>
      </c>
      <c r="G194" s="109">
        <v>2735</v>
      </c>
      <c r="H194" s="107">
        <f>IF(ISNUMBER(G194), (G194 - $B194) / $B194, "")</f>
        <v>-2.8419182948490232E-2</v>
      </c>
      <c r="I194" s="110">
        <f>IF(ISNUMBER(G194), $B199 * H194, "")</f>
        <v>-4262.8774422735351</v>
      </c>
      <c r="J194" s="106">
        <v>2750</v>
      </c>
      <c r="K194" s="107">
        <f>IF(ISNUMBER(J194), (J194 - $B194) / $B194, "")</f>
        <v>-2.3090586145648313E-2</v>
      </c>
      <c r="L194" s="108">
        <f>IF(ISNUMBER(J194), $B199 * K194, "")</f>
        <v>-3463.5879218472469</v>
      </c>
      <c r="M194" s="109">
        <v>2750</v>
      </c>
      <c r="N194" s="107">
        <f>IF(ISNUMBER(M194), (M194 - $B194) / $B194, "")</f>
        <v>-2.3090586145648313E-2</v>
      </c>
      <c r="O194" s="108">
        <f>IF(ISNUMBER(M194), $B199 * N194, "")</f>
        <v>-3463.5879218472469</v>
      </c>
      <c r="Q194" s="219"/>
      <c r="R194" s="219"/>
      <c r="S194" s="219"/>
    </row>
    <row r="195" spans="1:19" ht="17.25" thickBot="1">
      <c r="A195" s="128" t="s">
        <v>282</v>
      </c>
      <c r="B195" s="129">
        <v>181</v>
      </c>
      <c r="C195" s="77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101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219"/>
      <c r="R195" s="219"/>
      <c r="S195" s="219"/>
    </row>
    <row r="196" spans="1:19" ht="17.25" thickBot="1">
      <c r="A196" s="128" t="s">
        <v>102</v>
      </c>
      <c r="B196" s="129">
        <v>139400</v>
      </c>
      <c r="C196" s="77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101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219"/>
      <c r="R196" s="219"/>
      <c r="S196" s="219"/>
    </row>
    <row r="197" spans="1:19">
      <c r="A197" s="128" t="s">
        <v>188</v>
      </c>
      <c r="B197" s="129">
        <v>30080</v>
      </c>
      <c r="C197" s="77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101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241"/>
      <c r="R197" s="242"/>
      <c r="S197" s="243"/>
    </row>
    <row r="198" spans="1:19" ht="17.25" thickBot="1">
      <c r="A198" s="133" t="s">
        <v>242</v>
      </c>
      <c r="B198" s="134">
        <v>10390</v>
      </c>
      <c r="C198" s="79">
        <v>-0.1058519793</v>
      </c>
      <c r="D198" s="24">
        <v>10200</v>
      </c>
      <c r="E198" s="25">
        <f t="shared" si="106"/>
        <v>-1.8286814244465831E-2</v>
      </c>
      <c r="F198" s="104">
        <f>IF(ISNUMBER(D198), $B199 * E198, "")</f>
        <v>-2743.0221366698747</v>
      </c>
      <c r="G198" s="102">
        <v>10070</v>
      </c>
      <c r="H198" s="25">
        <f t="shared" si="107"/>
        <v>-3.0798845043310877E-2</v>
      </c>
      <c r="I198" s="103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4">
        <f>IF(ISNUMBER(J198), $B199 * K198, "")</f>
        <v>-8662.1751684311839</v>
      </c>
      <c r="M198" s="102">
        <v>9875</v>
      </c>
      <c r="N198" s="25">
        <f t="shared" si="109"/>
        <v>-4.956689124157844E-2</v>
      </c>
      <c r="O198" s="104">
        <f>IF(ISNUMBER(M198), $B199 * N198, "")</f>
        <v>-7435.0336862367658</v>
      </c>
      <c r="Q198" s="244"/>
      <c r="R198" s="245"/>
      <c r="S198" s="246"/>
    </row>
    <row r="199" spans="1:19" ht="17.25" thickBot="1">
      <c r="A199" s="135" t="s">
        <v>301</v>
      </c>
      <c r="B199" s="252">
        <f>$B$37</f>
        <v>150000</v>
      </c>
      <c r="C199" s="253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abSelected="1" topLeftCell="A10" zoomScaleNormal="100" workbookViewId="0">
      <selection activeCell="M20" sqref="M20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44326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20" t="s">
        <v>3</v>
      </c>
      <c r="B2" s="199" t="s">
        <v>8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376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21" t="s">
        <v>7</v>
      </c>
      <c r="B3" s="205" t="s">
        <v>384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47,214 KRW (1.57%)</v>
      </c>
      <c r="H3" s="209"/>
      <c r="I3" s="210"/>
      <c r="J3" s="4" t="s">
        <v>7</v>
      </c>
      <c r="K3" s="205" t="s">
        <v>377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05" t="s">
        <v>16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378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05" t="s">
        <v>374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30,730 KRW (1.08%)</v>
      </c>
      <c r="H5" s="209"/>
      <c r="I5" s="210"/>
      <c r="J5" s="4" t="s">
        <v>15</v>
      </c>
      <c r="K5" s="205" t="s">
        <v>379</v>
      </c>
      <c r="L5" s="206"/>
      <c r="M5" s="206"/>
      <c r="N5" s="206"/>
      <c r="O5" s="207"/>
    </row>
    <row r="6" spans="1:19">
      <c r="A6" s="121" t="s">
        <v>18</v>
      </c>
      <c r="B6" s="205"/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380</v>
      </c>
      <c r="L6" s="206"/>
      <c r="M6" s="206"/>
      <c r="N6" s="206"/>
      <c r="O6" s="207"/>
    </row>
    <row r="7" spans="1:19" ht="17.25" thickBot="1">
      <c r="A7" s="121" t="s">
        <v>21</v>
      </c>
      <c r="B7" s="205"/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45,370 KRW (1.51%)</v>
      </c>
      <c r="H7" s="209"/>
      <c r="I7" s="210"/>
      <c r="J7" s="4" t="s">
        <v>21</v>
      </c>
      <c r="K7" s="205" t="s">
        <v>381</v>
      </c>
      <c r="L7" s="206"/>
      <c r="M7" s="206"/>
      <c r="N7" s="206"/>
      <c r="O7" s="207"/>
    </row>
    <row r="8" spans="1:19" ht="17.25" thickBot="1">
      <c r="A8" s="121" t="s">
        <v>24</v>
      </c>
      <c r="B8" s="205"/>
      <c r="C8" s="206"/>
      <c r="D8" s="206"/>
      <c r="E8" s="206"/>
      <c r="F8" s="207"/>
      <c r="G8" s="202" t="s">
        <v>285</v>
      </c>
      <c r="H8" s="203"/>
      <c r="I8" s="204"/>
      <c r="J8" s="4" t="s">
        <v>24</v>
      </c>
      <c r="K8" s="205"/>
      <c r="L8" s="206"/>
      <c r="M8" s="206"/>
      <c r="N8" s="206"/>
      <c r="O8" s="207"/>
      <c r="Q8" s="193" t="s">
        <v>27</v>
      </c>
      <c r="R8" s="195"/>
    </row>
    <row r="9" spans="1:19" ht="17.25" thickBot="1">
      <c r="A9" s="121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58,358 KRW (1.95%)</v>
      </c>
      <c r="H9" s="209"/>
      <c r="I9" s="210"/>
      <c r="J9" s="4" t="s">
        <v>28</v>
      </c>
      <c r="K9" s="205"/>
      <c r="L9" s="206"/>
      <c r="M9" s="206"/>
      <c r="N9" s="206"/>
      <c r="O9" s="207"/>
      <c r="Q9" s="2" t="s">
        <v>29</v>
      </c>
      <c r="R9" s="6">
        <v>10</v>
      </c>
    </row>
    <row r="10" spans="1:19">
      <c r="A10" s="121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 t="s">
        <v>382</v>
      </c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22" t="s">
        <v>32</v>
      </c>
      <c r="B11" s="211" t="s">
        <v>383</v>
      </c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45,370 KRW (1.51%)</v>
      </c>
      <c r="H11" s="209"/>
      <c r="I11" s="210"/>
      <c r="J11" s="7" t="s">
        <v>32</v>
      </c>
      <c r="K11" s="211" t="s">
        <v>373</v>
      </c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1"/>
      <c r="C13" s="191"/>
      <c r="D13" s="191"/>
      <c r="E13" s="191"/>
      <c r="F13" s="191"/>
      <c r="G13" s="191"/>
      <c r="H13" s="191"/>
      <c r="I13" s="191"/>
      <c r="J13" s="191"/>
      <c r="K13" s="191"/>
      <c r="L13" s="191"/>
      <c r="M13" s="191"/>
      <c r="N13" s="191"/>
      <c r="O13" s="190"/>
      <c r="Q13" s="214"/>
      <c r="R13" s="214"/>
      <c r="S13" s="214"/>
    </row>
    <row r="14" spans="1:19" ht="17.25" customHeight="1" thickBot="1">
      <c r="A14" s="183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72158000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9.1322285000000007E-3</v>
      </c>
      <c r="N14" s="224"/>
      <c r="O14" s="225"/>
      <c r="Q14" s="214"/>
      <c r="R14" s="214"/>
      <c r="S14" s="214"/>
    </row>
    <row r="15" spans="1:19" ht="17.25" customHeight="1" thickBot="1">
      <c r="A15" s="192" t="s">
        <v>39</v>
      </c>
      <c r="B15" s="256" t="str">
        <f>TEXT($G$1, "[$-ko-KR]yyyy-mm-dd(ddd) ") &amp; "오전 00:00"</f>
        <v>2021-05-10(월) 오전 00:00</v>
      </c>
      <c r="C15" s="257"/>
      <c r="D15" s="216" t="str">
        <f>TEXT($G$1, "[$-ko-KR]yyyy-mm-dd(ddd) ") &amp; "오후 14:00"</f>
        <v>2021-05-10(월) 오후 14:00</v>
      </c>
      <c r="E15" s="217"/>
      <c r="F15" s="218"/>
      <c r="G15" s="216" t="str">
        <f>TEXT($G$1, "[$-ko-KR]yyyy-mm-dd(ddd) ") &amp; "오후 19:00"</f>
        <v>2021-05-10(월) 오후 19:00</v>
      </c>
      <c r="H15" s="217"/>
      <c r="I15" s="218"/>
      <c r="J15" s="216" t="str">
        <f>TEXT($G$1, "[$-ko-KR]yyyy-mm-dd(ddd) ") &amp; "오후 21:00"</f>
        <v>2021-05-10(월) 오후 21:00</v>
      </c>
      <c r="K15" s="217"/>
      <c r="L15" s="218"/>
      <c r="M15" s="216" t="str">
        <f>TEXT($G$1+1, "[$-ko-KR]yyyy-mm-dd(ddd) ") &amp; "오전 00:00"</f>
        <v>2021-05-11(화) 오전 00:00</v>
      </c>
      <c r="N15" s="217"/>
      <c r="O15" s="218"/>
      <c r="Q15" s="214"/>
      <c r="R15" s="214"/>
      <c r="S15" s="214"/>
    </row>
    <row r="16" spans="1:19" ht="17.25" customHeight="1" thickBot="1">
      <c r="A16" s="192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84" t="s">
        <v>37</v>
      </c>
      <c r="H16" s="185" t="s">
        <v>40</v>
      </c>
      <c r="I16" s="18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6" t="s">
        <v>240</v>
      </c>
      <c r="B17" s="127">
        <f>IF(NOT(ISBLANK(_xlfn.IFNA(VLOOKUP($A17, $A$40:$O$199, 2, FALSE), ))), _xlfn.IFNA(VLOOKUP($A17, $A$40:$O$199, 2, FALSE), ), "")</f>
        <v>181</v>
      </c>
      <c r="C17" s="76">
        <f>IF(NOT(ISBLANK(_xlfn.IFNA(VLOOKUP($A17, $A$40:$O$199, 3, FALSE), ))), _xlfn.IFNA(VLOOKUP($A17, $A$40:$O$199, 3, FALSE), ), "")</f>
        <v>2.2598870100000001E-2</v>
      </c>
      <c r="D17" s="13">
        <f>IF(NOT(ISBLANK(_xlfn.IFNA(VLOOKUP($A17, $A$40:$O$199, 4, FALSE), ))), _xlfn.IFNA(VLOOKUP($A17, $A$40:$O$199, 4, FALSE), ), "")</f>
        <v>178</v>
      </c>
      <c r="E17" s="14">
        <f>IF(NOT(ISBLANK(_xlfn.IFNA(VLOOKUP($A17, $A$40:$O$199, 5, FALSE), ))), _xlfn.IFNA(VLOOKUP($A17, $A$40:$O$199, 5, FALSE), ), "")</f>
        <v>-1.6574585635359115E-2</v>
      </c>
      <c r="F17" s="16">
        <f>IF(NOT(ISBLANK(_xlfn.IFNA(VLOOKUP($A17, $A$40:$O$199, 6, FALSE), ))), _xlfn.IFNA(VLOOKUP($A17, $A$40:$O$199, 6, FALSE), ), "")</f>
        <v>-2486.1878453038671</v>
      </c>
      <c r="G17" s="29">
        <f>IF(NOT(ISBLANK(_xlfn.IFNA(VLOOKUP($A17, $A$40:$O$199, 7, FALSE), ))), _xlfn.IFNA(VLOOKUP($A17, $A$40:$O$199, 7, FALSE), ), "")</f>
        <v>176</v>
      </c>
      <c r="H17" s="14">
        <f>IF(NOT(ISBLANK(_xlfn.IFNA(VLOOKUP($A17, $A$40:$O$199, 8, FALSE), ))), _xlfn.IFNA(VLOOKUP($A17, $A$40:$O$199, 8, FALSE), ), "")</f>
        <v>-2.7624309392265192E-2</v>
      </c>
      <c r="I17" s="100">
        <f>IF(NOT(ISBLANK(_xlfn.IFNA(VLOOKUP($A17, $A$40:$O$199, 9, FALSE), ))), _xlfn.IFNA(VLOOKUP($A17, $A$40:$O$199, 9, FALSE), ), "")</f>
        <v>-4143.6464088397788</v>
      </c>
      <c r="J17" s="13">
        <f>IF(NOT(ISBLANK(_xlfn.IFNA(VLOOKUP($A17, $A$40:$O$199, 10, FALSE), ))), _xlfn.IFNA(VLOOKUP($A17, $A$40:$O$199, 10, FALSE), ), "")</f>
        <v>177</v>
      </c>
      <c r="K17" s="14">
        <f>IF(NOT(ISBLANK(_xlfn.IFNA(VLOOKUP($A17, $A$40:$O$199, 11, FALSE), ))), _xlfn.IFNA(VLOOKUP($A17, $A$40:$O$199, 11, FALSE), ), "")</f>
        <v>-2.2099447513812154E-2</v>
      </c>
      <c r="L17" s="16">
        <f>IF(NOT(ISBLANK(_xlfn.IFNA(VLOOKUP($A17, $A$40:$O$199, 12, FALSE), ))), _xlfn.IFNA(VLOOKUP($A17, $A$40:$O$199, 12, FALSE), ), "")</f>
        <v>-3314.917127071823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8" t="s">
        <v>208</v>
      </c>
      <c r="B18" s="129">
        <f t="shared" ref="B18:B36" si="0">IF(NOT(ISBLANK(_xlfn.IFNA(VLOOKUP($A18, $A$40:$O$199, 2, FALSE), ))), _xlfn.IFNA(VLOOKUP($A18, $A$40:$O$199, 2, FALSE), ), "")</f>
        <v>485</v>
      </c>
      <c r="C18" s="77">
        <f t="shared" ref="C18:C36" si="1">IF(NOT(ISBLANK(_xlfn.IFNA(VLOOKUP($A18, $A$40:$O$199, 3, FALSE), ))), _xlfn.IFNA(VLOOKUP($A18, $A$40:$O$199, 3, FALSE), ), "")</f>
        <v>1.46443515E-2</v>
      </c>
      <c r="D18" s="15">
        <f t="shared" ref="D18:D36" si="2">IF(NOT(ISBLANK(_xlfn.IFNA(VLOOKUP($A18, $A$40:$O$199, 4, FALSE), ))), _xlfn.IFNA(VLOOKUP($A18, $A$40:$O$199, 4, FALSE), ), "")</f>
        <v>480</v>
      </c>
      <c r="E18" s="32">
        <f t="shared" ref="E18:E36" si="3">IF(NOT(ISBLANK(_xlfn.IFNA(VLOOKUP($A18, $A$40:$O$199, 5, FALSE), ))), _xlfn.IFNA(VLOOKUP($A18, $A$40:$O$199, 5, FALSE), ), "")</f>
        <v>-1.0309278350515464E-2</v>
      </c>
      <c r="F18" s="18">
        <f t="shared" ref="F18:F36" si="4">IF(NOT(ISBLANK(_xlfn.IFNA(VLOOKUP($A18, $A$40:$O$199, 6, FALSE), ))), _xlfn.IFNA(VLOOKUP($A18, $A$40:$O$199, 6, FALSE), ), "")</f>
        <v>-1546.3917525773195</v>
      </c>
      <c r="G18" s="31">
        <f t="shared" ref="G18:G36" si="5">IF(NOT(ISBLANK(_xlfn.IFNA(VLOOKUP($A18, $A$40:$O$199, 7, FALSE), ))), _xlfn.IFNA(VLOOKUP($A18, $A$40:$O$199, 7, FALSE), ), "")</f>
        <v>478</v>
      </c>
      <c r="H18" s="32">
        <f t="shared" ref="H18:H36" si="6">IF(NOT(ISBLANK(_xlfn.IFNA(VLOOKUP($A18, $A$40:$O$199, 8, FALSE), ))), _xlfn.IFNA(VLOOKUP($A18, $A$40:$O$199, 8, FALSE), ), "")</f>
        <v>-1.443298969072165E-2</v>
      </c>
      <c r="I18" s="101">
        <f t="shared" ref="I18:I36" si="7">IF(NOT(ISBLANK(_xlfn.IFNA(VLOOKUP($A18, $A$40:$O$199, 9, FALSE), ))), _xlfn.IFNA(VLOOKUP($A18, $A$40:$O$199, 9, FALSE), ), "")</f>
        <v>-2164.9484536082477</v>
      </c>
      <c r="J18" s="15">
        <f t="shared" ref="J18:J36" si="8">IF(NOT(ISBLANK(_xlfn.IFNA(VLOOKUP($A18, $A$40:$O$199, 10, FALSE), ))), _xlfn.IFNA(VLOOKUP($A18, $A$40:$O$199, 10, FALSE), ), "")</f>
        <v>477</v>
      </c>
      <c r="K18" s="32">
        <f t="shared" ref="K18:K36" si="9">IF(NOT(ISBLANK(_xlfn.IFNA(VLOOKUP($A18, $A$40:$O$199, 11, FALSE), ))), _xlfn.IFNA(VLOOKUP($A18, $A$40:$O$199, 11, FALSE), ), "")</f>
        <v>-1.6494845360824743E-2</v>
      </c>
      <c r="L18" s="18">
        <f t="shared" ref="L18:L36" si="10">IF(NOT(ISBLANK(_xlfn.IFNA(VLOOKUP($A18, $A$40:$O$199, 12, FALSE), ))), _xlfn.IFNA(VLOOKUP($A18, $A$40:$O$199, 12, FALSE), ), "")</f>
        <v>-2474.2268041237112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8" t="s">
        <v>132</v>
      </c>
      <c r="B19" s="129">
        <f t="shared" si="0"/>
        <v>270</v>
      </c>
      <c r="C19" s="77">
        <f t="shared" si="1"/>
        <v>-7.3529412000000001E-3</v>
      </c>
      <c r="D19" s="15">
        <f t="shared" si="2"/>
        <v>280</v>
      </c>
      <c r="E19" s="32">
        <f t="shared" si="3"/>
        <v>3.7037037037037035E-2</v>
      </c>
      <c r="F19" s="18">
        <f t="shared" si="4"/>
        <v>5555.5555555555557</v>
      </c>
      <c r="G19" s="31">
        <f t="shared" si="5"/>
        <v>279</v>
      </c>
      <c r="H19" s="32">
        <f t="shared" si="6"/>
        <v>3.3333333333333333E-2</v>
      </c>
      <c r="I19" s="101">
        <f t="shared" si="7"/>
        <v>5000</v>
      </c>
      <c r="J19" s="15">
        <f t="shared" si="8"/>
        <v>278</v>
      </c>
      <c r="K19" s="32">
        <f t="shared" si="9"/>
        <v>2.9629629629629631E-2</v>
      </c>
      <c r="L19" s="18">
        <f t="shared" si="10"/>
        <v>4444.4444444444443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28" t="s">
        <v>51</v>
      </c>
      <c r="B20" s="129">
        <f t="shared" si="0"/>
        <v>743</v>
      </c>
      <c r="C20" s="77">
        <f t="shared" si="1"/>
        <v>-8.0106809000000008E-3</v>
      </c>
      <c r="D20" s="15">
        <f t="shared" si="2"/>
        <v>815</v>
      </c>
      <c r="E20" s="32">
        <f t="shared" si="3"/>
        <v>9.6904441453566623E-2</v>
      </c>
      <c r="F20" s="18">
        <f t="shared" si="4"/>
        <v>14535.666218034994</v>
      </c>
      <c r="G20" s="31">
        <f t="shared" si="5"/>
        <v>963</v>
      </c>
      <c r="H20" s="32">
        <f t="shared" si="6"/>
        <v>0.29609690444145359</v>
      </c>
      <c r="I20" s="101">
        <f t="shared" si="7"/>
        <v>44414.535666218042</v>
      </c>
      <c r="J20" s="15">
        <f t="shared" si="8"/>
        <v>897</v>
      </c>
      <c r="K20" s="32">
        <f t="shared" si="9"/>
        <v>0.2072678331090175</v>
      </c>
      <c r="L20" s="18">
        <f t="shared" si="10"/>
        <v>31090.174966352624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30" t="s">
        <v>226</v>
      </c>
      <c r="B21" s="131">
        <f t="shared" si="0"/>
        <v>493</v>
      </c>
      <c r="C21" s="78">
        <f t="shared" si="1"/>
        <v>-8.0482897000000008E-3</v>
      </c>
      <c r="D21" s="20">
        <f t="shared" si="2"/>
        <v>496</v>
      </c>
      <c r="E21" s="21">
        <f t="shared" si="3"/>
        <v>6.0851926977687626E-3</v>
      </c>
      <c r="F21" s="22">
        <f t="shared" si="4"/>
        <v>912.77890466531437</v>
      </c>
      <c r="G21" s="30">
        <f t="shared" si="5"/>
        <v>498</v>
      </c>
      <c r="H21" s="21">
        <f t="shared" si="6"/>
        <v>1.0141987829614604E-2</v>
      </c>
      <c r="I21" s="105">
        <f t="shared" si="7"/>
        <v>1521.2981744421907</v>
      </c>
      <c r="J21" s="20">
        <f t="shared" si="8"/>
        <v>494</v>
      </c>
      <c r="K21" s="21">
        <f t="shared" si="9"/>
        <v>2.0283975659229209E-3</v>
      </c>
      <c r="L21" s="22">
        <f t="shared" si="10"/>
        <v>304.25963488843814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28" t="s">
        <v>148</v>
      </c>
      <c r="B22" s="132">
        <f t="shared" si="0"/>
        <v>194</v>
      </c>
      <c r="C22" s="80">
        <f t="shared" si="1"/>
        <v>-1.02040816E-2</v>
      </c>
      <c r="D22" s="106">
        <f t="shared" si="2"/>
        <v>192</v>
      </c>
      <c r="E22" s="107">
        <f t="shared" si="3"/>
        <v>-1.0309278350515464E-2</v>
      </c>
      <c r="F22" s="108">
        <f t="shared" si="4"/>
        <v>-1546.3917525773195</v>
      </c>
      <c r="G22" s="109">
        <f t="shared" si="5"/>
        <v>194</v>
      </c>
      <c r="H22" s="107">
        <f t="shared" si="6"/>
        <v>0</v>
      </c>
      <c r="I22" s="110">
        <f t="shared" si="7"/>
        <v>0</v>
      </c>
      <c r="J22" s="106">
        <f t="shared" si="8"/>
        <v>194</v>
      </c>
      <c r="K22" s="107">
        <f t="shared" si="9"/>
        <v>0</v>
      </c>
      <c r="L22" s="108">
        <f t="shared" si="10"/>
        <v>0</v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28" t="s">
        <v>156</v>
      </c>
      <c r="B23" s="129">
        <f t="shared" si="0"/>
        <v>172</v>
      </c>
      <c r="C23" s="77">
        <f t="shared" si="1"/>
        <v>-1.14942529E-2</v>
      </c>
      <c r="D23" s="15">
        <f t="shared" si="2"/>
        <v>178</v>
      </c>
      <c r="E23" s="32">
        <f t="shared" si="3"/>
        <v>3.4883720930232558E-2</v>
      </c>
      <c r="F23" s="18">
        <f t="shared" si="4"/>
        <v>5232.5581395348836</v>
      </c>
      <c r="G23" s="31">
        <f t="shared" si="5"/>
        <v>179</v>
      </c>
      <c r="H23" s="32">
        <f t="shared" si="6"/>
        <v>4.0697674418604654E-2</v>
      </c>
      <c r="I23" s="101">
        <f t="shared" si="7"/>
        <v>6104.6511627906984</v>
      </c>
      <c r="J23" s="15">
        <f t="shared" si="8"/>
        <v>177</v>
      </c>
      <c r="K23" s="32">
        <f t="shared" si="9"/>
        <v>2.9069767441860465E-2</v>
      </c>
      <c r="L23" s="18">
        <f t="shared" si="10"/>
        <v>4360.4651162790697</v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28" t="s">
        <v>112</v>
      </c>
      <c r="B24" s="129">
        <f t="shared" si="0"/>
        <v>252</v>
      </c>
      <c r="C24" s="77">
        <f t="shared" si="1"/>
        <v>-1.9455252900000001E-2</v>
      </c>
      <c r="D24" s="15">
        <f t="shared" si="2"/>
        <v>256</v>
      </c>
      <c r="E24" s="32">
        <f t="shared" si="3"/>
        <v>1.5873015873015872E-2</v>
      </c>
      <c r="F24" s="18">
        <f t="shared" si="4"/>
        <v>2380.9523809523807</v>
      </c>
      <c r="G24" s="31">
        <f t="shared" si="5"/>
        <v>255</v>
      </c>
      <c r="H24" s="32">
        <f t="shared" si="6"/>
        <v>1.1904761904761904E-2</v>
      </c>
      <c r="I24" s="101">
        <f t="shared" si="7"/>
        <v>1785.7142857142856</v>
      </c>
      <c r="J24" s="15">
        <f t="shared" si="8"/>
        <v>254</v>
      </c>
      <c r="K24" s="32">
        <f t="shared" si="9"/>
        <v>7.9365079365079361E-3</v>
      </c>
      <c r="L24" s="18">
        <f t="shared" si="10"/>
        <v>1190.4761904761904</v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28" t="s">
        <v>54</v>
      </c>
      <c r="B25" s="129">
        <f t="shared" si="0"/>
        <v>354</v>
      </c>
      <c r="C25" s="77">
        <f t="shared" si="1"/>
        <v>-2.2099447500000001E-2</v>
      </c>
      <c r="D25" s="15">
        <f t="shared" si="2"/>
        <v>357</v>
      </c>
      <c r="E25" s="32">
        <f t="shared" si="3"/>
        <v>8.4745762711864406E-3</v>
      </c>
      <c r="F25" s="18">
        <f t="shared" si="4"/>
        <v>1271.1864406779662</v>
      </c>
      <c r="G25" s="31">
        <f t="shared" si="5"/>
        <v>360</v>
      </c>
      <c r="H25" s="32">
        <f t="shared" si="6"/>
        <v>1.6949152542372881E-2</v>
      </c>
      <c r="I25" s="101">
        <f t="shared" si="7"/>
        <v>2542.3728813559323</v>
      </c>
      <c r="J25" s="15">
        <f t="shared" si="8"/>
        <v>354</v>
      </c>
      <c r="K25" s="32">
        <f t="shared" si="9"/>
        <v>0</v>
      </c>
      <c r="L25" s="18">
        <f t="shared" si="10"/>
        <v>0</v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 t="s">
        <v>278</v>
      </c>
      <c r="B26" s="134">
        <f t="shared" si="0"/>
        <v>163</v>
      </c>
      <c r="C26" s="79">
        <f t="shared" si="1"/>
        <v>-2.39520958E-2</v>
      </c>
      <c r="D26" s="24">
        <f t="shared" si="2"/>
        <v>165</v>
      </c>
      <c r="E26" s="25">
        <f t="shared" si="3"/>
        <v>1.2269938650306749E-2</v>
      </c>
      <c r="F26" s="104">
        <f t="shared" si="4"/>
        <v>1840.4907975460123</v>
      </c>
      <c r="G26" s="102">
        <f t="shared" si="5"/>
        <v>165</v>
      </c>
      <c r="H26" s="25">
        <f t="shared" si="6"/>
        <v>1.2269938650306749E-2</v>
      </c>
      <c r="I26" s="103">
        <f t="shared" si="7"/>
        <v>1840.4907975460123</v>
      </c>
      <c r="J26" s="24">
        <f t="shared" si="8"/>
        <v>164</v>
      </c>
      <c r="K26" s="25">
        <f t="shared" si="9"/>
        <v>6.1349693251533744E-3</v>
      </c>
      <c r="L26" s="104">
        <f t="shared" si="10"/>
        <v>920.24539877300617</v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6" t="s">
        <v>88</v>
      </c>
      <c r="B27" s="127">
        <f t="shared" si="0"/>
        <v>592</v>
      </c>
      <c r="C27" s="76">
        <f t="shared" si="1"/>
        <v>-2.47116969E-2</v>
      </c>
      <c r="D27" s="13">
        <f t="shared" si="2"/>
        <v>601</v>
      </c>
      <c r="E27" s="14">
        <f t="shared" si="3"/>
        <v>1.5202702702702704E-2</v>
      </c>
      <c r="F27" s="16">
        <f t="shared" si="4"/>
        <v>2280.4054054054054</v>
      </c>
      <c r="G27" s="29">
        <f t="shared" si="5"/>
        <v>594</v>
      </c>
      <c r="H27" s="14">
        <f t="shared" si="6"/>
        <v>3.3783783783783786E-3</v>
      </c>
      <c r="I27" s="100">
        <f t="shared" si="7"/>
        <v>506.75675675675677</v>
      </c>
      <c r="J27" s="13">
        <f t="shared" si="8"/>
        <v>592</v>
      </c>
      <c r="K27" s="14">
        <f t="shared" si="9"/>
        <v>0</v>
      </c>
      <c r="L27" s="16">
        <f t="shared" si="10"/>
        <v>0</v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28" t="s">
        <v>128</v>
      </c>
      <c r="B28" s="129">
        <f t="shared" si="0"/>
        <v>715</v>
      </c>
      <c r="C28" s="77">
        <f t="shared" si="1"/>
        <v>-2.85326087E-2</v>
      </c>
      <c r="D28" s="15">
        <f t="shared" si="2"/>
        <v>704</v>
      </c>
      <c r="E28" s="32">
        <f t="shared" si="3"/>
        <v>-1.5384615384615385E-2</v>
      </c>
      <c r="F28" s="18">
        <f t="shared" si="4"/>
        <v>-2307.6923076923076</v>
      </c>
      <c r="G28" s="31">
        <f t="shared" si="5"/>
        <v>703</v>
      </c>
      <c r="H28" s="32">
        <f t="shared" si="6"/>
        <v>-1.6783216783216783E-2</v>
      </c>
      <c r="I28" s="101">
        <f t="shared" si="7"/>
        <v>-2517.4825174825173</v>
      </c>
      <c r="J28" s="15">
        <f t="shared" si="8"/>
        <v>697</v>
      </c>
      <c r="K28" s="32">
        <f t="shared" si="9"/>
        <v>-2.5174825174825177E-2</v>
      </c>
      <c r="L28" s="18">
        <f t="shared" si="10"/>
        <v>-3776.2237762237764</v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28" t="s">
        <v>116</v>
      </c>
      <c r="B29" s="129">
        <f t="shared" si="0"/>
        <v>640</v>
      </c>
      <c r="C29" s="77">
        <f t="shared" si="1"/>
        <v>-3.1770045400000002E-2</v>
      </c>
      <c r="D29" s="15">
        <f t="shared" si="2"/>
        <v>654</v>
      </c>
      <c r="E29" s="32">
        <f t="shared" si="3"/>
        <v>2.1874999999999999E-2</v>
      </c>
      <c r="F29" s="18">
        <f t="shared" si="4"/>
        <v>3281.25</v>
      </c>
      <c r="G29" s="31">
        <f t="shared" si="5"/>
        <v>648</v>
      </c>
      <c r="H29" s="32">
        <f t="shared" si="6"/>
        <v>1.2500000000000001E-2</v>
      </c>
      <c r="I29" s="101">
        <f t="shared" si="7"/>
        <v>1875</v>
      </c>
      <c r="J29" s="15">
        <f t="shared" si="8"/>
        <v>648</v>
      </c>
      <c r="K29" s="32">
        <f t="shared" si="9"/>
        <v>1.2500000000000001E-2</v>
      </c>
      <c r="L29" s="18">
        <f t="shared" si="10"/>
        <v>1875</v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28" t="s">
        <v>202</v>
      </c>
      <c r="B30" s="129">
        <f t="shared" si="0"/>
        <v>196</v>
      </c>
      <c r="C30" s="77">
        <f t="shared" si="1"/>
        <v>-3.4482758600000003E-2</v>
      </c>
      <c r="D30" s="15">
        <f t="shared" si="2"/>
        <v>198</v>
      </c>
      <c r="E30" s="32">
        <f t="shared" si="3"/>
        <v>1.020408163265306E-2</v>
      </c>
      <c r="F30" s="18">
        <f t="shared" si="4"/>
        <v>1530.612244897959</v>
      </c>
      <c r="G30" s="31">
        <f t="shared" si="5"/>
        <v>197</v>
      </c>
      <c r="H30" s="32">
        <f t="shared" si="6"/>
        <v>5.1020408163265302E-3</v>
      </c>
      <c r="I30" s="101">
        <f t="shared" si="7"/>
        <v>765.30612244897952</v>
      </c>
      <c r="J30" s="15">
        <f t="shared" si="8"/>
        <v>195</v>
      </c>
      <c r="K30" s="32">
        <f t="shared" si="9"/>
        <v>-5.1020408163265302E-3</v>
      </c>
      <c r="L30" s="18">
        <f t="shared" si="10"/>
        <v>-765.30612244897952</v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30" t="s">
        <v>136</v>
      </c>
      <c r="B31" s="131">
        <f t="shared" si="0"/>
        <v>276</v>
      </c>
      <c r="C31" s="78">
        <f t="shared" si="1"/>
        <v>-3.4965034999999998E-2</v>
      </c>
      <c r="D31" s="20">
        <f t="shared" si="2"/>
        <v>301</v>
      </c>
      <c r="E31" s="21">
        <f t="shared" si="3"/>
        <v>9.0579710144927536E-2</v>
      </c>
      <c r="F31" s="22">
        <f t="shared" si="4"/>
        <v>13586.95652173913</v>
      </c>
      <c r="G31" s="30">
        <f t="shared" si="5"/>
        <v>300</v>
      </c>
      <c r="H31" s="21">
        <f t="shared" si="6"/>
        <v>8.6956521739130432E-2</v>
      </c>
      <c r="I31" s="105">
        <f t="shared" si="7"/>
        <v>13043.478260869564</v>
      </c>
      <c r="J31" s="20">
        <f t="shared" si="8"/>
        <v>293</v>
      </c>
      <c r="K31" s="21">
        <f t="shared" si="9"/>
        <v>6.1594202898550728E-2</v>
      </c>
      <c r="L31" s="22">
        <f t="shared" si="10"/>
        <v>9239.1304347826099</v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8" t="s">
        <v>120</v>
      </c>
      <c r="B32" s="132">
        <f t="shared" si="0"/>
        <v>216</v>
      </c>
      <c r="C32" s="80">
        <f t="shared" si="1"/>
        <v>-3.5714285700000001E-2</v>
      </c>
      <c r="D32" s="106">
        <f t="shared" si="2"/>
        <v>220</v>
      </c>
      <c r="E32" s="107">
        <f t="shared" si="3"/>
        <v>1.8518518518518517E-2</v>
      </c>
      <c r="F32" s="108">
        <f t="shared" si="4"/>
        <v>2777.7777777777778</v>
      </c>
      <c r="G32" s="109">
        <f t="shared" si="5"/>
        <v>222</v>
      </c>
      <c r="H32" s="107">
        <f t="shared" si="6"/>
        <v>2.7777777777777776E-2</v>
      </c>
      <c r="I32" s="110">
        <f t="shared" si="7"/>
        <v>4166.6666666666661</v>
      </c>
      <c r="J32" s="106">
        <f t="shared" si="8"/>
        <v>219</v>
      </c>
      <c r="K32" s="107">
        <f t="shared" si="9"/>
        <v>1.3888888888888888E-2</v>
      </c>
      <c r="L32" s="108">
        <f t="shared" si="10"/>
        <v>2083.333333333333</v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28" t="s">
        <v>142</v>
      </c>
      <c r="B33" s="129">
        <f t="shared" si="0"/>
        <v>472</v>
      </c>
      <c r="C33" s="77">
        <f t="shared" si="1"/>
        <v>-3.6734693899999997E-2</v>
      </c>
      <c r="D33" s="15">
        <f t="shared" si="2"/>
        <v>466</v>
      </c>
      <c r="E33" s="32">
        <f t="shared" si="3"/>
        <v>-1.2711864406779662E-2</v>
      </c>
      <c r="F33" s="18">
        <f t="shared" si="4"/>
        <v>-1906.7796610169494</v>
      </c>
      <c r="G33" s="31">
        <f t="shared" si="5"/>
        <v>466</v>
      </c>
      <c r="H33" s="32">
        <f t="shared" si="6"/>
        <v>-1.2711864406779662E-2</v>
      </c>
      <c r="I33" s="101">
        <f t="shared" si="7"/>
        <v>-1906.7796610169494</v>
      </c>
      <c r="J33" s="15">
        <f t="shared" si="8"/>
        <v>457</v>
      </c>
      <c r="K33" s="32">
        <f t="shared" si="9"/>
        <v>-3.1779661016949151E-2</v>
      </c>
      <c r="L33" s="18">
        <f t="shared" si="10"/>
        <v>-4766.9491525423728</v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28" t="s">
        <v>284</v>
      </c>
      <c r="B34" s="129">
        <f t="shared" si="0"/>
        <v>511</v>
      </c>
      <c r="C34" s="77">
        <f t="shared" si="1"/>
        <v>-3.9473684199999998E-2</v>
      </c>
      <c r="D34" s="15">
        <f t="shared" si="2"/>
        <v>505</v>
      </c>
      <c r="E34" s="32">
        <f t="shared" si="3"/>
        <v>-1.1741682974559686E-2</v>
      </c>
      <c r="F34" s="18">
        <f t="shared" si="4"/>
        <v>-1761.252446183953</v>
      </c>
      <c r="G34" s="31">
        <f t="shared" si="5"/>
        <v>506</v>
      </c>
      <c r="H34" s="32">
        <f t="shared" si="6"/>
        <v>-9.7847358121330719E-3</v>
      </c>
      <c r="I34" s="101">
        <f t="shared" si="7"/>
        <v>-1467.7103718199608</v>
      </c>
      <c r="J34" s="15">
        <f t="shared" si="8"/>
        <v>504</v>
      </c>
      <c r="K34" s="32">
        <f t="shared" si="9"/>
        <v>-1.3698630136986301E-2</v>
      </c>
      <c r="L34" s="18">
        <f t="shared" si="10"/>
        <v>-2054.794520547945</v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28" t="s">
        <v>200</v>
      </c>
      <c r="B35" s="129">
        <f t="shared" si="0"/>
        <v>344</v>
      </c>
      <c r="C35" s="77">
        <f t="shared" si="1"/>
        <v>-4.1782729800000001E-2</v>
      </c>
      <c r="D35" s="15">
        <f t="shared" si="2"/>
        <v>343</v>
      </c>
      <c r="E35" s="32">
        <f t="shared" si="3"/>
        <v>-2.9069767441860465E-3</v>
      </c>
      <c r="F35" s="18">
        <f t="shared" si="4"/>
        <v>-436.04651162790697</v>
      </c>
      <c r="G35" s="31">
        <f t="shared" si="5"/>
        <v>346</v>
      </c>
      <c r="H35" s="32">
        <f t="shared" si="6"/>
        <v>5.8139534883720929E-3</v>
      </c>
      <c r="I35" s="101">
        <f t="shared" si="7"/>
        <v>872.09302325581393</v>
      </c>
      <c r="J35" s="15">
        <f t="shared" si="8"/>
        <v>345</v>
      </c>
      <c r="K35" s="32">
        <f t="shared" si="9"/>
        <v>2.9069767441860465E-3</v>
      </c>
      <c r="L35" s="18">
        <f t="shared" si="10"/>
        <v>436.04651162790697</v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3" t="s">
        <v>260</v>
      </c>
      <c r="B36" s="134">
        <f t="shared" si="0"/>
        <v>114</v>
      </c>
      <c r="C36" s="79">
        <f t="shared" si="1"/>
        <v>-4.2016806699999999E-2</v>
      </c>
      <c r="D36" s="24">
        <f t="shared" si="2"/>
        <v>114</v>
      </c>
      <c r="E36" s="25">
        <f t="shared" si="3"/>
        <v>0</v>
      </c>
      <c r="F36" s="104">
        <f t="shared" si="4"/>
        <v>0</v>
      </c>
      <c r="G36" s="102">
        <f t="shared" si="5"/>
        <v>117</v>
      </c>
      <c r="H36" s="25">
        <f t="shared" si="6"/>
        <v>2.6315789473684209E-2</v>
      </c>
      <c r="I36" s="103">
        <f t="shared" si="7"/>
        <v>3947.3684210526312</v>
      </c>
      <c r="J36" s="24">
        <f t="shared" si="8"/>
        <v>119</v>
      </c>
      <c r="K36" s="25">
        <f t="shared" si="9"/>
        <v>4.3859649122807015E-2</v>
      </c>
      <c r="L36" s="104">
        <f t="shared" si="10"/>
        <v>6578.9473684210525</v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5" t="s">
        <v>42</v>
      </c>
      <c r="B37" s="187">
        <v>150000</v>
      </c>
      <c r="C37" s="188"/>
      <c r="D37" s="26" t="s">
        <v>43</v>
      </c>
      <c r="E37" s="27">
        <f>IF(COUNT(E17:E36), SUM(E17:E36) / COUNT(E17:E36), 0)</f>
        <v>1.4398482703269253E-2</v>
      </c>
      <c r="F37" s="28">
        <f>SUM(F17:F36)</f>
        <v>43195.448109807767</v>
      </c>
      <c r="G37" s="26" t="s">
        <v>43</v>
      </c>
      <c r="H37" s="27">
        <f>IF(COUNT(H17:H36), SUM(H17:H36) / COUNT(H17:H36), 0)</f>
        <v>2.5395054935450044E-2</v>
      </c>
      <c r="I37" s="28">
        <f>SUM(I17:I36)</f>
        <v>76185.164806350134</v>
      </c>
      <c r="J37" s="26" t="s">
        <v>43</v>
      </c>
      <c r="K37" s="27">
        <f>IF(COUNT(K17:K36), SUM(K17:K36) / COUNT(K17:K36), 0)</f>
        <v>1.5123368632140022E-2</v>
      </c>
      <c r="L37" s="28">
        <f>SUM(L17:L36)</f>
        <v>45370.105896420064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79" t="s">
        <v>298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72158000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9.1322285000000007E-3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2021-05-10(월) 오전 00:00</v>
      </c>
      <c r="C42" s="257"/>
      <c r="D42" s="216" t="str">
        <f>TEXT($G$1, "[$-ko-KR]yyyy-mm-dd(ddd) ") &amp; "오후 14:00"</f>
        <v>2021-05-10(월) 오후 14:00</v>
      </c>
      <c r="E42" s="217"/>
      <c r="F42" s="218"/>
      <c r="G42" s="216" t="str">
        <f>TEXT($G$1, "[$-ko-KR]yyyy-mm-dd(ddd) ") &amp; "오후 19:00"</f>
        <v>2021-05-10(월) 오후 19:00</v>
      </c>
      <c r="H42" s="217"/>
      <c r="I42" s="218"/>
      <c r="J42" s="216" t="str">
        <f>TEXT($G$1, "[$-ko-KR]yyyy-mm-dd(ddd) ") &amp; "오후 21:00"</f>
        <v>2021-05-10(월) 오후 21:00</v>
      </c>
      <c r="K42" s="217"/>
      <c r="L42" s="218"/>
      <c r="M42" s="216" t="str">
        <f>TEXT($G$1+1, "[$-ko-KR]yyyy-mm-dd(ddd) ") &amp; "오전 00:00"</f>
        <v>2021-05-11(화)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80" t="s">
        <v>58</v>
      </c>
      <c r="H43" s="181" t="s">
        <v>299</v>
      </c>
      <c r="I43" s="182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219"/>
      <c r="R43" s="219"/>
      <c r="S43" s="219"/>
    </row>
    <row r="44" spans="1:19" ht="17.25" customHeight="1" thickBot="1">
      <c r="A44" s="126" t="s">
        <v>65</v>
      </c>
      <c r="B44" s="127">
        <v>78</v>
      </c>
      <c r="C44" s="76">
        <v>-7.6335878000000001E-3</v>
      </c>
      <c r="D44" s="13">
        <v>77.599999999999994</v>
      </c>
      <c r="E44" s="14">
        <f>IF(ISNUMBER(D44), (D44 - $B44) / $B44, "")</f>
        <v>-5.1282051282052011E-3</v>
      </c>
      <c r="F44" s="16">
        <f>IF(ISNUMBER(D44), $B64 * E44, "")</f>
        <v>-769.2307692307802</v>
      </c>
      <c r="G44" s="29">
        <v>76.8</v>
      </c>
      <c r="H44" s="14">
        <f>IF(ISNUMBER(G44), (G44 - $B44) / $B44, "")</f>
        <v>-1.5384615384615422E-2</v>
      </c>
      <c r="I44" s="100">
        <f>IF(ISNUMBER(G44), $B64 * H44, "")</f>
        <v>-2307.6923076923131</v>
      </c>
      <c r="J44" s="13">
        <v>76.7</v>
      </c>
      <c r="K44" s="14">
        <f>IF(ISNUMBER(J44), (J44 - $B44) / $B44, "")</f>
        <v>-1.6666666666666632E-2</v>
      </c>
      <c r="L44" s="16">
        <f>IF(ISNUMBER(J44), $B64 * K44, "")</f>
        <v>-2499.9999999999945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4"/>
      <c r="R44" s="214"/>
      <c r="S44" s="214"/>
    </row>
    <row r="45" spans="1:19" ht="17.25" customHeight="1" thickBot="1">
      <c r="A45" s="128" t="s">
        <v>154</v>
      </c>
      <c r="B45" s="129">
        <v>20.100000000000001</v>
      </c>
      <c r="C45" s="77">
        <v>-2.42718447E-2</v>
      </c>
      <c r="D45" s="15">
        <v>20.3</v>
      </c>
      <c r="E45" s="32">
        <f t="shared" ref="E45:E48" si="14">IF(ISNUMBER(D45), (D45 - $B45) / $B45, "")</f>
        <v>9.9502487562188689E-3</v>
      </c>
      <c r="F45" s="18">
        <f>IF(ISNUMBER(D45), $B64 * E45, "")</f>
        <v>1492.5373134328304</v>
      </c>
      <c r="G45" s="31">
        <v>20.3</v>
      </c>
      <c r="H45" s="32">
        <f t="shared" ref="H45:H48" si="15">IF(ISNUMBER(G45), (G45 - $B45) / $B45, "")</f>
        <v>9.9502487562188689E-3</v>
      </c>
      <c r="I45" s="101">
        <f>IF(ISNUMBER(G45), $B64 * H45, "")</f>
        <v>1492.5373134328304</v>
      </c>
      <c r="J45" s="15">
        <v>20.2</v>
      </c>
      <c r="K45" s="32">
        <f t="shared" ref="K45:K48" si="16">IF(ISNUMBER(J45), (J45 - $B45) / $B45, "")</f>
        <v>4.975124378109346E-3</v>
      </c>
      <c r="L45" s="18">
        <f>IF(ISNUMBER(J45), $B64 * K45, "")</f>
        <v>746.26865671640189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4"/>
      <c r="R45" s="214"/>
      <c r="S45" s="214"/>
    </row>
    <row r="46" spans="1:19" ht="17.25" customHeight="1" thickBot="1">
      <c r="A46" s="128" t="s">
        <v>220</v>
      </c>
      <c r="B46" s="129">
        <v>19.7</v>
      </c>
      <c r="C46" s="77">
        <v>-2.9556650199999999E-2</v>
      </c>
      <c r="D46" s="15">
        <v>19.8</v>
      </c>
      <c r="E46" s="32">
        <f t="shared" si="14"/>
        <v>5.0761421319797679E-3</v>
      </c>
      <c r="F46" s="18">
        <f>IF(ISNUMBER(D46), $B64 * E46, "")</f>
        <v>761.42131979696524</v>
      </c>
      <c r="G46" s="31">
        <v>19.8</v>
      </c>
      <c r="H46" s="32">
        <f t="shared" si="15"/>
        <v>5.0761421319797679E-3</v>
      </c>
      <c r="I46" s="101">
        <f>IF(ISNUMBER(G46), $B64 * H46, "")</f>
        <v>761.42131979696524</v>
      </c>
      <c r="J46" s="15">
        <v>19.7</v>
      </c>
      <c r="K46" s="32">
        <f t="shared" si="16"/>
        <v>0</v>
      </c>
      <c r="L46" s="18">
        <f>IF(ISNUMBER(J46), $B64 * K46, "")</f>
        <v>0</v>
      </c>
      <c r="M46" s="31"/>
      <c r="N46" s="32" t="str">
        <f t="shared" si="17"/>
        <v/>
      </c>
      <c r="O46" s="18" t="str">
        <f>IF(ISNUMBER(M46), $B64 * N46, "")</f>
        <v/>
      </c>
      <c r="Q46" s="219"/>
      <c r="R46" s="219"/>
      <c r="S46" s="219"/>
    </row>
    <row r="47" spans="1:19" ht="17.25" customHeight="1" thickBot="1">
      <c r="A47" s="128" t="s">
        <v>126</v>
      </c>
      <c r="B47" s="129">
        <v>58.7</v>
      </c>
      <c r="C47" s="77">
        <v>-2.9752066099999998E-2</v>
      </c>
      <c r="D47" s="15">
        <v>58.6</v>
      </c>
      <c r="E47" s="32">
        <f t="shared" si="14"/>
        <v>-1.7035775127768554E-3</v>
      </c>
      <c r="F47" s="18">
        <f>IF(ISNUMBER(D47), $B64 * E47, "")</f>
        <v>-255.53662691652832</v>
      </c>
      <c r="G47" s="31">
        <v>58.9</v>
      </c>
      <c r="H47" s="32">
        <f t="shared" si="15"/>
        <v>3.4071550255535899E-3</v>
      </c>
      <c r="I47" s="101">
        <f>IF(ISNUMBER(G47), $B64 * H47, "")</f>
        <v>511.07325383303851</v>
      </c>
      <c r="J47" s="15">
        <v>58.2</v>
      </c>
      <c r="K47" s="32">
        <f t="shared" si="16"/>
        <v>-8.5178875638841564E-3</v>
      </c>
      <c r="L47" s="18">
        <f>IF(ISNUMBER(J47), $B64 * K47, "")</f>
        <v>-1277.6831345826236</v>
      </c>
      <c r="M47" s="31"/>
      <c r="N47" s="32" t="str">
        <f t="shared" si="17"/>
        <v/>
      </c>
      <c r="O47" s="18" t="str">
        <f>IF(ISNUMBER(M47), $B64 * N47, "")</f>
        <v/>
      </c>
      <c r="Q47" s="219"/>
      <c r="R47" s="219"/>
      <c r="S47" s="219"/>
    </row>
    <row r="48" spans="1:19" ht="17.25" customHeight="1" thickBot="1">
      <c r="A48" s="130" t="s">
        <v>266</v>
      </c>
      <c r="B48" s="131">
        <v>89.9</v>
      </c>
      <c r="C48" s="78">
        <v>-3.2292787900000001E-2</v>
      </c>
      <c r="D48" s="20">
        <v>91.6</v>
      </c>
      <c r="E48" s="21">
        <f t="shared" si="14"/>
        <v>1.8909899888765166E-2</v>
      </c>
      <c r="F48" s="22">
        <f>IF(ISNUMBER(D48), $B64 * E48, "")</f>
        <v>2836.484983314775</v>
      </c>
      <c r="G48" s="30">
        <v>91.5</v>
      </c>
      <c r="H48" s="21">
        <f t="shared" si="15"/>
        <v>1.7797552836484917E-2</v>
      </c>
      <c r="I48" s="105">
        <f>IF(ISNUMBER(G48), $B64 * H48, "")</f>
        <v>2669.6329254727375</v>
      </c>
      <c r="J48" s="20">
        <v>91.3</v>
      </c>
      <c r="K48" s="21">
        <f t="shared" si="16"/>
        <v>1.5572858731924264E-2</v>
      </c>
      <c r="L48" s="22">
        <f>IF(ISNUMBER(J48), $B64 * K48, "")</f>
        <v>2335.9288097886397</v>
      </c>
      <c r="M48" s="30"/>
      <c r="N48" s="21" t="str">
        <f t="shared" si="17"/>
        <v/>
      </c>
      <c r="O48" s="22" t="str">
        <f>IF(ISNUMBER(M48), $B64 * N48, "")</f>
        <v/>
      </c>
      <c r="Q48" s="219"/>
      <c r="R48" s="219"/>
      <c r="S48" s="219"/>
    </row>
    <row r="49" spans="1:19" ht="17.25" customHeight="1" thickBot="1">
      <c r="A49" s="128" t="s">
        <v>152</v>
      </c>
      <c r="B49" s="132">
        <v>47.4</v>
      </c>
      <c r="C49" s="80">
        <v>-3.8539553800000001E-2</v>
      </c>
      <c r="D49" s="106">
        <v>47.9</v>
      </c>
      <c r="E49" s="107">
        <f>IF(ISNUMBER(D49), (D49 - $B49) / $B49, "")</f>
        <v>1.0548523206751054E-2</v>
      </c>
      <c r="F49" s="108">
        <f>IF(ISNUMBER(D49), $B64 * E49, "")</f>
        <v>1582.2784810126582</v>
      </c>
      <c r="G49" s="109">
        <v>47.7</v>
      </c>
      <c r="H49" s="107">
        <f>IF(ISNUMBER(G49), (G49 - $B49) / $B49, "")</f>
        <v>6.329113924050723E-3</v>
      </c>
      <c r="I49" s="110">
        <f>IF(ISNUMBER(G49), $B64 * H49, "")</f>
        <v>949.36708860760848</v>
      </c>
      <c r="J49" s="106">
        <v>47.4</v>
      </c>
      <c r="K49" s="107">
        <f>IF(ISNUMBER(J49), (J49 - $B49) / $B49, "")</f>
        <v>0</v>
      </c>
      <c r="L49" s="108">
        <f>IF(ISNUMBER(J49), $B64 * K49, "")</f>
        <v>0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9"/>
      <c r="R49" s="219"/>
      <c r="S49" s="219"/>
    </row>
    <row r="50" spans="1:19" ht="17.25" customHeight="1" thickBot="1">
      <c r="A50" s="128" t="s">
        <v>186</v>
      </c>
      <c r="B50" s="129">
        <v>23.6</v>
      </c>
      <c r="C50" s="77">
        <v>-4.06504065E-2</v>
      </c>
      <c r="D50" s="15">
        <v>24</v>
      </c>
      <c r="E50" s="32">
        <f t="shared" ref="E50:E53" si="18">IF(ISNUMBER(D50), (D50 - $B50) / $B50, "")</f>
        <v>1.6949152542372819E-2</v>
      </c>
      <c r="F50" s="18">
        <f>IF(ISNUMBER(D50), $B64 * E50, "")</f>
        <v>2542.3728813559228</v>
      </c>
      <c r="G50" s="31">
        <v>24</v>
      </c>
      <c r="H50" s="32">
        <f t="shared" ref="H50:H53" si="19">IF(ISNUMBER(G50), (G50 - $B50) / $B50, "")</f>
        <v>1.6949152542372819E-2</v>
      </c>
      <c r="I50" s="101">
        <f>IF(ISNUMBER(G50), $B64 * H50, "")</f>
        <v>2542.3728813559228</v>
      </c>
      <c r="J50" s="15">
        <v>24</v>
      </c>
      <c r="K50" s="32">
        <f t="shared" ref="K50:K53" si="20">IF(ISNUMBER(J50), (J50 - $B50) / $B50, "")</f>
        <v>1.6949152542372819E-2</v>
      </c>
      <c r="L50" s="18">
        <f>IF(ISNUMBER(J50), $B64 * K50, "")</f>
        <v>2542.3728813559228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9"/>
      <c r="R50" s="219"/>
      <c r="S50" s="219"/>
    </row>
    <row r="51" spans="1:19" ht="17.25" customHeight="1" thickBot="1">
      <c r="A51" s="128" t="s">
        <v>268</v>
      </c>
      <c r="B51" s="129">
        <v>87.9</v>
      </c>
      <c r="C51" s="77">
        <v>-4.2483660100000001E-2</v>
      </c>
      <c r="D51" s="15">
        <v>88.1</v>
      </c>
      <c r="E51" s="32">
        <f t="shared" si="18"/>
        <v>2.2753128555175043E-3</v>
      </c>
      <c r="F51" s="18">
        <f>IF(ISNUMBER(D51), $B64 * E51, "")</f>
        <v>341.29692832762566</v>
      </c>
      <c r="G51" s="31">
        <v>88.1</v>
      </c>
      <c r="H51" s="32">
        <f t="shared" si="19"/>
        <v>2.2753128555175043E-3</v>
      </c>
      <c r="I51" s="101">
        <f>IF(ISNUMBER(G51), $B64 * H51, "")</f>
        <v>341.29692832762566</v>
      </c>
      <c r="J51" s="15">
        <v>89</v>
      </c>
      <c r="K51" s="32">
        <f t="shared" si="20"/>
        <v>1.2514220705346919E-2</v>
      </c>
      <c r="L51" s="18">
        <f>IF(ISNUMBER(J51), $B64 * K51, "")</f>
        <v>1877.1331058020378</v>
      </c>
      <c r="M51" s="31"/>
      <c r="N51" s="32" t="str">
        <f t="shared" si="21"/>
        <v/>
      </c>
      <c r="O51" s="18" t="str">
        <f>IF(ISNUMBER(M51), $B64 * N51, "")</f>
        <v/>
      </c>
      <c r="Q51" s="219"/>
      <c r="R51" s="219"/>
      <c r="S51" s="219"/>
    </row>
    <row r="52" spans="1:19" ht="17.25" customHeight="1" thickBot="1">
      <c r="A52" s="128" t="s">
        <v>222</v>
      </c>
      <c r="B52" s="129">
        <v>17.600000000000001</v>
      </c>
      <c r="C52" s="77">
        <v>-4.3478260900000003E-2</v>
      </c>
      <c r="D52" s="15">
        <v>17.7</v>
      </c>
      <c r="E52" s="32">
        <f t="shared" si="18"/>
        <v>5.6818181818180605E-3</v>
      </c>
      <c r="F52" s="18">
        <f>IF(ISNUMBER(D52), $B64 * E52, "")</f>
        <v>852.27272727270906</v>
      </c>
      <c r="G52" s="31">
        <v>18.100000000000001</v>
      </c>
      <c r="H52" s="32">
        <f t="shared" si="19"/>
        <v>2.8409090909090908E-2</v>
      </c>
      <c r="I52" s="101">
        <f>IF(ISNUMBER(G52), $B64 * H52, "")</f>
        <v>4261.363636363636</v>
      </c>
      <c r="J52" s="15">
        <v>18.2</v>
      </c>
      <c r="K52" s="32">
        <f t="shared" si="20"/>
        <v>3.409090909090897E-2</v>
      </c>
      <c r="L52" s="18">
        <f>IF(ISNUMBER(J52), $B64 * K52, "")</f>
        <v>5113.6363636363458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3" t="s">
        <v>228</v>
      </c>
      <c r="B53" s="134">
        <v>17.3</v>
      </c>
      <c r="C53" s="79">
        <v>-4.4198895000000002E-2</v>
      </c>
      <c r="D53" s="24">
        <v>17.8</v>
      </c>
      <c r="E53" s="25">
        <f t="shared" si="18"/>
        <v>2.8901734104046242E-2</v>
      </c>
      <c r="F53" s="104">
        <f>IF(ISNUMBER(D53), $B64 * E53, "")</f>
        <v>4335.2601156069368</v>
      </c>
      <c r="G53" s="102">
        <v>18.600000000000001</v>
      </c>
      <c r="H53" s="25">
        <f t="shared" si="19"/>
        <v>7.5144508670520263E-2</v>
      </c>
      <c r="I53" s="103">
        <f>IF(ISNUMBER(G53), $B64 * H53, "")</f>
        <v>11271.676300578039</v>
      </c>
      <c r="J53" s="24">
        <v>18.399999999999999</v>
      </c>
      <c r="K53" s="25">
        <f t="shared" si="20"/>
        <v>6.3583815028901605E-2</v>
      </c>
      <c r="L53" s="104">
        <f>IF(ISNUMBER(J53), $B64 * K53, "")</f>
        <v>9537.5722543352404</v>
      </c>
      <c r="M53" s="102"/>
      <c r="N53" s="25" t="str">
        <f t="shared" si="21"/>
        <v/>
      </c>
      <c r="O53" s="104" t="str">
        <f>IF(ISNUMBER(M53), $B64 * N53, "")</f>
        <v/>
      </c>
      <c r="Q53" s="228"/>
      <c r="R53" s="229"/>
      <c r="S53" s="230"/>
    </row>
    <row r="54" spans="1:19" ht="17.25" customHeight="1">
      <c r="A54" s="126" t="s">
        <v>196</v>
      </c>
      <c r="B54" s="127">
        <v>19.2</v>
      </c>
      <c r="C54" s="76">
        <v>-4.4776119400000002E-2</v>
      </c>
      <c r="D54" s="13">
        <v>19.2</v>
      </c>
      <c r="E54" s="14">
        <f>IF(ISNUMBER(D54), (D54 - $B54) / $B54, "")</f>
        <v>0</v>
      </c>
      <c r="F54" s="16">
        <f>IF(ISNUMBER(D54), $B64 * E54, "")</f>
        <v>0</v>
      </c>
      <c r="G54" s="29">
        <v>19.399999999999999</v>
      </c>
      <c r="H54" s="14">
        <f>IF(ISNUMBER(G54), (G54 - $B54) / $B54, "")</f>
        <v>1.041666666666663E-2</v>
      </c>
      <c r="I54" s="100">
        <f>IF(ISNUMBER(G54), $B64 * H54, "")</f>
        <v>1562.4999999999945</v>
      </c>
      <c r="J54" s="13">
        <v>19.2</v>
      </c>
      <c r="K54" s="14">
        <f>IF(ISNUMBER(J54), (J54 - $B54) / $B54, "")</f>
        <v>0</v>
      </c>
      <c r="L54" s="16">
        <f>IF(ISNUMBER(J54), $B64 * K54, "")</f>
        <v>0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1"/>
      <c r="R54" s="232"/>
      <c r="S54" s="233"/>
    </row>
    <row r="55" spans="1:19" ht="17.25" customHeight="1" thickBot="1">
      <c r="A55" s="128" t="s">
        <v>100</v>
      </c>
      <c r="B55" s="129">
        <v>8.7200000000000006</v>
      </c>
      <c r="C55" s="77">
        <v>-4.4906900299999997E-2</v>
      </c>
      <c r="D55" s="15">
        <v>8.81</v>
      </c>
      <c r="E55" s="32">
        <f t="shared" ref="E55:E58" si="22">IF(ISNUMBER(D55), (D55 - $B55) / $B55, "")</f>
        <v>1.0321100917431176E-2</v>
      </c>
      <c r="F55" s="18">
        <f>IF(ISNUMBER(D55), $B64 * E55, "")</f>
        <v>1548.1651376146765</v>
      </c>
      <c r="G55" s="31">
        <v>8.73</v>
      </c>
      <c r="H55" s="32">
        <f t="shared" ref="H55:H58" si="23">IF(ISNUMBER(G55), (G55 - $B55) / $B55, "")</f>
        <v>1.1467889908256636E-3</v>
      </c>
      <c r="I55" s="101">
        <f>IF(ISNUMBER(G55), $B64 * H55, "")</f>
        <v>172.01834862384953</v>
      </c>
      <c r="J55" s="15">
        <v>8.76</v>
      </c>
      <c r="K55" s="32">
        <f t="shared" ref="K55:K58" si="24">IF(ISNUMBER(J55), (J55 - $B55) / $B55, "")</f>
        <v>4.5871559633026545E-3</v>
      </c>
      <c r="L55" s="18">
        <f>IF(ISNUMBER(J55), $B64 * K55, "")</f>
        <v>688.07339449539813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4"/>
      <c r="R55" s="235"/>
      <c r="S55" s="236"/>
    </row>
    <row r="56" spans="1:19" ht="17.25" customHeight="1" thickBot="1">
      <c r="A56" s="128" t="s">
        <v>254</v>
      </c>
      <c r="B56" s="129">
        <v>80.3</v>
      </c>
      <c r="C56" s="77">
        <v>-4.51843044E-2</v>
      </c>
      <c r="D56" s="15">
        <v>79.900000000000006</v>
      </c>
      <c r="E56" s="32">
        <f t="shared" si="22"/>
        <v>-4.9813200498130946E-3</v>
      </c>
      <c r="F56" s="18">
        <f>IF(ISNUMBER(D56), $B64 * E56, "")</f>
        <v>-747.19800747196416</v>
      </c>
      <c r="G56" s="31">
        <v>80</v>
      </c>
      <c r="H56" s="32">
        <f t="shared" si="23"/>
        <v>-3.735990037359865E-3</v>
      </c>
      <c r="I56" s="101">
        <f>IF(ISNUMBER(G56), $B64 * H56, "")</f>
        <v>-560.39850560397974</v>
      </c>
      <c r="J56" s="15">
        <v>80.2</v>
      </c>
      <c r="K56" s="32">
        <f t="shared" si="24"/>
        <v>-1.2453300124532294E-3</v>
      </c>
      <c r="L56" s="18">
        <f>IF(ISNUMBER(J56), $B64 * K56, "")</f>
        <v>-186.79950186798442</v>
      </c>
      <c r="M56" s="31"/>
      <c r="N56" s="32" t="str">
        <f t="shared" si="25"/>
        <v/>
      </c>
      <c r="O56" s="18" t="str">
        <f>IF(ISNUMBER(M56), $B64 * N56, "")</f>
        <v/>
      </c>
      <c r="Q56" s="219"/>
      <c r="R56" s="219"/>
      <c r="S56" s="219"/>
    </row>
    <row r="57" spans="1:19" ht="17.25" customHeight="1" thickBot="1">
      <c r="A57" s="128" t="s">
        <v>236</v>
      </c>
      <c r="B57" s="129">
        <v>64</v>
      </c>
      <c r="C57" s="77">
        <v>-4.6199701900000001E-2</v>
      </c>
      <c r="D57" s="15">
        <v>63.9</v>
      </c>
      <c r="E57" s="32">
        <f t="shared" si="22"/>
        <v>-1.5625000000000222E-3</v>
      </c>
      <c r="F57" s="18">
        <f>IF(ISNUMBER(D57), $B64 * E57, "")</f>
        <v>-234.37500000000333</v>
      </c>
      <c r="G57" s="31">
        <v>64</v>
      </c>
      <c r="H57" s="32">
        <f t="shared" si="23"/>
        <v>0</v>
      </c>
      <c r="I57" s="101">
        <f>IF(ISNUMBER(G57), $B64 * H57, "")</f>
        <v>0</v>
      </c>
      <c r="J57" s="15">
        <v>64.3</v>
      </c>
      <c r="K57" s="32">
        <f t="shared" si="24"/>
        <v>4.6874999999999556E-3</v>
      </c>
      <c r="L57" s="18">
        <f>IF(ISNUMBER(J57), $B64 * K57, "")</f>
        <v>703.12499999999329</v>
      </c>
      <c r="M57" s="31"/>
      <c r="N57" s="32" t="str">
        <f t="shared" si="25"/>
        <v/>
      </c>
      <c r="O57" s="18" t="str">
        <f>IF(ISNUMBER(M57), $B64 * N57, "")</f>
        <v/>
      </c>
      <c r="Q57" s="214"/>
      <c r="R57" s="214"/>
      <c r="S57" s="214"/>
    </row>
    <row r="58" spans="1:19" ht="17.25" customHeight="1" thickBot="1">
      <c r="A58" s="130" t="s">
        <v>172</v>
      </c>
      <c r="B58" s="131">
        <v>23.1</v>
      </c>
      <c r="C58" s="78">
        <v>-4.9382716E-2</v>
      </c>
      <c r="D58" s="20">
        <v>23</v>
      </c>
      <c r="E58" s="21">
        <f t="shared" si="22"/>
        <v>-4.3290043290043906E-3</v>
      </c>
      <c r="F58" s="22">
        <f>IF(ISNUMBER(D58), $B64 * E58, "")</f>
        <v>-649.35064935065861</v>
      </c>
      <c r="G58" s="30">
        <v>23.2</v>
      </c>
      <c r="H58" s="21">
        <f t="shared" si="23"/>
        <v>4.3290043290042362E-3</v>
      </c>
      <c r="I58" s="105">
        <f>IF(ISNUMBER(G58), $B64 * H58, "")</f>
        <v>649.35064935063542</v>
      </c>
      <c r="J58" s="20">
        <v>24</v>
      </c>
      <c r="K58" s="21">
        <f t="shared" si="24"/>
        <v>3.8961038961038898E-2</v>
      </c>
      <c r="L58" s="22">
        <f>IF(ISNUMBER(J58), $B64 * K58, "")</f>
        <v>5844.1558441558345</v>
      </c>
      <c r="M58" s="30"/>
      <c r="N58" s="21" t="str">
        <f t="shared" si="25"/>
        <v/>
      </c>
      <c r="O58" s="22" t="str">
        <f>IF(ISNUMBER(M58), $B64 * N58, "")</f>
        <v/>
      </c>
      <c r="Q58" s="214"/>
      <c r="R58" s="214"/>
      <c r="S58" s="214"/>
    </row>
    <row r="59" spans="1:19" ht="17.25" customHeight="1" thickBot="1">
      <c r="A59" s="128" t="s">
        <v>218</v>
      </c>
      <c r="B59" s="132">
        <v>26.4</v>
      </c>
      <c r="C59" s="80">
        <v>-5.0359712199999997E-2</v>
      </c>
      <c r="D59" s="106">
        <v>26.4</v>
      </c>
      <c r="E59" s="107">
        <f>IF(ISNUMBER(D59), (D59 - $B59) / $B59, "")</f>
        <v>0</v>
      </c>
      <c r="F59" s="108">
        <f>IF(ISNUMBER(D59), $B64 * E59, "")</f>
        <v>0</v>
      </c>
      <c r="G59" s="109">
        <v>26.4</v>
      </c>
      <c r="H59" s="107">
        <f>IF(ISNUMBER(G59), (G59 - $B59) / $B59, "")</f>
        <v>0</v>
      </c>
      <c r="I59" s="110">
        <f>IF(ISNUMBER(G59), $B64 * H59, "")</f>
        <v>0</v>
      </c>
      <c r="J59" s="106">
        <v>26.6</v>
      </c>
      <c r="K59" s="107">
        <f>IF(ISNUMBER(J59), (J59 - $B59) / $B59, "")</f>
        <v>7.5757575757576835E-3</v>
      </c>
      <c r="L59" s="108">
        <f>IF(ISNUMBER(J59), $B64 * K59, "")</f>
        <v>1136.3636363636526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9"/>
      <c r="R59" s="219"/>
      <c r="S59" s="219"/>
    </row>
    <row r="60" spans="1:19" ht="17.25" customHeight="1" thickBot="1">
      <c r="A60" s="128" t="s">
        <v>198</v>
      </c>
      <c r="B60" s="129">
        <v>26.3</v>
      </c>
      <c r="C60" s="77">
        <v>-5.0541516199999997E-2</v>
      </c>
      <c r="D60" s="15">
        <v>26.6</v>
      </c>
      <c r="E60" s="32">
        <f t="shared" ref="E60:E63" si="26">IF(ISNUMBER(D60), (D60 - $B60) / $B60, "")</f>
        <v>1.1406844106463905E-2</v>
      </c>
      <c r="F60" s="18">
        <f>IF(ISNUMBER(D60), $B64 * E60, "")</f>
        <v>1711.0266159695857</v>
      </c>
      <c r="G60" s="31">
        <v>26.8</v>
      </c>
      <c r="H60" s="32">
        <f t="shared" ref="H60:H63" si="27">IF(ISNUMBER(G60), (G60 - $B60) / $B60, "")</f>
        <v>1.9011406844106463E-2</v>
      </c>
      <c r="I60" s="101">
        <f>IF(ISNUMBER(G60), $B64 * H60, "")</f>
        <v>2851.7110266159693</v>
      </c>
      <c r="J60" s="15">
        <v>26.6</v>
      </c>
      <c r="K60" s="32">
        <f t="shared" ref="K60:K63" si="28">IF(ISNUMBER(J60), (J60 - $B60) / $B60, "")</f>
        <v>1.1406844106463905E-2</v>
      </c>
      <c r="L60" s="18">
        <f>IF(ISNUMBER(J60), $B64 * K60, "")</f>
        <v>1711.0266159695857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9"/>
      <c r="R60" s="219"/>
      <c r="S60" s="219"/>
    </row>
    <row r="61" spans="1:19" ht="17.25" customHeight="1" thickBot="1">
      <c r="A61" s="128" t="s">
        <v>214</v>
      </c>
      <c r="B61" s="129">
        <v>20.5</v>
      </c>
      <c r="C61" s="77">
        <v>-5.0925925900000002E-2</v>
      </c>
      <c r="D61" s="15">
        <v>20.399999999999999</v>
      </c>
      <c r="E61" s="32">
        <f t="shared" si="26"/>
        <v>-4.8780487804878743E-3</v>
      </c>
      <c r="F61" s="18">
        <f>IF(ISNUMBER(D61), $B64 * E61, "")</f>
        <v>-731.70731707318112</v>
      </c>
      <c r="G61" s="31">
        <v>20.5</v>
      </c>
      <c r="H61" s="32">
        <f t="shared" si="27"/>
        <v>0</v>
      </c>
      <c r="I61" s="101">
        <f>IF(ISNUMBER(G61), $B64 * H61, "")</f>
        <v>0</v>
      </c>
      <c r="J61" s="15">
        <v>20.5</v>
      </c>
      <c r="K61" s="32">
        <f t="shared" si="28"/>
        <v>0</v>
      </c>
      <c r="L61" s="18">
        <f>IF(ISNUMBER(J61), $B64 * K61, "")</f>
        <v>0</v>
      </c>
      <c r="M61" s="31"/>
      <c r="N61" s="32" t="str">
        <f t="shared" si="29"/>
        <v/>
      </c>
      <c r="O61" s="18" t="str">
        <f>IF(ISNUMBER(M61), $B64 * N61, "")</f>
        <v/>
      </c>
      <c r="Q61" s="219"/>
      <c r="R61" s="219"/>
      <c r="S61" s="219"/>
    </row>
    <row r="62" spans="1:19" ht="17.25" customHeight="1">
      <c r="A62" s="128" t="s">
        <v>72</v>
      </c>
      <c r="B62" s="129">
        <v>36.6</v>
      </c>
      <c r="C62" s="77">
        <v>-5.18134715E-2</v>
      </c>
      <c r="D62" s="15">
        <v>37.1</v>
      </c>
      <c r="E62" s="32">
        <f t="shared" si="26"/>
        <v>1.3661202185792349E-2</v>
      </c>
      <c r="F62" s="18">
        <f>IF(ISNUMBER(D62), $B64 * E62, "")</f>
        <v>2049.1803278688526</v>
      </c>
      <c r="G62" s="31">
        <v>37.9</v>
      </c>
      <c r="H62" s="32">
        <f t="shared" si="27"/>
        <v>3.5519125683060031E-2</v>
      </c>
      <c r="I62" s="101">
        <f>IF(ISNUMBER(G62), $B64 * H62, "")</f>
        <v>5327.8688524590043</v>
      </c>
      <c r="J62" s="15">
        <v>37.200000000000003</v>
      </c>
      <c r="K62" s="32">
        <f t="shared" si="28"/>
        <v>1.6393442622950859E-2</v>
      </c>
      <c r="L62" s="18">
        <f>IF(ISNUMBER(J62), $B64 * K62, "")</f>
        <v>2459.0163934426287</v>
      </c>
      <c r="M62" s="31"/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5" t="s">
        <v>301</v>
      </c>
      <c r="B64" s="252">
        <f>$B$37</f>
        <v>150000</v>
      </c>
      <c r="C64" s="253"/>
      <c r="D64" s="26" t="s">
        <v>302</v>
      </c>
      <c r="E64" s="27">
        <f>IF(COUNT(E44:E63), SUM(E44:E63) / COUNT(E44:E63), 0)</f>
        <v>5.8473327935194466E-3</v>
      </c>
      <c r="F64" s="28">
        <f>SUM(F44:F63)</f>
        <v>16664.898461530418</v>
      </c>
      <c r="G64" s="26" t="s">
        <v>302</v>
      </c>
      <c r="H64" s="27">
        <f>IF(COUNT(H44:H63), SUM(H44:H63) / COUNT(H44:H63), 0)</f>
        <v>1.1402140249656689E-2</v>
      </c>
      <c r="I64" s="28">
        <f>SUM(I44:I63)</f>
        <v>32496.099711521561</v>
      </c>
      <c r="J64" s="26" t="s">
        <v>302</v>
      </c>
      <c r="K64" s="27">
        <f>IF(COUNT(K44:K63), SUM(K44:K63) / COUNT(K44:K63), 0)</f>
        <v>1.0782522919161781E-2</v>
      </c>
      <c r="L64" s="28">
        <f>SUM(L44:L63)</f>
        <v>30730.19031961108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79" t="s">
        <v>298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72158000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9.1322285000000007E-3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2021-05-10(월) 오전 00:00</v>
      </c>
      <c r="C69" s="257"/>
      <c r="D69" s="216" t="str">
        <f>TEXT($G$1, "[$-ko-KR]yyyy-mm-dd(ddd) ") &amp; "오후 14:00"</f>
        <v>2021-05-10(월) 오후 14:00</v>
      </c>
      <c r="E69" s="217"/>
      <c r="F69" s="218"/>
      <c r="G69" s="216" t="str">
        <f>TEXT($G$1, "[$-ko-KR]yyyy-mm-dd(ddd) ") &amp; "오후 19:00"</f>
        <v>2021-05-10(월) 오후 19:00</v>
      </c>
      <c r="H69" s="217"/>
      <c r="I69" s="218"/>
      <c r="J69" s="216" t="str">
        <f>TEXT($G$1, "[$-ko-KR]yyyy-mm-dd(ddd) ") &amp; "오후 21:00"</f>
        <v>2021-05-10(월) 오후 21:00</v>
      </c>
      <c r="K69" s="217"/>
      <c r="L69" s="218"/>
      <c r="M69" s="216" t="str">
        <f>TEXT($G$1+1, "[$-ko-KR]yyyy-mm-dd(ddd) ") &amp; "오전 00:00"</f>
        <v>2021-05-11(화) 오전 00:00</v>
      </c>
      <c r="N69" s="217"/>
      <c r="O69" s="218"/>
      <c r="Q69" s="214"/>
      <c r="R69" s="214"/>
      <c r="S69" s="214"/>
    </row>
    <row r="70" spans="1:19" ht="17.25" thickBot="1">
      <c r="A70" s="255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80" t="s">
        <v>58</v>
      </c>
      <c r="H70" s="181" t="s">
        <v>299</v>
      </c>
      <c r="I70" s="182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219"/>
      <c r="R70" s="219"/>
      <c r="S70" s="219"/>
    </row>
    <row r="71" spans="1:19" ht="17.25" thickBot="1">
      <c r="A71" s="126" t="s">
        <v>240</v>
      </c>
      <c r="B71" s="127">
        <v>181</v>
      </c>
      <c r="C71" s="76">
        <v>2.2598870100000001E-2</v>
      </c>
      <c r="D71" s="13">
        <v>178</v>
      </c>
      <c r="E71" s="14">
        <f>IF(ISNUMBER(D71), (D71 - $B71) / $B71, "")</f>
        <v>-1.6574585635359115E-2</v>
      </c>
      <c r="F71" s="16">
        <f>IF(ISNUMBER(D71), $B91 * E71, "")</f>
        <v>-2486.1878453038671</v>
      </c>
      <c r="G71" s="29">
        <v>176</v>
      </c>
      <c r="H71" s="14">
        <f>IF(ISNUMBER(G71), (G71 - $B71) / $B71, "")</f>
        <v>-2.7624309392265192E-2</v>
      </c>
      <c r="I71" s="100">
        <f>IF(ISNUMBER(G71), $B91 * H71, "")</f>
        <v>-4143.6464088397788</v>
      </c>
      <c r="J71" s="13">
        <v>177</v>
      </c>
      <c r="K71" s="14">
        <f>IF(ISNUMBER(J71), (J71 - $B71) / $B71, "")</f>
        <v>-2.2099447513812154E-2</v>
      </c>
      <c r="L71" s="16">
        <f>IF(ISNUMBER(J71), $B91 * K71, "")</f>
        <v>-3314.917127071823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4"/>
      <c r="R71" s="214"/>
      <c r="S71" s="214"/>
    </row>
    <row r="72" spans="1:19" ht="17.25" thickBot="1">
      <c r="A72" s="128" t="s">
        <v>208</v>
      </c>
      <c r="B72" s="129">
        <v>485</v>
      </c>
      <c r="C72" s="77">
        <v>1.46443515E-2</v>
      </c>
      <c r="D72" s="15">
        <v>480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478</v>
      </c>
      <c r="H72" s="32">
        <f t="shared" ref="H72:H75" si="31">IF(ISNUMBER(G72), (G72 - $B72) / $B72, "")</f>
        <v>-1.443298969072165E-2</v>
      </c>
      <c r="I72" s="101">
        <f>IF(ISNUMBER(G72), $B91 * H72, "")</f>
        <v>-2164.9484536082477</v>
      </c>
      <c r="J72" s="15">
        <v>477</v>
      </c>
      <c r="K72" s="32">
        <f t="shared" ref="K72:K75" si="32">IF(ISNUMBER(J72), (J72 - $B72) / $B72, "")</f>
        <v>-1.6494845360824743E-2</v>
      </c>
      <c r="L72" s="18">
        <f>IF(ISNUMBER(J72), $B91 * K72, "")</f>
        <v>-2474.2268041237112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4"/>
      <c r="R72" s="214"/>
      <c r="S72" s="214"/>
    </row>
    <row r="73" spans="1:19" ht="17.25" thickBot="1">
      <c r="A73" s="128" t="s">
        <v>132</v>
      </c>
      <c r="B73" s="129">
        <v>270</v>
      </c>
      <c r="C73" s="77">
        <v>-7.3529412000000001E-3</v>
      </c>
      <c r="D73" s="15">
        <v>280</v>
      </c>
      <c r="E73" s="32">
        <f t="shared" si="30"/>
        <v>3.7037037037037035E-2</v>
      </c>
      <c r="F73" s="18">
        <f>IF(ISNUMBER(D73), $B91 * E73, "")</f>
        <v>5555.5555555555557</v>
      </c>
      <c r="G73" s="31">
        <v>279</v>
      </c>
      <c r="H73" s="32">
        <f t="shared" si="31"/>
        <v>3.3333333333333333E-2</v>
      </c>
      <c r="I73" s="101">
        <f>IF(ISNUMBER(G73), $B91 * H73, "")</f>
        <v>5000</v>
      </c>
      <c r="J73" s="15">
        <v>278</v>
      </c>
      <c r="K73" s="32">
        <f t="shared" si="32"/>
        <v>2.9629629629629631E-2</v>
      </c>
      <c r="L73" s="18">
        <f>IF(ISNUMBER(J73), $B91 * K73, "")</f>
        <v>4444.4444444444443</v>
      </c>
      <c r="M73" s="31"/>
      <c r="N73" s="32" t="str">
        <f t="shared" si="33"/>
        <v/>
      </c>
      <c r="O73" s="18" t="str">
        <f>IF(ISNUMBER(M73), $B91 * N73, "")</f>
        <v/>
      </c>
      <c r="Q73" s="219"/>
      <c r="R73" s="219"/>
      <c r="S73" s="219"/>
    </row>
    <row r="74" spans="1:19" ht="17.25" thickBot="1">
      <c r="A74" s="128" t="s">
        <v>51</v>
      </c>
      <c r="B74" s="129">
        <v>743</v>
      </c>
      <c r="C74" s="77">
        <v>-8.0106809000000008E-3</v>
      </c>
      <c r="D74" s="15">
        <v>815</v>
      </c>
      <c r="E74" s="32">
        <f t="shared" si="30"/>
        <v>9.6904441453566623E-2</v>
      </c>
      <c r="F74" s="18">
        <f>IF(ISNUMBER(D74), $B91 * E74, "")</f>
        <v>14535.666218034994</v>
      </c>
      <c r="G74" s="31">
        <v>963</v>
      </c>
      <c r="H74" s="32">
        <f t="shared" si="31"/>
        <v>0.29609690444145359</v>
      </c>
      <c r="I74" s="101">
        <f>IF(ISNUMBER(G74), $B91 * H74, "")</f>
        <v>44414.535666218042</v>
      </c>
      <c r="J74" s="15">
        <v>897</v>
      </c>
      <c r="K74" s="32">
        <f t="shared" si="32"/>
        <v>0.2072678331090175</v>
      </c>
      <c r="L74" s="18">
        <f>IF(ISNUMBER(J74), $B91 * K74, "")</f>
        <v>31090.174966352624</v>
      </c>
      <c r="M74" s="31"/>
      <c r="N74" s="32" t="str">
        <f t="shared" si="33"/>
        <v/>
      </c>
      <c r="O74" s="18" t="str">
        <f>IF(ISNUMBER(M74), $B91 * N74, "")</f>
        <v/>
      </c>
      <c r="Q74" s="219"/>
      <c r="R74" s="219"/>
      <c r="S74" s="219"/>
    </row>
    <row r="75" spans="1:19" ht="17.25" thickBot="1">
      <c r="A75" s="130" t="s">
        <v>226</v>
      </c>
      <c r="B75" s="131">
        <v>493</v>
      </c>
      <c r="C75" s="78">
        <v>-8.0482897000000008E-3</v>
      </c>
      <c r="D75" s="20">
        <v>496</v>
      </c>
      <c r="E75" s="21">
        <f t="shared" si="30"/>
        <v>6.0851926977687626E-3</v>
      </c>
      <c r="F75" s="22">
        <f>IF(ISNUMBER(D75), $B91 * E75, "")</f>
        <v>912.77890466531437</v>
      </c>
      <c r="G75" s="30">
        <v>498</v>
      </c>
      <c r="H75" s="21">
        <f t="shared" si="31"/>
        <v>1.0141987829614604E-2</v>
      </c>
      <c r="I75" s="105">
        <f>IF(ISNUMBER(G75), $B91 * H75, "")</f>
        <v>1521.2981744421907</v>
      </c>
      <c r="J75" s="20">
        <v>494</v>
      </c>
      <c r="K75" s="21">
        <f t="shared" si="32"/>
        <v>2.0283975659229209E-3</v>
      </c>
      <c r="L75" s="22">
        <f>IF(ISNUMBER(J75), $B91 * K75, "")</f>
        <v>304.25963488843814</v>
      </c>
      <c r="M75" s="30"/>
      <c r="N75" s="21" t="str">
        <f t="shared" si="33"/>
        <v/>
      </c>
      <c r="O75" s="22" t="str">
        <f>IF(ISNUMBER(M75), $B91 * N75, "")</f>
        <v/>
      </c>
      <c r="Q75" s="219"/>
      <c r="R75" s="219"/>
      <c r="S75" s="219"/>
    </row>
    <row r="76" spans="1:19" ht="17.25" thickBot="1">
      <c r="A76" s="128" t="s">
        <v>148</v>
      </c>
      <c r="B76" s="132">
        <v>194</v>
      </c>
      <c r="C76" s="80">
        <v>-1.02040816E-2</v>
      </c>
      <c r="D76" s="106">
        <v>192</v>
      </c>
      <c r="E76" s="107">
        <f>IF(ISNUMBER(D76), (D76 - $B76) / $B76, "")</f>
        <v>-1.0309278350515464E-2</v>
      </c>
      <c r="F76" s="108">
        <f>IF(ISNUMBER(D76), $B91 * E76, "")</f>
        <v>-1546.3917525773195</v>
      </c>
      <c r="G76" s="109">
        <v>194</v>
      </c>
      <c r="H76" s="107">
        <f>IF(ISNUMBER(G76), (G76 - $B76) / $B76, "")</f>
        <v>0</v>
      </c>
      <c r="I76" s="110">
        <f>IF(ISNUMBER(G76), $B91 * H76, "")</f>
        <v>0</v>
      </c>
      <c r="J76" s="106">
        <v>194</v>
      </c>
      <c r="K76" s="107">
        <f>IF(ISNUMBER(J76), (J76 - $B76) / $B76, "")</f>
        <v>0</v>
      </c>
      <c r="L76" s="108">
        <f>IF(ISNUMBER(J76), $B91 * K76, "")</f>
        <v>0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9"/>
      <c r="R76" s="219"/>
      <c r="S76" s="219"/>
    </row>
    <row r="77" spans="1:19" ht="17.25" thickBot="1">
      <c r="A77" s="128" t="s">
        <v>156</v>
      </c>
      <c r="B77" s="129">
        <v>172</v>
      </c>
      <c r="C77" s="77">
        <v>-1.14942529E-2</v>
      </c>
      <c r="D77" s="15">
        <v>178</v>
      </c>
      <c r="E77" s="32">
        <f t="shared" ref="E77:E80" si="34">IF(ISNUMBER(D77), (D77 - $B77) / $B77, "")</f>
        <v>3.4883720930232558E-2</v>
      </c>
      <c r="F77" s="18">
        <f>IF(ISNUMBER(D77), $B91 * E77, "")</f>
        <v>5232.5581395348836</v>
      </c>
      <c r="G77" s="31">
        <v>179</v>
      </c>
      <c r="H77" s="32">
        <f t="shared" ref="H77:H80" si="35">IF(ISNUMBER(G77), (G77 - $B77) / $B77, "")</f>
        <v>4.0697674418604654E-2</v>
      </c>
      <c r="I77" s="101">
        <f>IF(ISNUMBER(G77), $B91 * H77, "")</f>
        <v>6104.6511627906984</v>
      </c>
      <c r="J77" s="15">
        <v>177</v>
      </c>
      <c r="K77" s="32">
        <f t="shared" ref="K77:K80" si="36">IF(ISNUMBER(J77), (J77 - $B77) / $B77, "")</f>
        <v>2.9069767441860465E-2</v>
      </c>
      <c r="L77" s="18">
        <f>IF(ISNUMBER(J77), $B91 * K77, "")</f>
        <v>4360.4651162790697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9"/>
      <c r="R77" s="219"/>
      <c r="S77" s="219"/>
    </row>
    <row r="78" spans="1:19" ht="17.25" thickBot="1">
      <c r="A78" s="128" t="s">
        <v>112</v>
      </c>
      <c r="B78" s="129">
        <v>252</v>
      </c>
      <c r="C78" s="77">
        <v>-1.9455252900000001E-2</v>
      </c>
      <c r="D78" s="15">
        <v>256</v>
      </c>
      <c r="E78" s="32">
        <f t="shared" si="34"/>
        <v>1.5873015873015872E-2</v>
      </c>
      <c r="F78" s="18">
        <f>IF(ISNUMBER(D78), $B91 * E78, "")</f>
        <v>2380.9523809523807</v>
      </c>
      <c r="G78" s="31">
        <v>255</v>
      </c>
      <c r="H78" s="32">
        <f t="shared" si="35"/>
        <v>1.1904761904761904E-2</v>
      </c>
      <c r="I78" s="101">
        <f>IF(ISNUMBER(G78), $B91 * H78, "")</f>
        <v>1785.7142857142856</v>
      </c>
      <c r="J78" s="15">
        <v>254</v>
      </c>
      <c r="K78" s="32">
        <f t="shared" si="36"/>
        <v>7.9365079365079361E-3</v>
      </c>
      <c r="L78" s="18">
        <f>IF(ISNUMBER(J78), $B91 * K78, "")</f>
        <v>1190.4761904761904</v>
      </c>
      <c r="M78" s="31"/>
      <c r="N78" s="32" t="str">
        <f t="shared" si="37"/>
        <v/>
      </c>
      <c r="O78" s="18" t="str">
        <f>IF(ISNUMBER(M78), $B91 * N78, "")</f>
        <v/>
      </c>
      <c r="Q78" s="219"/>
      <c r="R78" s="219"/>
      <c r="S78" s="219"/>
    </row>
    <row r="79" spans="1:19" ht="17.25" thickBot="1">
      <c r="A79" s="128" t="s">
        <v>54</v>
      </c>
      <c r="B79" s="129">
        <v>354</v>
      </c>
      <c r="C79" s="77">
        <v>-2.2099447500000001E-2</v>
      </c>
      <c r="D79" s="15">
        <v>357</v>
      </c>
      <c r="E79" s="32">
        <f t="shared" si="34"/>
        <v>8.4745762711864406E-3</v>
      </c>
      <c r="F79" s="18">
        <f>IF(ISNUMBER(D79), $B91 * E79, "")</f>
        <v>1271.1864406779662</v>
      </c>
      <c r="G79" s="31">
        <v>360</v>
      </c>
      <c r="H79" s="32">
        <f t="shared" si="35"/>
        <v>1.6949152542372881E-2</v>
      </c>
      <c r="I79" s="101">
        <f>IF(ISNUMBER(G79), $B91 * H79, "")</f>
        <v>2542.3728813559323</v>
      </c>
      <c r="J79" s="15">
        <v>354</v>
      </c>
      <c r="K79" s="32">
        <f t="shared" si="36"/>
        <v>0</v>
      </c>
      <c r="L79" s="18">
        <f>IF(ISNUMBER(J79), $B91 * K79, "")</f>
        <v>0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3" t="s">
        <v>278</v>
      </c>
      <c r="B80" s="134">
        <v>163</v>
      </c>
      <c r="C80" s="79">
        <v>-2.39520958E-2</v>
      </c>
      <c r="D80" s="24">
        <v>165</v>
      </c>
      <c r="E80" s="25">
        <f t="shared" si="34"/>
        <v>1.2269938650306749E-2</v>
      </c>
      <c r="F80" s="104">
        <f>IF(ISNUMBER(D80), $B91 * E80, "")</f>
        <v>1840.4907975460123</v>
      </c>
      <c r="G80" s="102">
        <v>165</v>
      </c>
      <c r="H80" s="25">
        <f t="shared" si="35"/>
        <v>1.2269938650306749E-2</v>
      </c>
      <c r="I80" s="103">
        <f>IF(ISNUMBER(G80), $B91 * H80, "")</f>
        <v>1840.4907975460123</v>
      </c>
      <c r="J80" s="24">
        <v>164</v>
      </c>
      <c r="K80" s="25">
        <f t="shared" si="36"/>
        <v>6.1349693251533744E-3</v>
      </c>
      <c r="L80" s="104">
        <f>IF(ISNUMBER(J80), $B91 * K80, "")</f>
        <v>920.24539877300617</v>
      </c>
      <c r="M80" s="102"/>
      <c r="N80" s="25" t="str">
        <f t="shared" si="37"/>
        <v/>
      </c>
      <c r="O80" s="104" t="str">
        <f>IF(ISNUMBER(M80), $B91 * N80, "")</f>
        <v/>
      </c>
      <c r="Q80" s="228"/>
      <c r="R80" s="229"/>
      <c r="S80" s="230"/>
    </row>
    <row r="81" spans="1:19">
      <c r="A81" s="126" t="s">
        <v>88</v>
      </c>
      <c r="B81" s="127">
        <v>592</v>
      </c>
      <c r="C81" s="76">
        <v>-2.47116969E-2</v>
      </c>
      <c r="D81" s="13">
        <v>601</v>
      </c>
      <c r="E81" s="14">
        <f>IF(ISNUMBER(D81), (D81 - $B81) / $B81, "")</f>
        <v>1.5202702702702704E-2</v>
      </c>
      <c r="F81" s="16">
        <f>IF(ISNUMBER(D81), $B91 * E81, "")</f>
        <v>2280.4054054054054</v>
      </c>
      <c r="G81" s="29">
        <v>594</v>
      </c>
      <c r="H81" s="14">
        <f>IF(ISNUMBER(G81), (G81 - $B81) / $B81, "")</f>
        <v>3.3783783783783786E-3</v>
      </c>
      <c r="I81" s="100">
        <f>IF(ISNUMBER(G81), $B91 * H81, "")</f>
        <v>506.75675675675677</v>
      </c>
      <c r="J81" s="13">
        <v>592</v>
      </c>
      <c r="K81" s="14">
        <f>IF(ISNUMBER(J81), (J81 - $B81) / $B81, "")</f>
        <v>0</v>
      </c>
      <c r="L81" s="16">
        <f>IF(ISNUMBER(J81), $B91 * K81, "")</f>
        <v>0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1"/>
      <c r="R81" s="232"/>
      <c r="S81" s="233"/>
    </row>
    <row r="82" spans="1:19" ht="17.25" thickBot="1">
      <c r="A82" s="128" t="s">
        <v>128</v>
      </c>
      <c r="B82" s="129">
        <v>715</v>
      </c>
      <c r="C82" s="77">
        <v>-2.85326087E-2</v>
      </c>
      <c r="D82" s="15">
        <v>704</v>
      </c>
      <c r="E82" s="32">
        <f t="shared" ref="E82:E85" si="38">IF(ISNUMBER(D82), (D82 - $B82) / $B82, "")</f>
        <v>-1.5384615384615385E-2</v>
      </c>
      <c r="F82" s="18">
        <f>IF(ISNUMBER(D82), $B91 * E82, "")</f>
        <v>-2307.6923076923076</v>
      </c>
      <c r="G82" s="31">
        <v>703</v>
      </c>
      <c r="H82" s="32">
        <f t="shared" ref="H82:H85" si="39">IF(ISNUMBER(G82), (G82 - $B82) / $B82, "")</f>
        <v>-1.6783216783216783E-2</v>
      </c>
      <c r="I82" s="101">
        <f>IF(ISNUMBER(G82), $B91 * H82, "")</f>
        <v>-2517.4825174825173</v>
      </c>
      <c r="J82" s="15">
        <v>697</v>
      </c>
      <c r="K82" s="32">
        <f t="shared" ref="K82:K85" si="40">IF(ISNUMBER(J82), (J82 - $B82) / $B82, "")</f>
        <v>-2.5174825174825177E-2</v>
      </c>
      <c r="L82" s="18">
        <f>IF(ISNUMBER(J82), $B91 * K82, "")</f>
        <v>-3776.2237762237764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4"/>
      <c r="R82" s="235"/>
      <c r="S82" s="236"/>
    </row>
    <row r="83" spans="1:19" ht="17.25" thickBot="1">
      <c r="A83" s="128" t="s">
        <v>116</v>
      </c>
      <c r="B83" s="129">
        <v>640</v>
      </c>
      <c r="C83" s="77">
        <v>-3.1770045400000002E-2</v>
      </c>
      <c r="D83" s="15">
        <v>654</v>
      </c>
      <c r="E83" s="32">
        <f t="shared" si="38"/>
        <v>2.1874999999999999E-2</v>
      </c>
      <c r="F83" s="18">
        <f>IF(ISNUMBER(D83), $B91 * E83, "")</f>
        <v>3281.25</v>
      </c>
      <c r="G83" s="31">
        <v>648</v>
      </c>
      <c r="H83" s="32">
        <f t="shared" si="39"/>
        <v>1.2500000000000001E-2</v>
      </c>
      <c r="I83" s="101">
        <f>IF(ISNUMBER(G83), $B91 * H83, "")</f>
        <v>1875</v>
      </c>
      <c r="J83" s="15">
        <v>648</v>
      </c>
      <c r="K83" s="32">
        <f t="shared" si="40"/>
        <v>1.2500000000000001E-2</v>
      </c>
      <c r="L83" s="18">
        <f>IF(ISNUMBER(J83), $B91 * K83, "")</f>
        <v>1875</v>
      </c>
      <c r="M83" s="31"/>
      <c r="N83" s="32" t="str">
        <f t="shared" si="41"/>
        <v/>
      </c>
      <c r="O83" s="18" t="str">
        <f>IF(ISNUMBER(M83), $B91 * N83, "")</f>
        <v/>
      </c>
      <c r="Q83" s="219"/>
      <c r="R83" s="219"/>
      <c r="S83" s="219"/>
    </row>
    <row r="84" spans="1:19" ht="17.25" thickBot="1">
      <c r="A84" s="128" t="s">
        <v>202</v>
      </c>
      <c r="B84" s="129">
        <v>196</v>
      </c>
      <c r="C84" s="77">
        <v>-3.4482758600000003E-2</v>
      </c>
      <c r="D84" s="15">
        <v>198</v>
      </c>
      <c r="E84" s="32">
        <f t="shared" si="38"/>
        <v>1.020408163265306E-2</v>
      </c>
      <c r="F84" s="18">
        <f>IF(ISNUMBER(D84), $B91 * E84, "")</f>
        <v>1530.612244897959</v>
      </c>
      <c r="G84" s="31">
        <v>197</v>
      </c>
      <c r="H84" s="32">
        <f t="shared" si="39"/>
        <v>5.1020408163265302E-3</v>
      </c>
      <c r="I84" s="101">
        <f>IF(ISNUMBER(G84), $B91 * H84, "")</f>
        <v>765.30612244897952</v>
      </c>
      <c r="J84" s="15">
        <v>195</v>
      </c>
      <c r="K84" s="32">
        <f t="shared" si="40"/>
        <v>-5.1020408163265302E-3</v>
      </c>
      <c r="L84" s="18">
        <f>IF(ISNUMBER(J84), $B91 * K84, "")</f>
        <v>-765.30612244897952</v>
      </c>
      <c r="M84" s="31"/>
      <c r="N84" s="32" t="str">
        <f t="shared" si="41"/>
        <v/>
      </c>
      <c r="O84" s="18" t="str">
        <f>IF(ISNUMBER(M84), $B91 * N84, "")</f>
        <v/>
      </c>
      <c r="Q84" s="214"/>
      <c r="R84" s="214"/>
      <c r="S84" s="214"/>
    </row>
    <row r="85" spans="1:19" ht="17.25" thickBot="1">
      <c r="A85" s="130" t="s">
        <v>136</v>
      </c>
      <c r="B85" s="131">
        <v>276</v>
      </c>
      <c r="C85" s="78">
        <v>-3.4965034999999998E-2</v>
      </c>
      <c r="D85" s="20">
        <v>301</v>
      </c>
      <c r="E85" s="21">
        <f t="shared" si="38"/>
        <v>9.0579710144927536E-2</v>
      </c>
      <c r="F85" s="22">
        <f>IF(ISNUMBER(D85), $B91 * E85, "")</f>
        <v>13586.95652173913</v>
      </c>
      <c r="G85" s="30">
        <v>300</v>
      </c>
      <c r="H85" s="21">
        <f t="shared" si="39"/>
        <v>8.6956521739130432E-2</v>
      </c>
      <c r="I85" s="105">
        <f>IF(ISNUMBER(G85), $B91 * H85, "")</f>
        <v>13043.478260869564</v>
      </c>
      <c r="J85" s="20">
        <v>293</v>
      </c>
      <c r="K85" s="21">
        <f t="shared" si="40"/>
        <v>6.1594202898550728E-2</v>
      </c>
      <c r="L85" s="22">
        <f>IF(ISNUMBER(J85), $B91 * K85, "")</f>
        <v>9239.1304347826099</v>
      </c>
      <c r="M85" s="30"/>
      <c r="N85" s="21" t="str">
        <f t="shared" si="41"/>
        <v/>
      </c>
      <c r="O85" s="22" t="str">
        <f>IF(ISNUMBER(M85), $B91 * N85, "")</f>
        <v/>
      </c>
      <c r="Q85" s="214"/>
      <c r="R85" s="214"/>
      <c r="S85" s="214"/>
    </row>
    <row r="86" spans="1:19" ht="17.25" thickBot="1">
      <c r="A86" s="128" t="s">
        <v>120</v>
      </c>
      <c r="B86" s="132">
        <v>216</v>
      </c>
      <c r="C86" s="80">
        <v>-3.5714285700000001E-2</v>
      </c>
      <c r="D86" s="106">
        <v>220</v>
      </c>
      <c r="E86" s="107">
        <f>IF(ISNUMBER(D86), (D86 - $B86) / $B86, "")</f>
        <v>1.8518518518518517E-2</v>
      </c>
      <c r="F86" s="108">
        <f>IF(ISNUMBER(D86), $B91 * E86, "")</f>
        <v>2777.7777777777778</v>
      </c>
      <c r="G86" s="109">
        <v>222</v>
      </c>
      <c r="H86" s="107">
        <f>IF(ISNUMBER(G86), (G86 - $B86) / $B86, "")</f>
        <v>2.7777777777777776E-2</v>
      </c>
      <c r="I86" s="110">
        <f>IF(ISNUMBER(G86), $B91 * H86, "")</f>
        <v>4166.6666666666661</v>
      </c>
      <c r="J86" s="106">
        <v>219</v>
      </c>
      <c r="K86" s="107">
        <f>IF(ISNUMBER(J86), (J86 - $B86) / $B86, "")</f>
        <v>1.3888888888888888E-2</v>
      </c>
      <c r="L86" s="108">
        <f>IF(ISNUMBER(J86), $B91 * K86, "")</f>
        <v>2083.333333333333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9"/>
      <c r="R86" s="219"/>
      <c r="S86" s="219"/>
    </row>
    <row r="87" spans="1:19" ht="17.25" thickBot="1">
      <c r="A87" s="128" t="s">
        <v>142</v>
      </c>
      <c r="B87" s="129">
        <v>472</v>
      </c>
      <c r="C87" s="77">
        <v>-3.6734693899999997E-2</v>
      </c>
      <c r="D87" s="15">
        <v>466</v>
      </c>
      <c r="E87" s="32">
        <f t="shared" ref="E87:E90" si="42">IF(ISNUMBER(D87), (D87 - $B87) / $B87, "")</f>
        <v>-1.2711864406779662E-2</v>
      </c>
      <c r="F87" s="18">
        <f>IF(ISNUMBER(D87), $B91 * E87, "")</f>
        <v>-1906.7796610169494</v>
      </c>
      <c r="G87" s="31">
        <v>466</v>
      </c>
      <c r="H87" s="32">
        <f t="shared" ref="H87:H90" si="43">IF(ISNUMBER(G87), (G87 - $B87) / $B87, "")</f>
        <v>-1.2711864406779662E-2</v>
      </c>
      <c r="I87" s="101">
        <f>IF(ISNUMBER(G87), $B91 * H87, "")</f>
        <v>-1906.7796610169494</v>
      </c>
      <c r="J87" s="15">
        <v>457</v>
      </c>
      <c r="K87" s="32">
        <f t="shared" ref="K87:K90" si="44">IF(ISNUMBER(J87), (J87 - $B87) / $B87, "")</f>
        <v>-3.1779661016949151E-2</v>
      </c>
      <c r="L87" s="18">
        <f>IF(ISNUMBER(J87), $B91 * K87, "")</f>
        <v>-4766.9491525423728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9"/>
      <c r="R87" s="219"/>
      <c r="S87" s="219"/>
    </row>
    <row r="88" spans="1:19" ht="17.25" thickBot="1">
      <c r="A88" s="128" t="s">
        <v>284</v>
      </c>
      <c r="B88" s="129">
        <v>511</v>
      </c>
      <c r="C88" s="77">
        <v>-3.9473684199999998E-2</v>
      </c>
      <c r="D88" s="15">
        <v>505</v>
      </c>
      <c r="E88" s="32">
        <f t="shared" si="42"/>
        <v>-1.1741682974559686E-2</v>
      </c>
      <c r="F88" s="18">
        <f>IF(ISNUMBER(D88), $B91 * E88, "")</f>
        <v>-1761.252446183953</v>
      </c>
      <c r="G88" s="31">
        <v>506</v>
      </c>
      <c r="H88" s="32">
        <f t="shared" si="43"/>
        <v>-9.7847358121330719E-3</v>
      </c>
      <c r="I88" s="101">
        <f>IF(ISNUMBER(G88), $B91 * H88, "")</f>
        <v>-1467.7103718199608</v>
      </c>
      <c r="J88" s="15">
        <v>504</v>
      </c>
      <c r="K88" s="32">
        <f t="shared" si="44"/>
        <v>-1.3698630136986301E-2</v>
      </c>
      <c r="L88" s="18">
        <f>IF(ISNUMBER(J88), $B91 * K88, "")</f>
        <v>-2054.794520547945</v>
      </c>
      <c r="M88" s="31"/>
      <c r="N88" s="32" t="str">
        <f t="shared" si="45"/>
        <v/>
      </c>
      <c r="O88" s="18" t="str">
        <f>IF(ISNUMBER(M88), $B91 * N88, "")</f>
        <v/>
      </c>
      <c r="Q88" s="219"/>
      <c r="R88" s="219"/>
      <c r="S88" s="219"/>
    </row>
    <row r="89" spans="1:19">
      <c r="A89" s="128" t="s">
        <v>200</v>
      </c>
      <c r="B89" s="129">
        <v>344</v>
      </c>
      <c r="C89" s="77">
        <v>-4.1782729800000001E-2</v>
      </c>
      <c r="D89" s="15">
        <v>343</v>
      </c>
      <c r="E89" s="32">
        <f t="shared" si="42"/>
        <v>-2.9069767441860465E-3</v>
      </c>
      <c r="F89" s="18">
        <f>IF(ISNUMBER(D89), $B91 * E89, "")</f>
        <v>-436.04651162790697</v>
      </c>
      <c r="G89" s="31">
        <v>346</v>
      </c>
      <c r="H89" s="32">
        <f t="shared" si="43"/>
        <v>5.8139534883720929E-3</v>
      </c>
      <c r="I89" s="101">
        <f>IF(ISNUMBER(G89), $B91 * H89, "")</f>
        <v>872.09302325581393</v>
      </c>
      <c r="J89" s="15">
        <v>345</v>
      </c>
      <c r="K89" s="32">
        <f t="shared" si="44"/>
        <v>2.9069767441860465E-3</v>
      </c>
      <c r="L89" s="18">
        <f>IF(ISNUMBER(J89), $B91 * K89, "")</f>
        <v>436.04651162790697</v>
      </c>
      <c r="M89" s="31"/>
      <c r="N89" s="32" t="str">
        <f t="shared" si="45"/>
        <v/>
      </c>
      <c r="O89" s="18" t="str">
        <f>IF(ISNUMBER(M89), $B91 * N89, "")</f>
        <v/>
      </c>
      <c r="Q89" s="241"/>
      <c r="R89" s="242"/>
      <c r="S89" s="243"/>
    </row>
    <row r="90" spans="1:19" ht="17.25" thickBot="1">
      <c r="A90" s="133" t="s">
        <v>260</v>
      </c>
      <c r="B90" s="134">
        <v>114</v>
      </c>
      <c r="C90" s="79">
        <v>-4.2016806699999999E-2</v>
      </c>
      <c r="D90" s="24">
        <v>114</v>
      </c>
      <c r="E90" s="25">
        <f t="shared" si="42"/>
        <v>0</v>
      </c>
      <c r="F90" s="104">
        <f>IF(ISNUMBER(D90), $B91 * E90, "")</f>
        <v>0</v>
      </c>
      <c r="G90" s="102">
        <v>117</v>
      </c>
      <c r="H90" s="25">
        <f t="shared" si="43"/>
        <v>2.6315789473684209E-2</v>
      </c>
      <c r="I90" s="103">
        <f>IF(ISNUMBER(G90), $B91 * H90, "")</f>
        <v>3947.3684210526312</v>
      </c>
      <c r="J90" s="24">
        <v>119</v>
      </c>
      <c r="K90" s="25">
        <f t="shared" si="44"/>
        <v>4.3859649122807015E-2</v>
      </c>
      <c r="L90" s="104">
        <f>IF(ISNUMBER(J90), $B91 * K90, "")</f>
        <v>6578.9473684210525</v>
      </c>
      <c r="M90" s="102"/>
      <c r="N90" s="25" t="str">
        <f t="shared" si="45"/>
        <v/>
      </c>
      <c r="O90" s="104" t="str">
        <f>IF(ISNUMBER(M90), $B91 * N90, "")</f>
        <v/>
      </c>
      <c r="Q90" s="244"/>
      <c r="R90" s="245"/>
      <c r="S90" s="246"/>
    </row>
    <row r="91" spans="1:19" ht="17.25" thickBot="1">
      <c r="A91" s="135" t="s">
        <v>301</v>
      </c>
      <c r="B91" s="252">
        <f>$B$37</f>
        <v>150000</v>
      </c>
      <c r="C91" s="253"/>
      <c r="D91" s="26" t="s">
        <v>302</v>
      </c>
      <c r="E91" s="27">
        <f>IF(COUNT(E71:E90), SUM(E71:E90) / COUNT(E71:E90), 0)</f>
        <v>1.4398482703269253E-2</v>
      </c>
      <c r="F91" s="28">
        <f>SUM(F71:F90)</f>
        <v>43195.448109807767</v>
      </c>
      <c r="G91" s="26" t="s">
        <v>302</v>
      </c>
      <c r="H91" s="27">
        <f>IF(COUNT(H71:H90), SUM(H71:H90) / COUNT(H71:H90), 0)</f>
        <v>2.5395054935450044E-2</v>
      </c>
      <c r="I91" s="28">
        <f>SUM(I71:I90)</f>
        <v>76185.164806350134</v>
      </c>
      <c r="J91" s="26" t="s">
        <v>302</v>
      </c>
      <c r="K91" s="27">
        <f>IF(COUNT(K71:K90), SUM(K71:K90) / COUNT(K71:K90), 0)</f>
        <v>1.5123368632140022E-2</v>
      </c>
      <c r="L91" s="28">
        <f>SUM(L71:L90)</f>
        <v>45370.105896420064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79" t="s">
        <v>298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72158000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9.1322285000000007E-3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2021-05-10(월) 오전 00:00</v>
      </c>
      <c r="C96" s="257"/>
      <c r="D96" s="216" t="str">
        <f>TEXT($G$1, "[$-ko-KR]yyyy-mm-dd(ddd) ") &amp; "오후 14:00"</f>
        <v>2021-05-10(월) 오후 14:00</v>
      </c>
      <c r="E96" s="217"/>
      <c r="F96" s="218"/>
      <c r="G96" s="216" t="str">
        <f>TEXT($G$1, "[$-ko-KR]yyyy-mm-dd(ddd) ") &amp; "오후 19:00"</f>
        <v>2021-05-10(월) 오후 19:00</v>
      </c>
      <c r="H96" s="217"/>
      <c r="I96" s="218"/>
      <c r="J96" s="216" t="str">
        <f>TEXT($G$1, "[$-ko-KR]yyyy-mm-dd(ddd) ") &amp; "오후 21:00"</f>
        <v>2021-05-10(월) 오후 21:00</v>
      </c>
      <c r="K96" s="217"/>
      <c r="L96" s="218"/>
      <c r="M96" s="216" t="str">
        <f>TEXT($G$1+1, "[$-ko-KR]yyyy-mm-dd(ddd) ") &amp; "오전 00:00"</f>
        <v>2021-05-11(화) 오전 00:00</v>
      </c>
      <c r="N96" s="217"/>
      <c r="O96" s="218"/>
      <c r="Q96" s="214"/>
      <c r="R96" s="214"/>
      <c r="S96" s="214"/>
    </row>
    <row r="97" spans="1:19" ht="17.25" thickBot="1">
      <c r="A97" s="255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80" t="s">
        <v>58</v>
      </c>
      <c r="H97" s="181" t="s">
        <v>299</v>
      </c>
      <c r="I97" s="182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219"/>
      <c r="R97" s="219"/>
      <c r="S97" s="219"/>
    </row>
    <row r="98" spans="1:19" ht="17.25" thickBot="1">
      <c r="A98" s="126" t="s">
        <v>84</v>
      </c>
      <c r="B98" s="127">
        <v>2220</v>
      </c>
      <c r="C98" s="76">
        <v>0.1240506329</v>
      </c>
      <c r="D98" s="13">
        <v>2125</v>
      </c>
      <c r="E98" s="14">
        <f>IF(ISNUMBER(D98), (D98 - $B98) / $B98, "")</f>
        <v>-4.2792792792792793E-2</v>
      </c>
      <c r="F98" s="16">
        <f>IF(ISNUMBER(D98), $B118 * E98, "")</f>
        <v>-6418.9189189189192</v>
      </c>
      <c r="G98" s="29">
        <v>2170</v>
      </c>
      <c r="H98" s="14">
        <f>IF(ISNUMBER(G98), (G98 - $B98) / $B98, "")</f>
        <v>-2.2522522522522521E-2</v>
      </c>
      <c r="I98" s="100">
        <f>IF(ISNUMBER(G98), $B118 * H98, "")</f>
        <v>-3378.3783783783783</v>
      </c>
      <c r="J98" s="13">
        <v>2175</v>
      </c>
      <c r="K98" s="14">
        <f>IF(ISNUMBER(J98), (J98 - $B98) / $B98, "")</f>
        <v>-2.0270270270270271E-2</v>
      </c>
      <c r="L98" s="16">
        <f>IF(ISNUMBER(J98), $B118 * K98, "")</f>
        <v>-3040.5405405405409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4"/>
      <c r="R98" s="214"/>
      <c r="S98" s="214"/>
    </row>
    <row r="99" spans="1:19" ht="17.25" thickBot="1">
      <c r="A99" s="128" t="s">
        <v>104</v>
      </c>
      <c r="B99" s="129">
        <v>3250</v>
      </c>
      <c r="C99" s="77">
        <v>8.6956521699999997E-2</v>
      </c>
      <c r="D99" s="15">
        <v>3210</v>
      </c>
      <c r="E99" s="32">
        <f t="shared" ref="E99:E102" si="46">IF(ISNUMBER(D99), (D99 - $B99) / $B99, "")</f>
        <v>-1.2307692307692308E-2</v>
      </c>
      <c r="F99" s="18">
        <f>IF(ISNUMBER(D99), $B118 * E99, "")</f>
        <v>-1846.1538461538462</v>
      </c>
      <c r="G99" s="31">
        <v>3200</v>
      </c>
      <c r="H99" s="32">
        <f t="shared" ref="H99:H102" si="47">IF(ISNUMBER(G99), (G99 - $B99) / $B99, "")</f>
        <v>-1.5384615384615385E-2</v>
      </c>
      <c r="I99" s="101">
        <f>IF(ISNUMBER(G99), $B118 * H99, "")</f>
        <v>-2307.6923076923076</v>
      </c>
      <c r="J99" s="15">
        <v>3235</v>
      </c>
      <c r="K99" s="32">
        <f t="shared" ref="K99:K102" si="48">IF(ISNUMBER(J99), (J99 - $B99) / $B99, "")</f>
        <v>-4.6153846153846158E-3</v>
      </c>
      <c r="L99" s="18">
        <f>IF(ISNUMBER(J99), $B118 * K99, "")</f>
        <v>-692.30769230769238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4"/>
      <c r="R99" s="214"/>
      <c r="S99" s="214"/>
    </row>
    <row r="100" spans="1:19" ht="17.25" thickBot="1">
      <c r="A100" s="128" t="s">
        <v>280</v>
      </c>
      <c r="B100" s="129">
        <v>2185</v>
      </c>
      <c r="C100" s="77">
        <v>7.1078431400000003E-2</v>
      </c>
      <c r="D100" s="15">
        <v>1975</v>
      </c>
      <c r="E100" s="32">
        <f t="shared" si="46"/>
        <v>-9.6109839816933634E-2</v>
      </c>
      <c r="F100" s="18">
        <f>IF(ISNUMBER(D100), $B118 * E100, "")</f>
        <v>-14416.475972540045</v>
      </c>
      <c r="G100" s="31">
        <v>2065</v>
      </c>
      <c r="H100" s="32">
        <f t="shared" si="47"/>
        <v>-5.4919908466819219E-2</v>
      </c>
      <c r="I100" s="101">
        <f>IF(ISNUMBER(G100), $B118 * H100, "")</f>
        <v>-8237.9862700228823</v>
      </c>
      <c r="J100" s="15">
        <v>2010</v>
      </c>
      <c r="K100" s="32">
        <f t="shared" si="48"/>
        <v>-8.0091533180778038E-2</v>
      </c>
      <c r="L100" s="18">
        <f>IF(ISNUMBER(J100), $B118 * K100, "")</f>
        <v>-12013.729977116705</v>
      </c>
      <c r="M100" s="31"/>
      <c r="N100" s="32" t="str">
        <f t="shared" si="49"/>
        <v/>
      </c>
      <c r="O100" s="18" t="str">
        <f>IF(ISNUMBER(M100), $B118 * N100, "")</f>
        <v/>
      </c>
      <c r="Q100" s="219"/>
      <c r="R100" s="219"/>
      <c r="S100" s="219"/>
    </row>
    <row r="101" spans="1:19" ht="17.25" thickBot="1">
      <c r="A101" s="128" t="s">
        <v>76</v>
      </c>
      <c r="B101" s="129">
        <v>62690</v>
      </c>
      <c r="C101" s="77">
        <v>5.3613445400000001E-2</v>
      </c>
      <c r="D101" s="15">
        <v>62570</v>
      </c>
      <c r="E101" s="32">
        <f t="shared" si="46"/>
        <v>-1.914180890094114E-3</v>
      </c>
      <c r="F101" s="18">
        <f>IF(ISNUMBER(D101), $B118 * E101, "")</f>
        <v>-287.12713351411708</v>
      </c>
      <c r="G101" s="31">
        <v>62910</v>
      </c>
      <c r="H101" s="32">
        <f t="shared" si="47"/>
        <v>3.5093316318392086E-3</v>
      </c>
      <c r="I101" s="101">
        <f>IF(ISNUMBER(G101), $B118 * H101, "")</f>
        <v>526.39974477588135</v>
      </c>
      <c r="J101" s="15">
        <v>62970</v>
      </c>
      <c r="K101" s="32">
        <f t="shared" si="48"/>
        <v>4.4664220768862659E-3</v>
      </c>
      <c r="L101" s="18">
        <f>IF(ISNUMBER(J101), $B118 * K101, "")</f>
        <v>669.96331153293988</v>
      </c>
      <c r="M101" s="31"/>
      <c r="N101" s="32" t="str">
        <f t="shared" si="49"/>
        <v/>
      </c>
      <c r="O101" s="18" t="str">
        <f>IF(ISNUMBER(M101), $B118 * N101, "")</f>
        <v/>
      </c>
      <c r="Q101" s="219"/>
      <c r="R101" s="219"/>
      <c r="S101" s="219"/>
    </row>
    <row r="102" spans="1:19" ht="17.25" thickBot="1">
      <c r="A102" s="130" t="s">
        <v>224</v>
      </c>
      <c r="B102" s="131">
        <v>2190</v>
      </c>
      <c r="C102" s="78">
        <v>5.2884615400000001E-2</v>
      </c>
      <c r="D102" s="20">
        <v>2140</v>
      </c>
      <c r="E102" s="21">
        <f t="shared" si="46"/>
        <v>-2.2831050228310501E-2</v>
      </c>
      <c r="F102" s="22">
        <f>IF(ISNUMBER(D102), $B118 * E102, "")</f>
        <v>-3424.6575342465753</v>
      </c>
      <c r="G102" s="30">
        <v>2125</v>
      </c>
      <c r="H102" s="21">
        <f t="shared" si="47"/>
        <v>-2.9680365296803651E-2</v>
      </c>
      <c r="I102" s="105">
        <f>IF(ISNUMBER(G102), $B118 * H102, "")</f>
        <v>-4452.0547945205481</v>
      </c>
      <c r="J102" s="20">
        <v>2120</v>
      </c>
      <c r="K102" s="21">
        <f t="shared" si="48"/>
        <v>-3.1963470319634701E-2</v>
      </c>
      <c r="L102" s="22">
        <f>IF(ISNUMBER(J102), $B118 * K102, "")</f>
        <v>-4794.5205479452052</v>
      </c>
      <c r="M102" s="30"/>
      <c r="N102" s="21" t="str">
        <f t="shared" si="49"/>
        <v/>
      </c>
      <c r="O102" s="22" t="str">
        <f>IF(ISNUMBER(M102), $B118 * N102, "")</f>
        <v/>
      </c>
      <c r="Q102" s="219"/>
      <c r="R102" s="219"/>
      <c r="S102" s="219"/>
    </row>
    <row r="103" spans="1:19" ht="17.25" thickBot="1">
      <c r="A103" s="128" t="s">
        <v>188</v>
      </c>
      <c r="B103" s="132">
        <v>32780</v>
      </c>
      <c r="C103" s="80">
        <v>5.0304389599999999E-2</v>
      </c>
      <c r="D103" s="106">
        <v>32770</v>
      </c>
      <c r="E103" s="107">
        <f>IF(ISNUMBER(D103), (D103 - $B103) / $B103, "")</f>
        <v>-3.0506406345332519E-4</v>
      </c>
      <c r="F103" s="108">
        <f>IF(ISNUMBER(D103), $B118 * E103, "")</f>
        <v>-45.759609517998776</v>
      </c>
      <c r="G103" s="109">
        <v>32430</v>
      </c>
      <c r="H103" s="107">
        <f>IF(ISNUMBER(G103), (G103 - $B103) / $B103, "")</f>
        <v>-1.0677242220866382E-2</v>
      </c>
      <c r="I103" s="110">
        <f>IF(ISNUMBER(G103), $B118 * H103, "")</f>
        <v>-1601.5863331299574</v>
      </c>
      <c r="J103" s="106">
        <v>32200</v>
      </c>
      <c r="K103" s="107">
        <f>IF(ISNUMBER(J103), (J103 - $B103) / $B103, "")</f>
        <v>-1.7693715680292862E-2</v>
      </c>
      <c r="L103" s="108">
        <f>IF(ISNUMBER(J103), $B118 * K103, "")</f>
        <v>-2654.0573520439293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9"/>
      <c r="R103" s="219"/>
      <c r="S103" s="219"/>
    </row>
    <row r="104" spans="1:19" ht="17.25" thickBot="1">
      <c r="A104" s="128" t="s">
        <v>130</v>
      </c>
      <c r="B104" s="129">
        <v>443250</v>
      </c>
      <c r="C104" s="77">
        <v>4.4784914600000003E-2</v>
      </c>
      <c r="D104" s="15">
        <v>484000</v>
      </c>
      <c r="E104" s="32">
        <f t="shared" ref="E104:E107" si="50">IF(ISNUMBER(D104), (D104 - $B104) / $B104, "")</f>
        <v>9.193457416807671E-2</v>
      </c>
      <c r="F104" s="18">
        <f>IF(ISNUMBER(D104), $B118 * E104, "")</f>
        <v>13790.186125211507</v>
      </c>
      <c r="G104" s="31">
        <v>485350</v>
      </c>
      <c r="H104" s="32">
        <f t="shared" ref="H104:H107" si="51">IF(ISNUMBER(G104), (G104 - $B104) / $B104, "")</f>
        <v>9.4980259447264528E-2</v>
      </c>
      <c r="I104" s="101">
        <f>IF(ISNUMBER(G104), $B118 * H104, "")</f>
        <v>14247.03891708968</v>
      </c>
      <c r="J104" s="15">
        <v>493850</v>
      </c>
      <c r="K104" s="32">
        <f t="shared" ref="K104:K107" si="52">IF(ISNUMBER(J104), (J104 - $B104) / $B104, "")</f>
        <v>0.11415679639029892</v>
      </c>
      <c r="L104" s="18">
        <f>IF(ISNUMBER(J104), $B118 * K104, "")</f>
        <v>17123.519458544837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9"/>
      <c r="R104" s="219"/>
      <c r="S104" s="219"/>
    </row>
    <row r="105" spans="1:19" ht="17.25" thickBot="1">
      <c r="A105" s="128" t="s">
        <v>240</v>
      </c>
      <c r="B105" s="129">
        <v>181</v>
      </c>
      <c r="C105" s="77">
        <v>2.2598870100000001E-2</v>
      </c>
      <c r="D105" s="15">
        <v>178</v>
      </c>
      <c r="E105" s="32">
        <f t="shared" si="50"/>
        <v>-1.6574585635359115E-2</v>
      </c>
      <c r="F105" s="18">
        <f>IF(ISNUMBER(D105), $B118 * E105, "")</f>
        <v>-2486.1878453038671</v>
      </c>
      <c r="G105" s="31">
        <v>176</v>
      </c>
      <c r="H105" s="32">
        <f t="shared" si="51"/>
        <v>-2.7624309392265192E-2</v>
      </c>
      <c r="I105" s="101">
        <f>IF(ISNUMBER(G105), $B118 * H105, "")</f>
        <v>-4143.6464088397788</v>
      </c>
      <c r="J105" s="15">
        <v>177</v>
      </c>
      <c r="K105" s="32">
        <f t="shared" si="52"/>
        <v>-2.2099447513812154E-2</v>
      </c>
      <c r="L105" s="18">
        <f>IF(ISNUMBER(J105), $B118 * K105, "")</f>
        <v>-3314.917127071823</v>
      </c>
      <c r="M105" s="31"/>
      <c r="N105" s="32" t="str">
        <f t="shared" si="53"/>
        <v/>
      </c>
      <c r="O105" s="18" t="str">
        <f>IF(ISNUMBER(M105), $B118 * N105, "")</f>
        <v/>
      </c>
      <c r="Q105" s="219"/>
      <c r="R105" s="219"/>
      <c r="S105" s="219"/>
    </row>
    <row r="106" spans="1:19" ht="17.25" thickBot="1">
      <c r="A106" s="128" t="s">
        <v>208</v>
      </c>
      <c r="B106" s="129">
        <v>485</v>
      </c>
      <c r="C106" s="77">
        <v>1.46443515E-2</v>
      </c>
      <c r="D106" s="15">
        <v>480</v>
      </c>
      <c r="E106" s="32">
        <f t="shared" si="50"/>
        <v>-1.0309278350515464E-2</v>
      </c>
      <c r="F106" s="18">
        <f>IF(ISNUMBER(D106), $B118 * E106, "")</f>
        <v>-1546.3917525773195</v>
      </c>
      <c r="G106" s="31">
        <v>478</v>
      </c>
      <c r="H106" s="32">
        <f t="shared" si="51"/>
        <v>-1.443298969072165E-2</v>
      </c>
      <c r="I106" s="101">
        <f>IF(ISNUMBER(G106), $B118 * H106, "")</f>
        <v>-2164.9484536082477</v>
      </c>
      <c r="J106" s="15">
        <v>477</v>
      </c>
      <c r="K106" s="32">
        <f t="shared" si="52"/>
        <v>-1.6494845360824743E-2</v>
      </c>
      <c r="L106" s="18">
        <f>IF(ISNUMBER(J106), $B118 * K106, "")</f>
        <v>-2474.2268041237112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3" t="s">
        <v>138</v>
      </c>
      <c r="B107" s="134">
        <v>49330</v>
      </c>
      <c r="C107" s="79">
        <v>1.37690095E-2</v>
      </c>
      <c r="D107" s="24">
        <v>49850</v>
      </c>
      <c r="E107" s="25">
        <f t="shared" si="50"/>
        <v>1.0541252787350497E-2</v>
      </c>
      <c r="F107" s="104">
        <f>IF(ISNUMBER(D107), $B118 * E107, "")</f>
        <v>1581.1879181025745</v>
      </c>
      <c r="G107" s="102">
        <v>49730</v>
      </c>
      <c r="H107" s="25">
        <f t="shared" si="51"/>
        <v>8.1086559902696122E-3</v>
      </c>
      <c r="I107" s="103">
        <f>IF(ISNUMBER(G107), $B118 * H107, "")</f>
        <v>1216.2983985404419</v>
      </c>
      <c r="J107" s="24">
        <v>49720</v>
      </c>
      <c r="K107" s="25">
        <f t="shared" si="52"/>
        <v>7.905939590512872E-3</v>
      </c>
      <c r="L107" s="104">
        <f>IF(ISNUMBER(J107), $B118 * K107, "")</f>
        <v>1185.8909385769307</v>
      </c>
      <c r="M107" s="102"/>
      <c r="N107" s="25" t="str">
        <f t="shared" si="53"/>
        <v/>
      </c>
      <c r="O107" s="104" t="str">
        <f>IF(ISNUMBER(M107), $B118 * N107, "")</f>
        <v/>
      </c>
      <c r="Q107" s="228"/>
      <c r="R107" s="229"/>
      <c r="S107" s="230"/>
    </row>
    <row r="108" spans="1:19">
      <c r="A108" s="126" t="s">
        <v>166</v>
      </c>
      <c r="B108" s="127">
        <v>2760</v>
      </c>
      <c r="C108" s="76">
        <v>1.28440367E-2</v>
      </c>
      <c r="D108" s="13">
        <v>2610</v>
      </c>
      <c r="E108" s="14">
        <f>IF(ISNUMBER(D108), (D108 - $B108) / $B108, "")</f>
        <v>-5.434782608695652E-2</v>
      </c>
      <c r="F108" s="16">
        <f>IF(ISNUMBER(D108), $B118 * E108, "")</f>
        <v>-8152.173913043478</v>
      </c>
      <c r="G108" s="29">
        <v>2620</v>
      </c>
      <c r="H108" s="14">
        <f>IF(ISNUMBER(G108), (G108 - $B108) / $B108, "")</f>
        <v>-5.0724637681159424E-2</v>
      </c>
      <c r="I108" s="100">
        <f>IF(ISNUMBER(G108), $B118 * H108, "")</f>
        <v>-7608.6956521739139</v>
      </c>
      <c r="J108" s="13">
        <v>2580</v>
      </c>
      <c r="K108" s="14">
        <f>IF(ISNUMBER(J108), (J108 - $B108) / $B108, "")</f>
        <v>-6.5217391304347824E-2</v>
      </c>
      <c r="L108" s="16">
        <f>IF(ISNUMBER(J108), $B118 * K108, "")</f>
        <v>-9782.608695652174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1"/>
      <c r="R108" s="232"/>
      <c r="S108" s="233"/>
    </row>
    <row r="109" spans="1:19" ht="17.25" thickBot="1">
      <c r="A109" s="128" t="s">
        <v>150</v>
      </c>
      <c r="B109" s="129">
        <v>5915</v>
      </c>
      <c r="C109" s="77">
        <v>1.6934801000000001E-3</v>
      </c>
      <c r="D109" s="15">
        <v>6195</v>
      </c>
      <c r="E109" s="32">
        <f t="shared" ref="E109:E112" si="54">IF(ISNUMBER(D109), (D109 - $B109) / $B109, "")</f>
        <v>4.7337278106508875E-2</v>
      </c>
      <c r="F109" s="18">
        <f>IF(ISNUMBER(D109), $B118 * E109, "")</f>
        <v>7100.5917159763312</v>
      </c>
      <c r="G109" s="31">
        <v>6085</v>
      </c>
      <c r="H109" s="32">
        <f t="shared" ref="H109:H112" si="55">IF(ISNUMBER(G109), (G109 - $B109) / $B109, "")</f>
        <v>2.8740490278951817E-2</v>
      </c>
      <c r="I109" s="101">
        <f>IF(ISNUMBER(G109), $B118 * H109, "")</f>
        <v>4311.0735418427721</v>
      </c>
      <c r="J109" s="15">
        <v>6060</v>
      </c>
      <c r="K109" s="32">
        <f t="shared" ref="K109:K112" si="56">IF(ISNUMBER(J109), (J109 - $B109) / $B109, "")</f>
        <v>2.4513947590870666E-2</v>
      </c>
      <c r="L109" s="18">
        <f>IF(ISNUMBER(J109), $B118 * K109, "")</f>
        <v>3677.0921386305999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4"/>
      <c r="R109" s="235"/>
      <c r="S109" s="236"/>
    </row>
    <row r="110" spans="1:19" ht="17.25" thickBot="1">
      <c r="A110" s="128" t="s">
        <v>63</v>
      </c>
      <c r="B110" s="129">
        <v>141600</v>
      </c>
      <c r="C110" s="77">
        <v>-2.1141648999999998E-3</v>
      </c>
      <c r="D110" s="15">
        <v>143700</v>
      </c>
      <c r="E110" s="32">
        <f t="shared" si="54"/>
        <v>1.4830508474576272E-2</v>
      </c>
      <c r="F110" s="18">
        <f>IF(ISNUMBER(D110), $B118 * E110, "")</f>
        <v>2224.5762711864409</v>
      </c>
      <c r="G110" s="31">
        <v>145500</v>
      </c>
      <c r="H110" s="32">
        <f t="shared" si="55"/>
        <v>2.7542372881355932E-2</v>
      </c>
      <c r="I110" s="101">
        <f>IF(ISNUMBER(G110), $B118 * H110, "")</f>
        <v>4131.3559322033898</v>
      </c>
      <c r="J110" s="15">
        <v>144650</v>
      </c>
      <c r="K110" s="32">
        <f t="shared" si="56"/>
        <v>2.1539548022598869E-2</v>
      </c>
      <c r="L110" s="18">
        <f>IF(ISNUMBER(J110), $B118 * K110, "")</f>
        <v>3230.9322033898302</v>
      </c>
      <c r="M110" s="31"/>
      <c r="N110" s="32" t="str">
        <f t="shared" si="57"/>
        <v/>
      </c>
      <c r="O110" s="18" t="str">
        <f>IF(ISNUMBER(M110), $B118 * N110, "")</f>
        <v/>
      </c>
      <c r="Q110" s="219"/>
      <c r="R110" s="219"/>
      <c r="S110" s="219"/>
    </row>
    <row r="111" spans="1:19" ht="17.25" thickBot="1">
      <c r="A111" s="128" t="s">
        <v>96</v>
      </c>
      <c r="B111" s="129">
        <v>4731000</v>
      </c>
      <c r="C111" s="77">
        <v>-6.5098698E-3</v>
      </c>
      <c r="D111" s="15">
        <v>4992000</v>
      </c>
      <c r="E111" s="32">
        <f t="shared" si="54"/>
        <v>5.5168040583386174E-2</v>
      </c>
      <c r="F111" s="18">
        <f>IF(ISNUMBER(D111), $B118 * E111, "")</f>
        <v>8275.206087507926</v>
      </c>
      <c r="G111" s="31">
        <v>5076000</v>
      </c>
      <c r="H111" s="32">
        <f t="shared" si="55"/>
        <v>7.2923272035510467E-2</v>
      </c>
      <c r="I111" s="101">
        <f>IF(ISNUMBER(G111), $B118 * H111, "")</f>
        <v>10938.49080532657</v>
      </c>
      <c r="J111" s="15">
        <v>5192000</v>
      </c>
      <c r="K111" s="32">
        <f t="shared" si="56"/>
        <v>9.7442401183682095E-2</v>
      </c>
      <c r="L111" s="18">
        <f>IF(ISNUMBER(J111), $B118 * K111, "")</f>
        <v>14616.360177552315</v>
      </c>
      <c r="M111" s="31"/>
      <c r="N111" s="32" t="str">
        <f t="shared" si="57"/>
        <v/>
      </c>
      <c r="O111" s="18" t="str">
        <f>IF(ISNUMBER(M111), $B118 * N111, "")</f>
        <v/>
      </c>
      <c r="Q111" s="214"/>
      <c r="R111" s="214"/>
      <c r="S111" s="214"/>
    </row>
    <row r="112" spans="1:19" ht="17.25" thickBot="1">
      <c r="A112" s="130" t="s">
        <v>132</v>
      </c>
      <c r="B112" s="131">
        <v>270</v>
      </c>
      <c r="C112" s="78">
        <v>-7.3529412000000001E-3</v>
      </c>
      <c r="D112" s="20">
        <v>280</v>
      </c>
      <c r="E112" s="21">
        <f t="shared" si="54"/>
        <v>3.7037037037037035E-2</v>
      </c>
      <c r="F112" s="22">
        <f>IF(ISNUMBER(D112), $B118 * E112, "")</f>
        <v>5555.5555555555557</v>
      </c>
      <c r="G112" s="30">
        <v>279</v>
      </c>
      <c r="H112" s="21">
        <f t="shared" si="55"/>
        <v>3.3333333333333333E-2</v>
      </c>
      <c r="I112" s="105">
        <f>IF(ISNUMBER(G112), $B118 * H112, "")</f>
        <v>5000</v>
      </c>
      <c r="J112" s="20">
        <v>278</v>
      </c>
      <c r="K112" s="21">
        <f t="shared" si="56"/>
        <v>2.9629629629629631E-2</v>
      </c>
      <c r="L112" s="22">
        <f>IF(ISNUMBER(J112), $B118 * K112, "")</f>
        <v>4444.4444444444443</v>
      </c>
      <c r="M112" s="30"/>
      <c r="N112" s="21" t="str">
        <f t="shared" si="57"/>
        <v/>
      </c>
      <c r="O112" s="22" t="str">
        <f>IF(ISNUMBER(M112), $B118 * N112, "")</f>
        <v/>
      </c>
      <c r="Q112" s="214"/>
      <c r="R112" s="214"/>
      <c r="S112" s="214"/>
    </row>
    <row r="113" spans="1:19" ht="17.25" thickBot="1">
      <c r="A113" s="128" t="s">
        <v>65</v>
      </c>
      <c r="B113" s="132">
        <v>78</v>
      </c>
      <c r="C113" s="80">
        <v>-7.6335878000000001E-3</v>
      </c>
      <c r="D113" s="106">
        <v>77.599999999999994</v>
      </c>
      <c r="E113" s="107">
        <f>IF(ISNUMBER(D113), (D113 - $B113) / $B113, "")</f>
        <v>-5.1282051282052011E-3</v>
      </c>
      <c r="F113" s="108">
        <f>IF(ISNUMBER(D113), $B118 * E113, "")</f>
        <v>-769.2307692307802</v>
      </c>
      <c r="G113" s="109">
        <v>76.8</v>
      </c>
      <c r="H113" s="107">
        <f>IF(ISNUMBER(G113), (G113 - $B113) / $B113, "")</f>
        <v>-1.5384615384615422E-2</v>
      </c>
      <c r="I113" s="110">
        <f>IF(ISNUMBER(G113), $B118 * H113, "")</f>
        <v>-2307.6923076923131</v>
      </c>
      <c r="J113" s="106">
        <v>76.7</v>
      </c>
      <c r="K113" s="107">
        <f>IF(ISNUMBER(J113), (J113 - $B113) / $B113, "")</f>
        <v>-1.6666666666666632E-2</v>
      </c>
      <c r="L113" s="108">
        <f>IF(ISNUMBER(J113), $B118 * K113, "")</f>
        <v>-2499.9999999999945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9"/>
      <c r="R113" s="219"/>
      <c r="S113" s="219"/>
    </row>
    <row r="114" spans="1:19" ht="17.25" thickBot="1">
      <c r="A114" s="128" t="s">
        <v>51</v>
      </c>
      <c r="B114" s="129">
        <v>743</v>
      </c>
      <c r="C114" s="77">
        <v>-8.0106809000000008E-3</v>
      </c>
      <c r="D114" s="15">
        <v>815</v>
      </c>
      <c r="E114" s="32">
        <f t="shared" ref="E114:E117" si="58">IF(ISNUMBER(D114), (D114 - $B114) / $B114, "")</f>
        <v>9.6904441453566623E-2</v>
      </c>
      <c r="F114" s="18">
        <f>IF(ISNUMBER(D114), $B118 * E114, "")</f>
        <v>14535.666218034994</v>
      </c>
      <c r="G114" s="31">
        <v>963</v>
      </c>
      <c r="H114" s="32">
        <f t="shared" ref="H114:H117" si="59">IF(ISNUMBER(G114), (G114 - $B114) / $B114, "")</f>
        <v>0.29609690444145359</v>
      </c>
      <c r="I114" s="101">
        <f>IF(ISNUMBER(G114), $B118 * H114, "")</f>
        <v>44414.535666218042</v>
      </c>
      <c r="J114" s="15">
        <v>897</v>
      </c>
      <c r="K114" s="32">
        <f t="shared" ref="K114:K117" si="60">IF(ISNUMBER(J114), (J114 - $B114) / $B114, "")</f>
        <v>0.2072678331090175</v>
      </c>
      <c r="L114" s="18">
        <f>IF(ISNUMBER(J114), $B118 * K114, "")</f>
        <v>31090.174966352624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9"/>
      <c r="R114" s="219"/>
      <c r="S114" s="219"/>
    </row>
    <row r="115" spans="1:19" ht="17.25" thickBot="1">
      <c r="A115" s="128" t="s">
        <v>226</v>
      </c>
      <c r="B115" s="129">
        <v>493</v>
      </c>
      <c r="C115" s="77">
        <v>-8.0482897000000008E-3</v>
      </c>
      <c r="D115" s="15">
        <v>496</v>
      </c>
      <c r="E115" s="32">
        <f t="shared" si="58"/>
        <v>6.0851926977687626E-3</v>
      </c>
      <c r="F115" s="18">
        <f>IF(ISNUMBER(D115), $B118 * E115, "")</f>
        <v>912.77890466531437</v>
      </c>
      <c r="G115" s="31">
        <v>498</v>
      </c>
      <c r="H115" s="32">
        <f t="shared" si="59"/>
        <v>1.0141987829614604E-2</v>
      </c>
      <c r="I115" s="101">
        <f>IF(ISNUMBER(G115), $B118 * H115, "")</f>
        <v>1521.2981744421907</v>
      </c>
      <c r="J115" s="15">
        <v>494</v>
      </c>
      <c r="K115" s="32">
        <f t="shared" si="60"/>
        <v>2.0283975659229209E-3</v>
      </c>
      <c r="L115" s="18">
        <f>IF(ISNUMBER(J115), $B118 * K115, "")</f>
        <v>304.25963488843814</v>
      </c>
      <c r="M115" s="31"/>
      <c r="N115" s="32" t="str">
        <f t="shared" si="61"/>
        <v/>
      </c>
      <c r="O115" s="18" t="str">
        <f>IF(ISNUMBER(M115), $B118 * N115, "")</f>
        <v/>
      </c>
      <c r="Q115" s="219"/>
      <c r="R115" s="219"/>
      <c r="S115" s="219"/>
    </row>
    <row r="116" spans="1:19">
      <c r="A116" s="128" t="s">
        <v>148</v>
      </c>
      <c r="B116" s="129">
        <v>194</v>
      </c>
      <c r="C116" s="77">
        <v>-1.02040816E-2</v>
      </c>
      <c r="D116" s="15">
        <v>192</v>
      </c>
      <c r="E116" s="32">
        <f t="shared" si="58"/>
        <v>-1.0309278350515464E-2</v>
      </c>
      <c r="F116" s="18">
        <f>IF(ISNUMBER(D116), $B118 * E116, "")</f>
        <v>-1546.3917525773195</v>
      </c>
      <c r="G116" s="31">
        <v>194</v>
      </c>
      <c r="H116" s="32">
        <f t="shared" si="59"/>
        <v>0</v>
      </c>
      <c r="I116" s="101">
        <f>IF(ISNUMBER(G116), $B118 * H116, "")</f>
        <v>0</v>
      </c>
      <c r="J116" s="15">
        <v>194</v>
      </c>
      <c r="K116" s="32">
        <f t="shared" si="60"/>
        <v>0</v>
      </c>
      <c r="L116" s="18">
        <f>IF(ISNUMBER(J116), $B118 * K116, "")</f>
        <v>0</v>
      </c>
      <c r="M116" s="31"/>
      <c r="N116" s="32" t="str">
        <f t="shared" si="61"/>
        <v/>
      </c>
      <c r="O116" s="18" t="str">
        <f>IF(ISNUMBER(M116), $B118 * N116, "")</f>
        <v/>
      </c>
      <c r="Q116" s="241"/>
      <c r="R116" s="242"/>
      <c r="S116" s="243"/>
    </row>
    <row r="117" spans="1:19" ht="17.25" thickBot="1">
      <c r="A117" s="133" t="s">
        <v>118</v>
      </c>
      <c r="B117" s="134">
        <v>7600</v>
      </c>
      <c r="C117" s="79">
        <v>-1.10605075E-2</v>
      </c>
      <c r="D117" s="24">
        <v>7490</v>
      </c>
      <c r="E117" s="25">
        <f t="shared" si="58"/>
        <v>-1.4473684210526316E-2</v>
      </c>
      <c r="F117" s="104">
        <f>IF(ISNUMBER(D117), $B118 * E117, "")</f>
        <v>-2171.0526315789475</v>
      </c>
      <c r="G117" s="102">
        <v>8050</v>
      </c>
      <c r="H117" s="25">
        <f t="shared" si="59"/>
        <v>5.921052631578947E-2</v>
      </c>
      <c r="I117" s="103">
        <f>IF(ISNUMBER(G117), $B118 * H117, "")</f>
        <v>8881.5789473684199</v>
      </c>
      <c r="J117" s="24">
        <v>8215</v>
      </c>
      <c r="K117" s="25">
        <f t="shared" si="60"/>
        <v>8.0921052631578949E-2</v>
      </c>
      <c r="L117" s="104">
        <f>IF(ISNUMBER(J117), $B118 * K117, "")</f>
        <v>12138.157894736842</v>
      </c>
      <c r="M117" s="102"/>
      <c r="N117" s="25" t="str">
        <f t="shared" si="61"/>
        <v/>
      </c>
      <c r="O117" s="104" t="str">
        <f>IF(ISNUMBER(M117), $B118 * N117, "")</f>
        <v/>
      </c>
      <c r="Q117" s="244"/>
      <c r="R117" s="245"/>
      <c r="S117" s="246"/>
    </row>
    <row r="118" spans="1:19" ht="17.25" thickBot="1">
      <c r="A118" s="135" t="s">
        <v>301</v>
      </c>
      <c r="B118" s="252">
        <f>$B$37</f>
        <v>150000</v>
      </c>
      <c r="C118" s="253"/>
      <c r="D118" s="26" t="s">
        <v>302</v>
      </c>
      <c r="E118" s="27">
        <f>IF(COUNT(E98:E117), SUM(E98:E117) / COUNT(E98:E117), 0)</f>
        <v>3.6217423723458085E-3</v>
      </c>
      <c r="F118" s="28">
        <f>SUM(F98:F117)</f>
        <v>10865.22711703743</v>
      </c>
      <c r="G118" s="26" t="s">
        <v>302</v>
      </c>
      <c r="H118" s="27">
        <f>IF(COUNT(H98:H117), SUM(H98:H117) / COUNT(H98:H117), 0)</f>
        <v>1.9661796407249688E-2</v>
      </c>
      <c r="I118" s="28">
        <f>SUM(I98:I117)</f>
        <v>58985.389221749065</v>
      </c>
      <c r="J118" s="26" t="s">
        <v>302</v>
      </c>
      <c r="K118" s="27">
        <f>IF(COUNT(K98:K117), SUM(K98:K117) / COUNT(K98:K117), 0)</f>
        <v>1.573796214394934E-2</v>
      </c>
      <c r="L118" s="28">
        <f>SUM(L98:L117)</f>
        <v>47213.886431848026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47"/>
      <c r="R118" s="248"/>
      <c r="S118" s="249"/>
    </row>
    <row r="120" spans="1:19" ht="17.25" thickBot="1"/>
    <row r="121" spans="1:19" ht="17.25" thickBot="1">
      <c r="A121" s="193" t="s">
        <v>288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79" t="s">
        <v>298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72158000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9.1322285000000007E-3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2021-05-10(월) 오전 00:00</v>
      </c>
      <c r="C123" s="257"/>
      <c r="D123" s="216" t="str">
        <f>TEXT($G$1, "[$-ko-KR]yyyy-mm-dd(ddd) ") &amp; "오후 14:00"</f>
        <v>2021-05-10(월) 오후 14:00</v>
      </c>
      <c r="E123" s="217"/>
      <c r="F123" s="218"/>
      <c r="G123" s="216" t="str">
        <f>TEXT($G$1, "[$-ko-KR]yyyy-mm-dd(ddd) ") &amp; "오후 19:00"</f>
        <v>2021-05-10(월) 오후 19:00</v>
      </c>
      <c r="H123" s="217"/>
      <c r="I123" s="218"/>
      <c r="J123" s="216" t="str">
        <f>TEXT($G$1, "[$-ko-KR]yyyy-mm-dd(ddd) ") &amp; "오후 21:00"</f>
        <v>2021-05-10(월) 오후 21:00</v>
      </c>
      <c r="K123" s="217"/>
      <c r="L123" s="218"/>
      <c r="M123" s="216" t="str">
        <f>TEXT($G$1+1, "[$-ko-KR]yyyy-mm-dd(ddd) ") &amp; "오전 00:00"</f>
        <v>2021-05-11(화)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80" t="s">
        <v>58</v>
      </c>
      <c r="H124" s="181" t="s">
        <v>299</v>
      </c>
      <c r="I124" s="182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219"/>
      <c r="R124" s="219"/>
      <c r="S124" s="219"/>
    </row>
    <row r="125" spans="1:19" ht="17.25" thickBot="1">
      <c r="A125" s="126" t="s">
        <v>65</v>
      </c>
      <c r="B125" s="127">
        <v>78</v>
      </c>
      <c r="C125" s="76">
        <v>-7.6335878000000001E-3</v>
      </c>
      <c r="D125" s="13">
        <v>77.599999999999994</v>
      </c>
      <c r="E125" s="14">
        <f>IF(ISNUMBER(D125), (D125 - $B125) / $B125, "")</f>
        <v>-5.1282051282052011E-3</v>
      </c>
      <c r="F125" s="16">
        <f>IF(ISNUMBER(D125), $B145 * E125, "")</f>
        <v>-769.2307692307802</v>
      </c>
      <c r="G125" s="29">
        <v>76.8</v>
      </c>
      <c r="H125" s="14">
        <f>IF(ISNUMBER(G125), (G125 - $B125) / $B125, "")</f>
        <v>-1.5384615384615422E-2</v>
      </c>
      <c r="I125" s="100">
        <f>IF(ISNUMBER(G125), $B145 * H125, "")</f>
        <v>-2307.6923076923131</v>
      </c>
      <c r="J125" s="13">
        <v>76.7</v>
      </c>
      <c r="K125" s="14">
        <f>IF(ISNUMBER(J125), (J125 - $B125) / $B125, "")</f>
        <v>-1.6666666666666632E-2</v>
      </c>
      <c r="L125" s="16">
        <f>IF(ISNUMBER(J125), $B145 * K125, "")</f>
        <v>-2499.9999999999945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4"/>
      <c r="R125" s="214"/>
      <c r="S125" s="214"/>
    </row>
    <row r="126" spans="1:19" ht="17.25" thickBot="1">
      <c r="A126" s="128" t="s">
        <v>154</v>
      </c>
      <c r="B126" s="129">
        <v>20.100000000000001</v>
      </c>
      <c r="C126" s="77">
        <v>-2.42718447E-2</v>
      </c>
      <c r="D126" s="15">
        <v>20.3</v>
      </c>
      <c r="E126" s="32">
        <f t="shared" ref="E126:E129" si="62">IF(ISNUMBER(D126), (D126 - $B126) / $B126, "")</f>
        <v>9.9502487562188689E-3</v>
      </c>
      <c r="F126" s="18">
        <f>IF(ISNUMBER(D126), $B145 * E126, "")</f>
        <v>1492.5373134328304</v>
      </c>
      <c r="G126" s="31">
        <v>20.3</v>
      </c>
      <c r="H126" s="32">
        <f t="shared" ref="H126:H129" si="63">IF(ISNUMBER(G126), (G126 - $B126) / $B126, "")</f>
        <v>9.9502487562188689E-3</v>
      </c>
      <c r="I126" s="101">
        <f>IF(ISNUMBER(G126), $B145 * H126, "")</f>
        <v>1492.5373134328304</v>
      </c>
      <c r="J126" s="15">
        <v>20.2</v>
      </c>
      <c r="K126" s="32">
        <f t="shared" ref="K126:K129" si="64">IF(ISNUMBER(J126), (J126 - $B126) / $B126, "")</f>
        <v>4.975124378109346E-3</v>
      </c>
      <c r="L126" s="18">
        <f>IF(ISNUMBER(J126), $B145 * K126, "")</f>
        <v>746.26865671640189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4"/>
      <c r="R126" s="214"/>
      <c r="S126" s="214"/>
    </row>
    <row r="127" spans="1:19" ht="17.25" thickBot="1">
      <c r="A127" s="128" t="s">
        <v>220</v>
      </c>
      <c r="B127" s="129">
        <v>19.7</v>
      </c>
      <c r="C127" s="77">
        <v>-2.9556650199999999E-2</v>
      </c>
      <c r="D127" s="15">
        <v>19.8</v>
      </c>
      <c r="E127" s="32">
        <f t="shared" si="62"/>
        <v>5.0761421319797679E-3</v>
      </c>
      <c r="F127" s="18">
        <f>IF(ISNUMBER(D127), $B145 * E127, "")</f>
        <v>761.42131979696524</v>
      </c>
      <c r="G127" s="31">
        <v>19.8</v>
      </c>
      <c r="H127" s="32">
        <f t="shared" si="63"/>
        <v>5.0761421319797679E-3</v>
      </c>
      <c r="I127" s="101">
        <f>IF(ISNUMBER(G127), $B145 * H127, "")</f>
        <v>761.42131979696524</v>
      </c>
      <c r="J127" s="15">
        <v>19.7</v>
      </c>
      <c r="K127" s="32">
        <f t="shared" si="64"/>
        <v>0</v>
      </c>
      <c r="L127" s="18">
        <f>IF(ISNUMBER(J127), $B145 * K127, "")</f>
        <v>0</v>
      </c>
      <c r="M127" s="31"/>
      <c r="N127" s="32" t="str">
        <f t="shared" si="65"/>
        <v/>
      </c>
      <c r="O127" s="18" t="str">
        <f>IF(ISNUMBER(M127), $B145 * N127, "")</f>
        <v/>
      </c>
      <c r="Q127" s="219"/>
      <c r="R127" s="219"/>
      <c r="S127" s="219"/>
    </row>
    <row r="128" spans="1:19" ht="17.25" thickBot="1">
      <c r="A128" s="128" t="s">
        <v>126</v>
      </c>
      <c r="B128" s="129">
        <v>58.7</v>
      </c>
      <c r="C128" s="77">
        <v>-2.9752066099999998E-2</v>
      </c>
      <c r="D128" s="15">
        <v>58.6</v>
      </c>
      <c r="E128" s="32">
        <f t="shared" si="62"/>
        <v>-1.7035775127768554E-3</v>
      </c>
      <c r="F128" s="18">
        <f>IF(ISNUMBER(D128), $B145 * E128, "")</f>
        <v>-255.53662691652832</v>
      </c>
      <c r="G128" s="31">
        <v>58.9</v>
      </c>
      <c r="H128" s="32">
        <f t="shared" si="63"/>
        <v>3.4071550255535899E-3</v>
      </c>
      <c r="I128" s="101">
        <f>IF(ISNUMBER(G128), $B145 * H128, "")</f>
        <v>511.07325383303851</v>
      </c>
      <c r="J128" s="15">
        <v>58.2</v>
      </c>
      <c r="K128" s="32">
        <f t="shared" si="64"/>
        <v>-8.5178875638841564E-3</v>
      </c>
      <c r="L128" s="18">
        <f>IF(ISNUMBER(J128), $B145 * K128, "")</f>
        <v>-1277.6831345826236</v>
      </c>
      <c r="M128" s="31"/>
      <c r="N128" s="32" t="str">
        <f t="shared" si="65"/>
        <v/>
      </c>
      <c r="O128" s="18" t="str">
        <f>IF(ISNUMBER(M128), $B145 * N128, "")</f>
        <v/>
      </c>
      <c r="Q128" s="219"/>
      <c r="R128" s="219"/>
      <c r="S128" s="219"/>
    </row>
    <row r="129" spans="1:19" ht="17.25" thickBot="1">
      <c r="A129" s="130" t="s">
        <v>266</v>
      </c>
      <c r="B129" s="131">
        <v>89.9</v>
      </c>
      <c r="C129" s="78">
        <v>-3.2292787900000001E-2</v>
      </c>
      <c r="D129" s="20">
        <v>91.6</v>
      </c>
      <c r="E129" s="21">
        <f t="shared" si="62"/>
        <v>1.8909899888765166E-2</v>
      </c>
      <c r="F129" s="22">
        <f>IF(ISNUMBER(D129), $B145 * E129, "")</f>
        <v>2836.484983314775</v>
      </c>
      <c r="G129" s="30">
        <v>91.5</v>
      </c>
      <c r="H129" s="21">
        <f t="shared" si="63"/>
        <v>1.7797552836484917E-2</v>
      </c>
      <c r="I129" s="105">
        <f>IF(ISNUMBER(G129), $B145 * H129, "")</f>
        <v>2669.6329254727375</v>
      </c>
      <c r="J129" s="20">
        <v>91.3</v>
      </c>
      <c r="K129" s="21">
        <f t="shared" si="64"/>
        <v>1.5572858731924264E-2</v>
      </c>
      <c r="L129" s="22">
        <f>IF(ISNUMBER(J129), $B145 * K129, "")</f>
        <v>2335.9288097886397</v>
      </c>
      <c r="M129" s="30"/>
      <c r="N129" s="21" t="str">
        <f t="shared" si="65"/>
        <v/>
      </c>
      <c r="O129" s="22" t="str">
        <f>IF(ISNUMBER(M129), $B145 * N129, "")</f>
        <v/>
      </c>
      <c r="Q129" s="219"/>
      <c r="R129" s="219"/>
      <c r="S129" s="219"/>
    </row>
    <row r="130" spans="1:19" ht="17.25" thickBot="1">
      <c r="A130" s="128" t="s">
        <v>152</v>
      </c>
      <c r="B130" s="132">
        <v>47.4</v>
      </c>
      <c r="C130" s="80">
        <v>-3.8539553800000001E-2</v>
      </c>
      <c r="D130" s="106">
        <v>47.9</v>
      </c>
      <c r="E130" s="107">
        <f>IF(ISNUMBER(D130), (D130 - $B130) / $B130, "")</f>
        <v>1.0548523206751054E-2</v>
      </c>
      <c r="F130" s="108">
        <f>IF(ISNUMBER(D130), $B145 * E130, "")</f>
        <v>1582.2784810126582</v>
      </c>
      <c r="G130" s="109">
        <v>47.7</v>
      </c>
      <c r="H130" s="107">
        <f>IF(ISNUMBER(G130), (G130 - $B130) / $B130, "")</f>
        <v>6.329113924050723E-3</v>
      </c>
      <c r="I130" s="110">
        <f>IF(ISNUMBER(G130), $B145 * H130, "")</f>
        <v>949.36708860760848</v>
      </c>
      <c r="J130" s="106">
        <v>47.4</v>
      </c>
      <c r="K130" s="107">
        <f>IF(ISNUMBER(J130), (J130 - $B130) / $B130, "")</f>
        <v>0</v>
      </c>
      <c r="L130" s="108">
        <f>IF(ISNUMBER(J130), $B145 * K130, "")</f>
        <v>0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9"/>
      <c r="R130" s="219"/>
      <c r="S130" s="219"/>
    </row>
    <row r="131" spans="1:19" ht="17.25" thickBot="1">
      <c r="A131" s="128" t="s">
        <v>186</v>
      </c>
      <c r="B131" s="129">
        <v>23.6</v>
      </c>
      <c r="C131" s="77">
        <v>-4.06504065E-2</v>
      </c>
      <c r="D131" s="15">
        <v>24</v>
      </c>
      <c r="E131" s="32">
        <f t="shared" ref="E131:E134" si="66">IF(ISNUMBER(D131), (D131 - $B131) / $B131, "")</f>
        <v>1.6949152542372819E-2</v>
      </c>
      <c r="F131" s="18">
        <f>IF(ISNUMBER(D131), $B145 * E131, "")</f>
        <v>2542.3728813559228</v>
      </c>
      <c r="G131" s="31">
        <v>24</v>
      </c>
      <c r="H131" s="32">
        <f t="shared" ref="H131:H134" si="67">IF(ISNUMBER(G131), (G131 - $B131) / $B131, "")</f>
        <v>1.6949152542372819E-2</v>
      </c>
      <c r="I131" s="101">
        <f>IF(ISNUMBER(G131), $B145 * H131, "")</f>
        <v>2542.3728813559228</v>
      </c>
      <c r="J131" s="15">
        <v>24</v>
      </c>
      <c r="K131" s="32">
        <f t="shared" ref="K131:K134" si="68">IF(ISNUMBER(J131), (J131 - $B131) / $B131, "")</f>
        <v>1.6949152542372819E-2</v>
      </c>
      <c r="L131" s="18">
        <f>IF(ISNUMBER(J131), $B145 * K131, "")</f>
        <v>2542.3728813559228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9"/>
      <c r="R131" s="219"/>
      <c r="S131" s="219"/>
    </row>
    <row r="132" spans="1:19" ht="17.25" thickBot="1">
      <c r="A132" s="128" t="s">
        <v>268</v>
      </c>
      <c r="B132" s="129">
        <v>87.9</v>
      </c>
      <c r="C132" s="77">
        <v>-4.2483660100000001E-2</v>
      </c>
      <c r="D132" s="15">
        <v>88.1</v>
      </c>
      <c r="E132" s="32">
        <f t="shared" si="66"/>
        <v>2.2753128555175043E-3</v>
      </c>
      <c r="F132" s="18">
        <f>IF(ISNUMBER(D132), $B145 * E132, "")</f>
        <v>341.29692832762566</v>
      </c>
      <c r="G132" s="31">
        <v>88.1</v>
      </c>
      <c r="H132" s="32">
        <f t="shared" si="67"/>
        <v>2.2753128555175043E-3</v>
      </c>
      <c r="I132" s="101">
        <f>IF(ISNUMBER(G132), $B145 * H132, "")</f>
        <v>341.29692832762566</v>
      </c>
      <c r="J132" s="15">
        <v>89</v>
      </c>
      <c r="K132" s="32">
        <f t="shared" si="68"/>
        <v>1.2514220705346919E-2</v>
      </c>
      <c r="L132" s="18">
        <f>IF(ISNUMBER(J132), $B145 * K132, "")</f>
        <v>1877.1331058020378</v>
      </c>
      <c r="M132" s="31"/>
      <c r="N132" s="32" t="str">
        <f t="shared" si="69"/>
        <v/>
      </c>
      <c r="O132" s="18" t="str">
        <f>IF(ISNUMBER(M132), $B145 * N132, "")</f>
        <v/>
      </c>
      <c r="Q132" s="219"/>
      <c r="R132" s="219"/>
      <c r="S132" s="219"/>
    </row>
    <row r="133" spans="1:19" ht="17.25" thickBot="1">
      <c r="A133" s="128" t="s">
        <v>222</v>
      </c>
      <c r="B133" s="129">
        <v>17.600000000000001</v>
      </c>
      <c r="C133" s="77">
        <v>-4.3478260900000003E-2</v>
      </c>
      <c r="D133" s="15">
        <v>17.7</v>
      </c>
      <c r="E133" s="32">
        <f t="shared" si="66"/>
        <v>5.6818181818180605E-3</v>
      </c>
      <c r="F133" s="18">
        <f>IF(ISNUMBER(D133), $B145 * E133, "")</f>
        <v>852.27272727270906</v>
      </c>
      <c r="G133" s="31">
        <v>18.100000000000001</v>
      </c>
      <c r="H133" s="32">
        <f t="shared" si="67"/>
        <v>2.8409090909090908E-2</v>
      </c>
      <c r="I133" s="101">
        <f>IF(ISNUMBER(G133), $B145 * H133, "")</f>
        <v>4261.363636363636</v>
      </c>
      <c r="J133" s="15">
        <v>18.2</v>
      </c>
      <c r="K133" s="32">
        <f t="shared" si="68"/>
        <v>3.409090909090897E-2</v>
      </c>
      <c r="L133" s="18">
        <f>IF(ISNUMBER(J133), $B145 * K133, "")</f>
        <v>5113.6363636363458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3" t="s">
        <v>228</v>
      </c>
      <c r="B134" s="134">
        <v>17.3</v>
      </c>
      <c r="C134" s="79">
        <v>-4.4198895000000002E-2</v>
      </c>
      <c r="D134" s="24">
        <v>17.8</v>
      </c>
      <c r="E134" s="25">
        <f t="shared" si="66"/>
        <v>2.8901734104046242E-2</v>
      </c>
      <c r="F134" s="104">
        <f>IF(ISNUMBER(D134), $B145 * E134, "")</f>
        <v>4335.2601156069368</v>
      </c>
      <c r="G134" s="102">
        <v>18.600000000000001</v>
      </c>
      <c r="H134" s="25">
        <f t="shared" si="67"/>
        <v>7.5144508670520263E-2</v>
      </c>
      <c r="I134" s="103">
        <f>IF(ISNUMBER(G134), $B145 * H134, "")</f>
        <v>11271.676300578039</v>
      </c>
      <c r="J134" s="24">
        <v>18.399999999999999</v>
      </c>
      <c r="K134" s="25">
        <f t="shared" si="68"/>
        <v>6.3583815028901605E-2</v>
      </c>
      <c r="L134" s="104">
        <f>IF(ISNUMBER(J134), $B145 * K134, "")</f>
        <v>9537.5722543352404</v>
      </c>
      <c r="M134" s="102"/>
      <c r="N134" s="25" t="str">
        <f t="shared" si="69"/>
        <v/>
      </c>
      <c r="O134" s="104" t="str">
        <f>IF(ISNUMBER(M134), $B145 * N134, "")</f>
        <v/>
      </c>
      <c r="Q134" s="228"/>
      <c r="R134" s="229"/>
      <c r="S134" s="230"/>
    </row>
    <row r="135" spans="1:19">
      <c r="A135" s="126" t="s">
        <v>196</v>
      </c>
      <c r="B135" s="127">
        <v>19.2</v>
      </c>
      <c r="C135" s="76">
        <v>-4.4776119400000002E-2</v>
      </c>
      <c r="D135" s="13">
        <v>19.2</v>
      </c>
      <c r="E135" s="14">
        <f>IF(ISNUMBER(D135), (D135 - $B135) / $B135, "")</f>
        <v>0</v>
      </c>
      <c r="F135" s="16">
        <f>IF(ISNUMBER(D135), $B145 * E135, "")</f>
        <v>0</v>
      </c>
      <c r="G135" s="29">
        <v>19.399999999999999</v>
      </c>
      <c r="H135" s="14">
        <f>IF(ISNUMBER(G135), (G135 - $B135) / $B135, "")</f>
        <v>1.041666666666663E-2</v>
      </c>
      <c r="I135" s="100">
        <f>IF(ISNUMBER(G135), $B145 * H135, "")</f>
        <v>1562.4999999999945</v>
      </c>
      <c r="J135" s="13">
        <v>19.2</v>
      </c>
      <c r="K135" s="14">
        <f>IF(ISNUMBER(J135), (J135 - $B135) / $B135, "")</f>
        <v>0</v>
      </c>
      <c r="L135" s="16">
        <f>IF(ISNUMBER(J135), $B145 * K135, "")</f>
        <v>0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1"/>
      <c r="R135" s="232"/>
      <c r="S135" s="233"/>
    </row>
    <row r="136" spans="1:19" ht="17.25" thickBot="1">
      <c r="A136" s="128" t="s">
        <v>100</v>
      </c>
      <c r="B136" s="129">
        <v>8.7200000000000006</v>
      </c>
      <c r="C136" s="77">
        <v>-4.4906900299999997E-2</v>
      </c>
      <c r="D136" s="15">
        <v>8.81</v>
      </c>
      <c r="E136" s="32">
        <f t="shared" ref="E136:E139" si="70">IF(ISNUMBER(D136), (D136 - $B136) / $B136, "")</f>
        <v>1.0321100917431176E-2</v>
      </c>
      <c r="F136" s="18">
        <f>IF(ISNUMBER(D136), $B145 * E136, "")</f>
        <v>1548.1651376146765</v>
      </c>
      <c r="G136" s="31">
        <v>8.73</v>
      </c>
      <c r="H136" s="32">
        <f t="shared" ref="H136:H139" si="71">IF(ISNUMBER(G136), (G136 - $B136) / $B136, "")</f>
        <v>1.1467889908256636E-3</v>
      </c>
      <c r="I136" s="101">
        <f>IF(ISNUMBER(G136), $B145 * H136, "")</f>
        <v>172.01834862384953</v>
      </c>
      <c r="J136" s="15">
        <v>8.76</v>
      </c>
      <c r="K136" s="32">
        <f t="shared" ref="K136:K139" si="72">IF(ISNUMBER(J136), (J136 - $B136) / $B136, "")</f>
        <v>4.5871559633026545E-3</v>
      </c>
      <c r="L136" s="18">
        <f>IF(ISNUMBER(J136), $B145 * K136, "")</f>
        <v>688.07339449539813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4"/>
      <c r="R136" s="235"/>
      <c r="S136" s="236"/>
    </row>
    <row r="137" spans="1:19" ht="17.25" thickBot="1">
      <c r="A137" s="128" t="s">
        <v>254</v>
      </c>
      <c r="B137" s="129">
        <v>80.3</v>
      </c>
      <c r="C137" s="77">
        <v>-4.51843044E-2</v>
      </c>
      <c r="D137" s="15">
        <v>79.900000000000006</v>
      </c>
      <c r="E137" s="32">
        <f t="shared" si="70"/>
        <v>-4.9813200498130946E-3</v>
      </c>
      <c r="F137" s="18">
        <f>IF(ISNUMBER(D137), $B145 * E137, "")</f>
        <v>-747.19800747196416</v>
      </c>
      <c r="G137" s="31">
        <v>80</v>
      </c>
      <c r="H137" s="32">
        <f t="shared" si="71"/>
        <v>-3.735990037359865E-3</v>
      </c>
      <c r="I137" s="101">
        <f>IF(ISNUMBER(G137), $B145 * H137, "")</f>
        <v>-560.39850560397974</v>
      </c>
      <c r="J137" s="15">
        <v>80.2</v>
      </c>
      <c r="K137" s="32">
        <f t="shared" si="72"/>
        <v>-1.2453300124532294E-3</v>
      </c>
      <c r="L137" s="18">
        <f>IF(ISNUMBER(J137), $B145 * K137, "")</f>
        <v>-186.79950186798442</v>
      </c>
      <c r="M137" s="31"/>
      <c r="N137" s="32" t="str">
        <f t="shared" si="73"/>
        <v/>
      </c>
      <c r="O137" s="18" t="str">
        <f>IF(ISNUMBER(M137), $B145 * N137, "")</f>
        <v/>
      </c>
      <c r="Q137" s="219"/>
      <c r="R137" s="219"/>
      <c r="S137" s="219"/>
    </row>
    <row r="138" spans="1:19" ht="17.25" thickBot="1">
      <c r="A138" s="128" t="s">
        <v>236</v>
      </c>
      <c r="B138" s="129">
        <v>64</v>
      </c>
      <c r="C138" s="77">
        <v>-4.6199701900000001E-2</v>
      </c>
      <c r="D138" s="15">
        <v>63.9</v>
      </c>
      <c r="E138" s="32">
        <f t="shared" si="70"/>
        <v>-1.5625000000000222E-3</v>
      </c>
      <c r="F138" s="18">
        <f>IF(ISNUMBER(D138), $B145 * E138, "")</f>
        <v>-234.37500000000333</v>
      </c>
      <c r="G138" s="31">
        <v>64</v>
      </c>
      <c r="H138" s="32">
        <f t="shared" si="71"/>
        <v>0</v>
      </c>
      <c r="I138" s="101">
        <f>IF(ISNUMBER(G138), $B145 * H138, "")</f>
        <v>0</v>
      </c>
      <c r="J138" s="15">
        <v>64.3</v>
      </c>
      <c r="K138" s="32">
        <f t="shared" si="72"/>
        <v>4.6874999999999556E-3</v>
      </c>
      <c r="L138" s="18">
        <f>IF(ISNUMBER(J138), $B145 * K138, "")</f>
        <v>703.12499999999329</v>
      </c>
      <c r="M138" s="31"/>
      <c r="N138" s="32" t="str">
        <f t="shared" si="73"/>
        <v/>
      </c>
      <c r="O138" s="18" t="str">
        <f>IF(ISNUMBER(M138), $B145 * N138, "")</f>
        <v/>
      </c>
      <c r="Q138" s="214"/>
      <c r="R138" s="214"/>
      <c r="S138" s="214"/>
    </row>
    <row r="139" spans="1:19" ht="17.25" thickBot="1">
      <c r="A139" s="130" t="s">
        <v>172</v>
      </c>
      <c r="B139" s="131">
        <v>23.1</v>
      </c>
      <c r="C139" s="78">
        <v>-4.9382716E-2</v>
      </c>
      <c r="D139" s="20">
        <v>23</v>
      </c>
      <c r="E139" s="21">
        <f t="shared" si="70"/>
        <v>-4.3290043290043906E-3</v>
      </c>
      <c r="F139" s="22">
        <f>IF(ISNUMBER(D139), $B145 * E139, "")</f>
        <v>-649.35064935065861</v>
      </c>
      <c r="G139" s="30">
        <v>23.2</v>
      </c>
      <c r="H139" s="21">
        <f t="shared" si="71"/>
        <v>4.3290043290042362E-3</v>
      </c>
      <c r="I139" s="105">
        <f>IF(ISNUMBER(G139), $B145 * H139, "")</f>
        <v>649.35064935063542</v>
      </c>
      <c r="J139" s="20">
        <v>24</v>
      </c>
      <c r="K139" s="21">
        <f t="shared" si="72"/>
        <v>3.8961038961038898E-2</v>
      </c>
      <c r="L139" s="22">
        <f>IF(ISNUMBER(J139), $B145 * K139, "")</f>
        <v>5844.1558441558345</v>
      </c>
      <c r="M139" s="30"/>
      <c r="N139" s="21" t="str">
        <f t="shared" si="73"/>
        <v/>
      </c>
      <c r="O139" s="22" t="str">
        <f>IF(ISNUMBER(M139), $B145 * N139, "")</f>
        <v/>
      </c>
      <c r="Q139" s="214"/>
      <c r="R139" s="214"/>
      <c r="S139" s="214"/>
    </row>
    <row r="140" spans="1:19" ht="17.25" thickBot="1">
      <c r="A140" s="128" t="s">
        <v>218</v>
      </c>
      <c r="B140" s="132">
        <v>26.4</v>
      </c>
      <c r="C140" s="80">
        <v>-5.0359712199999997E-2</v>
      </c>
      <c r="D140" s="106">
        <v>26.4</v>
      </c>
      <c r="E140" s="107">
        <f>IF(ISNUMBER(D140), (D140 - $B140) / $B140, "")</f>
        <v>0</v>
      </c>
      <c r="F140" s="108">
        <f>IF(ISNUMBER(D140), $B145 * E140, "")</f>
        <v>0</v>
      </c>
      <c r="G140" s="109">
        <v>26.4</v>
      </c>
      <c r="H140" s="107">
        <f>IF(ISNUMBER(G140), (G140 - $B140) / $B140, "")</f>
        <v>0</v>
      </c>
      <c r="I140" s="110">
        <f>IF(ISNUMBER(G140), $B145 * H140, "")</f>
        <v>0</v>
      </c>
      <c r="J140" s="106">
        <v>26.6</v>
      </c>
      <c r="K140" s="107">
        <f>IF(ISNUMBER(J140), (J140 - $B140) / $B140, "")</f>
        <v>7.5757575757576835E-3</v>
      </c>
      <c r="L140" s="108">
        <f>IF(ISNUMBER(J140), $B145 * K140, "")</f>
        <v>1136.3636363636526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9"/>
      <c r="R140" s="219"/>
      <c r="S140" s="219"/>
    </row>
    <row r="141" spans="1:19" ht="17.25" thickBot="1">
      <c r="A141" s="128" t="s">
        <v>198</v>
      </c>
      <c r="B141" s="129">
        <v>26.3</v>
      </c>
      <c r="C141" s="77">
        <v>-5.0541516199999997E-2</v>
      </c>
      <c r="D141" s="15">
        <v>26.6</v>
      </c>
      <c r="E141" s="32">
        <f t="shared" ref="E141:E144" si="74">IF(ISNUMBER(D141), (D141 - $B141) / $B141, "")</f>
        <v>1.1406844106463905E-2</v>
      </c>
      <c r="F141" s="18">
        <f>IF(ISNUMBER(D141), $B145 * E141, "")</f>
        <v>1711.0266159695857</v>
      </c>
      <c r="G141" s="31">
        <v>26.8</v>
      </c>
      <c r="H141" s="32">
        <f t="shared" ref="H141:H144" si="75">IF(ISNUMBER(G141), (G141 - $B141) / $B141, "")</f>
        <v>1.9011406844106463E-2</v>
      </c>
      <c r="I141" s="101">
        <f>IF(ISNUMBER(G141), $B145 * H141, "")</f>
        <v>2851.7110266159693</v>
      </c>
      <c r="J141" s="15">
        <v>26.6</v>
      </c>
      <c r="K141" s="32">
        <f t="shared" ref="K141:K144" si="76">IF(ISNUMBER(J141), (J141 - $B141) / $B141, "")</f>
        <v>1.1406844106463905E-2</v>
      </c>
      <c r="L141" s="18">
        <f>IF(ISNUMBER(J141), $B145 * K141, "")</f>
        <v>1711.0266159695857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9"/>
      <c r="R141" s="219"/>
      <c r="S141" s="219"/>
    </row>
    <row r="142" spans="1:19" ht="17.25" thickBot="1">
      <c r="A142" s="128" t="s">
        <v>214</v>
      </c>
      <c r="B142" s="129">
        <v>20.5</v>
      </c>
      <c r="C142" s="77">
        <v>-5.0925925900000002E-2</v>
      </c>
      <c r="D142" s="15">
        <v>20.399999999999999</v>
      </c>
      <c r="E142" s="32">
        <f t="shared" si="74"/>
        <v>-4.8780487804878743E-3</v>
      </c>
      <c r="F142" s="18">
        <f>IF(ISNUMBER(D142), $B145 * E142, "")</f>
        <v>-731.70731707318112</v>
      </c>
      <c r="G142" s="31">
        <v>20.5</v>
      </c>
      <c r="H142" s="32">
        <f t="shared" si="75"/>
        <v>0</v>
      </c>
      <c r="I142" s="101">
        <f>IF(ISNUMBER(G142), $B145 * H142, "")</f>
        <v>0</v>
      </c>
      <c r="J142" s="15">
        <v>20.5</v>
      </c>
      <c r="K142" s="32">
        <f t="shared" si="76"/>
        <v>0</v>
      </c>
      <c r="L142" s="18">
        <f>IF(ISNUMBER(J142), $B145 * K142, "")</f>
        <v>0</v>
      </c>
      <c r="M142" s="31"/>
      <c r="N142" s="32" t="str">
        <f t="shared" si="77"/>
        <v/>
      </c>
      <c r="O142" s="18" t="str">
        <f>IF(ISNUMBER(M142), $B145 * N142, "")</f>
        <v/>
      </c>
      <c r="Q142" s="219"/>
      <c r="R142" s="219"/>
      <c r="S142" s="219"/>
    </row>
    <row r="143" spans="1:19">
      <c r="A143" s="128" t="s">
        <v>72</v>
      </c>
      <c r="B143" s="129">
        <v>36.6</v>
      </c>
      <c r="C143" s="77">
        <v>-5.18134715E-2</v>
      </c>
      <c r="D143" s="15">
        <v>37.1</v>
      </c>
      <c r="E143" s="32">
        <f t="shared" si="74"/>
        <v>1.3661202185792349E-2</v>
      </c>
      <c r="F143" s="18">
        <f>IF(ISNUMBER(D143), $B145 * E143, "")</f>
        <v>2049.1803278688526</v>
      </c>
      <c r="G143" s="31">
        <v>37.9</v>
      </c>
      <c r="H143" s="32">
        <f t="shared" si="75"/>
        <v>3.5519125683060031E-2</v>
      </c>
      <c r="I143" s="101">
        <f>IF(ISNUMBER(G143), $B145 * H143, "")</f>
        <v>5327.8688524590043</v>
      </c>
      <c r="J143" s="15">
        <v>37.200000000000003</v>
      </c>
      <c r="K143" s="32">
        <f t="shared" si="76"/>
        <v>1.6393442622950859E-2</v>
      </c>
      <c r="L143" s="18">
        <f>IF(ISNUMBER(J143), $B145 * K143, "")</f>
        <v>2459.0163934426287</v>
      </c>
      <c r="M143" s="31"/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5" t="s">
        <v>301</v>
      </c>
      <c r="B145" s="252">
        <f>$B$37</f>
        <v>150000</v>
      </c>
      <c r="C145" s="253"/>
      <c r="D145" s="26" t="s">
        <v>302</v>
      </c>
      <c r="E145" s="27">
        <f>IF(COUNT(E125:E144), SUM(E125:E144) / COUNT(E125:E144), 0)</f>
        <v>5.8473327935194466E-3</v>
      </c>
      <c r="F145" s="28">
        <f>SUM(F125:F144)</f>
        <v>16664.898461530418</v>
      </c>
      <c r="G145" s="26" t="s">
        <v>302</v>
      </c>
      <c r="H145" s="27">
        <f>IF(COUNT(H125:H144), SUM(H125:H144) / COUNT(H125:H144), 0)</f>
        <v>1.1402140249656689E-2</v>
      </c>
      <c r="I145" s="28">
        <f>SUM(I125:I144)</f>
        <v>32496.099711521561</v>
      </c>
      <c r="J145" s="26" t="s">
        <v>302</v>
      </c>
      <c r="K145" s="27">
        <f>IF(COUNT(K125:K144), SUM(K125:K144) / COUNT(K125:K144), 0)</f>
        <v>1.0782522919161781E-2</v>
      </c>
      <c r="L145" s="28">
        <f>SUM(L125:L144)</f>
        <v>30730.19031961108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47"/>
      <c r="R145" s="248"/>
      <c r="S145" s="249"/>
    </row>
    <row r="147" spans="1:19" ht="17.25" thickBot="1"/>
    <row r="148" spans="1:19" ht="17.25" thickBot="1">
      <c r="A148" s="193" t="s">
        <v>289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79" t="s">
        <v>298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72158000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9.1322285000000007E-3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2021-05-10(월) 오전 00:00</v>
      </c>
      <c r="C150" s="257"/>
      <c r="D150" s="216" t="str">
        <f>TEXT($G$1, "[$-ko-KR]yyyy-mm-dd(ddd) ") &amp; "오후 14:00"</f>
        <v>2021-05-10(월) 오후 14:00</v>
      </c>
      <c r="E150" s="217"/>
      <c r="F150" s="218"/>
      <c r="G150" s="216" t="str">
        <f>TEXT($G$1, "[$-ko-KR]yyyy-mm-dd(ddd) ") &amp; "오후 19:00"</f>
        <v>2021-05-10(월) 오후 19:00</v>
      </c>
      <c r="H150" s="217"/>
      <c r="I150" s="218"/>
      <c r="J150" s="216" t="str">
        <f>TEXT($G$1, "[$-ko-KR]yyyy-mm-dd(ddd) ") &amp; "오후 21:00"</f>
        <v>2021-05-10(월) 오후 21:00</v>
      </c>
      <c r="K150" s="217"/>
      <c r="L150" s="218"/>
      <c r="M150" s="216" t="str">
        <f>TEXT($G$1+1, "[$-ko-KR]yyyy-mm-dd(ddd) ") &amp; "오전 00:00"</f>
        <v>2021-05-11(화)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80" t="s">
        <v>58</v>
      </c>
      <c r="H151" s="181" t="s">
        <v>299</v>
      </c>
      <c r="I151" s="182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219"/>
      <c r="R151" s="219"/>
      <c r="S151" s="219"/>
    </row>
    <row r="152" spans="1:19" ht="17.25" thickBot="1">
      <c r="A152" s="126" t="s">
        <v>216</v>
      </c>
      <c r="B152" s="127">
        <v>488</v>
      </c>
      <c r="C152" s="76">
        <v>-4.3137254899999998E-2</v>
      </c>
      <c r="D152" s="13">
        <v>536</v>
      </c>
      <c r="E152" s="14">
        <f>IF(ISNUMBER(D152), (D152 - $B152) / $B152, "")</f>
        <v>9.8360655737704916E-2</v>
      </c>
      <c r="F152" s="16">
        <f>IF(ISNUMBER(D152), $B172 * E152, "")</f>
        <v>14754.098360655737</v>
      </c>
      <c r="G152" s="29">
        <v>534</v>
      </c>
      <c r="H152" s="14">
        <f>IF(ISNUMBER(G152), (G152 - $B152) / $B152, "")</f>
        <v>9.4262295081967207E-2</v>
      </c>
      <c r="I152" s="100">
        <f>IF(ISNUMBER(G152), $B172 * H152, "")</f>
        <v>14139.344262295081</v>
      </c>
      <c r="J152" s="13">
        <v>532</v>
      </c>
      <c r="K152" s="14">
        <f>IF(ISNUMBER(J152), (J152 - $B152) / $B152, "")</f>
        <v>9.0163934426229511E-2</v>
      </c>
      <c r="L152" s="16">
        <f>IF(ISNUMBER(J152), $B172 * K152, "")</f>
        <v>13524.590163934427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4"/>
      <c r="R152" s="214"/>
      <c r="S152" s="214"/>
    </row>
    <row r="153" spans="1:19" ht="17.25" thickBot="1">
      <c r="A153" s="128" t="s">
        <v>134</v>
      </c>
      <c r="B153" s="129">
        <v>155</v>
      </c>
      <c r="C153" s="77">
        <v>-4.3209876500000001E-2</v>
      </c>
      <c r="D153" s="15">
        <v>156</v>
      </c>
      <c r="E153" s="32">
        <f t="shared" ref="E153:E156" si="78">IF(ISNUMBER(D153), (D153 - $B153) / $B153, "")</f>
        <v>6.4516129032258064E-3</v>
      </c>
      <c r="F153" s="18">
        <f>IF(ISNUMBER(D153), $B172 * E153, "")</f>
        <v>967.74193548387098</v>
      </c>
      <c r="G153" s="31">
        <v>155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155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4"/>
      <c r="R153" s="214"/>
      <c r="S153" s="214"/>
    </row>
    <row r="154" spans="1:19" ht="17.25" thickBot="1">
      <c r="A154" s="128" t="s">
        <v>57</v>
      </c>
      <c r="B154" s="129">
        <v>445</v>
      </c>
      <c r="C154" s="77">
        <v>-4.5064377699999998E-2</v>
      </c>
      <c r="D154" s="15">
        <v>460</v>
      </c>
      <c r="E154" s="32">
        <f t="shared" si="78"/>
        <v>3.3707865168539325E-2</v>
      </c>
      <c r="F154" s="18">
        <f>IF(ISNUMBER(D154), $B172 * E154, "")</f>
        <v>5056.1797752808989</v>
      </c>
      <c r="G154" s="31">
        <v>472</v>
      </c>
      <c r="H154" s="32">
        <f t="shared" si="79"/>
        <v>6.0674157303370786E-2</v>
      </c>
      <c r="I154" s="101">
        <f>IF(ISNUMBER(G154), $B172 * H154, "")</f>
        <v>9101.1235955056181</v>
      </c>
      <c r="J154" s="15">
        <v>461</v>
      </c>
      <c r="K154" s="32">
        <f t="shared" si="80"/>
        <v>3.5955056179775284E-2</v>
      </c>
      <c r="L154" s="18">
        <f>IF(ISNUMBER(J154), $B172 * K154, "")</f>
        <v>5393.258426966293</v>
      </c>
      <c r="M154" s="31"/>
      <c r="N154" s="32" t="str">
        <f t="shared" si="81"/>
        <v/>
      </c>
      <c r="O154" s="18" t="str">
        <f>IF(ISNUMBER(M154), $B172 * N154, "")</f>
        <v/>
      </c>
      <c r="Q154" s="219"/>
      <c r="R154" s="219"/>
      <c r="S154" s="219"/>
    </row>
    <row r="155" spans="1:19" ht="17.25" thickBot="1">
      <c r="A155" s="128" t="s">
        <v>174</v>
      </c>
      <c r="B155" s="129">
        <v>262</v>
      </c>
      <c r="C155" s="77">
        <v>-4.7272727299999998E-2</v>
      </c>
      <c r="D155" s="15">
        <v>265</v>
      </c>
      <c r="E155" s="32">
        <f t="shared" si="78"/>
        <v>1.1450381679389313E-2</v>
      </c>
      <c r="F155" s="18">
        <f>IF(ISNUMBER(D155), $B172 * E155, "")</f>
        <v>1717.5572519083969</v>
      </c>
      <c r="G155" s="31">
        <v>264</v>
      </c>
      <c r="H155" s="32">
        <f t="shared" si="79"/>
        <v>7.6335877862595417E-3</v>
      </c>
      <c r="I155" s="101">
        <f>IF(ISNUMBER(G155), $B172 * H155, "")</f>
        <v>1145.0381679389313</v>
      </c>
      <c r="J155" s="15">
        <v>264</v>
      </c>
      <c r="K155" s="32">
        <f t="shared" si="80"/>
        <v>7.6335877862595417E-3</v>
      </c>
      <c r="L155" s="18">
        <f>IF(ISNUMBER(J155), $B172 * K155, "")</f>
        <v>1145.0381679389313</v>
      </c>
      <c r="M155" s="31"/>
      <c r="N155" s="32" t="str">
        <f t="shared" si="81"/>
        <v/>
      </c>
      <c r="O155" s="18" t="str">
        <f>IF(ISNUMBER(M155), $B172 * N155, "")</f>
        <v/>
      </c>
      <c r="Q155" s="219"/>
      <c r="R155" s="219"/>
      <c r="S155" s="219"/>
    </row>
    <row r="156" spans="1:19" ht="17.25" thickBot="1">
      <c r="A156" s="130" t="s">
        <v>238</v>
      </c>
      <c r="B156" s="131">
        <v>277</v>
      </c>
      <c r="C156" s="78">
        <v>-4.8109965599999999E-2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105">
        <f>IF(ISNUMBER(G156), $B172 * H156, "")</f>
        <v>541.51624548736459</v>
      </c>
      <c r="J156" s="20">
        <v>277</v>
      </c>
      <c r="K156" s="21">
        <f t="shared" si="80"/>
        <v>0</v>
      </c>
      <c r="L156" s="22">
        <f>IF(ISNUMBER(J156), $B172 * K156, "")</f>
        <v>0</v>
      </c>
      <c r="M156" s="30"/>
      <c r="N156" s="21" t="str">
        <f t="shared" si="81"/>
        <v/>
      </c>
      <c r="O156" s="22" t="str">
        <f>IF(ISNUMBER(M156), $B172 * N156, "")</f>
        <v/>
      </c>
      <c r="Q156" s="219"/>
      <c r="R156" s="219"/>
      <c r="S156" s="219"/>
    </row>
    <row r="157" spans="1:19" ht="17.25" thickBot="1">
      <c r="A157" s="128" t="s">
        <v>210</v>
      </c>
      <c r="B157" s="132">
        <v>178</v>
      </c>
      <c r="C157" s="80">
        <v>-4.81283422E-2</v>
      </c>
      <c r="D157" s="106">
        <v>175</v>
      </c>
      <c r="E157" s="107">
        <f>IF(ISNUMBER(D157), (D157 - $B157) / $B157, "")</f>
        <v>-1.6853932584269662E-2</v>
      </c>
      <c r="F157" s="108">
        <f>IF(ISNUMBER(D157), $B172 * E157, "")</f>
        <v>-2528.0898876404494</v>
      </c>
      <c r="G157" s="109">
        <v>183</v>
      </c>
      <c r="H157" s="107">
        <f>IF(ISNUMBER(G157), (G157 - $B157) / $B157, "")</f>
        <v>2.8089887640449437E-2</v>
      </c>
      <c r="I157" s="110">
        <f>IF(ISNUMBER(G157), $B172 * H157, "")</f>
        <v>4213.4831460674159</v>
      </c>
      <c r="J157" s="106">
        <v>180</v>
      </c>
      <c r="K157" s="107">
        <f>IF(ISNUMBER(J157), (J157 - $B157) / $B157, "")</f>
        <v>1.1235955056179775E-2</v>
      </c>
      <c r="L157" s="108">
        <f>IF(ISNUMBER(J157), $B172 * K157, "")</f>
        <v>1685.3932584269662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9"/>
      <c r="R157" s="219"/>
      <c r="S157" s="219"/>
    </row>
    <row r="158" spans="1:19" ht="17.25" thickBot="1">
      <c r="A158" s="128" t="s">
        <v>232</v>
      </c>
      <c r="B158" s="129">
        <v>176</v>
      </c>
      <c r="C158" s="77">
        <v>-4.8648648599999997E-2</v>
      </c>
      <c r="D158" s="15">
        <v>177</v>
      </c>
      <c r="E158" s="32">
        <f t="shared" ref="E158:E161" si="82">IF(ISNUMBER(D158), (D158 - $B158) / $B158, "")</f>
        <v>5.681818181818182E-3</v>
      </c>
      <c r="F158" s="18">
        <f>IF(ISNUMBER(D158), $B172 * E158, "")</f>
        <v>852.27272727272725</v>
      </c>
      <c r="G158" s="31">
        <v>177</v>
      </c>
      <c r="H158" s="32">
        <f t="shared" ref="H158:H161" si="83">IF(ISNUMBER(G158), (G158 - $B158) / $B158, "")</f>
        <v>5.681818181818182E-3</v>
      </c>
      <c r="I158" s="101">
        <f>IF(ISNUMBER(G158), $B172 * H158, "")</f>
        <v>852.27272727272725</v>
      </c>
      <c r="J158" s="15">
        <v>175</v>
      </c>
      <c r="K158" s="32">
        <f t="shared" ref="K158:K161" si="84">IF(ISNUMBER(J158), (J158 - $B158) / $B158, "")</f>
        <v>-5.681818181818182E-3</v>
      </c>
      <c r="L158" s="18">
        <f>IF(ISNUMBER(J158), $B172 * K158, "")</f>
        <v>-852.27272727272725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9"/>
      <c r="R158" s="219"/>
      <c r="S158" s="219"/>
    </row>
    <row r="159" spans="1:19" ht="17.25" thickBot="1">
      <c r="A159" s="128" t="s">
        <v>264</v>
      </c>
      <c r="B159" s="129">
        <v>175</v>
      </c>
      <c r="C159" s="77">
        <v>-4.8913043500000003E-2</v>
      </c>
      <c r="D159" s="15">
        <v>175</v>
      </c>
      <c r="E159" s="32">
        <f t="shared" si="82"/>
        <v>0</v>
      </c>
      <c r="F159" s="18">
        <f>IF(ISNUMBER(D159), $B172 * E159, "")</f>
        <v>0</v>
      </c>
      <c r="G159" s="31">
        <v>172</v>
      </c>
      <c r="H159" s="32">
        <f t="shared" si="83"/>
        <v>-1.7142857142857144E-2</v>
      </c>
      <c r="I159" s="101">
        <f>IF(ISNUMBER(G159), $B172 * H159, "")</f>
        <v>-2571.4285714285716</v>
      </c>
      <c r="J159" s="15">
        <v>174</v>
      </c>
      <c r="K159" s="32">
        <f t="shared" si="84"/>
        <v>-5.7142857142857143E-3</v>
      </c>
      <c r="L159" s="18">
        <f>IF(ISNUMBER(J159), $B172 * K159, "")</f>
        <v>-857.14285714285711</v>
      </c>
      <c r="M159" s="31"/>
      <c r="N159" s="32" t="str">
        <f t="shared" si="85"/>
        <v/>
      </c>
      <c r="O159" s="18" t="str">
        <f>IF(ISNUMBER(M159), $B172 * N159, "")</f>
        <v/>
      </c>
      <c r="Q159" s="219"/>
      <c r="R159" s="219"/>
      <c r="S159" s="219"/>
    </row>
    <row r="160" spans="1:19" ht="17.25" thickBot="1">
      <c r="A160" s="128" t="s">
        <v>170</v>
      </c>
      <c r="B160" s="129">
        <v>534</v>
      </c>
      <c r="C160" s="77">
        <v>-4.9822064100000001E-2</v>
      </c>
      <c r="D160" s="15">
        <v>585</v>
      </c>
      <c r="E160" s="32">
        <f t="shared" si="82"/>
        <v>9.5505617977528087E-2</v>
      </c>
      <c r="F160" s="18">
        <f>IF(ISNUMBER(D160), $B172 * E160, "")</f>
        <v>14325.842696629214</v>
      </c>
      <c r="G160" s="31">
        <v>563</v>
      </c>
      <c r="H160" s="32">
        <f t="shared" si="83"/>
        <v>5.4307116104868915E-2</v>
      </c>
      <c r="I160" s="101">
        <f>IF(ISNUMBER(G160), $B172 * H160, "")</f>
        <v>8146.0674157303374</v>
      </c>
      <c r="J160" s="15">
        <v>588</v>
      </c>
      <c r="K160" s="32">
        <f t="shared" si="84"/>
        <v>0.10112359550561797</v>
      </c>
      <c r="L160" s="18">
        <f>IF(ISNUMBER(J160), $B172 * K160, "")</f>
        <v>15168.539325842696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3" t="s">
        <v>250</v>
      </c>
      <c r="B161" s="134">
        <v>199</v>
      </c>
      <c r="C161" s="79">
        <v>-5.23809524E-2</v>
      </c>
      <c r="D161" s="24">
        <v>200</v>
      </c>
      <c r="E161" s="25">
        <f t="shared" si="82"/>
        <v>5.0251256281407036E-3</v>
      </c>
      <c r="F161" s="104">
        <f>IF(ISNUMBER(D161), $B172 * E161, "")</f>
        <v>753.7688442211055</v>
      </c>
      <c r="G161" s="102">
        <v>200</v>
      </c>
      <c r="H161" s="25">
        <f t="shared" si="83"/>
        <v>5.0251256281407036E-3</v>
      </c>
      <c r="I161" s="103">
        <f>IF(ISNUMBER(G161), $B172 * H161, "")</f>
        <v>753.7688442211055</v>
      </c>
      <c r="J161" s="24">
        <v>201</v>
      </c>
      <c r="K161" s="25">
        <f t="shared" si="84"/>
        <v>1.0050251256281407E-2</v>
      </c>
      <c r="L161" s="104">
        <f>IF(ISNUMBER(J161), $B172 * K161, "")</f>
        <v>1507.537688442211</v>
      </c>
      <c r="M161" s="102"/>
      <c r="N161" s="25" t="str">
        <f t="shared" si="85"/>
        <v/>
      </c>
      <c r="O161" s="104" t="str">
        <f>IF(ISNUMBER(M161), $B172 * N161, "")</f>
        <v/>
      </c>
      <c r="Q161" s="228"/>
      <c r="R161" s="229"/>
      <c r="S161" s="230"/>
    </row>
    <row r="162" spans="1:19">
      <c r="A162" s="126" t="s">
        <v>230</v>
      </c>
      <c r="B162" s="127">
        <v>160</v>
      </c>
      <c r="C162" s="76">
        <v>-5.32544379E-2</v>
      </c>
      <c r="D162" s="13">
        <v>162</v>
      </c>
      <c r="E162" s="14">
        <f>IF(ISNUMBER(D162), (D162 - $B162) / $B162, "")</f>
        <v>1.2500000000000001E-2</v>
      </c>
      <c r="F162" s="16">
        <f>IF(ISNUMBER(D162), $B172 * E162, "")</f>
        <v>1875</v>
      </c>
      <c r="G162" s="29">
        <v>162</v>
      </c>
      <c r="H162" s="14">
        <f>IF(ISNUMBER(G162), (G162 - $B162) / $B162, "")</f>
        <v>1.2500000000000001E-2</v>
      </c>
      <c r="I162" s="100">
        <f>IF(ISNUMBER(G162), $B172 * H162, "")</f>
        <v>1875</v>
      </c>
      <c r="J162" s="13">
        <v>164</v>
      </c>
      <c r="K162" s="14">
        <f>IF(ISNUMBER(J162), (J162 - $B162) / $B162, "")</f>
        <v>2.5000000000000001E-2</v>
      </c>
      <c r="L162" s="16">
        <f>IF(ISNUMBER(J162), $B172 * K162, "")</f>
        <v>3750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1"/>
      <c r="R162" s="232"/>
      <c r="S162" s="233"/>
    </row>
    <row r="163" spans="1:19" ht="17.25" thickBot="1">
      <c r="A163" s="128" t="s">
        <v>168</v>
      </c>
      <c r="B163" s="129">
        <v>231</v>
      </c>
      <c r="C163" s="77">
        <v>-5.3278688499999997E-2</v>
      </c>
      <c r="D163" s="15">
        <v>248</v>
      </c>
      <c r="E163" s="32">
        <f t="shared" ref="E163:E166" si="86">IF(ISNUMBER(D163), (D163 - $B163) / $B163, "")</f>
        <v>7.3593073593073599E-2</v>
      </c>
      <c r="F163" s="18">
        <f>IF(ISNUMBER(D163), $B172 * E163, "")</f>
        <v>11038.961038961041</v>
      </c>
      <c r="G163" s="31">
        <v>272</v>
      </c>
      <c r="H163" s="32">
        <f t="shared" ref="H163:H166" si="87">IF(ISNUMBER(G163), (G163 - $B163) / $B163, "")</f>
        <v>0.1774891774891775</v>
      </c>
      <c r="I163" s="101">
        <f>IF(ISNUMBER(G163), $B172 * H163, "")</f>
        <v>26623.376623376626</v>
      </c>
      <c r="J163" s="15">
        <v>261</v>
      </c>
      <c r="K163" s="32">
        <f t="shared" ref="K163:K166" si="88">IF(ISNUMBER(J163), (J163 - $B163) / $B163, "")</f>
        <v>0.12987012987012986</v>
      </c>
      <c r="L163" s="18">
        <f>IF(ISNUMBER(J163), $B172 * K163, "")</f>
        <v>19480.519480519477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4"/>
      <c r="R163" s="235"/>
      <c r="S163" s="236"/>
    </row>
    <row r="164" spans="1:19" ht="17.25" thickBot="1">
      <c r="A164" s="128" t="s">
        <v>252</v>
      </c>
      <c r="B164" s="129">
        <v>548</v>
      </c>
      <c r="C164" s="77">
        <v>-5.3540587200000003E-2</v>
      </c>
      <c r="D164" s="15">
        <v>540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541</v>
      </c>
      <c r="H164" s="32">
        <f t="shared" si="87"/>
        <v>-1.2773722627737226E-2</v>
      </c>
      <c r="I164" s="101">
        <f>IF(ISNUMBER(G164), $B172 * H164, "")</f>
        <v>-1916.0583941605839</v>
      </c>
      <c r="J164" s="15">
        <v>541</v>
      </c>
      <c r="K164" s="32">
        <f t="shared" si="88"/>
        <v>-1.2773722627737226E-2</v>
      </c>
      <c r="L164" s="18">
        <f>IF(ISNUMBER(J164), $B172 * K164, "")</f>
        <v>-1916.0583941605839</v>
      </c>
      <c r="M164" s="31"/>
      <c r="N164" s="32" t="str">
        <f t="shared" si="89"/>
        <v/>
      </c>
      <c r="O164" s="18" t="str">
        <f>IF(ISNUMBER(M164), $B172 * N164, "")</f>
        <v/>
      </c>
      <c r="Q164" s="219"/>
      <c r="R164" s="219"/>
      <c r="S164" s="219"/>
    </row>
    <row r="165" spans="1:19" ht="17.25" thickBot="1">
      <c r="A165" s="128" t="s">
        <v>212</v>
      </c>
      <c r="B165" s="129">
        <v>141</v>
      </c>
      <c r="C165" s="77">
        <v>-5.3691275199999999E-2</v>
      </c>
      <c r="D165" s="15">
        <v>142</v>
      </c>
      <c r="E165" s="32">
        <f t="shared" si="86"/>
        <v>7.0921985815602835E-3</v>
      </c>
      <c r="F165" s="18">
        <f>IF(ISNUMBER(D165), $B172 * E165, "")</f>
        <v>1063.8297872340424</v>
      </c>
      <c r="G165" s="31">
        <v>144</v>
      </c>
      <c r="H165" s="32">
        <f t="shared" si="87"/>
        <v>2.1276595744680851E-2</v>
      </c>
      <c r="I165" s="101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/>
      <c r="N165" s="32" t="str">
        <f t="shared" si="89"/>
        <v/>
      </c>
      <c r="O165" s="18" t="str">
        <f>IF(ISNUMBER(M165), $B172 * N165, "")</f>
        <v/>
      </c>
      <c r="Q165" s="214"/>
      <c r="R165" s="214"/>
      <c r="S165" s="214"/>
    </row>
    <row r="166" spans="1:19" ht="17.25" thickBot="1">
      <c r="A166" s="130" t="s">
        <v>270</v>
      </c>
      <c r="B166" s="131">
        <v>593</v>
      </c>
      <c r="C166" s="78">
        <v>-5.87301587E-2</v>
      </c>
      <c r="D166" s="20">
        <v>603</v>
      </c>
      <c r="E166" s="21">
        <f t="shared" si="86"/>
        <v>1.6863406408094434E-2</v>
      </c>
      <c r="F166" s="22">
        <f>IF(ISNUMBER(D166), $B172 * E166, "")</f>
        <v>2529.510961214165</v>
      </c>
      <c r="G166" s="30">
        <v>612</v>
      </c>
      <c r="H166" s="21">
        <f t="shared" si="87"/>
        <v>3.2040472175379427E-2</v>
      </c>
      <c r="I166" s="105">
        <f>IF(ISNUMBER(G166), $B172 * H166, "")</f>
        <v>4806.0708263069137</v>
      </c>
      <c r="J166" s="20">
        <v>608</v>
      </c>
      <c r="K166" s="21">
        <f t="shared" si="88"/>
        <v>2.5295109612141653E-2</v>
      </c>
      <c r="L166" s="22">
        <f>IF(ISNUMBER(J166), $B172 * K166, "")</f>
        <v>3794.266441821248</v>
      </c>
      <c r="M166" s="30"/>
      <c r="N166" s="21" t="str">
        <f t="shared" si="89"/>
        <v/>
      </c>
      <c r="O166" s="22" t="str">
        <f>IF(ISNUMBER(M166), $B172 * N166, "")</f>
        <v/>
      </c>
      <c r="Q166" s="214"/>
      <c r="R166" s="214"/>
      <c r="S166" s="214"/>
    </row>
    <row r="167" spans="1:19" ht="17.25" thickBot="1">
      <c r="A167" s="128" t="s">
        <v>246</v>
      </c>
      <c r="B167" s="132">
        <v>368</v>
      </c>
      <c r="C167" s="80">
        <v>-5.8823529399999998E-2</v>
      </c>
      <c r="D167" s="106">
        <v>367</v>
      </c>
      <c r="E167" s="107">
        <f>IF(ISNUMBER(D167), (D167 - $B167) / $B167, "")</f>
        <v>-2.717391304347826E-3</v>
      </c>
      <c r="F167" s="108">
        <f>IF(ISNUMBER(D167), $B172 * E167, "")</f>
        <v>-407.60869565217388</v>
      </c>
      <c r="G167" s="109">
        <v>369</v>
      </c>
      <c r="H167" s="107">
        <f>IF(ISNUMBER(G167), (G167 - $B167) / $B167, "")</f>
        <v>2.717391304347826E-3</v>
      </c>
      <c r="I167" s="110">
        <f>IF(ISNUMBER(G167), $B172 * H167, "")</f>
        <v>407.60869565217388</v>
      </c>
      <c r="J167" s="106">
        <v>368</v>
      </c>
      <c r="K167" s="107">
        <f>IF(ISNUMBER(J167), (J167 - $B167) / $B167, "")</f>
        <v>0</v>
      </c>
      <c r="L167" s="108">
        <f>IF(ISNUMBER(J167), $B172 * K167, "")</f>
        <v>0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9"/>
      <c r="R167" s="219"/>
      <c r="S167" s="219"/>
    </row>
    <row r="168" spans="1:19" ht="17.25" thickBot="1">
      <c r="A168" s="128" t="s">
        <v>282</v>
      </c>
      <c r="B168" s="129">
        <v>172</v>
      </c>
      <c r="C168" s="77">
        <v>-6.5217391299999997E-2</v>
      </c>
      <c r="D168" s="15">
        <v>171</v>
      </c>
      <c r="E168" s="32">
        <f t="shared" ref="E168:E171" si="90">IF(ISNUMBER(D168), (D168 - $B168) / $B168, "")</f>
        <v>-5.8139534883720929E-3</v>
      </c>
      <c r="F168" s="18">
        <f>IF(ISNUMBER(D168), $B172 * E168, "")</f>
        <v>-872.09302325581393</v>
      </c>
      <c r="G168" s="31">
        <v>171</v>
      </c>
      <c r="H168" s="32">
        <f t="shared" ref="H168:H171" si="91">IF(ISNUMBER(G168), (G168 - $B168) / $B168, "")</f>
        <v>-5.8139534883720929E-3</v>
      </c>
      <c r="I168" s="101">
        <f>IF(ISNUMBER(G168), $B172 * H168, "")</f>
        <v>-872.09302325581393</v>
      </c>
      <c r="J168" s="15">
        <v>171</v>
      </c>
      <c r="K168" s="32">
        <f t="shared" ref="K168:K171" si="92">IF(ISNUMBER(J168), (J168 - $B168) / $B168, "")</f>
        <v>-5.8139534883720929E-3</v>
      </c>
      <c r="L168" s="18">
        <f>IF(ISNUMBER(J168), $B172 * K168, "")</f>
        <v>-872.09302325581393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9"/>
      <c r="R168" s="219"/>
      <c r="S168" s="219"/>
    </row>
    <row r="169" spans="1:19" ht="17.25" thickBot="1">
      <c r="A169" s="128" t="s">
        <v>258</v>
      </c>
      <c r="B169" s="129">
        <v>671</v>
      </c>
      <c r="C169" s="77">
        <v>-6.8055555599999998E-2</v>
      </c>
      <c r="D169" s="15">
        <v>678</v>
      </c>
      <c r="E169" s="32">
        <f t="shared" si="90"/>
        <v>1.0432190760059613E-2</v>
      </c>
      <c r="F169" s="18">
        <f>IF(ISNUMBER(D169), $B172 * E169, "")</f>
        <v>1564.8286140089419</v>
      </c>
      <c r="G169" s="31">
        <v>671</v>
      </c>
      <c r="H169" s="32">
        <f t="shared" si="91"/>
        <v>0</v>
      </c>
      <c r="I169" s="101">
        <f>IF(ISNUMBER(G169), $B172 * H169, "")</f>
        <v>0</v>
      </c>
      <c r="J169" s="15">
        <v>676</v>
      </c>
      <c r="K169" s="32">
        <f t="shared" si="92"/>
        <v>7.4515648286140089E-3</v>
      </c>
      <c r="L169" s="18">
        <f>IF(ISNUMBER(J169), $B172 * K169, "")</f>
        <v>1117.7347242921014</v>
      </c>
      <c r="M169" s="31"/>
      <c r="N169" s="32" t="str">
        <f t="shared" si="93"/>
        <v/>
      </c>
      <c r="O169" s="18" t="str">
        <f>IF(ISNUMBER(M169), $B172 * N169, "")</f>
        <v/>
      </c>
      <c r="Q169" s="219"/>
      <c r="R169" s="219"/>
      <c r="S169" s="219"/>
    </row>
    <row r="170" spans="1:19">
      <c r="A170" s="128" t="s">
        <v>182</v>
      </c>
      <c r="B170" s="129">
        <v>553</v>
      </c>
      <c r="C170" s="77">
        <v>-9.4926350199999995E-2</v>
      </c>
      <c r="D170" s="15">
        <v>550</v>
      </c>
      <c r="E170" s="32">
        <f t="shared" si="90"/>
        <v>-5.4249547920433997E-3</v>
      </c>
      <c r="F170" s="18">
        <f>IF(ISNUMBER(D170), $B172 * E170, "")</f>
        <v>-813.74321880650996</v>
      </c>
      <c r="G170" s="31">
        <v>546</v>
      </c>
      <c r="H170" s="32">
        <f t="shared" si="91"/>
        <v>-1.2658227848101266E-2</v>
      </c>
      <c r="I170" s="101">
        <f>IF(ISNUMBER(G170), $B172 * H170, "")</f>
        <v>-1898.7341772151899</v>
      </c>
      <c r="J170" s="15">
        <v>544</v>
      </c>
      <c r="K170" s="32">
        <f t="shared" si="92"/>
        <v>-1.62748643761302E-2</v>
      </c>
      <c r="L170" s="18">
        <f>IF(ISNUMBER(J170), $B172 * K170, "")</f>
        <v>-2441.2296564195299</v>
      </c>
      <c r="M170" s="31"/>
      <c r="N170" s="32" t="str">
        <f t="shared" si="93"/>
        <v/>
      </c>
      <c r="O170" s="18" t="str">
        <f>IF(ISNUMBER(M170), $B172 * N170, "")</f>
        <v/>
      </c>
      <c r="Q170" s="241"/>
      <c r="R170" s="242"/>
      <c r="S170" s="243"/>
    </row>
    <row r="171" spans="1:19" ht="17.25" thickBot="1">
      <c r="A171" s="133" t="s">
        <v>296</v>
      </c>
      <c r="B171" s="134">
        <v>594</v>
      </c>
      <c r="C171" s="79">
        <v>-0.23255813950000001</v>
      </c>
      <c r="D171" s="24">
        <v>640</v>
      </c>
      <c r="E171" s="25">
        <f t="shared" si="90"/>
        <v>7.7441077441077436E-2</v>
      </c>
      <c r="F171" s="104">
        <f>IF(ISNUMBER(D171), $B172 * E171, "")</f>
        <v>11616.161616161615</v>
      </c>
      <c r="G171" s="102">
        <v>637</v>
      </c>
      <c r="H171" s="25">
        <f t="shared" si="91"/>
        <v>7.2390572390572394E-2</v>
      </c>
      <c r="I171" s="103">
        <f>IF(ISNUMBER(G171), $B172 * H171, "")</f>
        <v>10858.585858585859</v>
      </c>
      <c r="J171" s="24">
        <v>636</v>
      </c>
      <c r="K171" s="25">
        <f t="shared" si="92"/>
        <v>7.0707070707070704E-2</v>
      </c>
      <c r="L171" s="104">
        <f>IF(ISNUMBER(J171), $B172 * K171, "")</f>
        <v>10606.060606060606</v>
      </c>
      <c r="M171" s="102"/>
      <c r="N171" s="25" t="str">
        <f t="shared" si="93"/>
        <v/>
      </c>
      <c r="O171" s="104" t="str">
        <f>IF(ISNUMBER(M171), $B172 * N171, "")</f>
        <v/>
      </c>
      <c r="Q171" s="244"/>
      <c r="R171" s="245"/>
      <c r="S171" s="246"/>
    </row>
    <row r="172" spans="1:19" ht="17.25" thickBot="1">
      <c r="A172" s="135" t="s">
        <v>301</v>
      </c>
      <c r="B172" s="252">
        <f>$B$37</f>
        <v>150000</v>
      </c>
      <c r="C172" s="253"/>
      <c r="D172" s="26" t="s">
        <v>302</v>
      </c>
      <c r="E172" s="27">
        <f>IF(COUNT(E152:E171), SUM(E152:E171) / COUNT(E152:E171), 0)</f>
        <v>2.0434812587259661E-2</v>
      </c>
      <c r="F172" s="28">
        <f>SUM(F152:F171)</f>
        <v>61304.437761778987</v>
      </c>
      <c r="G172" s="26" t="s">
        <v>302</v>
      </c>
      <c r="H172" s="27">
        <f>IF(COUNT(H152:H171), SUM(H152:H171) / COUNT(H152:H171), 0)</f>
        <v>2.6465477201360704E-2</v>
      </c>
      <c r="I172" s="28">
        <f>SUM(I152:I171)</f>
        <v>79396.431604082114</v>
      </c>
      <c r="J172" s="26" t="s">
        <v>302</v>
      </c>
      <c r="K172" s="27">
        <f>IF(COUNT(K152:K171), SUM(K152:K171) / COUNT(K152:K171), 0)</f>
        <v>2.4475210329231858E-2</v>
      </c>
      <c r="L172" s="28">
        <f>SUM(L152:L171)</f>
        <v>73425.630987695564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47"/>
      <c r="R172" s="248"/>
      <c r="S172" s="249"/>
    </row>
    <row r="174" spans="1:19" ht="17.25" thickBot="1"/>
    <row r="175" spans="1:19" ht="17.25" thickBot="1">
      <c r="A175" s="193" t="s">
        <v>285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79" t="s">
        <v>298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72158000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9.1322285000000007E-3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2021-05-10(월) 오전 00:00</v>
      </c>
      <c r="C177" s="257"/>
      <c r="D177" s="216" t="str">
        <f>TEXT($G$1, "[$-ko-KR]yyyy-mm-dd(ddd) ") &amp; "오후 14:00"</f>
        <v>2021-05-10(월) 오후 14:00</v>
      </c>
      <c r="E177" s="217"/>
      <c r="F177" s="218"/>
      <c r="G177" s="216" t="str">
        <f>TEXT($G$1, "[$-ko-KR]yyyy-mm-dd(ddd) ") &amp; "오후 19:00"</f>
        <v>2021-05-10(월) 오후 19:00</v>
      </c>
      <c r="H177" s="217"/>
      <c r="I177" s="218"/>
      <c r="J177" s="216" t="str">
        <f>TEXT($G$1, "[$-ko-KR]yyyy-mm-dd(ddd) ") &amp; "오후 21:00"</f>
        <v>2021-05-10(월) 오후 21:00</v>
      </c>
      <c r="K177" s="217"/>
      <c r="L177" s="218"/>
      <c r="M177" s="216" t="str">
        <f>TEXT($G$1+1, "[$-ko-KR]yyyy-mm-dd(ddd) ") &amp; "오전 00:00"</f>
        <v>2021-05-11(화)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80" t="s">
        <v>58</v>
      </c>
      <c r="H178" s="181" t="s">
        <v>299</v>
      </c>
      <c r="I178" s="182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219"/>
      <c r="R178" s="219"/>
      <c r="S178" s="219"/>
    </row>
    <row r="179" spans="1:19" ht="17.25" thickBot="1">
      <c r="A179" s="126" t="s">
        <v>212</v>
      </c>
      <c r="B179" s="127">
        <v>141</v>
      </c>
      <c r="C179" s="76">
        <v>-5.3691275199999999E-2</v>
      </c>
      <c r="D179" s="13">
        <v>142</v>
      </c>
      <c r="E179" s="14">
        <f>IF(ISNUMBER(D179), (D179 - $B179) / $B179, "")</f>
        <v>7.0921985815602835E-3</v>
      </c>
      <c r="F179" s="16">
        <f>IF(ISNUMBER(D179), $B199 * E179, "")</f>
        <v>1063.8297872340424</v>
      </c>
      <c r="G179" s="29">
        <v>144</v>
      </c>
      <c r="H179" s="14">
        <f>IF(ISNUMBER(G179), (G179 - $B179) / $B179, "")</f>
        <v>2.1276595744680851E-2</v>
      </c>
      <c r="I179" s="100">
        <f>IF(ISNUMBER(G179), $B199 * H179, "")</f>
        <v>3191.4893617021276</v>
      </c>
      <c r="J179" s="13">
        <v>144</v>
      </c>
      <c r="K179" s="14">
        <f>IF(ISNUMBER(J179), (J179 - $B179) / $B179, "")</f>
        <v>2.1276595744680851E-2</v>
      </c>
      <c r="L179" s="16">
        <f>IF(ISNUMBER(J179), $B199 * K179, "")</f>
        <v>3191.4893617021276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4"/>
      <c r="R179" s="214"/>
      <c r="S179" s="214"/>
    </row>
    <row r="180" spans="1:19" ht="17.25" thickBot="1">
      <c r="A180" s="128" t="s">
        <v>234</v>
      </c>
      <c r="B180" s="129">
        <v>1325</v>
      </c>
      <c r="C180" s="77">
        <v>-5.69395018E-2</v>
      </c>
      <c r="D180" s="15">
        <v>1335</v>
      </c>
      <c r="E180" s="32">
        <f t="shared" ref="E180:E183" si="94">IF(ISNUMBER(D180), (D180 - $B180) / $B180, "")</f>
        <v>7.5471698113207548E-3</v>
      </c>
      <c r="F180" s="18">
        <f>IF(ISNUMBER(D180), $B199 * E180, "")</f>
        <v>1132.0754716981132</v>
      </c>
      <c r="G180" s="31">
        <v>1325</v>
      </c>
      <c r="H180" s="32">
        <f t="shared" ref="H180:H183" si="95">IF(ISNUMBER(G180), (G180 - $B180) / $B180, "")</f>
        <v>0</v>
      </c>
      <c r="I180" s="101">
        <f>IF(ISNUMBER(G180), $B199 * H180, "")</f>
        <v>0</v>
      </c>
      <c r="J180" s="15">
        <v>1320</v>
      </c>
      <c r="K180" s="32">
        <f t="shared" ref="K180:K183" si="96">IF(ISNUMBER(J180), (J180 - $B180) / $B180, "")</f>
        <v>-3.7735849056603774E-3</v>
      </c>
      <c r="L180" s="18">
        <f>IF(ISNUMBER(J180), $B199 * K180, "")</f>
        <v>-566.03773584905662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4"/>
      <c r="R180" s="214"/>
      <c r="S180" s="214"/>
    </row>
    <row r="181" spans="1:19" ht="17.25" thickBot="1">
      <c r="A181" s="128" t="s">
        <v>180</v>
      </c>
      <c r="B181" s="129">
        <v>4785</v>
      </c>
      <c r="C181" s="77">
        <v>-5.71428571E-2</v>
      </c>
      <c r="D181" s="15">
        <v>5075</v>
      </c>
      <c r="E181" s="32">
        <f t="shared" si="94"/>
        <v>6.0606060606060608E-2</v>
      </c>
      <c r="F181" s="18">
        <f>IF(ISNUMBER(D181), $B199 * E181, "")</f>
        <v>9090.9090909090919</v>
      </c>
      <c r="G181" s="31">
        <v>5110</v>
      </c>
      <c r="H181" s="32">
        <f t="shared" si="95"/>
        <v>6.7920585161964475E-2</v>
      </c>
      <c r="I181" s="101">
        <f>IF(ISNUMBER(G181), $B199 * H181, "")</f>
        <v>10188.08777429467</v>
      </c>
      <c r="J181" s="15">
        <v>5055</v>
      </c>
      <c r="K181" s="32">
        <f t="shared" si="96"/>
        <v>5.6426332288401257E-2</v>
      </c>
      <c r="L181" s="18">
        <f>IF(ISNUMBER(J181), $B199 * K181, "")</f>
        <v>8463.9498432601886</v>
      </c>
      <c r="M181" s="31"/>
      <c r="N181" s="32" t="str">
        <f t="shared" si="97"/>
        <v/>
      </c>
      <c r="O181" s="18" t="str">
        <f>IF(ISNUMBER(M181), $B199 * N181, "")</f>
        <v/>
      </c>
      <c r="Q181" s="219"/>
      <c r="R181" s="219"/>
      <c r="S181" s="219"/>
    </row>
    <row r="182" spans="1:19" ht="17.25" thickBot="1">
      <c r="A182" s="128" t="s">
        <v>194</v>
      </c>
      <c r="B182" s="129">
        <v>13560</v>
      </c>
      <c r="C182" s="77">
        <v>-5.7678943699999999E-2</v>
      </c>
      <c r="D182" s="15">
        <v>13330</v>
      </c>
      <c r="E182" s="32">
        <f t="shared" si="94"/>
        <v>-1.696165191740413E-2</v>
      </c>
      <c r="F182" s="18">
        <f>IF(ISNUMBER(D182), $B199 * E182, "")</f>
        <v>-2544.2477876106195</v>
      </c>
      <c r="G182" s="31">
        <v>13330</v>
      </c>
      <c r="H182" s="32">
        <f t="shared" si="95"/>
        <v>-1.696165191740413E-2</v>
      </c>
      <c r="I182" s="101">
        <f>IF(ISNUMBER(G182), $B199 * H182, "")</f>
        <v>-2544.2477876106195</v>
      </c>
      <c r="J182" s="15">
        <v>13320</v>
      </c>
      <c r="K182" s="32">
        <f t="shared" si="96"/>
        <v>-1.7699115044247787E-2</v>
      </c>
      <c r="L182" s="18">
        <f>IF(ISNUMBER(J182), $B199 * K182, "")</f>
        <v>-2654.8672566371679</v>
      </c>
      <c r="M182" s="31"/>
      <c r="N182" s="32" t="str">
        <f t="shared" si="97"/>
        <v/>
      </c>
      <c r="O182" s="18" t="str">
        <f>IF(ISNUMBER(M182), $B199 * N182, "")</f>
        <v/>
      </c>
      <c r="Q182" s="219"/>
      <c r="R182" s="219"/>
      <c r="S182" s="219"/>
    </row>
    <row r="183" spans="1:19" ht="17.25" thickBot="1">
      <c r="A183" s="130" t="s">
        <v>270</v>
      </c>
      <c r="B183" s="131">
        <v>593</v>
      </c>
      <c r="C183" s="78">
        <v>-5.87301587E-2</v>
      </c>
      <c r="D183" s="20">
        <v>603</v>
      </c>
      <c r="E183" s="21">
        <f t="shared" si="94"/>
        <v>1.6863406408094434E-2</v>
      </c>
      <c r="F183" s="22">
        <f>IF(ISNUMBER(D183), $B199 * E183, "")</f>
        <v>2529.510961214165</v>
      </c>
      <c r="G183" s="30">
        <v>612</v>
      </c>
      <c r="H183" s="21">
        <f t="shared" si="95"/>
        <v>3.2040472175379427E-2</v>
      </c>
      <c r="I183" s="105">
        <f>IF(ISNUMBER(G183), $B199 * H183, "")</f>
        <v>4806.0708263069137</v>
      </c>
      <c r="J183" s="20">
        <v>608</v>
      </c>
      <c r="K183" s="21">
        <f t="shared" si="96"/>
        <v>2.5295109612141653E-2</v>
      </c>
      <c r="L183" s="22">
        <f>IF(ISNUMBER(J183), $B199 * K183, "")</f>
        <v>3794.266441821248</v>
      </c>
      <c r="M183" s="30"/>
      <c r="N183" s="21" t="str">
        <f t="shared" si="97"/>
        <v/>
      </c>
      <c r="O183" s="22" t="str">
        <f>IF(ISNUMBER(M183), $B199 * N183, "")</f>
        <v/>
      </c>
      <c r="Q183" s="219"/>
      <c r="R183" s="219"/>
      <c r="S183" s="219"/>
    </row>
    <row r="184" spans="1:19" ht="17.25" thickBot="1">
      <c r="A184" s="128" t="s">
        <v>246</v>
      </c>
      <c r="B184" s="132">
        <v>368</v>
      </c>
      <c r="C184" s="80">
        <v>-5.8823529399999998E-2</v>
      </c>
      <c r="D184" s="106">
        <v>367</v>
      </c>
      <c r="E184" s="107">
        <f>IF(ISNUMBER(D184), (D184 - $B184) / $B184, "")</f>
        <v>-2.717391304347826E-3</v>
      </c>
      <c r="F184" s="108">
        <f>IF(ISNUMBER(D184), $B199 * E184, "")</f>
        <v>-407.60869565217388</v>
      </c>
      <c r="G184" s="109">
        <v>369</v>
      </c>
      <c r="H184" s="107">
        <f>IF(ISNUMBER(G184), (G184 - $B184) / $B184, "")</f>
        <v>2.717391304347826E-3</v>
      </c>
      <c r="I184" s="110">
        <f>IF(ISNUMBER(G184), $B199 * H184, "")</f>
        <v>407.60869565217388</v>
      </c>
      <c r="J184" s="106">
        <v>368</v>
      </c>
      <c r="K184" s="107">
        <f>IF(ISNUMBER(J184), (J184 - $B184) / $B184, "")</f>
        <v>0</v>
      </c>
      <c r="L184" s="108">
        <f>IF(ISNUMBER(J184), $B199 * K184, "")</f>
        <v>0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9"/>
      <c r="R184" s="219"/>
      <c r="S184" s="219"/>
    </row>
    <row r="185" spans="1:19" ht="17.25" thickBot="1">
      <c r="A185" s="128" t="s">
        <v>69</v>
      </c>
      <c r="B185" s="129">
        <v>12440</v>
      </c>
      <c r="C185" s="77">
        <v>-5.9001512899999997E-2</v>
      </c>
      <c r="D185" s="15">
        <v>12630</v>
      </c>
      <c r="E185" s="32">
        <f t="shared" ref="E185:E188" si="98">IF(ISNUMBER(D185), (D185 - $B185) / $B185, "")</f>
        <v>1.5273311897106109E-2</v>
      </c>
      <c r="F185" s="18">
        <f>IF(ISNUMBER(D185), $B199 * E185, "")</f>
        <v>2290.9967845659162</v>
      </c>
      <c r="G185" s="31">
        <v>12640</v>
      </c>
      <c r="H185" s="32">
        <f t="shared" ref="H185:H188" si="99">IF(ISNUMBER(G185), (G185 - $B185) / $B185, "")</f>
        <v>1.607717041800643E-2</v>
      </c>
      <c r="I185" s="101">
        <f>IF(ISNUMBER(G185), $B199 * H185, "")</f>
        <v>2411.5755627009644</v>
      </c>
      <c r="J185" s="15">
        <v>12670</v>
      </c>
      <c r="K185" s="32">
        <f t="shared" ref="K185:K188" si="100">IF(ISNUMBER(J185), (J185 - $B185) / $B185, "")</f>
        <v>1.8488745980707395E-2</v>
      </c>
      <c r="L185" s="18">
        <f>IF(ISNUMBER(J185), $B199 * K185, "")</f>
        <v>2773.311897106109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9"/>
      <c r="R185" s="219"/>
      <c r="S185" s="219"/>
    </row>
    <row r="186" spans="1:19" ht="17.25" thickBot="1">
      <c r="A186" s="128" t="s">
        <v>272</v>
      </c>
      <c r="B186" s="129">
        <v>2785</v>
      </c>
      <c r="C186" s="77">
        <v>-5.91216216E-2</v>
      </c>
      <c r="D186" s="15">
        <v>2885</v>
      </c>
      <c r="E186" s="32">
        <f t="shared" si="98"/>
        <v>3.5906642728904849E-2</v>
      </c>
      <c r="F186" s="18">
        <f>IF(ISNUMBER(D186), $B199 * E186, "")</f>
        <v>5385.9964093357275</v>
      </c>
      <c r="G186" s="31">
        <v>2895</v>
      </c>
      <c r="H186" s="32">
        <f t="shared" si="99"/>
        <v>3.949730700179533E-2</v>
      </c>
      <c r="I186" s="101">
        <f>IF(ISNUMBER(G186), $B199 * H186, "")</f>
        <v>5924.5960502692997</v>
      </c>
      <c r="J186" s="15">
        <v>2885</v>
      </c>
      <c r="K186" s="32">
        <f t="shared" si="100"/>
        <v>3.5906642728904849E-2</v>
      </c>
      <c r="L186" s="18">
        <f>IF(ISNUMBER(J186), $B199 * K186, "")</f>
        <v>5385.9964093357275</v>
      </c>
      <c r="M186" s="31"/>
      <c r="N186" s="32" t="str">
        <f t="shared" si="101"/>
        <v/>
      </c>
      <c r="O186" s="18" t="str">
        <f>IF(ISNUMBER(M186), $B199 * N186, "")</f>
        <v/>
      </c>
      <c r="Q186" s="219"/>
      <c r="R186" s="219"/>
      <c r="S186" s="219"/>
    </row>
    <row r="187" spans="1:19" ht="17.25" thickBot="1">
      <c r="A187" s="128" t="s">
        <v>67</v>
      </c>
      <c r="B187" s="129">
        <v>7955</v>
      </c>
      <c r="C187" s="77">
        <v>-6.1356932199999999E-2</v>
      </c>
      <c r="D187" s="15">
        <v>7990</v>
      </c>
      <c r="E187" s="32">
        <f t="shared" si="98"/>
        <v>4.3997485857950975E-3</v>
      </c>
      <c r="F187" s="18">
        <f>IF(ISNUMBER(D187), $B199 * E187, "")</f>
        <v>659.96228786926463</v>
      </c>
      <c r="G187" s="31">
        <v>7995</v>
      </c>
      <c r="H187" s="32">
        <f t="shared" si="99"/>
        <v>5.02828409805154E-3</v>
      </c>
      <c r="I187" s="101">
        <f>IF(ISNUMBER(G187), $B199 * H187, "")</f>
        <v>754.24261470773104</v>
      </c>
      <c r="J187" s="15">
        <v>7980</v>
      </c>
      <c r="K187" s="32">
        <f t="shared" si="100"/>
        <v>3.1426775612822125E-3</v>
      </c>
      <c r="L187" s="18">
        <f>IF(ISNUMBER(J187), $B199 * K187, "")</f>
        <v>471.40163419233187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3" t="s">
        <v>282</v>
      </c>
      <c r="B188" s="134">
        <v>172</v>
      </c>
      <c r="C188" s="79">
        <v>-6.5217391299999997E-2</v>
      </c>
      <c r="D188" s="24">
        <v>171</v>
      </c>
      <c r="E188" s="25">
        <f t="shared" si="98"/>
        <v>-5.8139534883720929E-3</v>
      </c>
      <c r="F188" s="104">
        <f>IF(ISNUMBER(D188), $B199 * E188, "")</f>
        <v>-872.09302325581393</v>
      </c>
      <c r="G188" s="102">
        <v>171</v>
      </c>
      <c r="H188" s="25">
        <f t="shared" si="99"/>
        <v>-5.8139534883720929E-3</v>
      </c>
      <c r="I188" s="103">
        <f>IF(ISNUMBER(G188), $B199 * H188, "")</f>
        <v>-872.09302325581393</v>
      </c>
      <c r="J188" s="24">
        <v>171</v>
      </c>
      <c r="K188" s="25">
        <f t="shared" si="100"/>
        <v>-5.8139534883720929E-3</v>
      </c>
      <c r="L188" s="104">
        <f>IF(ISNUMBER(J188), $B199 * K188, "")</f>
        <v>-872.09302325581393</v>
      </c>
      <c r="M188" s="102"/>
      <c r="N188" s="25" t="str">
        <f t="shared" si="101"/>
        <v/>
      </c>
      <c r="O188" s="104" t="str">
        <f>IF(ISNUMBER(M188), $B199 * N188, "")</f>
        <v/>
      </c>
      <c r="Q188" s="228"/>
      <c r="R188" s="229"/>
      <c r="S188" s="230"/>
    </row>
    <row r="189" spans="1:19">
      <c r="A189" s="126" t="s">
        <v>258</v>
      </c>
      <c r="B189" s="127">
        <v>671</v>
      </c>
      <c r="C189" s="76">
        <v>-6.8055555599999998E-2</v>
      </c>
      <c r="D189" s="13">
        <v>678</v>
      </c>
      <c r="E189" s="14">
        <f>IF(ISNUMBER(D189), (D189 - $B189) / $B189, "")</f>
        <v>1.0432190760059613E-2</v>
      </c>
      <c r="F189" s="16">
        <f>IF(ISNUMBER(D189), $B199 * E189, "")</f>
        <v>1564.8286140089419</v>
      </c>
      <c r="G189" s="29">
        <v>671</v>
      </c>
      <c r="H189" s="14">
        <f>IF(ISNUMBER(G189), (G189 - $B189) / $B189, "")</f>
        <v>0</v>
      </c>
      <c r="I189" s="100">
        <f>IF(ISNUMBER(G189), $B199 * H189, "")</f>
        <v>0</v>
      </c>
      <c r="J189" s="13">
        <v>676</v>
      </c>
      <c r="K189" s="14">
        <f>IF(ISNUMBER(J189), (J189 - $B189) / $B189, "")</f>
        <v>7.4515648286140089E-3</v>
      </c>
      <c r="L189" s="16">
        <f>IF(ISNUMBER(J189), $B199 * K189, "")</f>
        <v>1117.7347242921014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1"/>
      <c r="R189" s="232"/>
      <c r="S189" s="233"/>
    </row>
    <row r="190" spans="1:19" ht="17.25" thickBot="1">
      <c r="A190" s="128" t="s">
        <v>274</v>
      </c>
      <c r="B190" s="129">
        <v>8955</v>
      </c>
      <c r="C190" s="77">
        <v>-7.0576024900000006E-2</v>
      </c>
      <c r="D190" s="15">
        <v>8970</v>
      </c>
      <c r="E190" s="32">
        <f t="shared" ref="E190:E193" si="102">IF(ISNUMBER(D190), (D190 - $B190) / $B190, "")</f>
        <v>1.6750418760469012E-3</v>
      </c>
      <c r="F190" s="18">
        <f>IF(ISNUMBER(D190), $B199 * E190, "")</f>
        <v>251.25628140703517</v>
      </c>
      <c r="G190" s="31">
        <v>8960</v>
      </c>
      <c r="H190" s="32">
        <f t="shared" ref="H190:H193" si="103">IF(ISNUMBER(G190), (G190 - $B190) / $B190, "")</f>
        <v>5.5834729201563373E-4</v>
      </c>
      <c r="I190" s="101">
        <f>IF(ISNUMBER(G190), $B199 * H190, "")</f>
        <v>83.752093802345058</v>
      </c>
      <c r="J190" s="15">
        <v>8970</v>
      </c>
      <c r="K190" s="32">
        <f t="shared" ref="K190:K193" si="104">IF(ISNUMBER(J190), (J190 - $B190) / $B190, "")</f>
        <v>1.6750418760469012E-3</v>
      </c>
      <c r="L190" s="18">
        <f>IF(ISNUMBER(J190), $B199 * K190, "")</f>
        <v>251.25628140703517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4"/>
      <c r="R190" s="235"/>
      <c r="S190" s="236"/>
    </row>
    <row r="191" spans="1:19" ht="17.25" thickBot="1">
      <c r="A191" s="128" t="s">
        <v>94</v>
      </c>
      <c r="B191" s="129">
        <v>149900</v>
      </c>
      <c r="C191" s="77">
        <v>-7.0675759500000004E-2</v>
      </c>
      <c r="D191" s="15">
        <v>156600</v>
      </c>
      <c r="E191" s="32">
        <f t="shared" si="102"/>
        <v>4.4696464309539691E-2</v>
      </c>
      <c r="F191" s="18">
        <f>IF(ISNUMBER(D191), $B199 * E191, "")</f>
        <v>6704.4696464309536</v>
      </c>
      <c r="G191" s="31">
        <v>153350</v>
      </c>
      <c r="H191" s="32">
        <f t="shared" si="103"/>
        <v>2.3015343562374918E-2</v>
      </c>
      <c r="I191" s="101">
        <f>IF(ISNUMBER(G191), $B199 * H191, "")</f>
        <v>3452.3015343562379</v>
      </c>
      <c r="J191" s="15">
        <v>152100</v>
      </c>
      <c r="K191" s="32">
        <f t="shared" si="104"/>
        <v>1.4676450967311541E-2</v>
      </c>
      <c r="L191" s="18">
        <f>IF(ISNUMBER(J191), $B199 * K191, "")</f>
        <v>2201.4676450967308</v>
      </c>
      <c r="M191" s="31"/>
      <c r="N191" s="32" t="str">
        <f t="shared" si="105"/>
        <v/>
      </c>
      <c r="O191" s="18" t="str">
        <f>IF(ISNUMBER(M191), $B199 * N191, "")</f>
        <v/>
      </c>
      <c r="Q191" s="219"/>
      <c r="R191" s="219"/>
      <c r="S191" s="219"/>
    </row>
    <row r="192" spans="1:19" ht="17.25" thickBot="1">
      <c r="A192" s="128" t="s">
        <v>262</v>
      </c>
      <c r="B192" s="129">
        <v>1420</v>
      </c>
      <c r="C192" s="77">
        <v>-7.1895424799999996E-2</v>
      </c>
      <c r="D192" s="15">
        <v>1410</v>
      </c>
      <c r="E192" s="32">
        <f t="shared" si="102"/>
        <v>-7.0422535211267607E-3</v>
      </c>
      <c r="F192" s="18">
        <f>IF(ISNUMBER(D192), $B199 * E192, "")</f>
        <v>-1056.338028169014</v>
      </c>
      <c r="G192" s="31">
        <v>1420</v>
      </c>
      <c r="H192" s="32">
        <f t="shared" si="103"/>
        <v>0</v>
      </c>
      <c r="I192" s="101">
        <f>IF(ISNUMBER(G192), $B199 * H192, "")</f>
        <v>0</v>
      </c>
      <c r="J192" s="15">
        <v>1415</v>
      </c>
      <c r="K192" s="32">
        <f t="shared" si="104"/>
        <v>-3.5211267605633804E-3</v>
      </c>
      <c r="L192" s="18">
        <f>IF(ISNUMBER(J192), $B199 * K192, "")</f>
        <v>-528.16901408450701</v>
      </c>
      <c r="M192" s="31"/>
      <c r="N192" s="32" t="str">
        <f t="shared" si="105"/>
        <v/>
      </c>
      <c r="O192" s="18" t="str">
        <f>IF(ISNUMBER(M192), $B199 * N192, "")</f>
        <v/>
      </c>
      <c r="Q192" s="214"/>
      <c r="R192" s="214"/>
      <c r="S192" s="214"/>
    </row>
    <row r="193" spans="1:19" ht="17.25" thickBot="1">
      <c r="A193" s="130" t="s">
        <v>108</v>
      </c>
      <c r="B193" s="131">
        <v>58710</v>
      </c>
      <c r="C193" s="78">
        <v>-7.5141776899999999E-2</v>
      </c>
      <c r="D193" s="20">
        <v>64500</v>
      </c>
      <c r="E193" s="21">
        <f t="shared" si="102"/>
        <v>9.8620337250894224E-2</v>
      </c>
      <c r="F193" s="22">
        <f>IF(ISNUMBER(D193), $B199 * E193, "")</f>
        <v>14793.050587634134</v>
      </c>
      <c r="G193" s="30">
        <v>63080</v>
      </c>
      <c r="H193" s="21">
        <f t="shared" si="103"/>
        <v>7.4433656957928807E-2</v>
      </c>
      <c r="I193" s="105">
        <f>IF(ISNUMBER(G193), $B199 * H193, "")</f>
        <v>11165.048543689321</v>
      </c>
      <c r="J193" s="20">
        <v>62260</v>
      </c>
      <c r="K193" s="21">
        <f t="shared" si="104"/>
        <v>6.0466700732413559E-2</v>
      </c>
      <c r="L193" s="22">
        <f>IF(ISNUMBER(J193), $B199 * K193, "")</f>
        <v>9070.0051098620334</v>
      </c>
      <c r="M193" s="30"/>
      <c r="N193" s="21" t="str">
        <f t="shared" si="105"/>
        <v/>
      </c>
      <c r="O193" s="22" t="str">
        <f>IF(ISNUMBER(M193), $B199 * N193, "")</f>
        <v/>
      </c>
      <c r="Q193" s="214"/>
      <c r="R193" s="214"/>
      <c r="S193" s="214"/>
    </row>
    <row r="194" spans="1:19" ht="17.25" thickBot="1">
      <c r="A194" s="128" t="s">
        <v>204</v>
      </c>
      <c r="B194" s="132">
        <v>7760</v>
      </c>
      <c r="C194" s="80">
        <v>-7.5640262099999994E-2</v>
      </c>
      <c r="D194" s="106">
        <v>7775</v>
      </c>
      <c r="E194" s="107">
        <f>IF(ISNUMBER(D194), (D194 - $B194) / $B194, "")</f>
        <v>1.9329896907216496E-3</v>
      </c>
      <c r="F194" s="108">
        <f>IF(ISNUMBER(D194), $B199 * E194, "")</f>
        <v>289.94845360824741</v>
      </c>
      <c r="G194" s="109">
        <v>7780</v>
      </c>
      <c r="H194" s="107">
        <f>IF(ISNUMBER(G194), (G194 - $B194) / $B194, "")</f>
        <v>2.5773195876288659E-3</v>
      </c>
      <c r="I194" s="110">
        <f>IF(ISNUMBER(G194), $B199 * H194, "")</f>
        <v>386.59793814432987</v>
      </c>
      <c r="J194" s="106">
        <v>7835</v>
      </c>
      <c r="K194" s="107">
        <f>IF(ISNUMBER(J194), (J194 - $B194) / $B194, "")</f>
        <v>9.6649484536082478E-3</v>
      </c>
      <c r="L194" s="108">
        <f>IF(ISNUMBER(J194), $B199 * K194, "")</f>
        <v>1449.7422680412371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9"/>
      <c r="R194" s="219"/>
      <c r="S194" s="219"/>
    </row>
    <row r="195" spans="1:19" ht="17.25" thickBot="1">
      <c r="A195" s="128" t="s">
        <v>276</v>
      </c>
      <c r="B195" s="129">
        <v>4995</v>
      </c>
      <c r="C195" s="77">
        <v>-7.9262672800000003E-2</v>
      </c>
      <c r="D195" s="15">
        <v>5280</v>
      </c>
      <c r="E195" s="32">
        <f t="shared" ref="E195:E198" si="106">IF(ISNUMBER(D195), (D195 - $B195) / $B195, "")</f>
        <v>5.7057057057057055E-2</v>
      </c>
      <c r="F195" s="18">
        <f>IF(ISNUMBER(D195), $B199 * E195, "")</f>
        <v>8558.5585585585577</v>
      </c>
      <c r="G195" s="31">
        <v>5520</v>
      </c>
      <c r="H195" s="32">
        <f t="shared" ref="H195:H198" si="107">IF(ISNUMBER(G195), (G195 - $B195) / $B195, "")</f>
        <v>0.10510510510510511</v>
      </c>
      <c r="I195" s="101">
        <f>IF(ISNUMBER(G195), $B199 * H195, "")</f>
        <v>15765.765765765766</v>
      </c>
      <c r="J195" s="15">
        <v>5385</v>
      </c>
      <c r="K195" s="32">
        <f t="shared" ref="K195:K198" si="108">IF(ISNUMBER(J195), (J195 - $B195) / $B195, "")</f>
        <v>7.8078078078078081E-2</v>
      </c>
      <c r="L195" s="18">
        <f>IF(ISNUMBER(J195), $B199 * K195, "")</f>
        <v>11711.711711711712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9"/>
      <c r="R195" s="219"/>
      <c r="S195" s="219"/>
    </row>
    <row r="196" spans="1:19" ht="17.25" thickBot="1">
      <c r="A196" s="128" t="s">
        <v>102</v>
      </c>
      <c r="B196" s="129">
        <v>144450</v>
      </c>
      <c r="C196" s="77">
        <v>-7.9349904400000004E-2</v>
      </c>
      <c r="D196" s="15">
        <v>153650</v>
      </c>
      <c r="E196" s="32">
        <f t="shared" si="106"/>
        <v>6.3689858082381451E-2</v>
      </c>
      <c r="F196" s="18">
        <f>IF(ISNUMBER(D196), $B199 * E196, "")</f>
        <v>9553.4787123572169</v>
      </c>
      <c r="G196" s="31">
        <v>150100</v>
      </c>
      <c r="H196" s="32">
        <f t="shared" si="107"/>
        <v>3.9113880235375563E-2</v>
      </c>
      <c r="I196" s="101">
        <f>IF(ISNUMBER(G196), $B199 * H196, "")</f>
        <v>5867.0820353063345</v>
      </c>
      <c r="J196" s="15">
        <v>149200</v>
      </c>
      <c r="K196" s="32">
        <f t="shared" si="108"/>
        <v>3.2883350640359986E-2</v>
      </c>
      <c r="L196" s="18">
        <f>IF(ISNUMBER(J196), $B199 * K196, "")</f>
        <v>4932.5025960539979</v>
      </c>
      <c r="M196" s="31"/>
      <c r="N196" s="32" t="str">
        <f t="shared" si="109"/>
        <v/>
      </c>
      <c r="O196" s="18" t="str">
        <f>IF(ISNUMBER(M196), $B199 * N196, "")</f>
        <v/>
      </c>
      <c r="Q196" s="219"/>
      <c r="R196" s="219"/>
      <c r="S196" s="219"/>
    </row>
    <row r="197" spans="1:19">
      <c r="A197" s="128" t="s">
        <v>182</v>
      </c>
      <c r="B197" s="129">
        <v>553</v>
      </c>
      <c r="C197" s="77">
        <v>-9.4926350199999995E-2</v>
      </c>
      <c r="D197" s="15">
        <v>550</v>
      </c>
      <c r="E197" s="32">
        <f t="shared" si="106"/>
        <v>-5.4249547920433997E-3</v>
      </c>
      <c r="F197" s="18">
        <f>IF(ISNUMBER(D197), $B199 * E197, "")</f>
        <v>-813.74321880650996</v>
      </c>
      <c r="G197" s="31">
        <v>546</v>
      </c>
      <c r="H197" s="32">
        <f t="shared" si="107"/>
        <v>-1.2658227848101266E-2</v>
      </c>
      <c r="I197" s="101">
        <f>IF(ISNUMBER(G197), $B199 * H197, "")</f>
        <v>-1898.7341772151899</v>
      </c>
      <c r="J197" s="15">
        <v>544</v>
      </c>
      <c r="K197" s="32">
        <f t="shared" si="108"/>
        <v>-1.62748643761302E-2</v>
      </c>
      <c r="L197" s="18">
        <f>IF(ISNUMBER(J197), $B199 * K197, "")</f>
        <v>-2441.2296564195299</v>
      </c>
      <c r="M197" s="31"/>
      <c r="N197" s="32" t="str">
        <f t="shared" si="109"/>
        <v/>
      </c>
      <c r="O197" s="18" t="str">
        <f>IF(ISNUMBER(M197), $B199 * N197, "")</f>
        <v/>
      </c>
      <c r="Q197" s="241"/>
      <c r="R197" s="242"/>
      <c r="S197" s="243"/>
    </row>
    <row r="198" spans="1:19" ht="17.25" thickBot="1">
      <c r="A198" s="133" t="s">
        <v>296</v>
      </c>
      <c r="B198" s="134">
        <v>594</v>
      </c>
      <c r="C198" s="79">
        <v>-0.23255813950000001</v>
      </c>
      <c r="D198" s="24">
        <v>640</v>
      </c>
      <c r="E198" s="25">
        <f t="shared" si="106"/>
        <v>7.7441077441077436E-2</v>
      </c>
      <c r="F198" s="104">
        <f>IF(ISNUMBER(D198), $B199 * E198, "")</f>
        <v>11616.161616161615</v>
      </c>
      <c r="G198" s="102">
        <v>637</v>
      </c>
      <c r="H198" s="25">
        <f t="shared" si="107"/>
        <v>7.2390572390572394E-2</v>
      </c>
      <c r="I198" s="103">
        <f>IF(ISNUMBER(G198), $B199 * H198, "")</f>
        <v>10858.585858585859</v>
      </c>
      <c r="J198" s="24">
        <v>636</v>
      </c>
      <c r="K198" s="25">
        <f t="shared" si="108"/>
        <v>7.0707070707070704E-2</v>
      </c>
      <c r="L198" s="104">
        <f>IF(ISNUMBER(J198), $B199 * K198, "")</f>
        <v>10606.060606060606</v>
      </c>
      <c r="M198" s="102"/>
      <c r="N198" s="25" t="str">
        <f t="shared" si="109"/>
        <v/>
      </c>
      <c r="O198" s="104" t="str">
        <f>IF(ISNUMBER(M198), $B199 * N198, "")</f>
        <v/>
      </c>
      <c r="Q198" s="244"/>
      <c r="R198" s="245"/>
      <c r="S198" s="246"/>
    </row>
    <row r="199" spans="1:19" ht="17.25" thickBot="1">
      <c r="A199" s="135" t="s">
        <v>301</v>
      </c>
      <c r="B199" s="252">
        <f>$B$37</f>
        <v>150000</v>
      </c>
      <c r="C199" s="253"/>
      <c r="D199" s="26" t="s">
        <v>302</v>
      </c>
      <c r="E199" s="27">
        <f>IF(COUNT(E179:E198), SUM(E179:E198) / COUNT(E179:E198), 0)</f>
        <v>2.3263667503166295E-2</v>
      </c>
      <c r="F199" s="28">
        <f>SUM(F179:F198)</f>
        <v>69791.002509498881</v>
      </c>
      <c r="G199" s="26" t="s">
        <v>302</v>
      </c>
      <c r="H199" s="27">
        <f>IF(COUNT(H179:H198), SUM(H179:H198) / COUNT(H179:H198), 0)</f>
        <v>2.3315909889067479E-2</v>
      </c>
      <c r="I199" s="28">
        <f>SUM(I179:I198)</f>
        <v>69947.729667202453</v>
      </c>
      <c r="J199" s="26" t="s">
        <v>302</v>
      </c>
      <c r="K199" s="27">
        <f>IF(COUNT(K179:K198), SUM(K179:K198) / COUNT(K179:K198), 0)</f>
        <v>1.945283328123237E-2</v>
      </c>
      <c r="L199" s="28">
        <f>SUM(L179:L198)</f>
        <v>58358.499843697115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47"/>
      <c r="R199" s="248"/>
      <c r="S199" s="249"/>
    </row>
  </sheetData>
  <mergeCells count="263">
    <mergeCell ref="Q1:R1"/>
    <mergeCell ref="B2:F2"/>
    <mergeCell ref="G2:I2"/>
    <mergeCell ref="K2:O2"/>
    <mergeCell ref="B5:F5"/>
    <mergeCell ref="G5:I5"/>
    <mergeCell ref="K5:O5"/>
    <mergeCell ref="B14:C14"/>
    <mergeCell ref="D14:F14"/>
    <mergeCell ref="G14:I14"/>
    <mergeCell ref="J14:L14"/>
    <mergeCell ref="M14:O14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S13:S15"/>
    <mergeCell ref="B11:F11"/>
    <mergeCell ref="G11:I11"/>
    <mergeCell ref="K11:O11"/>
    <mergeCell ref="Q13:Q15"/>
    <mergeCell ref="R13:R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M15:O15"/>
    <mergeCell ref="J15:L15"/>
    <mergeCell ref="G15:I15"/>
    <mergeCell ref="D15:F15"/>
    <mergeCell ref="B15:C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6:F16 E37:F37 D15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6:I16 H37:I37 G15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6:L16 K37:L37 J15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6:O16 N37:O37 M15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15</vt:i4>
      </vt:variant>
    </vt:vector>
  </HeadingPairs>
  <TitlesOfParts>
    <vt:vector size="15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2021-05-10T12:54:17Z</dcterms:modified>
</cp:coreProperties>
</file>